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8_{A4F4EF46-7CF9-4D9A-AF19-224E2F9E3CC3}" xr6:coauthVersionLast="47" xr6:coauthVersionMax="47" xr10:uidLastSave="{00000000-0000-0000-0000-000000000000}"/>
  <bookViews>
    <workbookView xWindow="-110" yWindow="-110" windowWidth="22780" windowHeight="14660" tabRatio="963" xr2:uid="{1CC025C5-6DF1-4114-817D-F112384A8511}"/>
  </bookViews>
  <sheets>
    <sheet name="Table of Contents" sheetId="15" r:id="rId1"/>
    <sheet name="1.0 SMRP Rider Calc " sheetId="7" r:id="rId2"/>
    <sheet name="1.1 Projected Volumes" sheetId="8" r:id="rId3"/>
    <sheet name="2.0 Revenue Req." sheetId="5" r:id="rId4"/>
    <sheet name="2.1 ROR " sheetId="6" r:id="rId5"/>
    <sheet name="2.2 Conversion Factor " sheetId="19" r:id="rId6"/>
    <sheet name="3.0 Plant in Service" sheetId="20" r:id="rId7"/>
    <sheet name="4.0 Accumulated Depr" sheetId="21" r:id="rId8"/>
    <sheet name="5.0 Depr Expense" sheetId="22" r:id="rId9"/>
    <sheet name="6.0 ADIT Normalized " sheetId="23" r:id="rId10"/>
    <sheet name="6.1 ADIT Calculated p.1" sheetId="4" r:id="rId11"/>
    <sheet name="6.1 ADIT Calcluated p.2" sheetId="9" r:id="rId12"/>
    <sheet name="6.1 ADIT Calcluated p.3" sheetId="10" r:id="rId13"/>
    <sheet name="7.0 Property Tax" sheetId="31" r:id="rId14"/>
    <sheet name="8.0 O&amp;M Savings " sheetId="12" r:id="rId15"/>
  </sheets>
  <externalReferences>
    <externalReference r:id="rId16"/>
  </externalReferences>
  <definedNames>
    <definedName name="case">'[1]Sch 14a pg 1 Rev Req'!#REF!</definedName>
    <definedName name="co">'[1]Sch 14b Acct 376 Rate Base'!#REF!</definedName>
    <definedName name="f">'[1]Sch 14a pg 1 Rev Req'!#REF!</definedName>
    <definedName name="_xlnm.Print_Area" localSheetId="1">'1.0 SMRP Rider Calc '!$A$1:$H$29</definedName>
    <definedName name="_xlnm.Print_Area" localSheetId="2">'1.1 Projected Volumes'!$A$1:$D$25</definedName>
    <definedName name="_xlnm.Print_Area" localSheetId="3">'2.0 Revenue Req.'!$A$1:$K$32</definedName>
    <definedName name="_xlnm.Print_Area" localSheetId="6">'3.0 Plant in Service'!$A$1:$R$184</definedName>
    <definedName name="_xlnm.Print_Area" localSheetId="7">'4.0 Accumulated Depr'!$A$1:$Q$197</definedName>
    <definedName name="_xlnm.Print_Area" localSheetId="8">'5.0 Depr Expense'!$A$1:$Q$210</definedName>
    <definedName name="_xlnm.Print_Area" localSheetId="9">'6.0 ADIT Normalized '!$A$1:$Q$37</definedName>
    <definedName name="_xlnm.Print_Area" localSheetId="11">'6.1 ADIT Calcluated p.2'!$A$1:$AK$55</definedName>
    <definedName name="_xlnm.Print_Area" localSheetId="12">'6.1 ADIT Calcluated p.3'!$A$1:$AK$55</definedName>
    <definedName name="_xlnm.Print_Area" localSheetId="10">'6.1 ADIT Calculated p.1'!$A$1:$AK$47</definedName>
    <definedName name="_xlnm.Print_Area" localSheetId="14">'8.0 O&amp;M Savings '!$A$1:$G$18</definedName>
    <definedName name="_xlnm.Print_Area" localSheetId="0">'Table of Contents'!$A$1:$F$25</definedName>
    <definedName name="_xlnm.Print_Titles" localSheetId="11">'6.1 ADIT Calcluated p.2'!$A:$B</definedName>
    <definedName name="_xlnm.Print_Titles" localSheetId="12">'6.1 ADIT Calcluated p.3'!$A:$B</definedName>
    <definedName name="_xlnm.Print_Titles" localSheetId="10">'6.1 ADIT Calculated p.1'!$A:$B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6" l="1"/>
  <c r="F18" i="6" s="1"/>
  <c r="E17" i="6"/>
  <c r="F17" i="6" s="1"/>
  <c r="E16" i="6"/>
  <c r="F16" i="6"/>
  <c r="F20" i="4"/>
  <c r="C198" i="22"/>
  <c r="C188" i="22"/>
  <c r="C178" i="22"/>
  <c r="C168" i="22"/>
  <c r="C158" i="22"/>
  <c r="E20" i="19"/>
  <c r="E22" i="19" s="1"/>
  <c r="I28" i="5" s="1"/>
  <c r="C16" i="19"/>
  <c r="C18" i="19"/>
  <c r="C20" i="19"/>
  <c r="C22" i="19" s="1"/>
  <c r="E185" i="21"/>
  <c r="F185" i="21"/>
  <c r="G185" i="21"/>
  <c r="H185" i="21"/>
  <c r="I185" i="21"/>
  <c r="J185" i="21"/>
  <c r="K185" i="21"/>
  <c r="L185" i="21"/>
  <c r="M185" i="21"/>
  <c r="N185" i="21"/>
  <c r="O185" i="21"/>
  <c r="D185" i="21"/>
  <c r="D39" i="21"/>
  <c r="E39" i="21"/>
  <c r="F39" i="21"/>
  <c r="G39" i="21"/>
  <c r="H39" i="21"/>
  <c r="I39" i="21"/>
  <c r="J39" i="21"/>
  <c r="K39" i="21"/>
  <c r="L39" i="21"/>
  <c r="M39" i="21"/>
  <c r="N39" i="21"/>
  <c r="O39" i="21"/>
  <c r="AG18" i="10"/>
  <c r="AG19" i="10"/>
  <c r="AG20" i="10"/>
  <c r="AG19" i="9"/>
  <c r="AG20" i="9"/>
  <c r="AG21" i="4" s="1"/>
  <c r="AG18" i="9"/>
  <c r="AG19" i="4" s="1"/>
  <c r="O180" i="20"/>
  <c r="N180" i="20"/>
  <c r="M180" i="20"/>
  <c r="L180" i="20"/>
  <c r="K180" i="20"/>
  <c r="J180" i="20"/>
  <c r="I180" i="20"/>
  <c r="H180" i="20"/>
  <c r="G180" i="20"/>
  <c r="F180" i="20"/>
  <c r="E180" i="20"/>
  <c r="D180" i="20"/>
  <c r="O179" i="20"/>
  <c r="N179" i="20"/>
  <c r="M179" i="20"/>
  <c r="L179" i="20"/>
  <c r="K179" i="20"/>
  <c r="J179" i="20"/>
  <c r="I179" i="20"/>
  <c r="H179" i="20"/>
  <c r="G179" i="20"/>
  <c r="F179" i="20"/>
  <c r="E179" i="20"/>
  <c r="D179" i="20"/>
  <c r="O178" i="20"/>
  <c r="N178" i="20"/>
  <c r="M178" i="20"/>
  <c r="L178" i="20"/>
  <c r="L181" i="20" s="1"/>
  <c r="K178" i="20"/>
  <c r="J178" i="20"/>
  <c r="I178" i="20"/>
  <c r="H178" i="20"/>
  <c r="G178" i="20"/>
  <c r="F178" i="20"/>
  <c r="E178" i="20"/>
  <c r="D178" i="20"/>
  <c r="D181" i="20" s="1"/>
  <c r="O177" i="20"/>
  <c r="N177" i="20"/>
  <c r="M177" i="20"/>
  <c r="L177" i="20"/>
  <c r="K177" i="20"/>
  <c r="J177" i="20"/>
  <c r="I177" i="20"/>
  <c r="H177" i="20"/>
  <c r="H181" i="20" s="1"/>
  <c r="G177" i="20"/>
  <c r="F177" i="20"/>
  <c r="E177" i="20"/>
  <c r="D177" i="20"/>
  <c r="O176" i="20"/>
  <c r="N176" i="20"/>
  <c r="N181" i="20" s="1"/>
  <c r="M176" i="20"/>
  <c r="L176" i="20"/>
  <c r="K176" i="20"/>
  <c r="J176" i="20"/>
  <c r="J181" i="20" s="1"/>
  <c r="I176" i="20"/>
  <c r="I181" i="20"/>
  <c r="H176" i="20"/>
  <c r="G176" i="20"/>
  <c r="G181" i="20" s="1"/>
  <c r="F176" i="20"/>
  <c r="F181" i="20"/>
  <c r="E176" i="20"/>
  <c r="E181" i="20" s="1"/>
  <c r="D176" i="20"/>
  <c r="O29" i="21"/>
  <c r="N29" i="21"/>
  <c r="M29" i="21"/>
  <c r="L29" i="21"/>
  <c r="K29" i="21"/>
  <c r="J29" i="21"/>
  <c r="I29" i="21"/>
  <c r="P29" i="21" s="1"/>
  <c r="C102" i="21" s="1"/>
  <c r="P102" i="21" s="1"/>
  <c r="C175" i="21" s="1"/>
  <c r="P175" i="21" s="1"/>
  <c r="H29" i="21"/>
  <c r="G29" i="21"/>
  <c r="F29" i="21"/>
  <c r="E29" i="21"/>
  <c r="D29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O27" i="21"/>
  <c r="N27" i="21"/>
  <c r="M27" i="21"/>
  <c r="L27" i="21"/>
  <c r="K27" i="21"/>
  <c r="J27" i="21"/>
  <c r="I27" i="21"/>
  <c r="I30" i="21" s="1"/>
  <c r="H27" i="21"/>
  <c r="G27" i="21"/>
  <c r="F27" i="21"/>
  <c r="E27" i="21"/>
  <c r="D27" i="21"/>
  <c r="O26" i="21"/>
  <c r="N26" i="21"/>
  <c r="M26" i="21"/>
  <c r="L26" i="21"/>
  <c r="K26" i="21"/>
  <c r="J26" i="21"/>
  <c r="I26" i="21"/>
  <c r="H26" i="21"/>
  <c r="G26" i="21"/>
  <c r="F26" i="21"/>
  <c r="E26" i="21"/>
  <c r="P26" i="21" s="1"/>
  <c r="D26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D30" i="21"/>
  <c r="D31" i="21" s="1"/>
  <c r="C47" i="21"/>
  <c r="C46" i="21"/>
  <c r="C45" i="21"/>
  <c r="C44" i="21"/>
  <c r="C43" i="21"/>
  <c r="C40" i="21"/>
  <c r="D40" i="21" s="1"/>
  <c r="E40" i="21" s="1"/>
  <c r="P38" i="21"/>
  <c r="C111" i="21" s="1"/>
  <c r="P111" i="21" s="1"/>
  <c r="C184" i="21"/>
  <c r="P184" i="21" s="1"/>
  <c r="P37" i="21"/>
  <c r="C110" i="21" s="1"/>
  <c r="P110" i="21" s="1"/>
  <c r="C183" i="21"/>
  <c r="P183" i="21" s="1"/>
  <c r="P36" i="21"/>
  <c r="C109" i="21"/>
  <c r="P109" i="21" s="1"/>
  <c r="C182" i="21" s="1"/>
  <c r="P182" i="21" s="1"/>
  <c r="P35" i="21"/>
  <c r="C108" i="21"/>
  <c r="P108" i="21" s="1"/>
  <c r="P34" i="21"/>
  <c r="C107" i="21" s="1"/>
  <c r="C31" i="21"/>
  <c r="C22" i="21"/>
  <c r="D11" i="21"/>
  <c r="E11" i="21" s="1"/>
  <c r="F11" i="21" s="1"/>
  <c r="G11" i="21"/>
  <c r="H11" i="21" s="1"/>
  <c r="I11" i="21" s="1"/>
  <c r="J11" i="21" s="1"/>
  <c r="K11" i="21" s="1"/>
  <c r="L11" i="21" s="1"/>
  <c r="M11" i="21" s="1"/>
  <c r="N11" i="21" s="1"/>
  <c r="O11" i="21" s="1"/>
  <c r="P11" i="21" s="1"/>
  <c r="Q11" i="21" s="1"/>
  <c r="P54" i="22"/>
  <c r="O54" i="22"/>
  <c r="N54" i="22"/>
  <c r="M54" i="22"/>
  <c r="M55" i="22" s="1"/>
  <c r="L54" i="22"/>
  <c r="L55" i="22" s="1"/>
  <c r="L59" i="22" s="1"/>
  <c r="K54" i="22"/>
  <c r="J54" i="22"/>
  <c r="I54" i="22"/>
  <c r="H54" i="22"/>
  <c r="G54" i="22"/>
  <c r="G55" i="22" s="1"/>
  <c r="F54" i="22"/>
  <c r="F55" i="22" s="1"/>
  <c r="P53" i="22"/>
  <c r="P55" i="22" s="1"/>
  <c r="O53" i="22"/>
  <c r="O55" i="22"/>
  <c r="N53" i="22"/>
  <c r="M53" i="22"/>
  <c r="L53" i="22"/>
  <c r="K53" i="22"/>
  <c r="Q53" i="22"/>
  <c r="J53" i="22"/>
  <c r="J55" i="22" s="1"/>
  <c r="J59" i="22" s="1"/>
  <c r="I53" i="22"/>
  <c r="I55" i="22" s="1"/>
  <c r="I59" i="22" s="1"/>
  <c r="H53" i="22"/>
  <c r="H55" i="22"/>
  <c r="G53" i="22"/>
  <c r="F53" i="22"/>
  <c r="P44" i="22"/>
  <c r="O44" i="22"/>
  <c r="N44" i="22"/>
  <c r="N45" i="22" s="1"/>
  <c r="N49" i="22" s="1"/>
  <c r="M44" i="22"/>
  <c r="L44" i="22"/>
  <c r="K44" i="22"/>
  <c r="K45" i="22" s="1"/>
  <c r="J44" i="22"/>
  <c r="I44" i="22"/>
  <c r="H44" i="22"/>
  <c r="H45" i="22"/>
  <c r="H49" i="22" s="1"/>
  <c r="G44" i="22"/>
  <c r="F44" i="22"/>
  <c r="P43" i="22"/>
  <c r="P45" i="22" s="1"/>
  <c r="O43" i="22"/>
  <c r="N43" i="22"/>
  <c r="M43" i="22"/>
  <c r="M45" i="22" s="1"/>
  <c r="L43" i="22"/>
  <c r="L45" i="22" s="1"/>
  <c r="K43" i="22"/>
  <c r="J43" i="22"/>
  <c r="I43" i="22"/>
  <c r="H43" i="22"/>
  <c r="G43" i="22"/>
  <c r="G45" i="22" s="1"/>
  <c r="F43" i="22"/>
  <c r="P34" i="22"/>
  <c r="O34" i="22"/>
  <c r="N34" i="22"/>
  <c r="M34" i="22"/>
  <c r="L34" i="22"/>
  <c r="K34" i="22"/>
  <c r="J34" i="22"/>
  <c r="I34" i="22"/>
  <c r="H34" i="22"/>
  <c r="H35" i="22" s="1"/>
  <c r="G34" i="22"/>
  <c r="G35" i="22" s="1"/>
  <c r="F34" i="22"/>
  <c r="P33" i="22"/>
  <c r="P35" i="22"/>
  <c r="O33" i="22"/>
  <c r="N33" i="22"/>
  <c r="N35" i="22" s="1"/>
  <c r="N39" i="22"/>
  <c r="M33" i="22"/>
  <c r="M35" i="22" s="1"/>
  <c r="L33" i="22"/>
  <c r="L35" i="22"/>
  <c r="K33" i="22"/>
  <c r="K35" i="22"/>
  <c r="K39" i="22" s="1"/>
  <c r="J33" i="22"/>
  <c r="J35" i="22"/>
  <c r="I33" i="22"/>
  <c r="H33" i="22"/>
  <c r="G33" i="22"/>
  <c r="F33" i="22"/>
  <c r="P24" i="22"/>
  <c r="O24" i="22"/>
  <c r="N24" i="22"/>
  <c r="M24" i="22"/>
  <c r="L24" i="22"/>
  <c r="K24" i="22"/>
  <c r="J24" i="22"/>
  <c r="I24" i="22"/>
  <c r="H24" i="22"/>
  <c r="G24" i="22"/>
  <c r="F24" i="22"/>
  <c r="P23" i="22"/>
  <c r="P25" i="22" s="1"/>
  <c r="O23" i="22"/>
  <c r="N23" i="22"/>
  <c r="M23" i="22"/>
  <c r="L23" i="22"/>
  <c r="L25" i="22" s="1"/>
  <c r="K23" i="22"/>
  <c r="J23" i="22"/>
  <c r="I23" i="22"/>
  <c r="Q23" i="22" s="1"/>
  <c r="I25" i="22"/>
  <c r="H23" i="22"/>
  <c r="H25" i="22"/>
  <c r="H29" i="22"/>
  <c r="G23" i="22"/>
  <c r="F23" i="22"/>
  <c r="F14" i="22"/>
  <c r="F13" i="22"/>
  <c r="E54" i="22"/>
  <c r="E53" i="22"/>
  <c r="E44" i="22"/>
  <c r="E43" i="22"/>
  <c r="E34" i="22"/>
  <c r="E33" i="22"/>
  <c r="E35" i="22" s="1"/>
  <c r="E24" i="22"/>
  <c r="E25" i="22" s="1"/>
  <c r="E23" i="22"/>
  <c r="P14" i="22"/>
  <c r="O14" i="22"/>
  <c r="N14" i="22"/>
  <c r="M14" i="22"/>
  <c r="L14" i="22"/>
  <c r="L15" i="22" s="1"/>
  <c r="L19" i="22" s="1"/>
  <c r="K14" i="22"/>
  <c r="K15" i="22" s="1"/>
  <c r="J14" i="22"/>
  <c r="I14" i="22"/>
  <c r="H14" i="22"/>
  <c r="G14" i="22"/>
  <c r="P13" i="22"/>
  <c r="P15" i="22"/>
  <c r="O13" i="22"/>
  <c r="O15" i="22"/>
  <c r="N13" i="22"/>
  <c r="N15" i="22" s="1"/>
  <c r="N19" i="22" s="1"/>
  <c r="M13" i="22"/>
  <c r="L13" i="22"/>
  <c r="K13" i="22"/>
  <c r="J13" i="22"/>
  <c r="I13" i="22"/>
  <c r="I15" i="22"/>
  <c r="H13" i="22"/>
  <c r="G13" i="22"/>
  <c r="E14" i="22"/>
  <c r="E13" i="22"/>
  <c r="D35" i="22"/>
  <c r="D25" i="22"/>
  <c r="D15" i="22"/>
  <c r="D55" i="22"/>
  <c r="C52" i="22"/>
  <c r="D45" i="22"/>
  <c r="C42" i="22"/>
  <c r="P49" i="22" s="1"/>
  <c r="C32" i="22"/>
  <c r="C22" i="22"/>
  <c r="J15" i="22"/>
  <c r="C12" i="22"/>
  <c r="E8" i="22"/>
  <c r="F8" i="22"/>
  <c r="G8" i="22" s="1"/>
  <c r="H8" i="22" s="1"/>
  <c r="I8" i="22" s="1"/>
  <c r="J8" i="22" s="1"/>
  <c r="K8" i="22" s="1"/>
  <c r="L8" i="22" s="1"/>
  <c r="M8" i="22" s="1"/>
  <c r="N8" i="22" s="1"/>
  <c r="O8" i="22" s="1"/>
  <c r="P8" i="22" s="1"/>
  <c r="Q8" i="22"/>
  <c r="O37" i="20"/>
  <c r="N37" i="20"/>
  <c r="M37" i="20"/>
  <c r="L37" i="20"/>
  <c r="K37" i="20"/>
  <c r="J37" i="20"/>
  <c r="I37" i="20"/>
  <c r="H37" i="20"/>
  <c r="G37" i="20"/>
  <c r="P37" i="20" s="1"/>
  <c r="F37" i="20"/>
  <c r="E37" i="20"/>
  <c r="D37" i="20"/>
  <c r="C37" i="20"/>
  <c r="O36" i="20"/>
  <c r="N36" i="20"/>
  <c r="M36" i="20"/>
  <c r="L36" i="20"/>
  <c r="L38" i="20" s="1"/>
  <c r="K36" i="20"/>
  <c r="J36" i="20"/>
  <c r="I36" i="20"/>
  <c r="H36" i="20"/>
  <c r="G36" i="20"/>
  <c r="F36" i="20"/>
  <c r="E36" i="20"/>
  <c r="D36" i="20"/>
  <c r="C36" i="20"/>
  <c r="O35" i="20"/>
  <c r="N35" i="20"/>
  <c r="M35" i="20"/>
  <c r="L35" i="20"/>
  <c r="K35" i="20"/>
  <c r="J35" i="20"/>
  <c r="J38" i="20" s="1"/>
  <c r="I35" i="20"/>
  <c r="I38" i="20" s="1"/>
  <c r="H35" i="20"/>
  <c r="G35" i="20"/>
  <c r="F35" i="20"/>
  <c r="E35" i="20"/>
  <c r="D35" i="20"/>
  <c r="C35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O33" i="20"/>
  <c r="N33" i="20"/>
  <c r="N38" i="20" s="1"/>
  <c r="M33" i="20"/>
  <c r="L33" i="20"/>
  <c r="K33" i="20"/>
  <c r="J33" i="20"/>
  <c r="I33" i="20"/>
  <c r="H33" i="20"/>
  <c r="G33" i="20"/>
  <c r="F33" i="20"/>
  <c r="E33" i="20"/>
  <c r="D33" i="20"/>
  <c r="C33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C30" i="20" s="1"/>
  <c r="P28" i="20"/>
  <c r="C98" i="20"/>
  <c r="P27" i="20"/>
  <c r="C97" i="20" s="1"/>
  <c r="P97" i="20" s="1"/>
  <c r="C170" i="20" s="1"/>
  <c r="P170" i="20" s="1"/>
  <c r="P26" i="20"/>
  <c r="P25" i="20"/>
  <c r="C95" i="20"/>
  <c r="P95" i="20" s="1"/>
  <c r="C168" i="20" s="1"/>
  <c r="P168" i="20" s="1"/>
  <c r="P24" i="20"/>
  <c r="C94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D21" i="20" s="1"/>
  <c r="C20" i="20"/>
  <c r="C21" i="20"/>
  <c r="P19" i="20"/>
  <c r="C89" i="20"/>
  <c r="P18" i="20"/>
  <c r="C88" i="20"/>
  <c r="P17" i="20"/>
  <c r="P21" i="20" s="1"/>
  <c r="P16" i="20"/>
  <c r="C86" i="20" s="1"/>
  <c r="P15" i="20"/>
  <c r="C85" i="20"/>
  <c r="D10" i="20"/>
  <c r="E10" i="20" s="1"/>
  <c r="F10" i="20"/>
  <c r="G10" i="20" s="1"/>
  <c r="H10" i="20" s="1"/>
  <c r="I10" i="20" s="1"/>
  <c r="J10" i="20" s="1"/>
  <c r="K10" i="20" s="1"/>
  <c r="L10" i="20"/>
  <c r="M10" i="20" s="1"/>
  <c r="N10" i="20"/>
  <c r="O10" i="20"/>
  <c r="P10" i="20" s="1"/>
  <c r="Q10" i="20" s="1"/>
  <c r="N90" i="20"/>
  <c r="O105" i="20"/>
  <c r="O103" i="20"/>
  <c r="M103" i="20"/>
  <c r="M86" i="22"/>
  <c r="D90" i="20"/>
  <c r="E90" i="20"/>
  <c r="F90" i="20"/>
  <c r="G90" i="20"/>
  <c r="H90" i="20"/>
  <c r="I90" i="20"/>
  <c r="J90" i="20"/>
  <c r="K90" i="20"/>
  <c r="D99" i="20"/>
  <c r="E99" i="20"/>
  <c r="F99" i="20"/>
  <c r="G99" i="20"/>
  <c r="H99" i="20"/>
  <c r="I99" i="20"/>
  <c r="J99" i="20"/>
  <c r="K99" i="20"/>
  <c r="D103" i="20"/>
  <c r="E103" i="20"/>
  <c r="F103" i="20"/>
  <c r="G103" i="20"/>
  <c r="H103" i="20"/>
  <c r="I103" i="20"/>
  <c r="J103" i="20"/>
  <c r="K103" i="20"/>
  <c r="E15" i="7"/>
  <c r="E19" i="7"/>
  <c r="E13" i="7"/>
  <c r="E21" i="7" s="1"/>
  <c r="O107" i="20"/>
  <c r="N107" i="20"/>
  <c r="M107" i="20"/>
  <c r="L107" i="20"/>
  <c r="K107" i="20"/>
  <c r="J107" i="20"/>
  <c r="I107" i="20"/>
  <c r="H107" i="20"/>
  <c r="G107" i="20"/>
  <c r="F107" i="20"/>
  <c r="E107" i="20"/>
  <c r="D107" i="20"/>
  <c r="O106" i="20"/>
  <c r="N106" i="20"/>
  <c r="M106" i="20"/>
  <c r="L106" i="20"/>
  <c r="K106" i="20"/>
  <c r="J106" i="20"/>
  <c r="I106" i="20"/>
  <c r="H106" i="20"/>
  <c r="G106" i="20"/>
  <c r="F106" i="20"/>
  <c r="E106" i="20"/>
  <c r="D106" i="20"/>
  <c r="D108" i="20" s="1"/>
  <c r="K105" i="20"/>
  <c r="J105" i="20"/>
  <c r="I105" i="20"/>
  <c r="H105" i="20"/>
  <c r="G105" i="20"/>
  <c r="F105" i="20"/>
  <c r="F108" i="20" s="1"/>
  <c r="E105" i="20"/>
  <c r="D105" i="20"/>
  <c r="O104" i="20"/>
  <c r="O108" i="20" s="1"/>
  <c r="N104" i="20"/>
  <c r="M104" i="20"/>
  <c r="L104" i="20"/>
  <c r="K104" i="20"/>
  <c r="K108" i="20" s="1"/>
  <c r="J104" i="20"/>
  <c r="J108" i="20" s="1"/>
  <c r="I104" i="20"/>
  <c r="I108" i="20" s="1"/>
  <c r="H104" i="20"/>
  <c r="G104" i="20"/>
  <c r="F104" i="20"/>
  <c r="E104" i="20"/>
  <c r="D104" i="20"/>
  <c r="O99" i="20"/>
  <c r="N99" i="20"/>
  <c r="M99" i="20"/>
  <c r="L99" i="20"/>
  <c r="D80" i="20"/>
  <c r="E80" i="20" s="1"/>
  <c r="F80" i="20" s="1"/>
  <c r="G80" i="20" s="1"/>
  <c r="H80" i="20" s="1"/>
  <c r="I80" i="20" s="1"/>
  <c r="J80" i="20" s="1"/>
  <c r="K80" i="20" s="1"/>
  <c r="L80" i="20" s="1"/>
  <c r="M80" i="20" s="1"/>
  <c r="N80" i="20" s="1"/>
  <c r="O80" i="20" s="1"/>
  <c r="P80" i="20" s="1"/>
  <c r="Q80" i="20" s="1"/>
  <c r="C153" i="20" s="1"/>
  <c r="D153" i="20" s="1"/>
  <c r="E153" i="20" s="1"/>
  <c r="F153" i="20" s="1"/>
  <c r="G153" i="20" s="1"/>
  <c r="H153" i="20" s="1"/>
  <c r="I153" i="20" s="1"/>
  <c r="J153" i="20" s="1"/>
  <c r="K153" i="20"/>
  <c r="L153" i="20" s="1"/>
  <c r="M153" i="20" s="1"/>
  <c r="N153" i="20" s="1"/>
  <c r="O153" i="20" s="1"/>
  <c r="P153" i="20" s="1"/>
  <c r="Q153" i="20" s="1"/>
  <c r="E17" i="7"/>
  <c r="AK2" i="9"/>
  <c r="AK2" i="10" s="1"/>
  <c r="Q148" i="22"/>
  <c r="Q148" i="21"/>
  <c r="H1" i="7"/>
  <c r="C1" i="8" s="1"/>
  <c r="K1" i="5" s="1"/>
  <c r="H1" i="6"/>
  <c r="I1" i="19" s="1"/>
  <c r="Q1" i="20" s="1"/>
  <c r="J11" i="10"/>
  <c r="K11" i="10" s="1"/>
  <c r="L11" i="10" s="1"/>
  <c r="M11" i="10" s="1"/>
  <c r="N11" i="10" s="1"/>
  <c r="O11" i="10" s="1"/>
  <c r="P11" i="10" s="1"/>
  <c r="Q11" i="10" s="1"/>
  <c r="R11" i="10" s="1"/>
  <c r="S11" i="10" s="1"/>
  <c r="T11" i="10" s="1"/>
  <c r="U11" i="10" s="1"/>
  <c r="V11" i="10" s="1"/>
  <c r="W11" i="10" s="1"/>
  <c r="X11" i="10" s="1"/>
  <c r="Y11" i="10" s="1"/>
  <c r="Z11" i="10" s="1"/>
  <c r="AA11" i="10" s="1"/>
  <c r="AB11" i="10" s="1"/>
  <c r="AC11" i="10" s="1"/>
  <c r="AD11" i="10" s="1"/>
  <c r="AE11" i="10" s="1"/>
  <c r="J11" i="9"/>
  <c r="K11" i="9" s="1"/>
  <c r="L11" i="9" s="1"/>
  <c r="M11" i="9" s="1"/>
  <c r="N11" i="9" s="1"/>
  <c r="O11" i="9" s="1"/>
  <c r="P11" i="9" s="1"/>
  <c r="Q11" i="9"/>
  <c r="R11" i="9"/>
  <c r="S11" i="9" s="1"/>
  <c r="T11" i="9" s="1"/>
  <c r="U11" i="9" s="1"/>
  <c r="V11" i="9" s="1"/>
  <c r="W11" i="9" s="1"/>
  <c r="X11" i="9" s="1"/>
  <c r="Y11" i="9" s="1"/>
  <c r="Z11" i="9" s="1"/>
  <c r="AA11" i="9" s="1"/>
  <c r="AB11" i="9" s="1"/>
  <c r="AC11" i="9" s="1"/>
  <c r="AD11" i="9" s="1"/>
  <c r="AE11" i="9" s="1"/>
  <c r="O107" i="22"/>
  <c r="L86" i="22"/>
  <c r="C21" i="7"/>
  <c r="E13" i="12"/>
  <c r="G23" i="5" s="1"/>
  <c r="E41" i="4"/>
  <c r="E42" i="4"/>
  <c r="A17" i="31"/>
  <c r="A23" i="5"/>
  <c r="A24" i="5" s="1"/>
  <c r="A26" i="5" s="1"/>
  <c r="A28" i="5" s="1"/>
  <c r="A30" i="5" s="1"/>
  <c r="B17" i="23"/>
  <c r="C9" i="23"/>
  <c r="D9" i="23"/>
  <c r="E9" i="23"/>
  <c r="F9" i="23" s="1"/>
  <c r="G9" i="23"/>
  <c r="H9" i="23"/>
  <c r="I9" i="23" s="1"/>
  <c r="J9" i="23" s="1"/>
  <c r="K9" i="23" s="1"/>
  <c r="L9" i="23" s="1"/>
  <c r="M9" i="23" s="1"/>
  <c r="N9" i="23" s="1"/>
  <c r="AK29" i="4"/>
  <c r="AK30" i="4"/>
  <c r="AK31" i="4"/>
  <c r="AK32" i="4"/>
  <c r="AK33" i="4"/>
  <c r="AK34" i="4"/>
  <c r="AK35" i="4"/>
  <c r="AK36" i="4"/>
  <c r="AK37" i="4"/>
  <c r="AK38" i="4"/>
  <c r="AK39" i="4"/>
  <c r="AK40" i="4"/>
  <c r="AK41" i="4"/>
  <c r="AK22" i="4"/>
  <c r="AK23" i="4"/>
  <c r="AK24" i="4"/>
  <c r="AK25" i="4"/>
  <c r="AK26" i="4"/>
  <c r="AK27" i="4"/>
  <c r="AK28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11" i="4"/>
  <c r="D54" i="10"/>
  <c r="E52" i="10"/>
  <c r="E53" i="10" s="1"/>
  <c r="E55" i="10" s="1"/>
  <c r="E16" i="10" s="1"/>
  <c r="F52" i="10"/>
  <c r="F53" i="10" s="1"/>
  <c r="F55" i="10"/>
  <c r="G52" i="10"/>
  <c r="G53" i="10" s="1"/>
  <c r="G55" i="10" s="1"/>
  <c r="H52" i="10"/>
  <c r="H53" i="10"/>
  <c r="H55" i="10"/>
  <c r="I52" i="10"/>
  <c r="I53" i="10"/>
  <c r="I55" i="10"/>
  <c r="D52" i="10"/>
  <c r="D53" i="10" s="1"/>
  <c r="D55" i="10" s="1"/>
  <c r="D16" i="10"/>
  <c r="D50" i="10"/>
  <c r="E54" i="9"/>
  <c r="E54" i="10"/>
  <c r="E51" i="9"/>
  <c r="F51" i="9" s="1"/>
  <c r="E50" i="9"/>
  <c r="F50" i="9"/>
  <c r="G50" i="9"/>
  <c r="G50" i="10"/>
  <c r="AH23" i="4"/>
  <c r="AH22" i="4"/>
  <c r="D9" i="9"/>
  <c r="D9" i="10" s="1"/>
  <c r="E10" i="4"/>
  <c r="E9" i="9"/>
  <c r="E9" i="10"/>
  <c r="F10" i="4"/>
  <c r="P200" i="22"/>
  <c r="P201" i="22" s="1"/>
  <c r="O200" i="22"/>
  <c r="O201" i="22" s="1"/>
  <c r="O205" i="22" s="1"/>
  <c r="N200" i="22"/>
  <c r="M200" i="22"/>
  <c r="L200" i="22"/>
  <c r="K200" i="22"/>
  <c r="K201" i="22"/>
  <c r="J200" i="22"/>
  <c r="I200" i="22"/>
  <c r="H200" i="22"/>
  <c r="G200" i="22"/>
  <c r="F200" i="22"/>
  <c r="P199" i="22"/>
  <c r="P205" i="22"/>
  <c r="O199" i="22"/>
  <c r="N199" i="22"/>
  <c r="M199" i="22"/>
  <c r="M201" i="22" s="1"/>
  <c r="L199" i="22"/>
  <c r="L201" i="22"/>
  <c r="K199" i="22"/>
  <c r="J199" i="22"/>
  <c r="I199" i="22"/>
  <c r="H199" i="22"/>
  <c r="G199" i="22"/>
  <c r="F199" i="22"/>
  <c r="F201" i="22"/>
  <c r="P190" i="22"/>
  <c r="P191" i="22" s="1"/>
  <c r="O190" i="22"/>
  <c r="N190" i="22"/>
  <c r="M190" i="22"/>
  <c r="M191" i="22" s="1"/>
  <c r="M195" i="22" s="1"/>
  <c r="L190" i="22"/>
  <c r="K190" i="22"/>
  <c r="K191" i="22" s="1"/>
  <c r="K195" i="22" s="1"/>
  <c r="J190" i="22"/>
  <c r="I190" i="22"/>
  <c r="H190" i="22"/>
  <c r="G190" i="22"/>
  <c r="F190" i="22"/>
  <c r="P189" i="22"/>
  <c r="P195" i="22"/>
  <c r="O189" i="22"/>
  <c r="O191" i="22" s="1"/>
  <c r="O195" i="22" s="1"/>
  <c r="N189" i="22"/>
  <c r="M189" i="22"/>
  <c r="L189" i="22"/>
  <c r="L191" i="22"/>
  <c r="L195" i="22" s="1"/>
  <c r="K189" i="22"/>
  <c r="J189" i="22"/>
  <c r="I189" i="22"/>
  <c r="I191" i="22"/>
  <c r="I195" i="22"/>
  <c r="H189" i="22"/>
  <c r="G189" i="22"/>
  <c r="G191" i="22" s="1"/>
  <c r="F189" i="22"/>
  <c r="F191" i="22" s="1"/>
  <c r="F195" i="22" s="1"/>
  <c r="P180" i="22"/>
  <c r="P181" i="22" s="1"/>
  <c r="P185" i="22" s="1"/>
  <c r="O180" i="22"/>
  <c r="N180" i="22"/>
  <c r="M180" i="22"/>
  <c r="M181" i="22" s="1"/>
  <c r="L180" i="22"/>
  <c r="L181" i="22" s="1"/>
  <c r="L185" i="22" s="1"/>
  <c r="K180" i="22"/>
  <c r="J180" i="22"/>
  <c r="I180" i="22"/>
  <c r="H180" i="22"/>
  <c r="G180" i="22"/>
  <c r="G181" i="22" s="1"/>
  <c r="G185" i="22" s="1"/>
  <c r="F180" i="22"/>
  <c r="F181" i="22" s="1"/>
  <c r="F185" i="22" s="1"/>
  <c r="P179" i="22"/>
  <c r="O179" i="22"/>
  <c r="O181" i="22" s="1"/>
  <c r="O185" i="22" s="1"/>
  <c r="N179" i="22"/>
  <c r="M179" i="22"/>
  <c r="L179" i="22"/>
  <c r="K179" i="22"/>
  <c r="J179" i="22"/>
  <c r="I179" i="22"/>
  <c r="I181" i="22"/>
  <c r="I185" i="22" s="1"/>
  <c r="H179" i="22"/>
  <c r="G179" i="22"/>
  <c r="F179" i="22"/>
  <c r="P170" i="22"/>
  <c r="P171" i="22"/>
  <c r="O170" i="22"/>
  <c r="O171" i="22"/>
  <c r="O175" i="22" s="1"/>
  <c r="N170" i="22"/>
  <c r="M170" i="22"/>
  <c r="L170" i="22"/>
  <c r="K170" i="22"/>
  <c r="J170" i="22"/>
  <c r="I170" i="22"/>
  <c r="H170" i="22"/>
  <c r="G170" i="22"/>
  <c r="G171" i="22"/>
  <c r="G175" i="22" s="1"/>
  <c r="F170" i="22"/>
  <c r="P169" i="22"/>
  <c r="O169" i="22"/>
  <c r="N169" i="22"/>
  <c r="N171" i="22" s="1"/>
  <c r="N175" i="22" s="1"/>
  <c r="M169" i="22"/>
  <c r="M171" i="22" s="1"/>
  <c r="L169" i="22"/>
  <c r="K169" i="22"/>
  <c r="J169" i="22"/>
  <c r="J171" i="22"/>
  <c r="I169" i="22"/>
  <c r="H169" i="22"/>
  <c r="G169" i="22"/>
  <c r="F169" i="22"/>
  <c r="F171" i="22"/>
  <c r="F175" i="22"/>
  <c r="P160" i="22"/>
  <c r="O160" i="22"/>
  <c r="N160" i="22"/>
  <c r="M160" i="22"/>
  <c r="M161" i="22" s="1"/>
  <c r="M165" i="22" s="1"/>
  <c r="L160" i="22"/>
  <c r="K160" i="22"/>
  <c r="J160" i="22"/>
  <c r="I160" i="22"/>
  <c r="H160" i="22"/>
  <c r="H165" i="22"/>
  <c r="G160" i="22"/>
  <c r="G161" i="22" s="1"/>
  <c r="G165" i="22" s="1"/>
  <c r="F160" i="22"/>
  <c r="P159" i="22"/>
  <c r="O159" i="22"/>
  <c r="N159" i="22"/>
  <c r="N161" i="22" s="1"/>
  <c r="N165" i="22" s="1"/>
  <c r="M159" i="22"/>
  <c r="L159" i="22"/>
  <c r="L161" i="22"/>
  <c r="L165" i="22"/>
  <c r="K159" i="22"/>
  <c r="J159" i="22"/>
  <c r="I159" i="22"/>
  <c r="H159" i="22"/>
  <c r="H161" i="22" s="1"/>
  <c r="G159" i="22"/>
  <c r="F159" i="22"/>
  <c r="F161" i="22" s="1"/>
  <c r="F165" i="22" s="1"/>
  <c r="E200" i="22"/>
  <c r="E199" i="22"/>
  <c r="E190" i="22"/>
  <c r="E189" i="22"/>
  <c r="E180" i="22"/>
  <c r="E179" i="22"/>
  <c r="E181" i="22"/>
  <c r="E185" i="22" s="1"/>
  <c r="E170" i="22"/>
  <c r="E169" i="22"/>
  <c r="E171" i="22" s="1"/>
  <c r="E175" i="22" s="1"/>
  <c r="E160" i="22"/>
  <c r="E159" i="22"/>
  <c r="F127" i="22"/>
  <c r="F128" i="22" s="1"/>
  <c r="G127" i="22"/>
  <c r="H127" i="22"/>
  <c r="H128" i="22"/>
  <c r="I127" i="22"/>
  <c r="J127" i="22"/>
  <c r="K127" i="22"/>
  <c r="K128" i="22" s="1"/>
  <c r="L127" i="22"/>
  <c r="M127" i="22"/>
  <c r="N127" i="22"/>
  <c r="O127" i="22"/>
  <c r="P127" i="22"/>
  <c r="F126" i="22"/>
  <c r="G126" i="22"/>
  <c r="G128" i="22" s="1"/>
  <c r="H126" i="22"/>
  <c r="I126" i="22"/>
  <c r="J126" i="22"/>
  <c r="J128" i="22" s="1"/>
  <c r="K126" i="22"/>
  <c r="L126" i="22"/>
  <c r="M126" i="22"/>
  <c r="M128" i="22" s="1"/>
  <c r="N126" i="22"/>
  <c r="N128" i="22"/>
  <c r="O126" i="22"/>
  <c r="P126" i="22"/>
  <c r="F117" i="22"/>
  <c r="G117" i="22"/>
  <c r="H117" i="22"/>
  <c r="I117" i="22"/>
  <c r="J117" i="22"/>
  <c r="K117" i="22"/>
  <c r="K118" i="22" s="1"/>
  <c r="L117" i="22"/>
  <c r="M117" i="22"/>
  <c r="N117" i="22"/>
  <c r="O117" i="22"/>
  <c r="O118" i="22" s="1"/>
  <c r="P117" i="22"/>
  <c r="F116" i="22"/>
  <c r="F118" i="22"/>
  <c r="G116" i="22"/>
  <c r="H116" i="22"/>
  <c r="I116" i="22"/>
  <c r="I118" i="22"/>
  <c r="J116" i="22"/>
  <c r="K116" i="22"/>
  <c r="L116" i="22"/>
  <c r="M116" i="22"/>
  <c r="N116" i="22"/>
  <c r="O116" i="22"/>
  <c r="P116" i="22"/>
  <c r="P107" i="22"/>
  <c r="P108" i="22" s="1"/>
  <c r="P112" i="22" s="1"/>
  <c r="M107" i="22"/>
  <c r="L107" i="22"/>
  <c r="K107" i="22"/>
  <c r="K108" i="22" s="1"/>
  <c r="J107" i="22"/>
  <c r="I107" i="22"/>
  <c r="I108" i="22"/>
  <c r="H107" i="22"/>
  <c r="G107" i="22"/>
  <c r="F107" i="22"/>
  <c r="F108" i="22" s="1"/>
  <c r="L106" i="22"/>
  <c r="L108" i="22" s="1"/>
  <c r="K106" i="22"/>
  <c r="J106" i="22"/>
  <c r="J108" i="22" s="1"/>
  <c r="I106" i="22"/>
  <c r="H106" i="22"/>
  <c r="G106" i="22"/>
  <c r="G108" i="22" s="1"/>
  <c r="F106" i="22"/>
  <c r="E127" i="22"/>
  <c r="E126" i="22"/>
  <c r="E117" i="22"/>
  <c r="E116" i="22"/>
  <c r="E118" i="22" s="1"/>
  <c r="E107" i="22"/>
  <c r="E106" i="22"/>
  <c r="C125" i="22"/>
  <c r="C115" i="22"/>
  <c r="C105" i="22"/>
  <c r="I112" i="22" s="1"/>
  <c r="C95" i="22"/>
  <c r="D128" i="22"/>
  <c r="D118" i="22"/>
  <c r="D108" i="22"/>
  <c r="F97" i="22"/>
  <c r="G97" i="22"/>
  <c r="H97" i="22"/>
  <c r="I97" i="22"/>
  <c r="I98" i="22" s="1"/>
  <c r="I102" i="22" s="1"/>
  <c r="J97" i="22"/>
  <c r="K97" i="22"/>
  <c r="L97" i="22"/>
  <c r="M97" i="22"/>
  <c r="N97" i="22"/>
  <c r="O97" i="22"/>
  <c r="P97" i="22"/>
  <c r="P98" i="22" s="1"/>
  <c r="P102" i="22" s="1"/>
  <c r="E97" i="22"/>
  <c r="F96" i="22"/>
  <c r="G96" i="22"/>
  <c r="H96" i="22"/>
  <c r="I96" i="22"/>
  <c r="J96" i="22"/>
  <c r="K96" i="22"/>
  <c r="L96" i="22"/>
  <c r="L98" i="22"/>
  <c r="M96" i="22"/>
  <c r="M98" i="22" s="1"/>
  <c r="M102" i="22" s="1"/>
  <c r="N96" i="22"/>
  <c r="N98" i="22"/>
  <c r="N102" i="22"/>
  <c r="O96" i="22"/>
  <c r="O98" i="22"/>
  <c r="O102" i="22" s="1"/>
  <c r="P96" i="22"/>
  <c r="E96" i="22"/>
  <c r="E98" i="22" s="1"/>
  <c r="D98" i="22"/>
  <c r="E87" i="22"/>
  <c r="F87" i="22"/>
  <c r="G87" i="22"/>
  <c r="H87" i="22"/>
  <c r="I87" i="22"/>
  <c r="J87" i="22"/>
  <c r="K87" i="22"/>
  <c r="L87" i="22"/>
  <c r="L88" i="22" s="1"/>
  <c r="M87" i="22"/>
  <c r="O87" i="22"/>
  <c r="P87" i="22"/>
  <c r="F86" i="22"/>
  <c r="G86" i="22"/>
  <c r="H86" i="22"/>
  <c r="H88" i="22"/>
  <c r="I86" i="22"/>
  <c r="J86" i="22"/>
  <c r="J88" i="22" s="1"/>
  <c r="K86" i="22"/>
  <c r="E86" i="22"/>
  <c r="E88" i="22" s="1"/>
  <c r="D88" i="22"/>
  <c r="C85" i="22"/>
  <c r="E81" i="22"/>
  <c r="F81" i="22" s="1"/>
  <c r="G81" i="22" s="1"/>
  <c r="H81" i="22" s="1"/>
  <c r="I81" i="22" s="1"/>
  <c r="J81" i="22" s="1"/>
  <c r="K81" i="22" s="1"/>
  <c r="L81" i="22" s="1"/>
  <c r="M81" i="22" s="1"/>
  <c r="N81" i="22" s="1"/>
  <c r="O81" i="22" s="1"/>
  <c r="P81" i="22" s="1"/>
  <c r="Q81" i="22" s="1"/>
  <c r="D154" i="22" s="1"/>
  <c r="E154" i="22" s="1"/>
  <c r="F154" i="22" s="1"/>
  <c r="G154" i="22" s="1"/>
  <c r="H154" i="22" s="1"/>
  <c r="I154" i="22" s="1"/>
  <c r="J154" i="22" s="1"/>
  <c r="K154" i="22" s="1"/>
  <c r="L154" i="22" s="1"/>
  <c r="M154" i="22" s="1"/>
  <c r="N154" i="22" s="1"/>
  <c r="O154" i="22" s="1"/>
  <c r="P154" i="22" s="1"/>
  <c r="Q154" i="22" s="1"/>
  <c r="O175" i="21"/>
  <c r="N175" i="21"/>
  <c r="M175" i="21"/>
  <c r="L175" i="21"/>
  <c r="K175" i="21"/>
  <c r="J175" i="21"/>
  <c r="I175" i="21"/>
  <c r="H175" i="21"/>
  <c r="G175" i="21"/>
  <c r="F175" i="21"/>
  <c r="E175" i="21"/>
  <c r="D175" i="21"/>
  <c r="O174" i="21"/>
  <c r="N174" i="21"/>
  <c r="M174" i="21"/>
  <c r="L174" i="21"/>
  <c r="K174" i="21"/>
  <c r="J174" i="21"/>
  <c r="I174" i="21"/>
  <c r="H174" i="21"/>
  <c r="G174" i="21"/>
  <c r="F174" i="21"/>
  <c r="E174" i="21"/>
  <c r="D174" i="21"/>
  <c r="O173" i="21"/>
  <c r="N173" i="21"/>
  <c r="M173" i="21"/>
  <c r="L173" i="21"/>
  <c r="K173" i="21"/>
  <c r="J173" i="21"/>
  <c r="I173" i="21"/>
  <c r="H173" i="21"/>
  <c r="G173" i="21"/>
  <c r="F173" i="21"/>
  <c r="E173" i="21"/>
  <c r="D173" i="21"/>
  <c r="O172" i="21"/>
  <c r="N172" i="21"/>
  <c r="M172" i="21"/>
  <c r="L172" i="21"/>
  <c r="K172" i="21"/>
  <c r="K176" i="21" s="1"/>
  <c r="J172" i="21"/>
  <c r="I172" i="21"/>
  <c r="H172" i="21"/>
  <c r="G172" i="21"/>
  <c r="F172" i="21"/>
  <c r="E172" i="21"/>
  <c r="D172" i="21"/>
  <c r="O171" i="21"/>
  <c r="N171" i="21"/>
  <c r="N176" i="21" s="1"/>
  <c r="M171" i="21"/>
  <c r="L171" i="21"/>
  <c r="L176" i="21" s="1"/>
  <c r="K171" i="21"/>
  <c r="J171" i="21"/>
  <c r="J176" i="21"/>
  <c r="I171" i="21"/>
  <c r="H171" i="21"/>
  <c r="G171" i="21"/>
  <c r="F171" i="21"/>
  <c r="E171" i="21"/>
  <c r="E176" i="21" s="1"/>
  <c r="D171" i="21"/>
  <c r="O112" i="21"/>
  <c r="N112" i="21"/>
  <c r="M112" i="21"/>
  <c r="L112" i="21"/>
  <c r="K112" i="21"/>
  <c r="J112" i="21"/>
  <c r="I112" i="21"/>
  <c r="H112" i="21"/>
  <c r="G112" i="21"/>
  <c r="F112" i="21"/>
  <c r="E112" i="21"/>
  <c r="D84" i="21"/>
  <c r="E84" i="21" s="1"/>
  <c r="F84" i="21" s="1"/>
  <c r="G84" i="21" s="1"/>
  <c r="H84" i="21" s="1"/>
  <c r="I84" i="21" s="1"/>
  <c r="J84" i="21" s="1"/>
  <c r="K84" i="21" s="1"/>
  <c r="L84" i="21" s="1"/>
  <c r="M84" i="21"/>
  <c r="N84" i="21" s="1"/>
  <c r="O84" i="21" s="1"/>
  <c r="P84" i="21" s="1"/>
  <c r="O172" i="20"/>
  <c r="N172" i="20"/>
  <c r="M172" i="20"/>
  <c r="L172" i="20"/>
  <c r="K172" i="20"/>
  <c r="J172" i="20"/>
  <c r="I172" i="20"/>
  <c r="H172" i="20"/>
  <c r="G172" i="20"/>
  <c r="F172" i="20"/>
  <c r="E172" i="20"/>
  <c r="D172" i="20"/>
  <c r="O163" i="20"/>
  <c r="N163" i="20"/>
  <c r="M163" i="20"/>
  <c r="L163" i="20"/>
  <c r="K163" i="20"/>
  <c r="J163" i="20"/>
  <c r="I163" i="20"/>
  <c r="H163" i="20"/>
  <c r="G163" i="20"/>
  <c r="F163" i="20"/>
  <c r="E163" i="20"/>
  <c r="D163" i="20"/>
  <c r="D98" i="21"/>
  <c r="D99" i="21"/>
  <c r="D103" i="21" s="1"/>
  <c r="D100" i="21"/>
  <c r="D101" i="21"/>
  <c r="D102" i="21"/>
  <c r="O102" i="21"/>
  <c r="N102" i="21"/>
  <c r="M102" i="21"/>
  <c r="L102" i="21"/>
  <c r="K102" i="21"/>
  <c r="J102" i="21"/>
  <c r="I102" i="21"/>
  <c r="H102" i="21"/>
  <c r="G102" i="21"/>
  <c r="F102" i="21"/>
  <c r="E102" i="21"/>
  <c r="O101" i="21"/>
  <c r="N101" i="21"/>
  <c r="M101" i="21"/>
  <c r="L101" i="21"/>
  <c r="K101" i="21"/>
  <c r="J101" i="21"/>
  <c r="I101" i="21"/>
  <c r="H101" i="21"/>
  <c r="G101" i="21"/>
  <c r="F101" i="21"/>
  <c r="E101" i="21"/>
  <c r="E103" i="21"/>
  <c r="O100" i="21"/>
  <c r="N100" i="21"/>
  <c r="L100" i="21"/>
  <c r="K100" i="21"/>
  <c r="J100" i="21"/>
  <c r="I100" i="21"/>
  <c r="H100" i="21"/>
  <c r="G100" i="21"/>
  <c r="F100" i="21"/>
  <c r="E100" i="21"/>
  <c r="O99" i="21"/>
  <c r="N99" i="21"/>
  <c r="M99" i="21"/>
  <c r="L99" i="21"/>
  <c r="K99" i="21"/>
  <c r="J99" i="21"/>
  <c r="I99" i="21"/>
  <c r="H99" i="21"/>
  <c r="G99" i="21"/>
  <c r="F99" i="21"/>
  <c r="E99" i="21"/>
  <c r="E98" i="21"/>
  <c r="F98" i="21"/>
  <c r="G98" i="21"/>
  <c r="H98" i="21"/>
  <c r="I98" i="21"/>
  <c r="J98" i="21"/>
  <c r="K98" i="21"/>
  <c r="L98" i="21"/>
  <c r="L103" i="21" s="1"/>
  <c r="N98" i="21"/>
  <c r="O98" i="21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I42" i="4"/>
  <c r="K8" i="10"/>
  <c r="L8" i="10" s="1"/>
  <c r="M8" i="10" s="1"/>
  <c r="N8" i="10" s="1"/>
  <c r="O8" i="10" s="1"/>
  <c r="P8" i="10" s="1"/>
  <c r="Q8" i="10" s="1"/>
  <c r="R8" i="10" s="1"/>
  <c r="S8" i="10" s="1"/>
  <c r="T8" i="10" s="1"/>
  <c r="U8" i="10" s="1"/>
  <c r="V8" i="10" s="1"/>
  <c r="W8" i="10"/>
  <c r="X8" i="10"/>
  <c r="Y8" i="10" s="1"/>
  <c r="Z8" i="10"/>
  <c r="AA8" i="10" s="1"/>
  <c r="AB8" i="10" s="1"/>
  <c r="AC8" i="10" s="1"/>
  <c r="AD8" i="10" s="1"/>
  <c r="AE8" i="10" s="1"/>
  <c r="J14" i="10"/>
  <c r="K14" i="10"/>
  <c r="L14" i="10"/>
  <c r="M14" i="10"/>
  <c r="N14" i="10"/>
  <c r="O14" i="10"/>
  <c r="O15" i="4"/>
  <c r="P14" i="10"/>
  <c r="Q14" i="10"/>
  <c r="R14" i="10"/>
  <c r="S14" i="10"/>
  <c r="T14" i="10"/>
  <c r="U14" i="10"/>
  <c r="V14" i="10"/>
  <c r="W14" i="10"/>
  <c r="X14" i="10"/>
  <c r="Y14" i="10"/>
  <c r="Y15" i="4" s="1"/>
  <c r="Z14" i="10"/>
  <c r="AA14" i="10"/>
  <c r="AB14" i="10"/>
  <c r="AC14" i="10"/>
  <c r="AD14" i="10"/>
  <c r="AD15" i="4" s="1"/>
  <c r="AE14" i="10"/>
  <c r="AE15" i="4" s="1"/>
  <c r="A16" i="10"/>
  <c r="A18" i="10"/>
  <c r="A19" i="10" s="1"/>
  <c r="A20" i="10" s="1"/>
  <c r="A21" i="10" s="1"/>
  <c r="A22" i="10" s="1"/>
  <c r="A23" i="10" s="1"/>
  <c r="A24" i="10"/>
  <c r="A25" i="10" s="1"/>
  <c r="A26" i="10"/>
  <c r="A27" i="10" s="1"/>
  <c r="A28" i="10" s="1"/>
  <c r="A29" i="10" s="1"/>
  <c r="A30" i="10" s="1"/>
  <c r="A31" i="10"/>
  <c r="A32" i="10" s="1"/>
  <c r="A33" i="10" s="1"/>
  <c r="A34" i="10"/>
  <c r="A35" i="10" s="1"/>
  <c r="A36" i="10" s="1"/>
  <c r="A37" i="10" s="1"/>
  <c r="A38" i="10" s="1"/>
  <c r="A39" i="10" s="1"/>
  <c r="A40" i="10"/>
  <c r="A41" i="10" s="1"/>
  <c r="A42" i="10"/>
  <c r="A43" i="10" s="1"/>
  <c r="C19" i="10"/>
  <c r="C20" i="10" s="1"/>
  <c r="C21" i="10" s="1"/>
  <c r="C22" i="10" s="1"/>
  <c r="C23" i="10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/>
  <c r="C35" i="10" s="1"/>
  <c r="C36" i="10" s="1"/>
  <c r="C37" i="10" s="1"/>
  <c r="C38" i="10" s="1"/>
  <c r="C39" i="10" s="1"/>
  <c r="C40" i="10" s="1"/>
  <c r="C41" i="10" s="1"/>
  <c r="J43" i="10"/>
  <c r="K43" i="10"/>
  <c r="L43" i="10"/>
  <c r="M43" i="10"/>
  <c r="N43" i="10"/>
  <c r="O43" i="10"/>
  <c r="P43" i="10"/>
  <c r="Q43" i="10"/>
  <c r="R43" i="10"/>
  <c r="S43" i="10"/>
  <c r="T43" i="10"/>
  <c r="U43" i="10"/>
  <c r="V43" i="10"/>
  <c r="W43" i="10"/>
  <c r="X43" i="10"/>
  <c r="Y43" i="10"/>
  <c r="Z43" i="10"/>
  <c r="AA43" i="10"/>
  <c r="AB43" i="10"/>
  <c r="AC43" i="10"/>
  <c r="AD43" i="10"/>
  <c r="AE43" i="10"/>
  <c r="J53" i="10"/>
  <c r="K53" i="10"/>
  <c r="L53" i="10"/>
  <c r="M53" i="10"/>
  <c r="N53" i="10"/>
  <c r="O53" i="10"/>
  <c r="P53" i="10"/>
  <c r="Q53" i="10"/>
  <c r="R53" i="10"/>
  <c r="S53" i="10"/>
  <c r="T53" i="10"/>
  <c r="U53" i="10"/>
  <c r="V53" i="10"/>
  <c r="W53" i="10"/>
  <c r="X53" i="10"/>
  <c r="Y53" i="10"/>
  <c r="Z53" i="10"/>
  <c r="AA53" i="10"/>
  <c r="AB53" i="10"/>
  <c r="AC53" i="10"/>
  <c r="AD53" i="10"/>
  <c r="AE53" i="10"/>
  <c r="J8" i="9"/>
  <c r="K8" i="9" s="1"/>
  <c r="L8" i="9" s="1"/>
  <c r="M8" i="9"/>
  <c r="N8" i="9" s="1"/>
  <c r="O8" i="9" s="1"/>
  <c r="P8" i="9" s="1"/>
  <c r="Q8" i="9" s="1"/>
  <c r="R8" i="9"/>
  <c r="S8" i="9" s="1"/>
  <c r="T8" i="9" s="1"/>
  <c r="U8" i="9" s="1"/>
  <c r="V8" i="9" s="1"/>
  <c r="W8" i="9" s="1"/>
  <c r="X8" i="9" s="1"/>
  <c r="Y8" i="9" s="1"/>
  <c r="Z8" i="9" s="1"/>
  <c r="AA8" i="9" s="1"/>
  <c r="AB8" i="9" s="1"/>
  <c r="AC8" i="9" s="1"/>
  <c r="AD8" i="9" s="1"/>
  <c r="AE8" i="9" s="1"/>
  <c r="J14" i="9"/>
  <c r="K14" i="9"/>
  <c r="K15" i="4" s="1"/>
  <c r="L14" i="9"/>
  <c r="M14" i="9"/>
  <c r="N14" i="9"/>
  <c r="N15" i="4"/>
  <c r="O14" i="9"/>
  <c r="P14" i="9"/>
  <c r="P15" i="4"/>
  <c r="Q14" i="9"/>
  <c r="Q15" i="4" s="1"/>
  <c r="R14" i="9"/>
  <c r="S14" i="9"/>
  <c r="S15" i="4"/>
  <c r="T14" i="9"/>
  <c r="T15" i="4"/>
  <c r="U14" i="9"/>
  <c r="U15" i="4" s="1"/>
  <c r="V14" i="9"/>
  <c r="W14" i="9"/>
  <c r="X14" i="9"/>
  <c r="X15" i="4" s="1"/>
  <c r="Y14" i="9"/>
  <c r="Z14" i="9"/>
  <c r="Z15" i="4"/>
  <c r="AA14" i="9"/>
  <c r="AA15" i="4" s="1"/>
  <c r="AB14" i="9"/>
  <c r="AC14" i="9"/>
  <c r="AC15" i="4"/>
  <c r="AD14" i="9"/>
  <c r="AE14" i="9"/>
  <c r="A16" i="9"/>
  <c r="A18" i="9" s="1"/>
  <c r="A19" i="9" s="1"/>
  <c r="A20" i="9"/>
  <c r="A21" i="9" s="1"/>
  <c r="A22" i="9" s="1"/>
  <c r="A23" i="9" s="1"/>
  <c r="A24" i="9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C19" i="9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/>
  <c r="C37" i="9" s="1"/>
  <c r="C38" i="9" s="1"/>
  <c r="C39" i="9" s="1"/>
  <c r="C40" i="9" s="1"/>
  <c r="C41" i="9" s="1"/>
  <c r="D53" i="9"/>
  <c r="D55" i="9"/>
  <c r="D16" i="9" s="1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K9" i="4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W9" i="4"/>
  <c r="X9" i="4" s="1"/>
  <c r="Y9" i="4" s="1"/>
  <c r="Z9" i="4" s="1"/>
  <c r="AA9" i="4" s="1"/>
  <c r="AB9" i="4" s="1"/>
  <c r="AC9" i="4" s="1"/>
  <c r="AD9" i="4" s="1"/>
  <c r="AE9" i="4" s="1"/>
  <c r="A17" i="4"/>
  <c r="A19" i="4" s="1"/>
  <c r="A20" i="4" s="1"/>
  <c r="A21" i="4" s="1"/>
  <c r="A22" i="4" s="1"/>
  <c r="A23" i="4" s="1"/>
  <c r="A24" i="4" s="1"/>
  <c r="A25" i="4" s="1"/>
  <c r="A26" i="4" s="1"/>
  <c r="A27" i="4"/>
  <c r="A28" i="4" s="1"/>
  <c r="A29" i="4" s="1"/>
  <c r="A30" i="4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C20" i="4"/>
  <c r="C21" i="4"/>
  <c r="C22" i="4" s="1"/>
  <c r="C23" i="4"/>
  <c r="C24" i="4" s="1"/>
  <c r="C25" i="4" s="1"/>
  <c r="C26" i="4" s="1"/>
  <c r="C27" i="4" s="1"/>
  <c r="C28" i="4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A17" i="6"/>
  <c r="A18" i="6"/>
  <c r="A20" i="6" s="1"/>
  <c r="C20" i="6"/>
  <c r="A13" i="5"/>
  <c r="A15" i="7"/>
  <c r="A17" i="7" s="1"/>
  <c r="A19" i="7" s="1"/>
  <c r="A21" i="7" s="1"/>
  <c r="I15" i="4"/>
  <c r="E50" i="10"/>
  <c r="H15" i="4"/>
  <c r="AG22" i="4"/>
  <c r="AG23" i="4"/>
  <c r="G15" i="4"/>
  <c r="AI29" i="4"/>
  <c r="AI25" i="4"/>
  <c r="AI22" i="4"/>
  <c r="AI28" i="4"/>
  <c r="AI23" i="4"/>
  <c r="AI24" i="4"/>
  <c r="AI27" i="4"/>
  <c r="AI26" i="4"/>
  <c r="AI31" i="4"/>
  <c r="AI30" i="4"/>
  <c r="AI32" i="4"/>
  <c r="AI33" i="4"/>
  <c r="AI34" i="4"/>
  <c r="AI35" i="4"/>
  <c r="AI36" i="4"/>
  <c r="AI37" i="4"/>
  <c r="AI38" i="4"/>
  <c r="AI39" i="4"/>
  <c r="AI40" i="4"/>
  <c r="AH41" i="9"/>
  <c r="AJ41" i="9"/>
  <c r="AI41" i="4"/>
  <c r="N107" i="22"/>
  <c r="N108" i="22"/>
  <c r="N112" i="22" s="1"/>
  <c r="M100" i="21"/>
  <c r="J12" i="4"/>
  <c r="K12" i="4" s="1"/>
  <c r="L12" i="4" s="1"/>
  <c r="M12" i="4" s="1"/>
  <c r="N12" i="4" s="1"/>
  <c r="O12" i="4" s="1"/>
  <c r="P12" i="4" s="1"/>
  <c r="Q12" i="4" s="1"/>
  <c r="R12" i="4" s="1"/>
  <c r="S12" i="4" s="1"/>
  <c r="T12" i="4" s="1"/>
  <c r="U12" i="4" s="1"/>
  <c r="V12" i="4" s="1"/>
  <c r="W12" i="4"/>
  <c r="X12" i="4" s="1"/>
  <c r="Y12" i="4" s="1"/>
  <c r="Z12" i="4" s="1"/>
  <c r="AA12" i="4" s="1"/>
  <c r="AB12" i="4" s="1"/>
  <c r="AC12" i="4" s="1"/>
  <c r="AD12" i="4" s="1"/>
  <c r="AE12" i="4" s="1"/>
  <c r="M98" i="21"/>
  <c r="M103" i="21" s="1"/>
  <c r="N87" i="22"/>
  <c r="N88" i="22" s="1"/>
  <c r="N92" i="22" s="1"/>
  <c r="C21" i="8"/>
  <c r="P106" i="22"/>
  <c r="O106" i="22"/>
  <c r="O108" i="22" s="1"/>
  <c r="O112" i="22" s="1"/>
  <c r="N105" i="20"/>
  <c r="M106" i="22"/>
  <c r="M108" i="22"/>
  <c r="M112" i="22" s="1"/>
  <c r="L105" i="20"/>
  <c r="N86" i="22"/>
  <c r="L103" i="20"/>
  <c r="L90" i="20"/>
  <c r="O90" i="20"/>
  <c r="P86" i="22"/>
  <c r="P88" i="22"/>
  <c r="P92" i="22" s="1"/>
  <c r="N103" i="20"/>
  <c r="N108" i="20"/>
  <c r="O86" i="22"/>
  <c r="M105" i="20"/>
  <c r="M90" i="20"/>
  <c r="N106" i="22"/>
  <c r="D112" i="21"/>
  <c r="R15" i="4"/>
  <c r="J15" i="4"/>
  <c r="L15" i="4"/>
  <c r="AB15" i="4"/>
  <c r="K122" i="22"/>
  <c r="I128" i="22"/>
  <c r="P161" i="22"/>
  <c r="P165" i="22"/>
  <c r="C103" i="20"/>
  <c r="P85" i="20"/>
  <c r="C158" i="20"/>
  <c r="P94" i="20"/>
  <c r="C167" i="20"/>
  <c r="P167" i="20" s="1"/>
  <c r="P89" i="20"/>
  <c r="C162" i="20"/>
  <c r="P162" i="20"/>
  <c r="H118" i="22"/>
  <c r="H122" i="22" s="1"/>
  <c r="D30" i="20"/>
  <c r="E30" i="20"/>
  <c r="F30" i="20" s="1"/>
  <c r="H30" i="21"/>
  <c r="H103" i="21"/>
  <c r="L118" i="22"/>
  <c r="O161" i="22"/>
  <c r="O165" i="22" s="1"/>
  <c r="I88" i="22"/>
  <c r="I92" i="22"/>
  <c r="L102" i="22"/>
  <c r="N181" i="22"/>
  <c r="N185" i="22"/>
  <c r="G201" i="22"/>
  <c r="J98" i="22"/>
  <c r="J102" i="22" s="1"/>
  <c r="M118" i="22"/>
  <c r="M122" i="22"/>
  <c r="E108" i="20"/>
  <c r="M108" i="20"/>
  <c r="L108" i="20"/>
  <c r="M88" i="22"/>
  <c r="M92" i="22" s="1"/>
  <c r="F45" i="22"/>
  <c r="F49" i="22" s="1"/>
  <c r="F15" i="22"/>
  <c r="F19" i="22" s="1"/>
  <c r="P39" i="22"/>
  <c r="F98" i="22"/>
  <c r="E18" i="22"/>
  <c r="E55" i="22"/>
  <c r="E56" i="22"/>
  <c r="F58" i="22" s="1"/>
  <c r="L39" i="22"/>
  <c r="E15" i="22"/>
  <c r="E59" i="22"/>
  <c r="J161" i="22"/>
  <c r="J165" i="22" s="1"/>
  <c r="F53" i="9"/>
  <c r="F55" i="9"/>
  <c r="F16" i="9" s="1"/>
  <c r="G51" i="9"/>
  <c r="E53" i="9"/>
  <c r="E55" i="9" s="1"/>
  <c r="E16" i="9"/>
  <c r="F50" i="10"/>
  <c r="AK42" i="4"/>
  <c r="AJ42" i="4"/>
  <c r="H50" i="9"/>
  <c r="F54" i="9"/>
  <c r="F54" i="10"/>
  <c r="E39" i="22"/>
  <c r="E36" i="22"/>
  <c r="F38" i="22" s="1"/>
  <c r="E48" i="22"/>
  <c r="E201" i="22"/>
  <c r="H98" i="22"/>
  <c r="H102" i="22"/>
  <c r="K112" i="22"/>
  <c r="J201" i="22"/>
  <c r="O59" i="22"/>
  <c r="M15" i="22"/>
  <c r="M19" i="22"/>
  <c r="K25" i="22"/>
  <c r="M25" i="22"/>
  <c r="M29" i="22"/>
  <c r="M59" i="22"/>
  <c r="J45" i="22"/>
  <c r="J49" i="22"/>
  <c r="E102" i="22"/>
  <c r="J175" i="22"/>
  <c r="G195" i="22"/>
  <c r="F25" i="22"/>
  <c r="F29" i="22" s="1"/>
  <c r="N25" i="22"/>
  <c r="N29" i="22" s="1"/>
  <c r="F88" i="22"/>
  <c r="F92" i="22" s="1"/>
  <c r="F112" i="22"/>
  <c r="K171" i="22"/>
  <c r="K175" i="22" s="1"/>
  <c r="K181" i="22"/>
  <c r="K185" i="22" s="1"/>
  <c r="G15" i="22"/>
  <c r="G25" i="22"/>
  <c r="G29" i="22" s="1"/>
  <c r="O25" i="22"/>
  <c r="O29" i="22"/>
  <c r="E28" i="22"/>
  <c r="K161" i="22"/>
  <c r="K165" i="22"/>
  <c r="H15" i="22"/>
  <c r="C181" i="21"/>
  <c r="P181" i="21" s="1"/>
  <c r="AG43" i="10"/>
  <c r="E16" i="22"/>
  <c r="E19" i="22"/>
  <c r="E20" i="22"/>
  <c r="F103" i="21"/>
  <c r="C38" i="20"/>
  <c r="C39" i="20" s="1"/>
  <c r="K55" i="22"/>
  <c r="K59" i="22" s="1"/>
  <c r="L128" i="22"/>
  <c r="K181" i="20"/>
  <c r="C87" i="20"/>
  <c r="C106" i="20"/>
  <c r="P88" i="20"/>
  <c r="C161" i="20"/>
  <c r="P161" i="20" s="1"/>
  <c r="G108" i="20"/>
  <c r="P33" i="20"/>
  <c r="K38" i="20"/>
  <c r="P35" i="20"/>
  <c r="F38" i="20"/>
  <c r="M181" i="20"/>
  <c r="G30" i="20"/>
  <c r="H30" i="20"/>
  <c r="I30" i="20"/>
  <c r="J30" i="20"/>
  <c r="K30" i="20"/>
  <c r="L30" i="20" s="1"/>
  <c r="M30" i="20" s="1"/>
  <c r="N30" i="20" s="1"/>
  <c r="O30" i="20" s="1"/>
  <c r="M185" i="22"/>
  <c r="D16" i="21"/>
  <c r="Q71" i="20"/>
  <c r="Q144" i="20" s="1"/>
  <c r="E20" i="6"/>
  <c r="G176" i="21"/>
  <c r="P25" i="21"/>
  <c r="F40" i="21"/>
  <c r="G40" i="21" s="1"/>
  <c r="H40" i="21" s="1"/>
  <c r="I40" i="21" s="1"/>
  <c r="J40" i="21" s="1"/>
  <c r="N103" i="21"/>
  <c r="D176" i="21"/>
  <c r="P27" i="21"/>
  <c r="C100" i="21" s="1"/>
  <c r="P100" i="21" s="1"/>
  <c r="C173" i="21" s="1"/>
  <c r="P173" i="21" s="1"/>
  <c r="N30" i="21"/>
  <c r="AG43" i="9"/>
  <c r="M176" i="21"/>
  <c r="C49" i="21"/>
  <c r="O30" i="21"/>
  <c r="K30" i="21"/>
  <c r="G30" i="21"/>
  <c r="I176" i="21"/>
  <c r="O176" i="21"/>
  <c r="D43" i="21"/>
  <c r="H176" i="21"/>
  <c r="J103" i="21"/>
  <c r="I103" i="21"/>
  <c r="L30" i="21"/>
  <c r="P107" i="21"/>
  <c r="C113" i="21"/>
  <c r="D113" i="21" s="1"/>
  <c r="E113" i="21"/>
  <c r="Q84" i="21"/>
  <c r="C157" i="21"/>
  <c r="D157" i="21" s="1"/>
  <c r="E157" i="21" s="1"/>
  <c r="F157" i="21" s="1"/>
  <c r="G157" i="21" s="1"/>
  <c r="H157" i="21" s="1"/>
  <c r="I157" i="21" s="1"/>
  <c r="J157" i="21" s="1"/>
  <c r="K157" i="21" s="1"/>
  <c r="L157" i="21" s="1"/>
  <c r="M157" i="21" s="1"/>
  <c r="N157" i="21" s="1"/>
  <c r="O157" i="21" s="1"/>
  <c r="P157" i="21" s="1"/>
  <c r="Q157" i="21" s="1"/>
  <c r="C98" i="21"/>
  <c r="P98" i="21" s="1"/>
  <c r="K40" i="21"/>
  <c r="L40" i="21" s="1"/>
  <c r="M40" i="21" s="1"/>
  <c r="N40" i="21" s="1"/>
  <c r="O40" i="21" s="1"/>
  <c r="F30" i="21"/>
  <c r="E30" i="21"/>
  <c r="E31" i="21" s="1"/>
  <c r="J30" i="21"/>
  <c r="P39" i="21"/>
  <c r="AG20" i="4"/>
  <c r="AG44" i="4"/>
  <c r="I19" i="22"/>
  <c r="E205" i="22"/>
  <c r="N201" i="22"/>
  <c r="K19" i="22"/>
  <c r="J25" i="22"/>
  <c r="J29" i="22" s="1"/>
  <c r="N55" i="22"/>
  <c r="N59" i="22" s="1"/>
  <c r="K88" i="22"/>
  <c r="K92" i="22"/>
  <c r="K98" i="22"/>
  <c r="K102" i="22" s="1"/>
  <c r="L112" i="22"/>
  <c r="J118" i="22"/>
  <c r="I161" i="22"/>
  <c r="I165" i="22" s="1"/>
  <c r="H181" i="22"/>
  <c r="H185" i="22"/>
  <c r="F205" i="22"/>
  <c r="L205" i="22"/>
  <c r="O45" i="22"/>
  <c r="O49" i="22"/>
  <c r="K205" i="22"/>
  <c r="E92" i="22"/>
  <c r="G112" i="22"/>
  <c r="I122" i="22"/>
  <c r="P128" i="22"/>
  <c r="M205" i="22"/>
  <c r="I45" i="22"/>
  <c r="I49" i="22" s="1"/>
  <c r="J205" i="22"/>
  <c r="E108" i="22"/>
  <c r="E112" i="22"/>
  <c r="P118" i="22"/>
  <c r="O88" i="22"/>
  <c r="O92" i="22" s="1"/>
  <c r="O122" i="22"/>
  <c r="J19" i="22"/>
  <c r="O19" i="22"/>
  <c r="F35" i="22"/>
  <c r="F36" i="22" s="1"/>
  <c r="L49" i="22"/>
  <c r="Q126" i="22"/>
  <c r="E128" i="22"/>
  <c r="E26" i="22"/>
  <c r="E29" i="22"/>
  <c r="E30" i="22"/>
  <c r="D17" i="21" s="1"/>
  <c r="F122" i="22"/>
  <c r="J191" i="22"/>
  <c r="G19" i="22"/>
  <c r="Q15" i="22"/>
  <c r="D89" i="22" s="1"/>
  <c r="G88" i="22"/>
  <c r="Q86" i="22"/>
  <c r="L132" i="22"/>
  <c r="M132" i="22"/>
  <c r="E132" i="22"/>
  <c r="J132" i="22"/>
  <c r="G132" i="22"/>
  <c r="F132" i="22"/>
  <c r="P132" i="22"/>
  <c r="K132" i="22"/>
  <c r="I132" i="22"/>
  <c r="H132" i="22"/>
  <c r="N132" i="22"/>
  <c r="M39" i="22"/>
  <c r="E191" i="22"/>
  <c r="H108" i="22"/>
  <c r="H112" i="22" s="1"/>
  <c r="Q106" i="22"/>
  <c r="H59" i="22"/>
  <c r="G98" i="22"/>
  <c r="Q96" i="22"/>
  <c r="E14" i="10" s="1"/>
  <c r="E26" i="10" s="1"/>
  <c r="E161" i="22"/>
  <c r="E165" i="22" s="1"/>
  <c r="Q159" i="22"/>
  <c r="Q199" i="22"/>
  <c r="F18" i="22"/>
  <c r="F20" i="22" s="1"/>
  <c r="E16" i="21" s="1"/>
  <c r="E43" i="21" s="1"/>
  <c r="F16" i="22"/>
  <c r="G16" i="22" s="1"/>
  <c r="H18" i="22" s="1"/>
  <c r="G18" i="22"/>
  <c r="N118" i="22"/>
  <c r="N122" i="22"/>
  <c r="Q116" i="22"/>
  <c r="J112" i="22"/>
  <c r="I29" i="22"/>
  <c r="E45" i="22"/>
  <c r="E58" i="22"/>
  <c r="E60" i="22" s="1"/>
  <c r="E122" i="22"/>
  <c r="P122" i="22"/>
  <c r="P19" i="22"/>
  <c r="L92" i="22"/>
  <c r="F31" i="21"/>
  <c r="G31" i="21" s="1"/>
  <c r="H31" i="21" s="1"/>
  <c r="F26" i="22"/>
  <c r="G26" i="22" s="1"/>
  <c r="F28" i="22"/>
  <c r="F30" i="22" s="1"/>
  <c r="D20" i="21"/>
  <c r="D47" i="21" s="1"/>
  <c r="J195" i="22"/>
  <c r="G102" i="22"/>
  <c r="Q108" i="22"/>
  <c r="E14" i="9"/>
  <c r="E23" i="9" s="1"/>
  <c r="G92" i="22"/>
  <c r="D44" i="21"/>
  <c r="E35" i="10"/>
  <c r="E28" i="10"/>
  <c r="E33" i="10"/>
  <c r="E19" i="10"/>
  <c r="E27" i="10"/>
  <c r="E36" i="9"/>
  <c r="E34" i="9"/>
  <c r="E19" i="9"/>
  <c r="E29" i="9"/>
  <c r="F20" i="6"/>
  <c r="I17" i="5"/>
  <c r="G59" i="22" l="1"/>
  <c r="Q55" i="22"/>
  <c r="D129" i="22" s="1"/>
  <c r="E20" i="4"/>
  <c r="M49" i="22"/>
  <c r="E37" i="4"/>
  <c r="E195" i="22"/>
  <c r="E17" i="21"/>
  <c r="P175" i="22"/>
  <c r="I31" i="21"/>
  <c r="J31" i="21" s="1"/>
  <c r="H26" i="22"/>
  <c r="H28" i="22"/>
  <c r="H30" i="22" s="1"/>
  <c r="G17" i="21" s="1"/>
  <c r="G44" i="21" s="1"/>
  <c r="M175" i="22"/>
  <c r="Q45" i="22"/>
  <c r="D119" i="22" s="1"/>
  <c r="E46" i="22"/>
  <c r="E49" i="22"/>
  <c r="E50" i="22" s="1"/>
  <c r="E91" i="22"/>
  <c r="E93" i="22" s="1"/>
  <c r="E89" i="22"/>
  <c r="G38" i="22"/>
  <c r="G36" i="22"/>
  <c r="H50" i="10"/>
  <c r="I50" i="9"/>
  <c r="I50" i="10" s="1"/>
  <c r="E21" i="20"/>
  <c r="F21" i="20" s="1"/>
  <c r="G21" i="20" s="1"/>
  <c r="H21" i="20" s="1"/>
  <c r="I21" i="20" s="1"/>
  <c r="J21" i="20" s="1"/>
  <c r="K21" i="20" s="1"/>
  <c r="G49" i="22"/>
  <c r="P28" i="21"/>
  <c r="C101" i="21" s="1"/>
  <c r="P101" i="21" s="1"/>
  <c r="C174" i="21" s="1"/>
  <c r="P174" i="21" s="1"/>
  <c r="G28" i="22"/>
  <c r="G30" i="22" s="1"/>
  <c r="F17" i="21" s="1"/>
  <c r="F44" i="21" s="1"/>
  <c r="C171" i="21"/>
  <c r="B21" i="23"/>
  <c r="C21" i="23" s="1"/>
  <c r="D21" i="23" s="1"/>
  <c r="E21" i="23" s="1"/>
  <c r="F21" i="23" s="1"/>
  <c r="G21" i="23" s="1"/>
  <c r="H21" i="23" s="1"/>
  <c r="I21" i="23" s="1"/>
  <c r="J21" i="23" s="1"/>
  <c r="K21" i="23" s="1"/>
  <c r="L21" i="23" s="1"/>
  <c r="M21" i="23" s="1"/>
  <c r="N21" i="23" s="1"/>
  <c r="O9" i="23"/>
  <c r="P9" i="23" s="1"/>
  <c r="Q9" i="23" s="1"/>
  <c r="L21" i="20"/>
  <c r="M21" i="20" s="1"/>
  <c r="N21" i="20" s="1"/>
  <c r="O21" i="20" s="1"/>
  <c r="K29" i="22"/>
  <c r="Q25" i="22"/>
  <c r="D99" i="22" s="1"/>
  <c r="J122" i="22"/>
  <c r="G55" i="9"/>
  <c r="I35" i="22"/>
  <c r="Q33" i="22"/>
  <c r="E20" i="9"/>
  <c r="E32" i="9"/>
  <c r="E39" i="9"/>
  <c r="E22" i="9"/>
  <c r="E30" i="9"/>
  <c r="E31" i="4" s="1"/>
  <c r="E33" i="9"/>
  <c r="E34" i="4" s="1"/>
  <c r="E35" i="9"/>
  <c r="E36" i="4" s="1"/>
  <c r="E31" i="9"/>
  <c r="E32" i="4" s="1"/>
  <c r="E26" i="9"/>
  <c r="E27" i="4" s="1"/>
  <c r="E37" i="9"/>
  <c r="E27" i="9"/>
  <c r="E28" i="4" s="1"/>
  <c r="E24" i="9"/>
  <c r="E25" i="9"/>
  <c r="E38" i="9"/>
  <c r="E21" i="9"/>
  <c r="E22" i="4" s="1"/>
  <c r="G113" i="21"/>
  <c r="H113" i="21" s="1"/>
  <c r="I113" i="21" s="1"/>
  <c r="J113" i="21" s="1"/>
  <c r="K113" i="21" s="1"/>
  <c r="L113" i="21" s="1"/>
  <c r="M113" i="21" s="1"/>
  <c r="H191" i="22"/>
  <c r="Q189" i="22"/>
  <c r="C104" i="20"/>
  <c r="P86" i="20"/>
  <c r="C91" i="20"/>
  <c r="E28" i="9"/>
  <c r="E29" i="4" s="1"/>
  <c r="E23" i="10"/>
  <c r="E24" i="4" s="1"/>
  <c r="E31" i="10"/>
  <c r="E34" i="10"/>
  <c r="E35" i="4" s="1"/>
  <c r="E24" i="10"/>
  <c r="E32" i="10"/>
  <c r="E22" i="10"/>
  <c r="E38" i="10"/>
  <c r="E25" i="10"/>
  <c r="E30" i="10"/>
  <c r="E29" i="10"/>
  <c r="E30" i="4" s="1"/>
  <c r="E39" i="10"/>
  <c r="E21" i="10"/>
  <c r="E20" i="10"/>
  <c r="E37" i="10"/>
  <c r="G20" i="22"/>
  <c r="P112" i="21"/>
  <c r="L122" i="22"/>
  <c r="N205" i="22"/>
  <c r="C96" i="20"/>
  <c r="P30" i="20"/>
  <c r="P29" i="22"/>
  <c r="J39" i="22"/>
  <c r="C99" i="21"/>
  <c r="P30" i="21"/>
  <c r="E15" i="4"/>
  <c r="E36" i="10"/>
  <c r="H19" i="22"/>
  <c r="H16" i="22"/>
  <c r="G205" i="22"/>
  <c r="H20" i="22"/>
  <c r="F60" i="22"/>
  <c r="Q1" i="22"/>
  <c r="Q74" i="22" s="1"/>
  <c r="Q1" i="21"/>
  <c r="Q74" i="21" s="1"/>
  <c r="Q147" i="21" s="1"/>
  <c r="P36" i="20"/>
  <c r="D38" i="20"/>
  <c r="D39" i="20" s="1"/>
  <c r="C180" i="21"/>
  <c r="K31" i="21"/>
  <c r="L31" i="21" s="1"/>
  <c r="P87" i="20"/>
  <c r="C160" i="20" s="1"/>
  <c r="P160" i="20" s="1"/>
  <c r="L171" i="22"/>
  <c r="Q169" i="22"/>
  <c r="F14" i="10" s="1"/>
  <c r="F14" i="9"/>
  <c r="F102" i="22"/>
  <c r="Q98" i="22"/>
  <c r="Q179" i="22"/>
  <c r="J181" i="22"/>
  <c r="Q128" i="22"/>
  <c r="Q88" i="22"/>
  <c r="P98" i="20"/>
  <c r="C171" i="20" s="1"/>
  <c r="P171" i="20" s="1"/>
  <c r="C107" i="20"/>
  <c r="P107" i="20" s="1"/>
  <c r="C180" i="20" s="1"/>
  <c r="P180" i="20" s="1"/>
  <c r="O38" i="20"/>
  <c r="F39" i="22"/>
  <c r="F40" i="22" s="1"/>
  <c r="E18" i="21" s="1"/>
  <c r="E45" i="21" s="1"/>
  <c r="V15" i="4"/>
  <c r="Q30" i="20"/>
  <c r="E62" i="22"/>
  <c r="H51" i="9"/>
  <c r="G53" i="9"/>
  <c r="G54" i="9" s="1"/>
  <c r="G54" i="10" s="1"/>
  <c r="G16" i="10" s="1"/>
  <c r="H171" i="22"/>
  <c r="P158" i="20"/>
  <c r="F113" i="21"/>
  <c r="N113" i="21"/>
  <c r="O113" i="21" s="1"/>
  <c r="F56" i="22"/>
  <c r="G58" i="22" s="1"/>
  <c r="G60" i="22" s="1"/>
  <c r="F20" i="21" s="1"/>
  <c r="F47" i="21" s="1"/>
  <c r="F59" i="22"/>
  <c r="P34" i="20"/>
  <c r="P39" i="20" s="1"/>
  <c r="O35" i="22"/>
  <c r="P103" i="20"/>
  <c r="K103" i="21"/>
  <c r="I171" i="22"/>
  <c r="P59" i="22"/>
  <c r="P106" i="20"/>
  <c r="C179" i="20" s="1"/>
  <c r="P179" i="20" s="1"/>
  <c r="G103" i="21"/>
  <c r="O103" i="21"/>
  <c r="H201" i="22"/>
  <c r="G10" i="4"/>
  <c r="F9" i="9"/>
  <c r="F9" i="10" s="1"/>
  <c r="F16" i="10"/>
  <c r="G38" i="20"/>
  <c r="E38" i="20"/>
  <c r="M15" i="4"/>
  <c r="I201" i="22"/>
  <c r="Q43" i="22"/>
  <c r="D14" i="10" s="1"/>
  <c r="H38" i="20"/>
  <c r="L29" i="22"/>
  <c r="M30" i="21"/>
  <c r="O128" i="22"/>
  <c r="M38" i="20"/>
  <c r="E38" i="22"/>
  <c r="E40" i="22" s="1"/>
  <c r="Q13" i="22"/>
  <c r="G39" i="22"/>
  <c r="O181" i="20"/>
  <c r="F176" i="21"/>
  <c r="G118" i="22"/>
  <c r="N191" i="22"/>
  <c r="H108" i="20"/>
  <c r="W15" i="4"/>
  <c r="H92" i="22"/>
  <c r="J92" i="22"/>
  <c r="H39" i="22"/>
  <c r="K49" i="22"/>
  <c r="G21" i="10" l="1"/>
  <c r="G28" i="10"/>
  <c r="G38" i="10"/>
  <c r="G36" i="10"/>
  <c r="G27" i="10"/>
  <c r="G25" i="10"/>
  <c r="G39" i="10"/>
  <c r="G24" i="10"/>
  <c r="G30" i="10"/>
  <c r="G34" i="10"/>
  <c r="G35" i="10"/>
  <c r="G32" i="10"/>
  <c r="G31" i="10"/>
  <c r="G26" i="10"/>
  <c r="G23" i="10"/>
  <c r="G37" i="10"/>
  <c r="G33" i="10"/>
  <c r="G40" i="10"/>
  <c r="G20" i="10"/>
  <c r="G22" i="10"/>
  <c r="G29" i="10"/>
  <c r="F34" i="9"/>
  <c r="F35" i="4" s="1"/>
  <c r="F21" i="9"/>
  <c r="F22" i="4" s="1"/>
  <c r="F33" i="9"/>
  <c r="F31" i="9"/>
  <c r="F23" i="9"/>
  <c r="F32" i="9"/>
  <c r="F29" i="9"/>
  <c r="F20" i="9"/>
  <c r="F27" i="9"/>
  <c r="F28" i="4" s="1"/>
  <c r="F38" i="9"/>
  <c r="F25" i="9"/>
  <c r="F26" i="4" s="1"/>
  <c r="F35" i="9"/>
  <c r="F39" i="9"/>
  <c r="F30" i="9"/>
  <c r="F31" i="4" s="1"/>
  <c r="F22" i="9"/>
  <c r="F24" i="9"/>
  <c r="F25" i="4" s="1"/>
  <c r="F37" i="9"/>
  <c r="F38" i="4" s="1"/>
  <c r="F40" i="9"/>
  <c r="F15" i="4"/>
  <c r="F28" i="9"/>
  <c r="F36" i="9"/>
  <c r="F26" i="9"/>
  <c r="F27" i="4" s="1"/>
  <c r="P96" i="20"/>
  <c r="C100" i="20"/>
  <c r="F16" i="21"/>
  <c r="I39" i="22"/>
  <c r="H36" i="22"/>
  <c r="I38" i="22" s="1"/>
  <c r="I40" i="22" s="1"/>
  <c r="H18" i="21" s="1"/>
  <c r="H45" i="21" s="1"/>
  <c r="H38" i="22"/>
  <c r="H40" i="22" s="1"/>
  <c r="G18" i="21" s="1"/>
  <c r="G45" i="21" s="1"/>
  <c r="K104" i="21"/>
  <c r="L104" i="21" s="1"/>
  <c r="M104" i="21" s="1"/>
  <c r="N104" i="21" s="1"/>
  <c r="O104" i="21" s="1"/>
  <c r="G16" i="9"/>
  <c r="G40" i="22"/>
  <c r="F18" i="21" s="1"/>
  <c r="F45" i="21" s="1"/>
  <c r="C176" i="20"/>
  <c r="E26" i="4"/>
  <c r="D18" i="21"/>
  <c r="H205" i="22"/>
  <c r="H175" i="22"/>
  <c r="L175" i="22"/>
  <c r="E25" i="4"/>
  <c r="F91" i="22"/>
  <c r="F93" i="22" s="1"/>
  <c r="F89" i="22"/>
  <c r="I26" i="22"/>
  <c r="I28" i="22"/>
  <c r="I30" i="22" s="1"/>
  <c r="H17" i="21" s="1"/>
  <c r="E44" i="21"/>
  <c r="I51" i="9"/>
  <c r="H53" i="9"/>
  <c r="H54" i="9" s="1"/>
  <c r="H54" i="10" s="1"/>
  <c r="H16" i="10" s="1"/>
  <c r="E119" i="22"/>
  <c r="E121" i="22"/>
  <c r="E123" i="22" s="1"/>
  <c r="E63" i="22"/>
  <c r="C105" i="20"/>
  <c r="P105" i="20" s="1"/>
  <c r="C178" i="20" s="1"/>
  <c r="P178" i="20" s="1"/>
  <c r="H10" i="4"/>
  <c r="G9" i="9"/>
  <c r="G9" i="10" s="1"/>
  <c r="P99" i="21"/>
  <c r="C104" i="21"/>
  <c r="D104" i="21" s="1"/>
  <c r="E104" i="21" s="1"/>
  <c r="F104" i="21" s="1"/>
  <c r="D91" i="20"/>
  <c r="E91" i="20" s="1"/>
  <c r="F91" i="20" s="1"/>
  <c r="G91" i="20" s="1"/>
  <c r="H91" i="20" s="1"/>
  <c r="I91" i="20" s="1"/>
  <c r="J91" i="20" s="1"/>
  <c r="K91" i="20" s="1"/>
  <c r="L91" i="20" s="1"/>
  <c r="M91" i="20" s="1"/>
  <c r="N91" i="20" s="1"/>
  <c r="O91" i="20" s="1"/>
  <c r="E43" i="9"/>
  <c r="J185" i="22"/>
  <c r="P104" i="20"/>
  <c r="C177" i="20" s="1"/>
  <c r="P177" i="20" s="1"/>
  <c r="E40" i="4"/>
  <c r="B30" i="23"/>
  <c r="C30" i="23" s="1"/>
  <c r="D30" i="23" s="1"/>
  <c r="E30" i="23" s="1"/>
  <c r="F30" i="23" s="1"/>
  <c r="G30" i="23" s="1"/>
  <c r="H30" i="23" s="1"/>
  <c r="I30" i="23" s="1"/>
  <c r="J30" i="23" s="1"/>
  <c r="K30" i="23" s="1"/>
  <c r="L30" i="23" s="1"/>
  <c r="M30" i="23" s="1"/>
  <c r="N30" i="23" s="1"/>
  <c r="O30" i="23" s="1"/>
  <c r="P30" i="23" s="1"/>
  <c r="Q30" i="23" s="1"/>
  <c r="O21" i="23"/>
  <c r="P21" i="23" s="1"/>
  <c r="Q21" i="23" s="1"/>
  <c r="D89" i="21"/>
  <c r="E129" i="22"/>
  <c r="E131" i="22"/>
  <c r="E133" i="22" s="1"/>
  <c r="G39" i="20"/>
  <c r="G16" i="21"/>
  <c r="D23" i="10"/>
  <c r="D20" i="10"/>
  <c r="D25" i="10"/>
  <c r="D22" i="10"/>
  <c r="D21" i="10"/>
  <c r="D32" i="10"/>
  <c r="D35" i="10"/>
  <c r="D36" i="10"/>
  <c r="D29" i="10"/>
  <c r="D34" i="10"/>
  <c r="D38" i="10"/>
  <c r="D33" i="10"/>
  <c r="D28" i="10"/>
  <c r="D37" i="10"/>
  <c r="D18" i="10"/>
  <c r="D19" i="10"/>
  <c r="AF19" i="10" s="1"/>
  <c r="D30" i="10"/>
  <c r="D24" i="10"/>
  <c r="D26" i="10"/>
  <c r="D31" i="10"/>
  <c r="D27" i="10"/>
  <c r="F39" i="10"/>
  <c r="F33" i="10"/>
  <c r="F31" i="10"/>
  <c r="F30" i="10"/>
  <c r="F27" i="10"/>
  <c r="F36" i="10"/>
  <c r="F25" i="10"/>
  <c r="F20" i="10"/>
  <c r="F29" i="10"/>
  <c r="F22" i="10"/>
  <c r="F38" i="10"/>
  <c r="F23" i="10"/>
  <c r="F34" i="10"/>
  <c r="F21" i="10"/>
  <c r="F24" i="10"/>
  <c r="F37" i="10"/>
  <c r="F32" i="10"/>
  <c r="F28" i="10"/>
  <c r="F40" i="10"/>
  <c r="F35" i="10"/>
  <c r="F26" i="10"/>
  <c r="E43" i="10"/>
  <c r="I205" i="22"/>
  <c r="P91" i="20"/>
  <c r="C159" i="20"/>
  <c r="E101" i="22"/>
  <c r="E103" i="22" s="1"/>
  <c r="E99" i="22"/>
  <c r="O39" i="22"/>
  <c r="N195" i="22"/>
  <c r="Q1" i="23"/>
  <c r="AK1" i="4" s="1"/>
  <c r="AK1" i="9" s="1"/>
  <c r="AK1" i="10" s="1"/>
  <c r="I1" i="31" s="1"/>
  <c r="G1" i="12" s="1"/>
  <c r="Q147" i="22"/>
  <c r="E38" i="4"/>
  <c r="E33" i="4"/>
  <c r="Q21" i="20"/>
  <c r="D19" i="21"/>
  <c r="M31" i="21"/>
  <c r="N31" i="21" s="1"/>
  <c r="O31" i="21" s="1"/>
  <c r="E20" i="21"/>
  <c r="I175" i="22"/>
  <c r="E39" i="4"/>
  <c r="D14" i="9"/>
  <c r="Q35" i="22"/>
  <c r="D109" i="22" s="1"/>
  <c r="I18" i="22"/>
  <c r="I20" i="22" s="1"/>
  <c r="I16" i="22"/>
  <c r="E23" i="4"/>
  <c r="G104" i="21"/>
  <c r="H104" i="21" s="1"/>
  <c r="I104" i="21" s="1"/>
  <c r="J104" i="21" s="1"/>
  <c r="G122" i="22"/>
  <c r="Q118" i="22"/>
  <c r="O132" i="22"/>
  <c r="E39" i="20"/>
  <c r="F39" i="20" s="1"/>
  <c r="P180" i="21"/>
  <c r="P185" i="21" s="1"/>
  <c r="C186" i="21"/>
  <c r="D186" i="21" s="1"/>
  <c r="E186" i="21" s="1"/>
  <c r="F186" i="21" s="1"/>
  <c r="G186" i="21" s="1"/>
  <c r="H186" i="21" s="1"/>
  <c r="I186" i="21" s="1"/>
  <c r="J186" i="21" s="1"/>
  <c r="K186" i="21" s="1"/>
  <c r="L186" i="21" s="1"/>
  <c r="M186" i="21" s="1"/>
  <c r="N186" i="21" s="1"/>
  <c r="O186" i="21" s="1"/>
  <c r="H195" i="22"/>
  <c r="E21" i="4"/>
  <c r="E44" i="4" s="1"/>
  <c r="P171" i="21"/>
  <c r="F46" i="22"/>
  <c r="F48" i="22"/>
  <c r="F50" i="22" s="1"/>
  <c r="G56" i="22"/>
  <c r="H33" i="10" l="1"/>
  <c r="H22" i="10"/>
  <c r="H41" i="10"/>
  <c r="H38" i="10"/>
  <c r="H37" i="10"/>
  <c r="H30" i="10"/>
  <c r="H34" i="10"/>
  <c r="H24" i="10"/>
  <c r="H39" i="10"/>
  <c r="H35" i="10"/>
  <c r="H25" i="10"/>
  <c r="H27" i="10"/>
  <c r="H36" i="10"/>
  <c r="H21" i="10"/>
  <c r="H40" i="10"/>
  <c r="H31" i="10"/>
  <c r="H26" i="10"/>
  <c r="H32" i="10"/>
  <c r="H29" i="10"/>
  <c r="H23" i="10"/>
  <c r="H28" i="10"/>
  <c r="P159" i="20"/>
  <c r="P164" i="20" s="1"/>
  <c r="C164" i="20"/>
  <c r="H16" i="21"/>
  <c r="F41" i="4"/>
  <c r="D38" i="9"/>
  <c r="D19" i="9"/>
  <c r="D18" i="9"/>
  <c r="D34" i="9"/>
  <c r="D21" i="9"/>
  <c r="D29" i="9"/>
  <c r="D24" i="9"/>
  <c r="D36" i="9"/>
  <c r="D23" i="9"/>
  <c r="D26" i="9"/>
  <c r="D20" i="9"/>
  <c r="D32" i="9"/>
  <c r="D28" i="9"/>
  <c r="D37" i="9"/>
  <c r="D27" i="9"/>
  <c r="D33" i="9"/>
  <c r="D30" i="9"/>
  <c r="D15" i="4"/>
  <c r="D35" i="9"/>
  <c r="D25" i="9"/>
  <c r="D22" i="9"/>
  <c r="D31" i="9"/>
  <c r="H55" i="9"/>
  <c r="H16" i="9" s="1"/>
  <c r="F43" i="10"/>
  <c r="I53" i="9"/>
  <c r="I54" i="9" s="1"/>
  <c r="I54" i="10" s="1"/>
  <c r="I16" i="10" s="1"/>
  <c r="C169" i="20"/>
  <c r="P100" i="20"/>
  <c r="F30" i="4"/>
  <c r="F129" i="22"/>
  <c r="F131" i="22"/>
  <c r="F133" i="22" s="1"/>
  <c r="E93" i="21" s="1"/>
  <c r="E120" i="21" s="1"/>
  <c r="G43" i="10"/>
  <c r="G48" i="22"/>
  <c r="G50" i="22" s="1"/>
  <c r="G46" i="22"/>
  <c r="F101" i="22"/>
  <c r="F103" i="22" s="1"/>
  <c r="E90" i="21" s="1"/>
  <c r="E117" i="21" s="1"/>
  <c r="F99" i="22"/>
  <c r="AF20" i="10"/>
  <c r="I36" i="22"/>
  <c r="F37" i="4"/>
  <c r="F40" i="4"/>
  <c r="F24" i="4"/>
  <c r="E47" i="21"/>
  <c r="E111" i="22"/>
  <c r="E113" i="22" s="1"/>
  <c r="E109" i="22"/>
  <c r="D43" i="10"/>
  <c r="AF18" i="10"/>
  <c r="G43" i="21"/>
  <c r="H44" i="21"/>
  <c r="F39" i="4"/>
  <c r="I10" i="4"/>
  <c r="I9" i="9" s="1"/>
  <c r="I9" i="10" s="1"/>
  <c r="H9" i="9"/>
  <c r="H9" i="10" s="1"/>
  <c r="J28" i="22"/>
  <c r="J30" i="22" s="1"/>
  <c r="I17" i="21" s="1"/>
  <c r="I44" i="21" s="1"/>
  <c r="J26" i="22"/>
  <c r="G25" i="9"/>
  <c r="G26" i="4" s="1"/>
  <c r="G20" i="9"/>
  <c r="G29" i="9"/>
  <c r="G30" i="4" s="1"/>
  <c r="G23" i="9"/>
  <c r="G24" i="4" s="1"/>
  <c r="G32" i="9"/>
  <c r="G33" i="4" s="1"/>
  <c r="G22" i="9"/>
  <c r="G23" i="4" s="1"/>
  <c r="G26" i="9"/>
  <c r="G27" i="4" s="1"/>
  <c r="G35" i="9"/>
  <c r="G36" i="4" s="1"/>
  <c r="G27" i="9"/>
  <c r="G28" i="4" s="1"/>
  <c r="G39" i="9"/>
  <c r="G37" i="9"/>
  <c r="G38" i="4" s="1"/>
  <c r="G21" i="9"/>
  <c r="G22" i="4" s="1"/>
  <c r="G30" i="9"/>
  <c r="G31" i="4" s="1"/>
  <c r="G38" i="9"/>
  <c r="G39" i="4" s="1"/>
  <c r="G40" i="9"/>
  <c r="G41" i="4" s="1"/>
  <c r="G34" i="9"/>
  <c r="G35" i="4" s="1"/>
  <c r="G31" i="9"/>
  <c r="G32" i="4" s="1"/>
  <c r="G33" i="9"/>
  <c r="G34" i="4" s="1"/>
  <c r="G36" i="9"/>
  <c r="G37" i="4" s="1"/>
  <c r="G24" i="9"/>
  <c r="G25" i="4" s="1"/>
  <c r="G28" i="9"/>
  <c r="G29" i="4" s="1"/>
  <c r="F43" i="21"/>
  <c r="D46" i="21"/>
  <c r="AF21" i="10"/>
  <c r="G91" i="22"/>
  <c r="G93" i="22" s="1"/>
  <c r="G89" i="22"/>
  <c r="D100" i="20"/>
  <c r="E100" i="20" s="1"/>
  <c r="F100" i="20" s="1"/>
  <c r="G100" i="20" s="1"/>
  <c r="H100" i="20" s="1"/>
  <c r="I100" i="20" s="1"/>
  <c r="J100" i="20" s="1"/>
  <c r="K100" i="20" s="1"/>
  <c r="L100" i="20" s="1"/>
  <c r="M100" i="20" s="1"/>
  <c r="N100" i="20" s="1"/>
  <c r="O100" i="20" s="1"/>
  <c r="Q100" i="20"/>
  <c r="F43" i="9"/>
  <c r="F21" i="4"/>
  <c r="H56" i="22"/>
  <c r="H58" i="22"/>
  <c r="H60" i="22" s="1"/>
  <c r="D93" i="21"/>
  <c r="D120" i="21" s="1"/>
  <c r="H39" i="20"/>
  <c r="I39" i="20" s="1"/>
  <c r="J39" i="20" s="1"/>
  <c r="K39" i="20" s="1"/>
  <c r="L39" i="20" s="1"/>
  <c r="M39" i="20" s="1"/>
  <c r="N39" i="20" s="1"/>
  <c r="O39" i="20" s="1"/>
  <c r="Q39" i="20" s="1"/>
  <c r="E89" i="21"/>
  <c r="F23" i="4"/>
  <c r="E19" i="21"/>
  <c r="F62" i="22"/>
  <c r="C109" i="20"/>
  <c r="Q91" i="20"/>
  <c r="D45" i="21"/>
  <c r="D21" i="21"/>
  <c r="D22" i="21" s="1"/>
  <c r="F33" i="4"/>
  <c r="J18" i="22"/>
  <c r="J20" i="22" s="1"/>
  <c r="J16" i="22"/>
  <c r="D90" i="21"/>
  <c r="D117" i="21" s="1"/>
  <c r="D116" i="21"/>
  <c r="C172" i="21"/>
  <c r="P103" i="21"/>
  <c r="D92" i="21"/>
  <c r="D119" i="21" s="1"/>
  <c r="P109" i="20"/>
  <c r="F29" i="4"/>
  <c r="F36" i="4"/>
  <c r="F32" i="4"/>
  <c r="F121" i="22"/>
  <c r="F123" i="22" s="1"/>
  <c r="E92" i="21" s="1"/>
  <c r="E119" i="21" s="1"/>
  <c r="F119" i="22"/>
  <c r="C182" i="20"/>
  <c r="P176" i="20"/>
  <c r="P182" i="20" s="1"/>
  <c r="F34" i="4"/>
  <c r="AF23" i="10" l="1"/>
  <c r="I33" i="10"/>
  <c r="I37" i="10"/>
  <c r="AF37" i="10" s="1"/>
  <c r="I39" i="10"/>
  <c r="I41" i="10"/>
  <c r="I23" i="10"/>
  <c r="I40" i="10"/>
  <c r="AF40" i="10" s="1"/>
  <c r="I36" i="10"/>
  <c r="AF36" i="10" s="1"/>
  <c r="I34" i="10"/>
  <c r="AF34" i="10" s="1"/>
  <c r="I26" i="10"/>
  <c r="AF26" i="10" s="1"/>
  <c r="I27" i="10"/>
  <c r="AF27" i="10" s="1"/>
  <c r="I29" i="10"/>
  <c r="AF29" i="10" s="1"/>
  <c r="I30" i="10"/>
  <c r="AF30" i="10" s="1"/>
  <c r="I31" i="10"/>
  <c r="AF31" i="10" s="1"/>
  <c r="I25" i="10"/>
  <c r="AF25" i="10" s="1"/>
  <c r="I32" i="10"/>
  <c r="AF32" i="10" s="1"/>
  <c r="I38" i="10"/>
  <c r="AF38" i="10" s="1"/>
  <c r="I24" i="10"/>
  <c r="AF24" i="10" s="1"/>
  <c r="I28" i="10"/>
  <c r="AF28" i="10" s="1"/>
  <c r="I35" i="10"/>
  <c r="AF35" i="10" s="1"/>
  <c r="I22" i="10"/>
  <c r="I42" i="10"/>
  <c r="AF42" i="10" s="1"/>
  <c r="AF22" i="10"/>
  <c r="AF39" i="10"/>
  <c r="AF33" i="10"/>
  <c r="D32" i="4"/>
  <c r="F44" i="4"/>
  <c r="D26" i="4"/>
  <c r="D48" i="21"/>
  <c r="D49" i="21" s="1"/>
  <c r="D25" i="4"/>
  <c r="H46" i="22"/>
  <c r="H48" i="22"/>
  <c r="H50" i="22" s="1"/>
  <c r="D30" i="4"/>
  <c r="F19" i="21"/>
  <c r="D22" i="4"/>
  <c r="AF41" i="10"/>
  <c r="G40" i="4"/>
  <c r="J38" i="22"/>
  <c r="J40" i="22" s="1"/>
  <c r="J36" i="22"/>
  <c r="G62" i="22"/>
  <c r="D19" i="4"/>
  <c r="D43" i="9"/>
  <c r="AF18" i="9"/>
  <c r="H43" i="21"/>
  <c r="H38" i="9"/>
  <c r="H39" i="4" s="1"/>
  <c r="H36" i="9"/>
  <c r="H37" i="4" s="1"/>
  <c r="H28" i="9"/>
  <c r="H29" i="4" s="1"/>
  <c r="H39" i="9"/>
  <c r="H40" i="4" s="1"/>
  <c r="H29" i="9"/>
  <c r="H30" i="4" s="1"/>
  <c r="H40" i="9"/>
  <c r="H32" i="9"/>
  <c r="H33" i="4" s="1"/>
  <c r="H34" i="9"/>
  <c r="H35" i="4" s="1"/>
  <c r="H23" i="9"/>
  <c r="H24" i="4" s="1"/>
  <c r="H35" i="9"/>
  <c r="H36" i="4" s="1"/>
  <c r="H25" i="9"/>
  <c r="H26" i="4" s="1"/>
  <c r="H24" i="9"/>
  <c r="H25" i="4" s="1"/>
  <c r="H33" i="9"/>
  <c r="H34" i="4" s="1"/>
  <c r="H41" i="9"/>
  <c r="H26" i="9"/>
  <c r="H27" i="4" s="1"/>
  <c r="H31" i="9"/>
  <c r="H32" i="4" s="1"/>
  <c r="H37" i="9"/>
  <c r="H38" i="4" s="1"/>
  <c r="H21" i="9"/>
  <c r="AF21" i="9" s="1"/>
  <c r="AF22" i="4" s="1"/>
  <c r="H27" i="9"/>
  <c r="H28" i="4" s="1"/>
  <c r="H30" i="9"/>
  <c r="H31" i="4" s="1"/>
  <c r="H22" i="9"/>
  <c r="H23" i="4" s="1"/>
  <c r="I56" i="22"/>
  <c r="I58" i="22"/>
  <c r="I60" i="22" s="1"/>
  <c r="H20" i="21" s="1"/>
  <c r="H47" i="21" s="1"/>
  <c r="Q109" i="20"/>
  <c r="D109" i="20"/>
  <c r="E109" i="20" s="1"/>
  <c r="F109" i="20" s="1"/>
  <c r="G109" i="20" s="1"/>
  <c r="H109" i="20" s="1"/>
  <c r="I109" i="20" s="1"/>
  <c r="J109" i="20" s="1"/>
  <c r="K109" i="20" s="1"/>
  <c r="L109" i="20" s="1"/>
  <c r="M109" i="20" s="1"/>
  <c r="N109" i="20" s="1"/>
  <c r="O109" i="20" s="1"/>
  <c r="D29" i="4"/>
  <c r="G43" i="9"/>
  <c r="G21" i="4"/>
  <c r="G44" i="4" s="1"/>
  <c r="D35" i="4"/>
  <c r="I16" i="21"/>
  <c r="D91" i="21"/>
  <c r="D118" i="21" s="1"/>
  <c r="E135" i="22"/>
  <c r="I55" i="9"/>
  <c r="I16" i="9" s="1"/>
  <c r="D21" i="4"/>
  <c r="AF20" i="9"/>
  <c r="K28" i="22"/>
  <c r="K30" i="22" s="1"/>
  <c r="K26" i="22"/>
  <c r="G129" i="22"/>
  <c r="G131" i="22"/>
  <c r="G133" i="22" s="1"/>
  <c r="D27" i="4"/>
  <c r="D20" i="4"/>
  <c r="AF19" i="9"/>
  <c r="G20" i="21"/>
  <c r="D28" i="4"/>
  <c r="G121" i="22"/>
  <c r="G123" i="22" s="1"/>
  <c r="G119" i="22"/>
  <c r="E116" i="21"/>
  <c r="P169" i="20"/>
  <c r="P173" i="20" s="1"/>
  <c r="C173" i="20"/>
  <c r="D38" i="4"/>
  <c r="P172" i="21"/>
  <c r="P176" i="21" s="1"/>
  <c r="C177" i="21"/>
  <c r="D177" i="21" s="1"/>
  <c r="E177" i="21" s="1"/>
  <c r="F177" i="21" s="1"/>
  <c r="G177" i="21" s="1"/>
  <c r="H177" i="21" s="1"/>
  <c r="I177" i="21" s="1"/>
  <c r="J177" i="21" s="1"/>
  <c r="K177" i="21" s="1"/>
  <c r="L177" i="21" s="1"/>
  <c r="M177" i="21" s="1"/>
  <c r="N177" i="21" s="1"/>
  <c r="O177" i="21" s="1"/>
  <c r="F111" i="22"/>
  <c r="F113" i="22" s="1"/>
  <c r="E91" i="21" s="1"/>
  <c r="E118" i="21" s="1"/>
  <c r="F109" i="22"/>
  <c r="D33" i="4"/>
  <c r="D94" i="21"/>
  <c r="D36" i="4"/>
  <c r="D121" i="21"/>
  <c r="F63" i="22"/>
  <c r="D182" i="20"/>
  <c r="E182" i="20" s="1"/>
  <c r="F182" i="20" s="1"/>
  <c r="G182" i="20" s="1"/>
  <c r="H182" i="20" s="1"/>
  <c r="I182" i="20" s="1"/>
  <c r="J182" i="20" s="1"/>
  <c r="K182" i="20" s="1"/>
  <c r="L182" i="20" s="1"/>
  <c r="M182" i="20" s="1"/>
  <c r="N182" i="20" s="1"/>
  <c r="O182" i="20" s="1"/>
  <c r="E46" i="21"/>
  <c r="E48" i="21" s="1"/>
  <c r="E21" i="21"/>
  <c r="E22" i="21" s="1"/>
  <c r="H89" i="22"/>
  <c r="H91" i="22"/>
  <c r="H93" i="22" s="1"/>
  <c r="D31" i="4"/>
  <c r="D24" i="4"/>
  <c r="D39" i="4"/>
  <c r="D164" i="20"/>
  <c r="E164" i="20" s="1"/>
  <c r="F164" i="20" s="1"/>
  <c r="G164" i="20" s="1"/>
  <c r="H164" i="20" s="1"/>
  <c r="I164" i="20" s="1"/>
  <c r="J164" i="20" s="1"/>
  <c r="K164" i="20" s="1"/>
  <c r="L164" i="20" s="1"/>
  <c r="M164" i="20" s="1"/>
  <c r="N164" i="20" s="1"/>
  <c r="O164" i="20" s="1"/>
  <c r="D23" i="4"/>
  <c r="K16" i="22"/>
  <c r="K18" i="22"/>
  <c r="K20" i="22" s="1"/>
  <c r="F89" i="21"/>
  <c r="G101" i="22"/>
  <c r="G103" i="22" s="1"/>
  <c r="F90" i="21" s="1"/>
  <c r="F117" i="21" s="1"/>
  <c r="G99" i="22"/>
  <c r="D34" i="4"/>
  <c r="D37" i="4"/>
  <c r="H43" i="10"/>
  <c r="AF43" i="10" l="1"/>
  <c r="AF20" i="4"/>
  <c r="J16" i="21"/>
  <c r="I91" i="22"/>
  <c r="I93" i="22" s="1"/>
  <c r="I89" i="22"/>
  <c r="I18" i="21"/>
  <c r="F116" i="21"/>
  <c r="J17" i="21"/>
  <c r="G89" i="21"/>
  <c r="AF21" i="4"/>
  <c r="K36" i="22"/>
  <c r="K38" i="22"/>
  <c r="K40" i="22" s="1"/>
  <c r="J18" i="21" s="1"/>
  <c r="J45" i="21" s="1"/>
  <c r="F135" i="22"/>
  <c r="H41" i="4"/>
  <c r="AF40" i="9"/>
  <c r="AF41" i="4" s="1"/>
  <c r="Q182" i="20"/>
  <c r="G12" i="5" s="1"/>
  <c r="F93" i="21"/>
  <c r="F120" i="21" s="1"/>
  <c r="I48" i="22"/>
  <c r="I50" i="22" s="1"/>
  <c r="I46" i="22"/>
  <c r="G47" i="21"/>
  <c r="I43" i="21"/>
  <c r="L16" i="22"/>
  <c r="L18" i="22"/>
  <c r="L20" i="22" s="1"/>
  <c r="H119" i="22"/>
  <c r="H121" i="22"/>
  <c r="H123" i="22" s="1"/>
  <c r="G92" i="21" s="1"/>
  <c r="G119" i="21" s="1"/>
  <c r="AF41" i="9"/>
  <c r="H42" i="4"/>
  <c r="G19" i="21"/>
  <c r="H62" i="22"/>
  <c r="H131" i="22"/>
  <c r="H133" i="22" s="1"/>
  <c r="G93" i="21" s="1"/>
  <c r="G120" i="21" s="1"/>
  <c r="H129" i="22"/>
  <c r="D44" i="4"/>
  <c r="AF24" i="9"/>
  <c r="AF25" i="4" s="1"/>
  <c r="I43" i="10"/>
  <c r="H22" i="4"/>
  <c r="H43" i="9"/>
  <c r="G63" i="22"/>
  <c r="E94" i="21"/>
  <c r="F46" i="21"/>
  <c r="F21" i="21"/>
  <c r="F22" i="21" s="1"/>
  <c r="E121" i="21"/>
  <c r="I23" i="9"/>
  <c r="I24" i="4" s="1"/>
  <c r="I40" i="9"/>
  <c r="I41" i="4" s="1"/>
  <c r="I34" i="9"/>
  <c r="I26" i="9"/>
  <c r="I38" i="9"/>
  <c r="I33" i="9"/>
  <c r="I30" i="9"/>
  <c r="I25" i="9"/>
  <c r="I39" i="9"/>
  <c r="I22" i="9"/>
  <c r="I29" i="9"/>
  <c r="I36" i="9"/>
  <c r="I37" i="9"/>
  <c r="I38" i="4" s="1"/>
  <c r="I24" i="9"/>
  <c r="I25" i="4" s="1"/>
  <c r="I42" i="9"/>
  <c r="I31" i="9"/>
  <c r="I32" i="4" s="1"/>
  <c r="I28" i="9"/>
  <c r="I35" i="9"/>
  <c r="I36" i="4" s="1"/>
  <c r="I27" i="9"/>
  <c r="I32" i="9"/>
  <c r="I33" i="4" s="1"/>
  <c r="I41" i="9"/>
  <c r="I42" i="4" s="1"/>
  <c r="H101" i="22"/>
  <c r="H103" i="22" s="1"/>
  <c r="G90" i="21" s="1"/>
  <c r="G117" i="21" s="1"/>
  <c r="H99" i="22"/>
  <c r="E49" i="21"/>
  <c r="F92" i="21"/>
  <c r="F119" i="21" s="1"/>
  <c r="J56" i="22"/>
  <c r="J58" i="22"/>
  <c r="J60" i="22" s="1"/>
  <c r="I20" i="21" s="1"/>
  <c r="I47" i="21" s="1"/>
  <c r="AF19" i="4"/>
  <c r="Q164" i="20"/>
  <c r="G109" i="22"/>
  <c r="G111" i="22"/>
  <c r="G113" i="22" s="1"/>
  <c r="D173" i="20"/>
  <c r="E173" i="20" s="1"/>
  <c r="F173" i="20" s="1"/>
  <c r="G173" i="20" s="1"/>
  <c r="H173" i="20" s="1"/>
  <c r="I173" i="20" s="1"/>
  <c r="J173" i="20" s="1"/>
  <c r="K173" i="20" s="1"/>
  <c r="L173" i="20" s="1"/>
  <c r="M173" i="20" s="1"/>
  <c r="N173" i="20" s="1"/>
  <c r="O173" i="20" s="1"/>
  <c r="Q173" i="20"/>
  <c r="L28" i="22"/>
  <c r="L30" i="22" s="1"/>
  <c r="K17" i="21" s="1"/>
  <c r="K44" i="21" s="1"/>
  <c r="L26" i="22"/>
  <c r="AF31" i="9"/>
  <c r="AF32" i="4" s="1"/>
  <c r="AF42" i="4" l="1"/>
  <c r="AI41" i="9"/>
  <c r="AK41" i="9" s="1"/>
  <c r="I39" i="4"/>
  <c r="AF38" i="9"/>
  <c r="AF39" i="4" s="1"/>
  <c r="H111" i="22"/>
  <c r="H113" i="22" s="1"/>
  <c r="G91" i="21" s="1"/>
  <c r="G118" i="21" s="1"/>
  <c r="H109" i="22"/>
  <c r="F48" i="21"/>
  <c r="F49" i="21" s="1"/>
  <c r="I28" i="4"/>
  <c r="AF27" i="9"/>
  <c r="AF28" i="4" s="1"/>
  <c r="J44" i="21"/>
  <c r="I34" i="4"/>
  <c r="AF33" i="9"/>
  <c r="AF34" i="4" s="1"/>
  <c r="J46" i="22"/>
  <c r="J48" i="22"/>
  <c r="J50" i="22" s="1"/>
  <c r="H89" i="21"/>
  <c r="H19" i="21"/>
  <c r="I62" i="22"/>
  <c r="I35" i="4"/>
  <c r="AF34" i="9"/>
  <c r="AF35" i="4" s="1"/>
  <c r="I43" i="9"/>
  <c r="I23" i="4"/>
  <c r="AF22" i="9"/>
  <c r="M16" i="22"/>
  <c r="M18" i="22"/>
  <c r="M20" i="22" s="1"/>
  <c r="G116" i="21"/>
  <c r="I37" i="4"/>
  <c r="AF36" i="9"/>
  <c r="AF37" i="4" s="1"/>
  <c r="I30" i="4"/>
  <c r="AF29" i="9"/>
  <c r="AF30" i="4" s="1"/>
  <c r="AF32" i="9"/>
  <c r="AF33" i="4" s="1"/>
  <c r="J43" i="21"/>
  <c r="H63" i="22"/>
  <c r="I26" i="4"/>
  <c r="AF25" i="9"/>
  <c r="AF26" i="4" s="1"/>
  <c r="AF23" i="9"/>
  <c r="AF24" i="4" s="1"/>
  <c r="H44" i="4"/>
  <c r="G46" i="21"/>
  <c r="G48" i="21" s="1"/>
  <c r="G49" i="21" s="1"/>
  <c r="G21" i="21"/>
  <c r="G22" i="21" s="1"/>
  <c r="AF35" i="9"/>
  <c r="AF36" i="4" s="1"/>
  <c r="AF37" i="9"/>
  <c r="AF38" i="4" s="1"/>
  <c r="J91" i="22"/>
  <c r="J93" i="22" s="1"/>
  <c r="J89" i="22"/>
  <c r="F91" i="21"/>
  <c r="G135" i="22"/>
  <c r="I27" i="4"/>
  <c r="AF26" i="9"/>
  <c r="AF27" i="4" s="1"/>
  <c r="I131" i="22"/>
  <c r="I133" i="22" s="1"/>
  <c r="H93" i="21" s="1"/>
  <c r="H120" i="21" s="1"/>
  <c r="I129" i="22"/>
  <c r="K58" i="22"/>
  <c r="K60" i="22" s="1"/>
  <c r="J20" i="21" s="1"/>
  <c r="J47" i="21" s="1"/>
  <c r="K56" i="22"/>
  <c r="M28" i="22"/>
  <c r="M30" i="22" s="1"/>
  <c r="M26" i="22"/>
  <c r="I29" i="4"/>
  <c r="AF28" i="9"/>
  <c r="AF29" i="4" s="1"/>
  <c r="I40" i="4"/>
  <c r="AF39" i="9"/>
  <c r="AF40" i="4" s="1"/>
  <c r="I121" i="22"/>
  <c r="I123" i="22" s="1"/>
  <c r="I119" i="22"/>
  <c r="L38" i="22"/>
  <c r="L40" i="22" s="1"/>
  <c r="K18" i="21" s="1"/>
  <c r="K45" i="21" s="1"/>
  <c r="L36" i="22"/>
  <c r="I99" i="22"/>
  <c r="I101" i="22"/>
  <c r="I103" i="22" s="1"/>
  <c r="H90" i="21" s="1"/>
  <c r="H117" i="21" s="1"/>
  <c r="AF42" i="9"/>
  <c r="AF43" i="4" s="1"/>
  <c r="I43" i="4"/>
  <c r="I31" i="4"/>
  <c r="AF30" i="9"/>
  <c r="AF31" i="4" s="1"/>
  <c r="K16" i="21"/>
  <c r="I45" i="21"/>
  <c r="K89" i="22" l="1"/>
  <c r="K91" i="22"/>
  <c r="K93" i="22" s="1"/>
  <c r="J99" i="22"/>
  <c r="J101" i="22"/>
  <c r="J103" i="22" s="1"/>
  <c r="I90" i="21" s="1"/>
  <c r="I117" i="21" s="1"/>
  <c r="L58" i="22"/>
  <c r="L60" i="22" s="1"/>
  <c r="K20" i="21" s="1"/>
  <c r="K47" i="21" s="1"/>
  <c r="L56" i="22"/>
  <c r="I63" i="22"/>
  <c r="N16" i="22"/>
  <c r="N18" i="22"/>
  <c r="N20" i="22" s="1"/>
  <c r="H46" i="21"/>
  <c r="H48" i="21" s="1"/>
  <c r="H49" i="21" s="1"/>
  <c r="H21" i="21"/>
  <c r="H22" i="21" s="1"/>
  <c r="I109" i="22"/>
  <c r="I111" i="22"/>
  <c r="I113" i="22" s="1"/>
  <c r="J129" i="22"/>
  <c r="J131" i="22"/>
  <c r="J133" i="22" s="1"/>
  <c r="I93" i="21" s="1"/>
  <c r="I120" i="21" s="1"/>
  <c r="I44" i="4"/>
  <c r="H116" i="21"/>
  <c r="L17" i="21"/>
  <c r="I19" i="21"/>
  <c r="J62" i="22"/>
  <c r="F118" i="21"/>
  <c r="F121" i="21" s="1"/>
  <c r="F94" i="21"/>
  <c r="L16" i="21"/>
  <c r="K43" i="21"/>
  <c r="I89" i="21"/>
  <c r="AF23" i="4"/>
  <c r="AF44" i="4" s="1"/>
  <c r="AF43" i="9"/>
  <c r="N28" i="22"/>
  <c r="N30" i="22" s="1"/>
  <c r="M17" i="21" s="1"/>
  <c r="M44" i="21" s="1"/>
  <c r="N26" i="22"/>
  <c r="H135" i="22"/>
  <c r="H92" i="21"/>
  <c r="H119" i="21" s="1"/>
  <c r="G94" i="21"/>
  <c r="K48" i="22"/>
  <c r="K50" i="22" s="1"/>
  <c r="K46" i="22"/>
  <c r="M36" i="22"/>
  <c r="M38" i="22"/>
  <c r="M40" i="22" s="1"/>
  <c r="J121" i="22"/>
  <c r="J123" i="22" s="1"/>
  <c r="I92" i="21" s="1"/>
  <c r="I119" i="21" s="1"/>
  <c r="J119" i="22"/>
  <c r="G121" i="21"/>
  <c r="J63" i="22" l="1"/>
  <c r="K99" i="22"/>
  <c r="K101" i="22"/>
  <c r="K103" i="22" s="1"/>
  <c r="J90" i="21" s="1"/>
  <c r="J117" i="21" s="1"/>
  <c r="K119" i="22"/>
  <c r="K121" i="22"/>
  <c r="K123" i="22" s="1"/>
  <c r="J92" i="21" s="1"/>
  <c r="J119" i="21" s="1"/>
  <c r="L44" i="21"/>
  <c r="M58" i="22"/>
  <c r="M60" i="22" s="1"/>
  <c r="L20" i="21" s="1"/>
  <c r="L47" i="21" s="1"/>
  <c r="M56" i="22"/>
  <c r="L18" i="21"/>
  <c r="O26" i="22"/>
  <c r="O28" i="22"/>
  <c r="O30" i="22" s="1"/>
  <c r="N17" i="21" s="1"/>
  <c r="N44" i="21" s="1"/>
  <c r="I46" i="21"/>
  <c r="I48" i="21" s="1"/>
  <c r="I49" i="21" s="1"/>
  <c r="I21" i="21"/>
  <c r="I22" i="21" s="1"/>
  <c r="M16" i="21"/>
  <c r="J89" i="21"/>
  <c r="H91" i="21"/>
  <c r="I135" i="22"/>
  <c r="I116" i="21"/>
  <c r="N38" i="22"/>
  <c r="N40" i="22" s="1"/>
  <c r="M18" i="21" s="1"/>
  <c r="M45" i="21" s="1"/>
  <c r="N36" i="22"/>
  <c r="O18" i="22"/>
  <c r="O20" i="22" s="1"/>
  <c r="O16" i="22"/>
  <c r="L91" i="22"/>
  <c r="L93" i="22" s="1"/>
  <c r="L89" i="22"/>
  <c r="J19" i="21"/>
  <c r="K62" i="22"/>
  <c r="K63" i="22" s="1"/>
  <c r="L43" i="21"/>
  <c r="J111" i="22"/>
  <c r="J113" i="22" s="1"/>
  <c r="J109" i="22"/>
  <c r="L48" i="22"/>
  <c r="L50" i="22" s="1"/>
  <c r="L46" i="22"/>
  <c r="K129" i="22"/>
  <c r="K131" i="22"/>
  <c r="K133" i="22" s="1"/>
  <c r="J93" i="21" l="1"/>
  <c r="J120" i="21" s="1"/>
  <c r="J46" i="21"/>
  <c r="J48" i="21" s="1"/>
  <c r="J49" i="21" s="1"/>
  <c r="J21" i="21"/>
  <c r="J22" i="21" s="1"/>
  <c r="K135" i="22"/>
  <c r="L131" i="22"/>
  <c r="L133" i="22" s="1"/>
  <c r="K93" i="21" s="1"/>
  <c r="K120" i="21" s="1"/>
  <c r="L129" i="22"/>
  <c r="L99" i="22"/>
  <c r="L101" i="22"/>
  <c r="L103" i="22" s="1"/>
  <c r="K90" i="21" s="1"/>
  <c r="K117" i="21" s="1"/>
  <c r="K89" i="21"/>
  <c r="N58" i="22"/>
  <c r="N60" i="22" s="1"/>
  <c r="M20" i="21" s="1"/>
  <c r="M47" i="21" s="1"/>
  <c r="N56" i="22"/>
  <c r="I91" i="21"/>
  <c r="J135" i="22"/>
  <c r="P18" i="22"/>
  <c r="P20" i="22" s="1"/>
  <c r="P16" i="22"/>
  <c r="H118" i="21"/>
  <c r="H121" i="21" s="1"/>
  <c r="H94" i="21"/>
  <c r="J94" i="21"/>
  <c r="J116" i="21"/>
  <c r="L121" i="22"/>
  <c r="L123" i="22" s="1"/>
  <c r="K92" i="21" s="1"/>
  <c r="K119" i="21" s="1"/>
  <c r="L119" i="22"/>
  <c r="L45" i="21"/>
  <c r="M48" i="22"/>
  <c r="M50" i="22" s="1"/>
  <c r="M46" i="22"/>
  <c r="N16" i="21"/>
  <c r="P28" i="22"/>
  <c r="P30" i="22" s="1"/>
  <c r="P26" i="22"/>
  <c r="M89" i="22"/>
  <c r="M91" i="22"/>
  <c r="M93" i="22" s="1"/>
  <c r="K111" i="22"/>
  <c r="K113" i="22" s="1"/>
  <c r="J91" i="21" s="1"/>
  <c r="J118" i="21" s="1"/>
  <c r="K109" i="22"/>
  <c r="M43" i="21"/>
  <c r="K19" i="21"/>
  <c r="L62" i="22"/>
  <c r="L63" i="22" s="1"/>
  <c r="O38" i="22"/>
  <c r="O40" i="22" s="1"/>
  <c r="N18" i="21" s="1"/>
  <c r="N45" i="21" s="1"/>
  <c r="O36" i="22"/>
  <c r="N91" i="22" l="1"/>
  <c r="N93" i="22" s="1"/>
  <c r="N89" i="22"/>
  <c r="K116" i="21"/>
  <c r="O16" i="21"/>
  <c r="Q20" i="22"/>
  <c r="L19" i="21"/>
  <c r="M62" i="22"/>
  <c r="M63" i="22" s="1"/>
  <c r="M101" i="22"/>
  <c r="M103" i="22" s="1"/>
  <c r="L90" i="21" s="1"/>
  <c r="L117" i="21" s="1"/>
  <c r="M99" i="22"/>
  <c r="O56" i="22"/>
  <c r="O58" i="22"/>
  <c r="O60" i="22" s="1"/>
  <c r="N20" i="21" s="1"/>
  <c r="N47" i="21" s="1"/>
  <c r="L89" i="21"/>
  <c r="N48" i="22"/>
  <c r="N50" i="22" s="1"/>
  <c r="N46" i="22"/>
  <c r="K46" i="21"/>
  <c r="K48" i="21" s="1"/>
  <c r="K49" i="21" s="1"/>
  <c r="K21" i="21"/>
  <c r="K22" i="21" s="1"/>
  <c r="O17" i="21"/>
  <c r="Q30" i="22"/>
  <c r="M119" i="22"/>
  <c r="M121" i="22"/>
  <c r="M123" i="22" s="1"/>
  <c r="L92" i="21" s="1"/>
  <c r="L119" i="21" s="1"/>
  <c r="L109" i="22"/>
  <c r="L111" i="22"/>
  <c r="L113" i="22" s="1"/>
  <c r="P36" i="22"/>
  <c r="P38" i="22"/>
  <c r="P40" i="22" s="1"/>
  <c r="N43" i="21"/>
  <c r="J121" i="21"/>
  <c r="I118" i="21"/>
  <c r="I121" i="21" s="1"/>
  <c r="I94" i="21"/>
  <c r="M131" i="22"/>
  <c r="M133" i="22" s="1"/>
  <c r="L93" i="21" s="1"/>
  <c r="L120" i="21" s="1"/>
  <c r="M129" i="22"/>
  <c r="N121" i="22" l="1"/>
  <c r="N123" i="22" s="1"/>
  <c r="M92" i="21" s="1"/>
  <c r="M119" i="21" s="1"/>
  <c r="N119" i="22"/>
  <c r="O43" i="21"/>
  <c r="P16" i="21"/>
  <c r="O91" i="22"/>
  <c r="O93" i="22" s="1"/>
  <c r="O89" i="22"/>
  <c r="M19" i="21"/>
  <c r="N62" i="22"/>
  <c r="N63" i="22" s="1"/>
  <c r="O44" i="21"/>
  <c r="P44" i="21" s="1"/>
  <c r="C117" i="21" s="1"/>
  <c r="P17" i="21"/>
  <c r="C90" i="21" s="1"/>
  <c r="L94" i="21"/>
  <c r="L116" i="21"/>
  <c r="L121" i="21" s="1"/>
  <c r="K91" i="21"/>
  <c r="L135" i="22"/>
  <c r="M89" i="21"/>
  <c r="O48" i="22"/>
  <c r="O50" i="22" s="1"/>
  <c r="O46" i="22"/>
  <c r="N99" i="22"/>
  <c r="N101" i="22"/>
  <c r="N103" i="22" s="1"/>
  <c r="M90" i="21" s="1"/>
  <c r="M117" i="21" s="1"/>
  <c r="O18" i="21"/>
  <c r="Q40" i="22"/>
  <c r="N129" i="22"/>
  <c r="N131" i="22"/>
  <c r="N133" i="22" s="1"/>
  <c r="M93" i="21" s="1"/>
  <c r="M120" i="21" s="1"/>
  <c r="L46" i="21"/>
  <c r="L48" i="21" s="1"/>
  <c r="L49" i="21" s="1"/>
  <c r="L21" i="21"/>
  <c r="L22" i="21" s="1"/>
  <c r="P58" i="22"/>
  <c r="P60" i="22" s="1"/>
  <c r="P56" i="22"/>
  <c r="M109" i="22"/>
  <c r="M111" i="22"/>
  <c r="M113" i="22" s="1"/>
  <c r="L91" i="21" s="1"/>
  <c r="L118" i="21" s="1"/>
  <c r="AH18" i="9"/>
  <c r="N89" i="21" l="1"/>
  <c r="P46" i="22"/>
  <c r="P48" i="22"/>
  <c r="P50" i="22" s="1"/>
  <c r="AI18" i="9"/>
  <c r="O101" i="22"/>
  <c r="O103" i="22" s="1"/>
  <c r="N90" i="21" s="1"/>
  <c r="N117" i="21" s="1"/>
  <c r="O99" i="22"/>
  <c r="C89" i="21"/>
  <c r="N111" i="22"/>
  <c r="N113" i="22" s="1"/>
  <c r="N109" i="22"/>
  <c r="O131" i="22"/>
  <c r="O133" i="22" s="1"/>
  <c r="N93" i="21" s="1"/>
  <c r="N120" i="21" s="1"/>
  <c r="O129" i="22"/>
  <c r="N19" i="21"/>
  <c r="O62" i="22"/>
  <c r="O63" i="22" s="1"/>
  <c r="P43" i="21"/>
  <c r="O45" i="21"/>
  <c r="P45" i="21" s="1"/>
  <c r="C118" i="21" s="1"/>
  <c r="P18" i="21"/>
  <c r="C91" i="21" s="1"/>
  <c r="M116" i="21"/>
  <c r="M46" i="21"/>
  <c r="M48" i="21" s="1"/>
  <c r="M49" i="21" s="1"/>
  <c r="M21" i="21"/>
  <c r="M22" i="21" s="1"/>
  <c r="O119" i="22"/>
  <c r="O121" i="22"/>
  <c r="O123" i="22" s="1"/>
  <c r="N92" i="21" s="1"/>
  <c r="N119" i="21" s="1"/>
  <c r="O20" i="21"/>
  <c r="Q60" i="22"/>
  <c r="M135" i="22"/>
  <c r="K118" i="21"/>
  <c r="K121" i="21" s="1"/>
  <c r="K94" i="21"/>
  <c r="P89" i="22"/>
  <c r="D162" i="22" s="1"/>
  <c r="P91" i="22"/>
  <c r="P93" i="22" s="1"/>
  <c r="O89" i="21" l="1"/>
  <c r="Q93" i="22"/>
  <c r="O47" i="21"/>
  <c r="P47" i="21" s="1"/>
  <c r="C120" i="21" s="1"/>
  <c r="P20" i="21"/>
  <c r="C93" i="21" s="1"/>
  <c r="M91" i="21"/>
  <c r="N135" i="22"/>
  <c r="AJ18" i="9"/>
  <c r="Q161" i="22"/>
  <c r="E164" i="22"/>
  <c r="E166" i="22" s="1"/>
  <c r="E162" i="22"/>
  <c r="C116" i="21"/>
  <c r="P121" i="22"/>
  <c r="P123" i="22" s="1"/>
  <c r="P119" i="22"/>
  <c r="D192" i="22" s="1"/>
  <c r="P89" i="21"/>
  <c r="O19" i="21"/>
  <c r="Q50" i="22"/>
  <c r="AH18" i="10" s="1"/>
  <c r="P62" i="22"/>
  <c r="P129" i="22"/>
  <c r="D202" i="22" s="1"/>
  <c r="P131" i="22"/>
  <c r="P133" i="22" s="1"/>
  <c r="P101" i="22"/>
  <c r="P103" i="22" s="1"/>
  <c r="P99" i="22"/>
  <c r="D172" i="22" s="1"/>
  <c r="O135" i="22"/>
  <c r="N46" i="21"/>
  <c r="N48" i="21" s="1"/>
  <c r="N49" i="21" s="1"/>
  <c r="N21" i="21"/>
  <c r="N22" i="21" s="1"/>
  <c r="O109" i="22"/>
  <c r="O111" i="22"/>
  <c r="O113" i="22" s="1"/>
  <c r="N91" i="21" s="1"/>
  <c r="N118" i="21" s="1"/>
  <c r="N116" i="21"/>
  <c r="N121" i="21" s="1"/>
  <c r="N94" i="21"/>
  <c r="Q201" i="22" l="1"/>
  <c r="E204" i="22"/>
  <c r="E206" i="22" s="1"/>
  <c r="E202" i="22"/>
  <c r="AK18" i="9"/>
  <c r="O92" i="21"/>
  <c r="O119" i="21" s="1"/>
  <c r="Q123" i="22"/>
  <c r="O90" i="21"/>
  <c r="Q103" i="22"/>
  <c r="F164" i="22"/>
  <c r="F166" i="22" s="1"/>
  <c r="F162" i="22"/>
  <c r="C162" i="21"/>
  <c r="D162" i="21"/>
  <c r="O116" i="21"/>
  <c r="Q191" i="22"/>
  <c r="E194" i="22"/>
  <c r="E196" i="22" s="1"/>
  <c r="E192" i="22"/>
  <c r="P63" i="22"/>
  <c r="Q62" i="22"/>
  <c r="D136" i="22" s="1"/>
  <c r="E136" i="22" s="1"/>
  <c r="F136" i="22" s="1"/>
  <c r="G136" i="22" s="1"/>
  <c r="H136" i="22" s="1"/>
  <c r="I136" i="22" s="1"/>
  <c r="J136" i="22" s="1"/>
  <c r="K136" i="22" s="1"/>
  <c r="L136" i="22" s="1"/>
  <c r="M136" i="22" s="1"/>
  <c r="N136" i="22"/>
  <c r="O136" i="22" s="1"/>
  <c r="AI18" i="10"/>
  <c r="AH19" i="4"/>
  <c r="M118" i="21"/>
  <c r="M94" i="21"/>
  <c r="E174" i="22"/>
  <c r="E176" i="22" s="1"/>
  <c r="Q171" i="22"/>
  <c r="E172" i="22"/>
  <c r="O46" i="21"/>
  <c r="O21" i="21"/>
  <c r="O22" i="21" s="1"/>
  <c r="P19" i="21"/>
  <c r="P116" i="21"/>
  <c r="P109" i="22"/>
  <c r="D182" i="22" s="1"/>
  <c r="P111" i="22"/>
  <c r="P113" i="22" s="1"/>
  <c r="O93" i="21"/>
  <c r="O120" i="21" s="1"/>
  <c r="P120" i="21" s="1"/>
  <c r="Q133" i="22"/>
  <c r="M121" i="21" l="1"/>
  <c r="D189" i="21"/>
  <c r="F192" i="22"/>
  <c r="F194" i="22"/>
  <c r="F196" i="22" s="1"/>
  <c r="E165" i="21" s="1"/>
  <c r="E192" i="21" s="1"/>
  <c r="C92" i="21"/>
  <c r="P21" i="21"/>
  <c r="AJ18" i="10"/>
  <c r="AI19" i="4"/>
  <c r="G164" i="22"/>
  <c r="G166" i="22" s="1"/>
  <c r="G162" i="22"/>
  <c r="P46" i="21"/>
  <c r="O48" i="21"/>
  <c r="O49" i="21" s="1"/>
  <c r="Q49" i="21" s="1"/>
  <c r="F172" i="22"/>
  <c r="F174" i="22"/>
  <c r="F176" i="22" s="1"/>
  <c r="E163" i="21" s="1"/>
  <c r="E190" i="21" s="1"/>
  <c r="AH19" i="10"/>
  <c r="O91" i="21"/>
  <c r="Q113" i="22"/>
  <c r="AH19" i="9" s="1"/>
  <c r="O117" i="21"/>
  <c r="P117" i="21" s="1"/>
  <c r="P90" i="21"/>
  <c r="E182" i="22"/>
  <c r="E184" i="22"/>
  <c r="E186" i="22" s="1"/>
  <c r="Q181" i="22"/>
  <c r="D163" i="21"/>
  <c r="D190" i="21" s="1"/>
  <c r="P93" i="21"/>
  <c r="C166" i="21" s="1"/>
  <c r="D166" i="21"/>
  <c r="D193" i="21" s="1"/>
  <c r="D165" i="21"/>
  <c r="D192" i="21" s="1"/>
  <c r="C189" i="21"/>
  <c r="E162" i="21"/>
  <c r="F202" i="22"/>
  <c r="F204" i="22"/>
  <c r="F206" i="22" s="1"/>
  <c r="E166" i="21" s="1"/>
  <c r="E193" i="21" s="1"/>
  <c r="P135" i="22"/>
  <c r="E208" i="22"/>
  <c r="E189" i="21" l="1"/>
  <c r="AH20" i="4"/>
  <c r="AI19" i="9"/>
  <c r="F162" i="21"/>
  <c r="P136" i="22"/>
  <c r="Q135" i="22"/>
  <c r="D209" i="22" s="1"/>
  <c r="E209" i="22" s="1"/>
  <c r="AK18" i="10"/>
  <c r="AJ19" i="4"/>
  <c r="G204" i="22"/>
  <c r="G206" i="22" s="1"/>
  <c r="F166" i="21" s="1"/>
  <c r="F193" i="21" s="1"/>
  <c r="G202" i="22"/>
  <c r="D164" i="21"/>
  <c r="H164" i="22"/>
  <c r="H166" i="22" s="1"/>
  <c r="H162" i="22"/>
  <c r="C193" i="21"/>
  <c r="O118" i="21"/>
  <c r="P118" i="21" s="1"/>
  <c r="O94" i="21"/>
  <c r="O95" i="21" s="1"/>
  <c r="P91" i="21"/>
  <c r="C164" i="21" s="1"/>
  <c r="AI19" i="10"/>
  <c r="AJ19" i="10" s="1"/>
  <c r="G172" i="22"/>
  <c r="G174" i="22"/>
  <c r="G176" i="22" s="1"/>
  <c r="P92" i="21"/>
  <c r="C165" i="21" s="1"/>
  <c r="C95" i="21"/>
  <c r="D95" i="21" s="1"/>
  <c r="E95" i="21" s="1"/>
  <c r="F95" i="21" s="1"/>
  <c r="G95" i="21" s="1"/>
  <c r="H95" i="21" s="1"/>
  <c r="I95" i="21" s="1"/>
  <c r="J95" i="21" s="1"/>
  <c r="K95" i="21" s="1"/>
  <c r="L95" i="21" s="1"/>
  <c r="M95" i="21" s="1"/>
  <c r="N95" i="21" s="1"/>
  <c r="O121" i="21"/>
  <c r="F182" i="22"/>
  <c r="F184" i="22"/>
  <c r="F186" i="22" s="1"/>
  <c r="E164" i="21" s="1"/>
  <c r="E191" i="21" s="1"/>
  <c r="F208" i="22"/>
  <c r="C163" i="21"/>
  <c r="C119" i="21"/>
  <c r="P48" i="21"/>
  <c r="G192" i="22"/>
  <c r="G194" i="22"/>
  <c r="G196" i="22" s="1"/>
  <c r="P121" i="21" l="1"/>
  <c r="H204" i="22"/>
  <c r="H206" i="22" s="1"/>
  <c r="G166" i="21" s="1"/>
  <c r="G193" i="21" s="1"/>
  <c r="H202" i="22"/>
  <c r="AI20" i="4"/>
  <c r="AJ19" i="9"/>
  <c r="G184" i="22"/>
  <c r="G186" i="22" s="1"/>
  <c r="F164" i="21" s="1"/>
  <c r="F191" i="21" s="1"/>
  <c r="G182" i="22"/>
  <c r="I164" i="22"/>
  <c r="I166" i="22" s="1"/>
  <c r="I162" i="22"/>
  <c r="AK19" i="10"/>
  <c r="AK19" i="4"/>
  <c r="N15" i="23" s="1"/>
  <c r="P119" i="21"/>
  <c r="C122" i="21"/>
  <c r="C192" i="21"/>
  <c r="E167" i="21"/>
  <c r="C190" i="21"/>
  <c r="C168" i="21"/>
  <c r="F189" i="21"/>
  <c r="F167" i="21"/>
  <c r="E194" i="21"/>
  <c r="F209" i="22"/>
  <c r="F165" i="21"/>
  <c r="F192" i="21" s="1"/>
  <c r="H194" i="22"/>
  <c r="H196" i="22" s="1"/>
  <c r="G165" i="21" s="1"/>
  <c r="G192" i="21" s="1"/>
  <c r="H192" i="22"/>
  <c r="C191" i="21"/>
  <c r="G162" i="21"/>
  <c r="P94" i="21"/>
  <c r="F163" i="21"/>
  <c r="F190" i="21" s="1"/>
  <c r="H174" i="22"/>
  <c r="H176" i="22" s="1"/>
  <c r="G163" i="21" s="1"/>
  <c r="G190" i="21" s="1"/>
  <c r="H172" i="22"/>
  <c r="D191" i="21"/>
  <c r="D194" i="21" s="1"/>
  <c r="D167" i="21"/>
  <c r="H182" i="22" l="1"/>
  <c r="H184" i="22"/>
  <c r="H186" i="22" s="1"/>
  <c r="G164" i="21" s="1"/>
  <c r="G208" i="22"/>
  <c r="I194" i="22"/>
  <c r="I196" i="22" s="1"/>
  <c r="I192" i="22"/>
  <c r="F194" i="21"/>
  <c r="D122" i="21"/>
  <c r="E122" i="21" s="1"/>
  <c r="F122" i="21" s="1"/>
  <c r="G122" i="21" s="1"/>
  <c r="H122" i="21" s="1"/>
  <c r="I122" i="21" s="1"/>
  <c r="J122" i="21" s="1"/>
  <c r="K122" i="21" s="1"/>
  <c r="L122" i="21" s="1"/>
  <c r="M122" i="21" s="1"/>
  <c r="N122" i="21" s="1"/>
  <c r="O122" i="21" s="1"/>
  <c r="G14" i="31" s="1"/>
  <c r="G17" i="31" s="1"/>
  <c r="G22" i="5" s="1"/>
  <c r="AJ20" i="4"/>
  <c r="AK19" i="9"/>
  <c r="D168" i="21"/>
  <c r="E168" i="21" s="1"/>
  <c r="F168" i="21" s="1"/>
  <c r="O15" i="23"/>
  <c r="P15" i="23" s="1"/>
  <c r="C17" i="23" s="1"/>
  <c r="N17" i="23"/>
  <c r="B24" i="23" s="1"/>
  <c r="B26" i="23" s="1"/>
  <c r="I204" i="22"/>
  <c r="I206" i="22" s="1"/>
  <c r="I202" i="22"/>
  <c r="D195" i="21"/>
  <c r="E195" i="21" s="1"/>
  <c r="G167" i="21"/>
  <c r="G189" i="21"/>
  <c r="H208" i="22"/>
  <c r="I174" i="22"/>
  <c r="I176" i="22" s="1"/>
  <c r="H163" i="21" s="1"/>
  <c r="H190" i="21" s="1"/>
  <c r="I172" i="22"/>
  <c r="C195" i="21"/>
  <c r="J162" i="22"/>
  <c r="J164" i="22"/>
  <c r="J166" i="22" s="1"/>
  <c r="H162" i="21"/>
  <c r="G168" i="21" l="1"/>
  <c r="J174" i="22"/>
  <c r="J176" i="22" s="1"/>
  <c r="I163" i="21" s="1"/>
  <c r="I190" i="21" s="1"/>
  <c r="J172" i="22"/>
  <c r="J194" i="22"/>
  <c r="J196" i="22" s="1"/>
  <c r="I165" i="21" s="1"/>
  <c r="I192" i="21" s="1"/>
  <c r="J192" i="22"/>
  <c r="AK20" i="4"/>
  <c r="N24" i="23" s="1"/>
  <c r="O24" i="23" s="1"/>
  <c r="P24" i="23" s="1"/>
  <c r="I162" i="21"/>
  <c r="H209" i="22"/>
  <c r="K162" i="22"/>
  <c r="K164" i="22"/>
  <c r="K166" i="22" s="1"/>
  <c r="C26" i="23"/>
  <c r="D26" i="23" s="1"/>
  <c r="E26" i="23" s="1"/>
  <c r="F26" i="23" s="1"/>
  <c r="G26" i="23" s="1"/>
  <c r="H26" i="23" s="1"/>
  <c r="I26" i="23" s="1"/>
  <c r="J26" i="23" s="1"/>
  <c r="K26" i="23" s="1"/>
  <c r="L26" i="23" s="1"/>
  <c r="M26" i="23" s="1"/>
  <c r="N26" i="23" s="1"/>
  <c r="B33" i="23" s="1"/>
  <c r="B35" i="23" s="1"/>
  <c r="G191" i="21"/>
  <c r="F195" i="21"/>
  <c r="H189" i="21"/>
  <c r="H165" i="21"/>
  <c r="J202" i="22"/>
  <c r="J204" i="22"/>
  <c r="J206" i="22" s="1"/>
  <c r="I166" i="21" s="1"/>
  <c r="I193" i="21" s="1"/>
  <c r="G209" i="22"/>
  <c r="H166" i="21"/>
  <c r="G194" i="21"/>
  <c r="G195" i="21" s="1"/>
  <c r="D17" i="23"/>
  <c r="E17" i="23" s="1"/>
  <c r="F17" i="23" s="1"/>
  <c r="G17" i="23" s="1"/>
  <c r="H17" i="23" s="1"/>
  <c r="I17" i="23" s="1"/>
  <c r="J17" i="23" s="1"/>
  <c r="K17" i="23" s="1"/>
  <c r="L17" i="23" s="1"/>
  <c r="M17" i="23" s="1"/>
  <c r="Q122" i="21"/>
  <c r="I184" i="22"/>
  <c r="I186" i="22" s="1"/>
  <c r="I182" i="22"/>
  <c r="J184" i="22" l="1"/>
  <c r="J186" i="22" s="1"/>
  <c r="J182" i="22"/>
  <c r="H164" i="21"/>
  <c r="I208" i="22"/>
  <c r="I189" i="21"/>
  <c r="H192" i="21"/>
  <c r="L164" i="22"/>
  <c r="L166" i="22" s="1"/>
  <c r="L162" i="22"/>
  <c r="K172" i="22"/>
  <c r="K174" i="22"/>
  <c r="K176" i="22" s="1"/>
  <c r="Q17" i="23"/>
  <c r="J162" i="21"/>
  <c r="K192" i="22"/>
  <c r="K194" i="22"/>
  <c r="K196" i="22" s="1"/>
  <c r="H193" i="21"/>
  <c r="K204" i="22"/>
  <c r="K206" i="22" s="1"/>
  <c r="K202" i="22"/>
  <c r="Q26" i="23"/>
  <c r="J166" i="21" l="1"/>
  <c r="L192" i="22"/>
  <c r="L194" i="22"/>
  <c r="L196" i="22" s="1"/>
  <c r="K165" i="21" s="1"/>
  <c r="K192" i="21" s="1"/>
  <c r="I209" i="22"/>
  <c r="L204" i="22"/>
  <c r="L206" i="22" s="1"/>
  <c r="K166" i="21" s="1"/>
  <c r="K193" i="21" s="1"/>
  <c r="L202" i="22"/>
  <c r="J163" i="21"/>
  <c r="K184" i="22"/>
  <c r="K186" i="22" s="1"/>
  <c r="K182" i="22"/>
  <c r="K162" i="21"/>
  <c r="J189" i="21"/>
  <c r="H191" i="21"/>
  <c r="H167" i="21"/>
  <c r="H168" i="21" s="1"/>
  <c r="L174" i="22"/>
  <c r="L176" i="22" s="1"/>
  <c r="K163" i="21" s="1"/>
  <c r="K190" i="21" s="1"/>
  <c r="L172" i="22"/>
  <c r="I164" i="21"/>
  <c r="J208" i="22"/>
  <c r="J209" i="22" s="1"/>
  <c r="J165" i="21"/>
  <c r="M164" i="22"/>
  <c r="M166" i="22" s="1"/>
  <c r="M162" i="22"/>
  <c r="I191" i="21" l="1"/>
  <c r="I194" i="21" s="1"/>
  <c r="I167" i="21"/>
  <c r="I168" i="21" s="1"/>
  <c r="J193" i="21"/>
  <c r="M174" i="22"/>
  <c r="M176" i="22" s="1"/>
  <c r="L163" i="21" s="1"/>
  <c r="L190" i="21" s="1"/>
  <c r="M172" i="22"/>
  <c r="K189" i="21"/>
  <c r="L184" i="22"/>
  <c r="L186" i="22" s="1"/>
  <c r="L182" i="22"/>
  <c r="J164" i="21"/>
  <c r="K208" i="22"/>
  <c r="K209" i="22" s="1"/>
  <c r="M192" i="22"/>
  <c r="M194" i="22"/>
  <c r="M196" i="22" s="1"/>
  <c r="L165" i="21" s="1"/>
  <c r="L192" i="21" s="1"/>
  <c r="M202" i="22"/>
  <c r="M204" i="22"/>
  <c r="M206" i="22" s="1"/>
  <c r="L166" i="21" s="1"/>
  <c r="L193" i="21" s="1"/>
  <c r="N164" i="22"/>
  <c r="N166" i="22" s="1"/>
  <c r="N162" i="22"/>
  <c r="L162" i="21"/>
  <c r="J192" i="21"/>
  <c r="H194" i="21"/>
  <c r="H195" i="21" s="1"/>
  <c r="J190" i="21"/>
  <c r="N172" i="22" l="1"/>
  <c r="N174" i="22"/>
  <c r="N176" i="22" s="1"/>
  <c r="M163" i="21" s="1"/>
  <c r="M190" i="21" s="1"/>
  <c r="O164" i="22"/>
  <c r="O166" i="22" s="1"/>
  <c r="O162" i="22"/>
  <c r="J191" i="21"/>
  <c r="J194" i="21" s="1"/>
  <c r="J195" i="21" s="1"/>
  <c r="J167" i="21"/>
  <c r="J168" i="21" s="1"/>
  <c r="M184" i="22"/>
  <c r="M186" i="22" s="1"/>
  <c r="L164" i="21" s="1"/>
  <c r="L191" i="21" s="1"/>
  <c r="M182" i="22"/>
  <c r="L189" i="21"/>
  <c r="L194" i="21" s="1"/>
  <c r="L167" i="21"/>
  <c r="M208" i="22"/>
  <c r="M209" i="22" s="1"/>
  <c r="M162" i="21"/>
  <c r="N204" i="22"/>
  <c r="N206" i="22" s="1"/>
  <c r="M166" i="21" s="1"/>
  <c r="N202" i="22"/>
  <c r="K164" i="21"/>
  <c r="L208" i="22"/>
  <c r="L209" i="22" s="1"/>
  <c r="N194" i="22"/>
  <c r="N196" i="22" s="1"/>
  <c r="M165" i="21" s="1"/>
  <c r="N192" i="22"/>
  <c r="I195" i="21"/>
  <c r="P164" i="22" l="1"/>
  <c r="P166" i="22" s="1"/>
  <c r="P162" i="22"/>
  <c r="L168" i="21"/>
  <c r="O204" i="22"/>
  <c r="O206" i="22" s="1"/>
  <c r="N166" i="21" s="1"/>
  <c r="N193" i="21" s="1"/>
  <c r="O202" i="22"/>
  <c r="L195" i="21"/>
  <c r="M192" i="21"/>
  <c r="K191" i="21"/>
  <c r="K194" i="21" s="1"/>
  <c r="K195" i="21" s="1"/>
  <c r="K167" i="21"/>
  <c r="K168" i="21" s="1"/>
  <c r="N162" i="21"/>
  <c r="M193" i="21"/>
  <c r="N182" i="22"/>
  <c r="N184" i="22"/>
  <c r="N186" i="22" s="1"/>
  <c r="M164" i="21" s="1"/>
  <c r="M191" i="21" s="1"/>
  <c r="O172" i="22"/>
  <c r="O174" i="22"/>
  <c r="O176" i="22" s="1"/>
  <c r="N163" i="21" s="1"/>
  <c r="N190" i="21" s="1"/>
  <c r="N208" i="22"/>
  <c r="N209" i="22" s="1"/>
  <c r="O192" i="22"/>
  <c r="O194" i="22"/>
  <c r="O196" i="22" s="1"/>
  <c r="N165" i="21" s="1"/>
  <c r="N192" i="21" s="1"/>
  <c r="M189" i="21"/>
  <c r="M194" i="21" s="1"/>
  <c r="M195" i="21" s="1"/>
  <c r="M167" i="21"/>
  <c r="M168" i="21" s="1"/>
  <c r="O184" i="22" l="1"/>
  <c r="O186" i="22" s="1"/>
  <c r="O182" i="22"/>
  <c r="P192" i="22"/>
  <c r="P194" i="22"/>
  <c r="P196" i="22" s="1"/>
  <c r="P202" i="22"/>
  <c r="P204" i="22"/>
  <c r="P206" i="22" s="1"/>
  <c r="N189" i="21"/>
  <c r="P174" i="22"/>
  <c r="P176" i="22" s="1"/>
  <c r="P172" i="22"/>
  <c r="O162" i="21"/>
  <c r="Q166" i="22"/>
  <c r="O189" i="21" l="1"/>
  <c r="P162" i="21"/>
  <c r="P182" i="22"/>
  <c r="P184" i="22"/>
  <c r="P186" i="22" s="1"/>
  <c r="O166" i="21"/>
  <c r="Q206" i="22"/>
  <c r="O165" i="21"/>
  <c r="Q196" i="22"/>
  <c r="O163" i="21"/>
  <c r="Q176" i="22"/>
  <c r="AH20" i="10" s="1"/>
  <c r="N164" i="21"/>
  <c r="O208" i="22"/>
  <c r="O209" i="22" s="1"/>
  <c r="O193" i="21" l="1"/>
  <c r="P193" i="21" s="1"/>
  <c r="P166" i="21"/>
  <c r="O164" i="21"/>
  <c r="Q186" i="22"/>
  <c r="AH20" i="9" s="1"/>
  <c r="P208" i="22"/>
  <c r="O192" i="21"/>
  <c r="P192" i="21" s="1"/>
  <c r="P165" i="21"/>
  <c r="N191" i="21"/>
  <c r="N194" i="21" s="1"/>
  <c r="N195" i="21" s="1"/>
  <c r="N167" i="21"/>
  <c r="N168" i="21" s="1"/>
  <c r="AI20" i="10"/>
  <c r="AJ20" i="10" s="1"/>
  <c r="AK20" i="10" s="1"/>
  <c r="AH43" i="10"/>
  <c r="O190" i="21"/>
  <c r="P190" i="21" s="1"/>
  <c r="P163" i="21"/>
  <c r="O167" i="21"/>
  <c r="O168" i="21" s="1"/>
  <c r="P189" i="21"/>
  <c r="P209" i="22" l="1"/>
  <c r="Q208" i="22"/>
  <c r="G21" i="5" s="1"/>
  <c r="I24" i="5" s="1"/>
  <c r="AH21" i="4"/>
  <c r="AH44" i="4" s="1"/>
  <c r="AI20" i="9"/>
  <c r="AH43" i="9"/>
  <c r="O191" i="21"/>
  <c r="P164" i="21"/>
  <c r="P167" i="21" s="1"/>
  <c r="P191" i="21" l="1"/>
  <c r="P194" i="21" s="1"/>
  <c r="O194" i="21"/>
  <c r="O195" i="21" s="1"/>
  <c r="Q195" i="21" s="1"/>
  <c r="G13" i="5" s="1"/>
  <c r="AI21" i="4"/>
  <c r="AJ20" i="9"/>
  <c r="AJ21" i="4" l="1"/>
  <c r="AK20" i="9"/>
  <c r="AK21" i="4" s="1"/>
  <c r="N33" i="23" s="1"/>
  <c r="O33" i="23" s="1"/>
  <c r="P33" i="23" s="1"/>
  <c r="C35" i="23" s="1"/>
  <c r="D35" i="23" l="1"/>
  <c r="E35" i="23" s="1"/>
  <c r="F35" i="23" s="1"/>
  <c r="G35" i="23" s="1"/>
  <c r="H35" i="23" s="1"/>
  <c r="I35" i="23" s="1"/>
  <c r="J35" i="23" s="1"/>
  <c r="K35" i="23" s="1"/>
  <c r="L35" i="23" s="1"/>
  <c r="M35" i="23" s="1"/>
  <c r="N35" i="23" s="1"/>
  <c r="Q35" i="23" l="1"/>
  <c r="G14" i="5" s="1"/>
  <c r="I15" i="5" s="1"/>
  <c r="I19" i="5" s="1"/>
  <c r="I26" i="5" s="1"/>
  <c r="I30" i="5" s="1"/>
  <c r="D21" i="7" s="1"/>
  <c r="D15" i="7" l="1"/>
  <c r="F15" i="7" s="1"/>
  <c r="H15" i="7" s="1"/>
  <c r="D17" i="7"/>
  <c r="F17" i="7" s="1"/>
  <c r="H17" i="7" s="1"/>
  <c r="D19" i="7"/>
  <c r="F19" i="7" s="1"/>
  <c r="H19" i="7" s="1"/>
  <c r="D13" i="7"/>
  <c r="F13" i="7" s="1"/>
  <c r="H13" i="7" s="1"/>
</calcChain>
</file>

<file path=xl/sharedStrings.xml><?xml version="1.0" encoding="utf-8"?>
<sst xmlns="http://schemas.openxmlformats.org/spreadsheetml/2006/main" count="1247" uniqueCount="299">
  <si>
    <t>Year</t>
  </si>
  <si>
    <t>Ln.</t>
  </si>
  <si>
    <t>No.</t>
  </si>
  <si>
    <t>Capital Structure</t>
  </si>
  <si>
    <t>Equity</t>
  </si>
  <si>
    <t>Long term Debt</t>
  </si>
  <si>
    <t>Short term Debt</t>
  </si>
  <si>
    <t>Ratio</t>
  </si>
  <si>
    <t>Cost</t>
  </si>
  <si>
    <t>Total</t>
  </si>
  <si>
    <t xml:space="preserve">Weighted </t>
  </si>
  <si>
    <t>Pre-Tax @</t>
  </si>
  <si>
    <t>Columbia Gas of Kentucky, Inc.</t>
  </si>
  <si>
    <t>($)</t>
  </si>
  <si>
    <t xml:space="preserve">Annual </t>
  </si>
  <si>
    <t xml:space="preserve">Book </t>
  </si>
  <si>
    <t>Accumulated</t>
  </si>
  <si>
    <t>Year 9</t>
  </si>
  <si>
    <t>Year 10</t>
  </si>
  <si>
    <t>Tax</t>
  </si>
  <si>
    <t>Tax @</t>
  </si>
  <si>
    <t xml:space="preserve">Deferred </t>
  </si>
  <si>
    <t>Additions</t>
  </si>
  <si>
    <t>Depreciation</t>
  </si>
  <si>
    <t>Difference</t>
  </si>
  <si>
    <t>Inc. Taxes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</si>
  <si>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</si>
  <si>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</si>
  <si>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</si>
  <si>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</si>
  <si>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</si>
  <si>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</si>
  <si>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</si>
  <si>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</si>
  <si>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</si>
  <si>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</si>
  <si>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Effect tax of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</si>
  <si>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</si>
  <si>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</si>
  <si>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</si>
  <si>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</si>
  <si>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</si>
  <si>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</si>
  <si>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</si>
  <si>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</si>
  <si>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</si>
  <si>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</si>
  <si>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Deferred</t>
  </si>
  <si>
    <t>Description</t>
  </si>
  <si>
    <t>Line</t>
  </si>
  <si>
    <t xml:space="preserve">No. </t>
  </si>
  <si>
    <t>Reference</t>
  </si>
  <si>
    <t>Cost of Removal</t>
  </si>
  <si>
    <t>Rate Schedule</t>
  </si>
  <si>
    <t>Allocation</t>
  </si>
  <si>
    <t>Revenue</t>
  </si>
  <si>
    <t>Requirement</t>
  </si>
  <si>
    <t>Billing</t>
  </si>
  <si>
    <t>Determinant</t>
  </si>
  <si>
    <t>Rider</t>
  </si>
  <si>
    <t>Monthly</t>
  </si>
  <si>
    <t>TOTAL</t>
  </si>
  <si>
    <t>Retirements</t>
  </si>
  <si>
    <t>Rate GSR, Rate SVGTS - Residential Service</t>
  </si>
  <si>
    <t>Rate GSO, Rate GDS, Rate SVGTS - Com. or Ind. Service</t>
  </si>
  <si>
    <t>Rate IUS, Rate IUDS</t>
  </si>
  <si>
    <t>Columbia Gas of Kentucky</t>
  </si>
  <si>
    <t>IUS, IUDS</t>
  </si>
  <si>
    <t>IS, DS</t>
  </si>
  <si>
    <t>Cost of</t>
  </si>
  <si>
    <t>Removal</t>
  </si>
  <si>
    <t>Notes:</t>
  </si>
  <si>
    <t>Tax Depr Rates</t>
  </si>
  <si>
    <t>MACRS 20 Year</t>
  </si>
  <si>
    <t>Repairs %</t>
  </si>
  <si>
    <t>263a %</t>
  </si>
  <si>
    <t>Calculation of Accumulated Deferred Income Tax</t>
  </si>
  <si>
    <t>Projected O&amp;M Savings</t>
  </si>
  <si>
    <t>Calculation of O&amp;M Savings</t>
  </si>
  <si>
    <t>FERC Account 887</t>
  </si>
  <si>
    <t>Line No.</t>
  </si>
  <si>
    <t>May</t>
  </si>
  <si>
    <t>Table of Contents</t>
  </si>
  <si>
    <t>1.0</t>
  </si>
  <si>
    <t>1.1</t>
  </si>
  <si>
    <t>Form Number</t>
  </si>
  <si>
    <t>Cost of Capital</t>
  </si>
  <si>
    <t>2.0</t>
  </si>
  <si>
    <t>Revenue Requirement</t>
  </si>
  <si>
    <t>3.0</t>
  </si>
  <si>
    <t>O&amp;M Savings</t>
  </si>
  <si>
    <t>4.0</t>
  </si>
  <si>
    <t>Cumulative</t>
  </si>
  <si>
    <t>[1] Plant additions eligible for repairs tax deduction.</t>
  </si>
  <si>
    <t>Adjustment</t>
  </si>
  <si>
    <t>Total Plant Additions</t>
  </si>
  <si>
    <t>Plant Additions [1]</t>
  </si>
  <si>
    <t>Composite Tax Rate [2]</t>
  </si>
  <si>
    <t>[1] Plant additions not eligible for repairs tax deduction.</t>
  </si>
  <si>
    <t>Bonus Tax</t>
  </si>
  <si>
    <t>24.95% [3]</t>
  </si>
  <si>
    <t>Balancing</t>
  </si>
  <si>
    <r>
      <t xml:space="preserve">Percent </t>
    </r>
    <r>
      <rPr>
        <b/>
        <u/>
        <vertAlign val="superscript"/>
        <sz val="12"/>
        <rFont val="Arial"/>
        <family val="2"/>
      </rPr>
      <t>(1)</t>
    </r>
  </si>
  <si>
    <r>
      <rPr>
        <vertAlign val="superscript"/>
        <sz val="12"/>
        <rFont val="Arial"/>
        <family val="2"/>
      </rPr>
      <t>(3)</t>
    </r>
    <r>
      <rPr>
        <sz val="10"/>
        <rFont val="Arial"/>
        <family val="2"/>
      </rPr>
      <t xml:space="preserve"> Excluding customers subject to the Flex Provisions of Rate Schedule DS.</t>
    </r>
  </si>
  <si>
    <t>SMRP Rates by Rate Schedule</t>
  </si>
  <si>
    <t>SMRP</t>
  </si>
  <si>
    <t>SMRP Rider by Rate Schedule</t>
  </si>
  <si>
    <t>SMRP Rider</t>
  </si>
  <si>
    <t>SMRP Form 1.0</t>
  </si>
  <si>
    <t>Annual Adjustment to the Safety Modification and Replacement Program ("SMRP")</t>
  </si>
  <si>
    <t>Required Return on SMRP Related Investment</t>
  </si>
  <si>
    <t>SMRP Investment</t>
  </si>
  <si>
    <t>Annual Adjustment to the Safety Modification and Replacement Program</t>
  </si>
  <si>
    <t>SMRP Form 2.1</t>
  </si>
  <si>
    <t>Accumulated Deferred Income Tax</t>
  </si>
  <si>
    <t>Net Rate Base (Line 1 + Line 2 + Line 3)</t>
  </si>
  <si>
    <t>Rate of Return</t>
  </si>
  <si>
    <t>Calculation</t>
  </si>
  <si>
    <t>Depreciation Expense</t>
  </si>
  <si>
    <t>Return on Rate Base</t>
  </si>
  <si>
    <t>Property Tax</t>
  </si>
  <si>
    <t>PERCENTAGE OF</t>
  </si>
  <si>
    <t>INCREMENTAL</t>
  </si>
  <si>
    <t>DESCRIPTION</t>
  </si>
  <si>
    <t>GROSS REVENUE</t>
  </si>
  <si>
    <t>OPERATING REVENUE</t>
  </si>
  <si>
    <t>LESS: PSC FEES</t>
  </si>
  <si>
    <t>NET REVENUES</t>
  </si>
  <si>
    <t>GROSS REVENUE CONVERSION FACTOR</t>
  </si>
  <si>
    <t>PSC Assessment &amp; Uncollectible Conversion Factor</t>
  </si>
  <si>
    <t>Line 4 * Line 5</t>
  </si>
  <si>
    <t>Line 1 + Line 2 + Line 3</t>
  </si>
  <si>
    <t>Revenue Requirement Before PSC  Assessment/Uncollectible</t>
  </si>
  <si>
    <t>376 Mains</t>
  </si>
  <si>
    <t>378 Plant Regulators</t>
  </si>
  <si>
    <t>380 Service Lines</t>
  </si>
  <si>
    <t>382 Meter Installations</t>
  </si>
  <si>
    <t>383 House Regulators</t>
  </si>
  <si>
    <t>Plant In Service</t>
  </si>
  <si>
    <t>Total Plant In Service</t>
  </si>
  <si>
    <t>December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</si>
  <si>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</si>
  <si>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</si>
  <si>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</si>
  <si>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</si>
  <si>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</si>
  <si>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</si>
  <si>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</si>
  <si>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</si>
  <si>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</si>
  <si>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</si>
  <si>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Cumulative Total</t>
  </si>
  <si>
    <t>13 Month Average</t>
  </si>
  <si>
    <t xml:space="preserve">   Total Monthly Additions</t>
  </si>
  <si>
    <t xml:space="preserve">   Total Cumulative Additions</t>
  </si>
  <si>
    <t xml:space="preserve">   Total Monthly Retirements</t>
  </si>
  <si>
    <t xml:space="preserve">   Total Cumulative Retirements</t>
  </si>
  <si>
    <t xml:space="preserve">   Total Plant In Service Monthly Activity</t>
  </si>
  <si>
    <t xml:space="preserve">   Total Depreciation Monthly</t>
  </si>
  <si>
    <t xml:space="preserve">   Total Cumulative Depreciation</t>
  </si>
  <si>
    <t xml:space="preserve">   Total Monthly Cost of Removal</t>
  </si>
  <si>
    <t xml:space="preserve">   Total Cumulative Cost of Removal</t>
  </si>
  <si>
    <t>Rate by GPA</t>
  </si>
  <si>
    <t xml:space="preserve">    Cumulative Balance</t>
  </si>
  <si>
    <t>Depreciation on Prior Month Balance</t>
  </si>
  <si>
    <t>1/2 Month Depreciation on Current Month Activity</t>
  </si>
  <si>
    <t xml:space="preserve">  Additions</t>
  </si>
  <si>
    <t xml:space="preserve">  Retirements</t>
  </si>
  <si>
    <t>Total Depreciation - Monthly</t>
  </si>
  <si>
    <t>Total Cumulative Depreciation</t>
  </si>
  <si>
    <t>Total Accumulated Depreciation</t>
  </si>
  <si>
    <t xml:space="preserve">   Total Accumulated Depreciation Activity</t>
  </si>
  <si>
    <t xml:space="preserve">   Total Accumulated Depreciation Cumulative</t>
  </si>
  <si>
    <t>Accumulated Depreciation</t>
  </si>
  <si>
    <t>Mains &amp; Services</t>
  </si>
  <si>
    <t>[2] Composite rate including mixed services 263A (4.01%)</t>
  </si>
  <si>
    <t>[3] Deferred Taxes calculated using 21% Corporate Tax Rate and 5% State Tax Rate.</t>
  </si>
  <si>
    <t>Activity</t>
  </si>
  <si>
    <t>13 Month Ave.</t>
  </si>
  <si>
    <t>SMRP Form 2.0</t>
  </si>
  <si>
    <t>SMRP Form 2.2</t>
  </si>
  <si>
    <t>5.0</t>
  </si>
  <si>
    <t>6.0</t>
  </si>
  <si>
    <t>6.1</t>
  </si>
  <si>
    <t>ADIT - Normalized</t>
  </si>
  <si>
    <t>ADIT - Calculation</t>
  </si>
  <si>
    <t>7.0</t>
  </si>
  <si>
    <t>Property Tax Expense</t>
  </si>
  <si>
    <t>8.0</t>
  </si>
  <si>
    <t>SMRP Form 8.0</t>
  </si>
  <si>
    <t>Subtotal Depreciation, Property Tax and O&amp;M Savings</t>
  </si>
  <si>
    <t>SMRP Rider Billing Determinants by Rate Schedule - Estimated Billing Volumes</t>
  </si>
  <si>
    <t>Form 2.1</t>
  </si>
  <si>
    <t>Form 2.2</t>
  </si>
  <si>
    <r>
      <t xml:space="preserve">Volumes </t>
    </r>
    <r>
      <rPr>
        <b/>
        <u/>
        <vertAlign val="superscript"/>
        <sz val="12"/>
        <rFont val="Arial"/>
        <family val="2"/>
      </rPr>
      <t>(2)</t>
    </r>
  </si>
  <si>
    <t>SMRP Form 3.0</t>
  </si>
  <si>
    <t>SMRP Form 7.0</t>
  </si>
  <si>
    <t>Property Tax Calculation</t>
  </si>
  <si>
    <t>Operating Expenses</t>
  </si>
  <si>
    <r>
      <t xml:space="preserve">Property Tax </t>
    </r>
    <r>
      <rPr>
        <vertAlign val="superscript"/>
        <sz val="12"/>
        <rFont val="Arial"/>
        <family val="2"/>
      </rPr>
      <t>(1)</t>
    </r>
  </si>
  <si>
    <t>Net SMRP Investment-Property, Plant and Equipment</t>
  </si>
  <si>
    <t>Estimate</t>
  </si>
  <si>
    <t>SMRP Form 4.0</t>
  </si>
  <si>
    <t>SMRP Form 5.0</t>
  </si>
  <si>
    <t>Calculation of Accumulated Deferred Income Tax (Normalized)</t>
  </si>
  <si>
    <t>SMRP Form 6.0</t>
  </si>
  <si>
    <t>ADIT Balance - Form 6.1</t>
  </si>
  <si>
    <t>2023 Normalized ADIT</t>
  </si>
  <si>
    <t>Monthly Activity</t>
  </si>
  <si>
    <t>2022 O&amp;M Account 887 per Case No. 2021-00183</t>
  </si>
  <si>
    <t>SMRP Form 6.1</t>
  </si>
  <si>
    <t>Page 3 of 3</t>
  </si>
  <si>
    <t>Page 2 of 3</t>
  </si>
  <si>
    <t>Page 1 of 3</t>
  </si>
  <si>
    <t xml:space="preserve">    Monthly Activity</t>
  </si>
  <si>
    <t xml:space="preserve">   Total Cumulative Plant In Service</t>
  </si>
  <si>
    <t>Line 6 + Line 10</t>
  </si>
  <si>
    <t>Line 11 * Line 12</t>
  </si>
  <si>
    <t xml:space="preserve">Tax @ [1] </t>
  </si>
  <si>
    <t>Summary of Form 6.1,  Pages 2 and 3</t>
  </si>
  <si>
    <t xml:space="preserve">380 Service Lines </t>
  </si>
  <si>
    <t>( A )</t>
  </si>
  <si>
    <t>( B )</t>
  </si>
  <si>
    <t>( C )</t>
  </si>
  <si>
    <t>( D )</t>
  </si>
  <si>
    <t>( E )</t>
  </si>
  <si>
    <t>( F )</t>
  </si>
  <si>
    <t>( G )</t>
  </si>
  <si>
    <t>( H )</t>
  </si>
  <si>
    <t>( I )</t>
  </si>
  <si>
    <t>( J )</t>
  </si>
  <si>
    <t>( K )</t>
  </si>
  <si>
    <t>( L )</t>
  </si>
  <si>
    <t>( M )</t>
  </si>
  <si>
    <t>( N )</t>
  </si>
  <si>
    <t>( B)</t>
  </si>
  <si>
    <t xml:space="preserve">( C ) </t>
  </si>
  <si>
    <t xml:space="preserve">( L ) </t>
  </si>
  <si>
    <t>(N= M-A)</t>
  </si>
  <si>
    <t>( O )</t>
  </si>
  <si>
    <t>(O=N/12)</t>
  </si>
  <si>
    <t>( P )</t>
  </si>
  <si>
    <t>Form 3.0 and 4.0</t>
  </si>
  <si>
    <t xml:space="preserve">376 Mains </t>
  </si>
  <si>
    <t xml:space="preserve">378 Plant Regulators </t>
  </si>
  <si>
    <t>Volumetric</t>
  </si>
  <si>
    <t>GSR /GTR - Residential</t>
  </si>
  <si>
    <t>GSO/GTO/GDS - Commercial or Industrial</t>
  </si>
  <si>
    <t>Total Mcf</t>
  </si>
  <si>
    <t xml:space="preserve">     Total</t>
  </si>
  <si>
    <t>PSC Assessment Conversion Factor</t>
  </si>
  <si>
    <t>Conversion Factor - PSC fees</t>
  </si>
  <si>
    <t>2024 Accumulated Depreciation</t>
  </si>
  <si>
    <t>2024 Depreciation Expense</t>
  </si>
  <si>
    <t>Form 3.0</t>
  </si>
  <si>
    <t>Form 4.0</t>
  </si>
  <si>
    <t>From 6.0</t>
  </si>
  <si>
    <t>Projected Volumes</t>
  </si>
  <si>
    <t>Actual</t>
  </si>
  <si>
    <t>SMRP Table of Contents</t>
  </si>
  <si>
    <t>SMRP Form 1.1</t>
  </si>
  <si>
    <t>Line 7 + Line 8 + Line 9</t>
  </si>
  <si>
    <t xml:space="preserve">    Total Depreciation - 376 Mains</t>
  </si>
  <si>
    <t xml:space="preserve">    Total Depreciation - 378 Plant Regulators</t>
  </si>
  <si>
    <t xml:space="preserve">    Total Depreciation - 380 Service Lines</t>
  </si>
  <si>
    <t xml:space="preserve">    Total Depreciation - 382 Meter Installations</t>
  </si>
  <si>
    <t xml:space="preserve">    Total Depreciation - 383 House Regulators</t>
  </si>
  <si>
    <t>2024 Normalized ADIT</t>
  </si>
  <si>
    <t>[1] Deferred Taxes calculated using 21% Corporate Tax Rate and 5% State Tax Rate.</t>
  </si>
  <si>
    <t>Investment subject to Property Tax</t>
  </si>
  <si>
    <r>
      <t xml:space="preserve">SMRP Rider </t>
    </r>
    <r>
      <rPr>
        <b/>
        <u/>
        <vertAlign val="superscript"/>
        <sz val="12"/>
        <rFont val="Arial"/>
        <family val="2"/>
      </rPr>
      <t>[4]</t>
    </r>
  </si>
  <si>
    <r>
      <t xml:space="preserve">Rate IS, Rate DS </t>
    </r>
    <r>
      <rPr>
        <vertAlign val="superscript"/>
        <sz val="12"/>
        <rFont val="Arial"/>
        <family val="2"/>
      </rPr>
      <t>(3)</t>
    </r>
    <r>
      <rPr>
        <sz val="12"/>
        <rFont val="Arial"/>
        <family val="2"/>
      </rPr>
      <t>, Rate SAS</t>
    </r>
  </si>
  <si>
    <r>
      <t xml:space="preserve">Annual Adjustment to the Safety Modification and Replacement Program </t>
    </r>
    <r>
      <rPr>
        <b/>
        <vertAlign val="superscript"/>
        <sz val="12"/>
        <rFont val="Arial"/>
        <family val="2"/>
      </rPr>
      <t>[1]</t>
    </r>
  </si>
  <si>
    <t>Forecasted Period Ending December 31, 2025</t>
  </si>
  <si>
    <t>For the Twelve Months Ending December 31, 2025</t>
  </si>
  <si>
    <t xml:space="preserve">2024 Plant In Service </t>
  </si>
  <si>
    <t>2025 Plant In Service</t>
  </si>
  <si>
    <t>2025 Accumulated Depreciation</t>
  </si>
  <si>
    <t>2025 Depreciation Expense</t>
  </si>
  <si>
    <t>Form 5.0</t>
  </si>
  <si>
    <t>Form 7.0</t>
  </si>
  <si>
    <t>Form 8.0</t>
  </si>
  <si>
    <t>Forecasted SMRP Revenue Requirement For the Thirteen Months Ending December 31, 2025</t>
  </si>
  <si>
    <r>
      <t xml:space="preserve">2023 O&amp;M Account 887 Costs </t>
    </r>
    <r>
      <rPr>
        <vertAlign val="superscript"/>
        <sz val="12"/>
        <rFont val="Arial"/>
        <family val="2"/>
      </rPr>
      <t>[1]</t>
    </r>
  </si>
  <si>
    <r>
      <rPr>
        <vertAlign val="superscript"/>
        <sz val="12"/>
        <rFont val="Arial"/>
        <family val="2"/>
      </rPr>
      <t>[1]</t>
    </r>
    <r>
      <rPr>
        <sz val="12"/>
        <rFont val="Arial"/>
        <family val="2"/>
      </rPr>
      <t xml:space="preserve"> 2023 O&amp;M reflects the last actual O&amp;M costs. </t>
    </r>
  </si>
  <si>
    <t xml:space="preserve">  This will be updated to actual O&amp;M costs in SMRP BA filing (filed March 2025)</t>
  </si>
  <si>
    <t xml:space="preserve">   2022 Last approved base rate costs.</t>
  </si>
  <si>
    <t xml:space="preserve">2023 Plant In Service </t>
  </si>
  <si>
    <t>2023 Accumulated Depreciation</t>
  </si>
  <si>
    <t>2023 Depreciation Expense</t>
  </si>
  <si>
    <r>
      <rPr>
        <vertAlign val="superscript"/>
        <sz val="12"/>
        <rFont val="Arial"/>
        <family val="2"/>
      </rPr>
      <t>(4)</t>
    </r>
    <r>
      <rPr>
        <sz val="10"/>
        <rFont val="Arial"/>
        <family val="2"/>
      </rPr>
      <t xml:space="preserve"> Balancing Adjustment - per Case No. 2024-00074</t>
    </r>
  </si>
  <si>
    <r>
      <rPr>
        <vertAlign val="superscript"/>
        <sz val="12"/>
        <rFont val="Arial"/>
        <family val="2"/>
      </rPr>
      <t>(2)</t>
    </r>
    <r>
      <rPr>
        <sz val="10"/>
        <rFont val="Arial"/>
        <family val="2"/>
      </rPr>
      <t xml:space="preserve"> Billing Determinants based on projected 2025 volumes</t>
    </r>
  </si>
  <si>
    <t>Line 1 * 1.5297%</t>
  </si>
  <si>
    <t>Case No. 2024-00328</t>
  </si>
  <si>
    <t>Reflects Cost of Capital as filed in PSC Case No. 2024-00092 Stipulation</t>
  </si>
  <si>
    <t>Reflects Gross Conversion Factor as filed in PSC Case No. 2024-00092 Stipulation</t>
  </si>
  <si>
    <r>
      <rPr>
        <vertAlign val="superscript"/>
        <sz val="12"/>
        <rFont val="Arial"/>
        <family val="2"/>
      </rPr>
      <t>(1)</t>
    </r>
    <r>
      <rPr>
        <sz val="12"/>
        <rFont val="Arial"/>
        <family val="2"/>
      </rPr>
      <t xml:space="preserve"> Property taxes rate is filed for rate in 2024-00092 Stipulation</t>
    </r>
  </si>
  <si>
    <t>[2] Composite rate including repairs (36.28%) and mixed services 263A (4.01%)</t>
  </si>
  <si>
    <r>
      <rPr>
        <vertAlign val="superscript"/>
        <sz val="12"/>
        <rFont val="Arial"/>
        <family val="2"/>
      </rPr>
      <t>(1)</t>
    </r>
    <r>
      <rPr>
        <sz val="10"/>
        <rFont val="Arial"/>
        <family val="2"/>
      </rPr>
      <t xml:space="preserve"> Allocation percent is based on the as filed overall base revenue distribution in PSC Case No. 2024-00092 Stipulation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</si>
</sst>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0_);_(* \(#,##0.0000\);_(* &quot;-&quot;??_);_(@_)"/>
    <numFmt numFmtId="167" formatCode="0.000%"/>
    <numFmt numFmtId="168" formatCode="_(&quot;$&quot;* #,##0_);_(&quot;$&quot;* \(#,##0\);_(&quot;$&quot;* &quot;-&quot;??_);_(@_)"/>
    <numFmt numFmtId="169" formatCode="_(* #,##0.00000_);_(* \(#,##0.00000\);_(* &quot;-&quot;??_);_(@_)"/>
    <numFmt numFmtId="170" formatCode="[$-409]mmmm\ d\,\ yyyy;@"/>
    <numFmt numFmtId="171" formatCode="[$-409]m/d/yy\ h:mm\ AM/PM;@"/>
    <numFmt numFmtId="172" formatCode="&quot;$&quot;#,##0.00"/>
    <numFmt numFmtId="173" formatCode="0.000000%"/>
    <numFmt numFmtId="174" formatCode="0.0000%"/>
    <numFmt numFmtId="175" formatCode="0.000000_)"/>
    <numFmt numFmtId="176" formatCode="0.00000"/>
    <numFmt numFmtId="177" formatCode="#,##0.00000_);[Red]\(#,##0.00000\)"/>
    <numFmt numFmtId="178" formatCode="#,##0.0000_);[Red]\(#,##0.0000\)"/>
    <numFmt numFmtId="179" formatCode="0_);\(0\)"/>
    <numFmt numFmtId="180" formatCode="_(* #,##0.000_);_(* \(#,##0.000\);_(* &quot;-&quot;??_);_(@_)"/>
    <numFmt numFmtId="181" formatCode="_(* #,##0.0_);_(* \(#,##0.0\);_(* &quot;-&quot;??_);_(@_)"/>
    <numFmt numFmtId="182" formatCode="0.0000"/>
    <numFmt numFmtId="183" formatCode="_(* #,##0.000000_);_(* \(#,##0.000000\);_(* &quot;-&quot;??_);_(@_)"/>
  </numFmts>
  <fonts count="2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b/>
      <u/>
      <vertAlign val="superscript"/>
      <sz val="12"/>
      <name val="Arial"/>
      <family val="2"/>
    </font>
    <font>
      <sz val="8"/>
      <name val="Helv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 val="doubleAccounting"/>
      <sz val="12"/>
      <name val="Arial"/>
      <family val="2"/>
    </font>
    <font>
      <u/>
      <sz val="12"/>
      <name val="Arial"/>
      <family val="2"/>
    </font>
    <font>
      <u val="double"/>
      <sz val="12"/>
      <name val="Arial"/>
      <family val="2"/>
    </font>
    <font>
      <b/>
      <u val="singleAccounting"/>
      <sz val="12"/>
      <name val="Arial"/>
      <family val="2"/>
    </font>
    <font>
      <b/>
      <vertAlign val="superscript"/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 val="singleAccounting"/>
      <sz val="12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b/>
      <u/>
      <sz val="12"/>
      <color rgb="FF0000FF"/>
      <name val="Arial"/>
      <family val="2"/>
    </font>
    <font>
      <u val="singleAccounting"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0" fillId="0" borderId="0"/>
    <xf numFmtId="0" fontId="9" fillId="0" borderId="0" applyFill="0" applyBorder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5" fontId="5" fillId="0" borderId="0" xfId="0" applyNumberFormat="1" applyFont="1"/>
    <xf numFmtId="0" fontId="5" fillId="0" borderId="0" xfId="0" quotePrefix="1" applyFont="1"/>
    <xf numFmtId="174" fontId="5" fillId="0" borderId="0" xfId="9" applyNumberFormat="1" applyFont="1" applyFill="1"/>
    <xf numFmtId="0" fontId="11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37" fontId="11" fillId="0" borderId="0" xfId="0" applyNumberFormat="1" applyFont="1"/>
    <xf numFmtId="37" fontId="11" fillId="0" borderId="0" xfId="0" applyNumberFormat="1" applyFont="1" applyAlignment="1">
      <alignment horizontal="left"/>
    </xf>
    <xf numFmtId="181" fontId="11" fillId="0" borderId="1" xfId="1" applyNumberFormat="1" applyFont="1" applyFill="1" applyBorder="1"/>
    <xf numFmtId="181" fontId="11" fillId="0" borderId="0" xfId="1" applyNumberFormat="1" applyFont="1" applyFill="1"/>
    <xf numFmtId="0" fontId="13" fillId="0" borderId="0" xfId="0" applyFont="1" applyAlignment="1">
      <alignment horizontal="right"/>
    </xf>
    <xf numFmtId="0" fontId="13" fillId="0" borderId="0" xfId="0" applyFont="1"/>
    <xf numFmtId="0" fontId="11" fillId="0" borderId="0" xfId="0" quotePrefix="1" applyFont="1" applyAlignment="1">
      <alignment horizontal="center"/>
    </xf>
    <xf numFmtId="170" fontId="13" fillId="0" borderId="0" xfId="0" applyNumberFormat="1" applyFont="1" applyAlignment="1">
      <alignment horizontal="center"/>
    </xf>
    <xf numFmtId="37" fontId="12" fillId="0" borderId="0" xfId="0" quotePrefix="1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7" fontId="11" fillId="0" borderId="0" xfId="9" applyNumberFormat="1" applyFont="1" applyFill="1" applyBorder="1"/>
    <xf numFmtId="5" fontId="11" fillId="0" borderId="0" xfId="1" applyNumberFormat="1" applyFont="1" applyFill="1"/>
    <xf numFmtId="182" fontId="11" fillId="0" borderId="0" xfId="0" applyNumberFormat="1" applyFont="1"/>
    <xf numFmtId="176" fontId="11" fillId="0" borderId="0" xfId="0" applyNumberFormat="1" applyFont="1"/>
    <xf numFmtId="9" fontId="11" fillId="0" borderId="0" xfId="0" applyNumberFormat="1" applyFont="1" applyAlignment="1">
      <alignment horizontal="center"/>
    </xf>
    <xf numFmtId="167" fontId="11" fillId="0" borderId="2" xfId="9" applyNumberFormat="1" applyFont="1" applyFill="1" applyBorder="1"/>
    <xf numFmtId="5" fontId="11" fillId="0" borderId="2" xfId="1" applyNumberFormat="1" applyFont="1" applyFill="1" applyBorder="1"/>
    <xf numFmtId="181" fontId="11" fillId="0" borderId="2" xfId="1" applyNumberFormat="1" applyFont="1" applyFill="1" applyBorder="1"/>
    <xf numFmtId="5" fontId="11" fillId="0" borderId="0" xfId="1" applyNumberFormat="1" applyFont="1" applyFill="1" applyBorder="1"/>
    <xf numFmtId="181" fontId="11" fillId="0" borderId="0" xfId="1" applyNumberFormat="1" applyFont="1" applyFill="1" applyBorder="1"/>
    <xf numFmtId="167" fontId="11" fillId="0" borderId="3" xfId="0" applyNumberFormat="1" applyFont="1" applyBorder="1" applyAlignment="1">
      <alignment horizontal="center"/>
    </xf>
    <xf numFmtId="5" fontId="11" fillId="0" borderId="3" xfId="1" applyNumberFormat="1" applyFont="1" applyFill="1" applyBorder="1"/>
    <xf numFmtId="181" fontId="11" fillId="0" borderId="3" xfId="1" applyNumberFormat="1" applyFont="1" applyFill="1" applyBorder="1"/>
    <xf numFmtId="37" fontId="11" fillId="0" borderId="0" xfId="0" applyNumberFormat="1" applyFont="1" applyAlignment="1">
      <alignment horizontal="center"/>
    </xf>
    <xf numFmtId="172" fontId="11" fillId="0" borderId="0" xfId="0" applyNumberFormat="1" applyFont="1"/>
    <xf numFmtId="0" fontId="12" fillId="0" borderId="0" xfId="0" applyFont="1" applyAlignment="1">
      <alignment horizontal="right" indent="1"/>
    </xf>
    <xf numFmtId="170" fontId="13" fillId="0" borderId="0" xfId="0" quotePrefix="1" applyNumberFormat="1" applyFont="1" applyAlignment="1">
      <alignment horizontal="center"/>
    </xf>
    <xf numFmtId="164" fontId="11" fillId="0" borderId="0" xfId="1" applyNumberFormat="1" applyFont="1" applyFill="1" applyBorder="1"/>
    <xf numFmtId="164" fontId="11" fillId="0" borderId="0" xfId="1" applyNumberFormat="1" applyFont="1" applyFill="1"/>
    <xf numFmtId="164" fontId="11" fillId="0" borderId="0" xfId="0" applyNumberFormat="1" applyFont="1"/>
    <xf numFmtId="164" fontId="11" fillId="0" borderId="2" xfId="1" applyNumberFormat="1" applyFont="1" applyFill="1" applyBorder="1"/>
    <xf numFmtId="10" fontId="11" fillId="0" borderId="0" xfId="0" applyNumberFormat="1" applyFont="1"/>
    <xf numFmtId="164" fontId="11" fillId="0" borderId="4" xfId="1" applyNumberFormat="1" applyFont="1" applyFill="1" applyBorder="1"/>
    <xf numFmtId="164" fontId="11" fillId="0" borderId="4" xfId="0" applyNumberFormat="1" applyFont="1" applyBorder="1"/>
    <xf numFmtId="183" fontId="11" fillId="0" borderId="0" xfId="0" applyNumberFormat="1" applyFont="1"/>
    <xf numFmtId="169" fontId="11" fillId="0" borderId="0" xfId="0" applyNumberFormat="1" applyFont="1"/>
    <xf numFmtId="164" fontId="14" fillId="0" borderId="0" xfId="1" applyNumberFormat="1" applyFont="1" applyFill="1" applyBorder="1"/>
    <xf numFmtId="168" fontId="12" fillId="0" borderId="1" xfId="4" applyNumberFormat="1" applyFont="1" applyFill="1" applyBorder="1"/>
    <xf numFmtId="168" fontId="12" fillId="0" borderId="0" xfId="4" applyNumberFormat="1" applyFont="1" applyFill="1" applyBorder="1"/>
    <xf numFmtId="43" fontId="11" fillId="0" borderId="0" xfId="0" applyNumberFormat="1" applyFont="1"/>
    <xf numFmtId="171" fontId="11" fillId="0" borderId="0" xfId="0" applyNumberFormat="1" applyFont="1"/>
    <xf numFmtId="168" fontId="11" fillId="0" borderId="0" xfId="0" applyNumberFormat="1" applyFont="1" applyAlignment="1">
      <alignment horizontal="center"/>
    </xf>
    <xf numFmtId="10" fontId="11" fillId="0" borderId="0" xfId="9" applyNumberFormat="1" applyFont="1" applyFill="1"/>
    <xf numFmtId="10" fontId="15" fillId="0" borderId="0" xfId="5" applyNumberFormat="1" applyFont="1" applyFill="1" applyAlignment="1" applyProtection="1"/>
    <xf numFmtId="10" fontId="13" fillId="0" borderId="0" xfId="0" applyNumberFormat="1" applyFont="1" applyAlignment="1">
      <alignment horizontal="center"/>
    </xf>
    <xf numFmtId="37" fontId="12" fillId="0" borderId="0" xfId="0" applyNumberFormat="1" applyFont="1" applyAlignment="1">
      <alignment horizontal="center"/>
    </xf>
    <xf numFmtId="10" fontId="11" fillId="0" borderId="0" xfId="8" applyNumberFormat="1" applyFont="1" applyFill="1"/>
    <xf numFmtId="10" fontId="11" fillId="0" borderId="2" xfId="0" applyNumberFormat="1" applyFont="1" applyBorder="1"/>
    <xf numFmtId="10" fontId="11" fillId="0" borderId="2" xfId="9" applyNumberFormat="1" applyFont="1" applyFill="1" applyBorder="1"/>
    <xf numFmtId="167" fontId="15" fillId="0" borderId="0" xfId="9" applyNumberFormat="1" applyFont="1" applyFill="1"/>
    <xf numFmtId="10" fontId="15" fillId="0" borderId="0" xfId="9" applyNumberFormat="1" applyFont="1" applyFill="1"/>
    <xf numFmtId="177" fontId="11" fillId="0" borderId="0" xfId="0" applyNumberFormat="1" applyFont="1"/>
    <xf numFmtId="178" fontId="11" fillId="0" borderId="0" xfId="0" applyNumberFormat="1" applyFont="1"/>
    <xf numFmtId="40" fontId="11" fillId="0" borderId="0" xfId="0" applyNumberFormat="1" applyFont="1"/>
    <xf numFmtId="0" fontId="11" fillId="0" borderId="0" xfId="7" applyFont="1" applyAlignment="1">
      <alignment horizontal="center"/>
    </xf>
    <xf numFmtId="0" fontId="11" fillId="0" borderId="0" xfId="7" applyFont="1"/>
    <xf numFmtId="0" fontId="13" fillId="0" borderId="0" xfId="7" applyFont="1" applyAlignment="1">
      <alignment horizontal="center"/>
    </xf>
    <xf numFmtId="0" fontId="12" fillId="0" borderId="0" xfId="7" applyFont="1" applyAlignment="1">
      <alignment horizontal="center"/>
    </xf>
    <xf numFmtId="0" fontId="11" fillId="0" borderId="0" xfId="7" applyFont="1" applyAlignment="1">
      <alignment horizontal="right"/>
    </xf>
    <xf numFmtId="0" fontId="11" fillId="0" borderId="0" xfId="7" applyFont="1" applyAlignment="1">
      <alignment horizontal="left"/>
    </xf>
    <xf numFmtId="173" fontId="11" fillId="0" borderId="0" xfId="7" applyNumberFormat="1" applyFont="1"/>
    <xf numFmtId="173" fontId="11" fillId="0" borderId="5" xfId="7" applyNumberFormat="1" applyFont="1" applyBorder="1"/>
    <xf numFmtId="175" fontId="16" fillId="0" borderId="0" xfId="7" applyNumberFormat="1" applyFont="1"/>
    <xf numFmtId="43" fontId="11" fillId="0" borderId="0" xfId="1" applyFont="1" applyFill="1"/>
    <xf numFmtId="168" fontId="11" fillId="0" borderId="0" xfId="4" applyNumberFormat="1" applyFont="1" applyFill="1" applyBorder="1" applyAlignment="1">
      <alignment horizontal="center"/>
    </xf>
    <xf numFmtId="0" fontId="15" fillId="0" borderId="0" xfId="0" applyFont="1"/>
    <xf numFmtId="180" fontId="11" fillId="0" borderId="0" xfId="1" applyNumberFormat="1" applyFont="1" applyFill="1"/>
    <xf numFmtId="164" fontId="22" fillId="0" borderId="0" xfId="1" applyNumberFormat="1" applyFont="1" applyFill="1"/>
    <xf numFmtId="0" fontId="11" fillId="0" borderId="6" xfId="0" applyFont="1" applyBorder="1"/>
    <xf numFmtId="0" fontId="12" fillId="0" borderId="4" xfId="0" applyFont="1" applyBorder="1"/>
    <xf numFmtId="174" fontId="11" fillId="0" borderId="4" xfId="9" applyNumberFormat="1" applyFont="1" applyFill="1" applyBorder="1"/>
    <xf numFmtId="164" fontId="23" fillId="0" borderId="4" xfId="1" applyNumberFormat="1" applyFont="1" applyFill="1" applyBorder="1"/>
    <xf numFmtId="164" fontId="11" fillId="0" borderId="7" xfId="0" applyNumberFormat="1" applyFont="1" applyBorder="1"/>
    <xf numFmtId="0" fontId="11" fillId="0" borderId="8" xfId="0" applyFont="1" applyBorder="1"/>
    <xf numFmtId="174" fontId="11" fillId="0" borderId="0" xfId="9" applyNumberFormat="1" applyFont="1" applyFill="1" applyBorder="1"/>
    <xf numFmtId="164" fontId="11" fillId="0" borderId="9" xfId="0" applyNumberFormat="1" applyFont="1" applyBorder="1"/>
    <xf numFmtId="0" fontId="11" fillId="0" borderId="10" xfId="0" applyFont="1" applyBorder="1"/>
    <xf numFmtId="0" fontId="11" fillId="0" borderId="2" xfId="0" applyFont="1" applyBorder="1"/>
    <xf numFmtId="174" fontId="11" fillId="0" borderId="2" xfId="9" applyNumberFormat="1" applyFont="1" applyFill="1" applyBorder="1"/>
    <xf numFmtId="164" fontId="11" fillId="0" borderId="11" xfId="0" applyNumberFormat="1" applyFont="1" applyBorder="1"/>
    <xf numFmtId="164" fontId="23" fillId="0" borderId="2" xfId="1" applyNumberFormat="1" applyFont="1" applyFill="1" applyBorder="1"/>
    <xf numFmtId="0" fontId="11" fillId="0" borderId="11" xfId="0" applyFont="1" applyBorder="1"/>
    <xf numFmtId="0" fontId="11" fillId="0" borderId="9" xfId="0" applyFont="1" applyBorder="1"/>
    <xf numFmtId="0" fontId="11" fillId="0" borderId="4" xfId="0" applyFont="1" applyBorder="1"/>
    <xf numFmtId="179" fontId="11" fillId="0" borderId="0" xfId="1" applyNumberFormat="1" applyFont="1" applyAlignment="1">
      <alignment horizontal="center"/>
    </xf>
    <xf numFmtId="164" fontId="11" fillId="0" borderId="0" xfId="1" applyNumberFormat="1" applyFont="1" applyAlignment="1"/>
    <xf numFmtId="164" fontId="11" fillId="0" borderId="0" xfId="0" applyNumberFormat="1" applyFont="1" applyAlignment="1">
      <alignment horizontal="center"/>
    </xf>
    <xf numFmtId="164" fontId="11" fillId="0" borderId="0" xfId="1" applyNumberFormat="1" applyFont="1"/>
    <xf numFmtId="164" fontId="11" fillId="0" borderId="0" xfId="1" applyNumberFormat="1" applyFont="1" applyAlignment="1">
      <alignment horizontal="center"/>
    </xf>
    <xf numFmtId="0" fontId="11" fillId="0" borderId="0" xfId="0" applyFont="1" applyAlignment="1">
      <alignment horizontal="right"/>
    </xf>
    <xf numFmtId="168" fontId="17" fillId="0" borderId="0" xfId="4" applyNumberFormat="1" applyFont="1" applyFill="1" applyBorder="1" applyAlignment="1">
      <alignment horizontal="center"/>
    </xf>
    <xf numFmtId="10" fontId="13" fillId="0" borderId="0" xfId="9" applyNumberFormat="1" applyFont="1" applyFill="1" applyAlignment="1">
      <alignment horizontal="center"/>
    </xf>
    <xf numFmtId="37" fontId="12" fillId="0" borderId="0" xfId="4" quotePrefix="1" applyNumberFormat="1" applyFont="1" applyFill="1" applyBorder="1" applyAlignment="1">
      <alignment horizontal="center"/>
    </xf>
    <xf numFmtId="0" fontId="12" fillId="0" borderId="0" xfId="0" quotePrefix="1" applyFont="1" applyAlignment="1">
      <alignment horizontal="center"/>
    </xf>
    <xf numFmtId="168" fontId="12" fillId="0" borderId="0" xfId="4" applyNumberFormat="1" applyFont="1" applyFill="1" applyBorder="1" applyAlignment="1">
      <alignment horizontal="center"/>
    </xf>
    <xf numFmtId="168" fontId="11" fillId="0" borderId="0" xfId="4" applyNumberFormat="1" applyFont="1" applyFill="1" applyBorder="1"/>
    <xf numFmtId="168" fontId="11" fillId="0" borderId="0" xfId="4" applyNumberFormat="1" applyFont="1" applyFill="1" applyBorder="1" applyAlignment="1">
      <alignment horizontal="left"/>
    </xf>
    <xf numFmtId="164" fontId="14" fillId="0" borderId="0" xfId="1" applyNumberFormat="1" applyFont="1" applyFill="1" applyAlignment="1"/>
    <xf numFmtId="167" fontId="12" fillId="0" borderId="0" xfId="9" applyNumberFormat="1" applyFont="1" applyFill="1"/>
    <xf numFmtId="169" fontId="11" fillId="0" borderId="0" xfId="1" applyNumberFormat="1" applyFont="1" applyFill="1"/>
    <xf numFmtId="166" fontId="11" fillId="0" borderId="0" xfId="1" applyNumberFormat="1" applyFont="1" applyFill="1"/>
    <xf numFmtId="10" fontId="12" fillId="0" borderId="0" xfId="9" applyNumberFormat="1" applyFont="1" applyFill="1"/>
    <xf numFmtId="165" fontId="13" fillId="0" borderId="0" xfId="9" quotePrefix="1" applyNumberFormat="1" applyFont="1" applyFill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2" xfId="0" applyFont="1" applyBorder="1"/>
    <xf numFmtId="10" fontId="12" fillId="0" borderId="12" xfId="9" quotePrefix="1" applyNumberFormat="1" applyFont="1" applyFill="1" applyBorder="1" applyAlignment="1">
      <alignment horizontal="center"/>
    </xf>
    <xf numFmtId="10" fontId="12" fillId="0" borderId="12" xfId="9" applyNumberFormat="1" applyFont="1" applyFill="1" applyBorder="1"/>
    <xf numFmtId="10" fontId="12" fillId="0" borderId="0" xfId="9" applyNumberFormat="1" applyFont="1" applyFill="1" applyBorder="1"/>
    <xf numFmtId="0" fontId="15" fillId="0" borderId="0" xfId="0" applyFont="1" applyAlignment="1">
      <alignment horizontal="center"/>
    </xf>
    <xf numFmtId="164" fontId="11" fillId="0" borderId="0" xfId="0" applyNumberFormat="1" applyFont="1" applyAlignment="1">
      <alignment horizontal="right"/>
    </xf>
    <xf numFmtId="0" fontId="19" fillId="0" borderId="0" xfId="0" applyFont="1"/>
    <xf numFmtId="10" fontId="20" fillId="0" borderId="12" xfId="9" applyNumberFormat="1" applyFont="1" applyFill="1" applyBorder="1"/>
    <xf numFmtId="0" fontId="20" fillId="0" borderId="13" xfId="0" applyFont="1" applyBorder="1"/>
    <xf numFmtId="10" fontId="20" fillId="0" borderId="0" xfId="9" applyNumberFormat="1" applyFont="1" applyFill="1" applyBorder="1"/>
    <xf numFmtId="170" fontId="24" fillId="0" borderId="0" xfId="0" quotePrefix="1" applyNumberFormat="1" applyFont="1" applyAlignment="1">
      <alignment horizontal="center"/>
    </xf>
    <xf numFmtId="164" fontId="25" fillId="0" borderId="0" xfId="1" applyNumberFormat="1" applyFont="1" applyFill="1"/>
    <xf numFmtId="164" fontId="12" fillId="0" borderId="0" xfId="0" applyNumberFormat="1" applyFont="1"/>
    <xf numFmtId="43" fontId="12" fillId="0" borderId="0" xfId="0" applyNumberFormat="1" applyFont="1"/>
    <xf numFmtId="37" fontId="12" fillId="0" borderId="0" xfId="1" applyNumberFormat="1" applyFont="1" applyFill="1" applyBorder="1"/>
    <xf numFmtId="164" fontId="21" fillId="0" borderId="0" xfId="0" applyNumberFormat="1" applyFont="1"/>
    <xf numFmtId="164" fontId="11" fillId="0" borderId="0" xfId="3" applyNumberFormat="1" applyFont="1" applyFill="1" applyBorder="1"/>
    <xf numFmtId="9" fontId="11" fillId="0" borderId="0" xfId="9" applyFont="1" applyFill="1"/>
    <xf numFmtId="0" fontId="12" fillId="0" borderId="0" xfId="0" applyFont="1" applyAlignment="1">
      <alignment horizontal="center"/>
    </xf>
    <xf numFmtId="168" fontId="11" fillId="0" borderId="0" xfId="4" applyNumberFormat="1" applyFont="1" applyFill="1" applyBorder="1" applyAlignment="1">
      <alignment horizontal="center"/>
    </xf>
  </cellXfs>
  <cellStyles count="11">
    <cellStyle name="Comma" xfId="1" builtinId="3"/>
    <cellStyle name="Comma 2" xfId="2" xr:uid="{6163A3FF-D477-4466-B280-769B784379F5}"/>
    <cellStyle name="Comma 4" xfId="3" xr:uid="{7A05CC93-FC5A-4AF0-A44B-E7FAAE360A14}"/>
    <cellStyle name="Currency" xfId="4" builtinId="4"/>
    <cellStyle name="Hyperlink" xfId="5" builtinId="8"/>
    <cellStyle name="Normal" xfId="0" builtinId="0"/>
    <cellStyle name="Normal 2" xfId="6" xr:uid="{7369CB17-EDA3-4090-9641-6DED17FA9620}"/>
    <cellStyle name="Normal_H-1 GR Conversion Factor" xfId="7" xr:uid="{D9839748-DD1C-4A7B-8258-64B0C5319E6C}"/>
    <cellStyle name="Normal_Schedule J" xfId="8" xr:uid="{33A3C2C8-70D4-4A0D-93E2-FFE68F4B0E51}"/>
    <cellStyle name="Percent" xfId="9" builtinId="5"/>
    <cellStyle name="Percent 2" xfId="10" xr:uid="{EBCF3413-4B41-48EA-95A5-6A454D51B4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22934\AppData\Local\Temp\notesC9812B\2015%20SAVE%20IRRA%20-%20Schedule%2014a%20-%20k%20Jur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Plant Data"/>
      <sheetName val="Sch 14a pg 1 Rev Req"/>
      <sheetName val="Sch 14b Acct 376 Rate Base"/>
      <sheetName val="Sch 14c Acct 378 Rate Base"/>
      <sheetName val="Sch 14d Acct 379 Rate Base"/>
      <sheetName val="Sch 14e Acct 380 Rate Base"/>
      <sheetName val="Sch 14f Rate Case Plant"/>
      <sheetName val="Sch 14g CCOS "/>
      <sheetName val="Sch 14h Billing Det and Rate"/>
      <sheetName val="Sch 14i ADIT (total)"/>
      <sheetName val="Sch 14i-2 (repairs eligible)"/>
      <sheetName val="Sch 14i-3(non eligible repairs)"/>
      <sheetName val="Sch 14j ADIT Allocation"/>
      <sheetName val="Sch 14k Property Tax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65191-97BA-461D-AD0F-8E828FDD29BB}">
  <sheetPr codeName="Sheet9">
    <pageSetUpPr fitToPage="1"/>
  </sheetPr>
  <dimension ref="A1:H31"/>
  <sheetViews>
    <sheetView tabSelected="1" zoomScaleNormal="100" zoomScaleSheetLayoutView="96" workbookViewId="0">
      <selection activeCell="F17" sqref="F17"/>
    </sheetView>
  </sheetViews>
  <sheetFormatPr defaultRowHeight="12.5" x14ac:dyDescent="0.25"/>
  <cols>
    <col min="1" max="1" width="15.81640625" customWidth="1"/>
    <col min="2" max="2" width="12.81640625" customWidth="1"/>
    <col min="3" max="3" width="32.81640625" customWidth="1"/>
    <col min="4" max="4" width="15.54296875" bestFit="1" customWidth="1"/>
    <col min="5" max="8" width="14.1796875" customWidth="1"/>
  </cols>
  <sheetData>
    <row r="1" spans="1:8" ht="15.5" x14ac:dyDescent="0.35">
      <c r="A1" s="8"/>
      <c r="B1" s="8"/>
      <c r="C1" s="8"/>
      <c r="D1" s="8"/>
      <c r="E1" s="8"/>
      <c r="F1" s="9" t="s">
        <v>293</v>
      </c>
    </row>
    <row r="2" spans="1:8" ht="15.5" x14ac:dyDescent="0.35">
      <c r="A2" s="8"/>
      <c r="B2" s="8"/>
      <c r="C2" s="8"/>
      <c r="D2" s="8"/>
      <c r="E2" s="8"/>
      <c r="F2" s="9" t="s">
        <v>259</v>
      </c>
    </row>
    <row r="3" spans="1:8" ht="15.5" x14ac:dyDescent="0.35">
      <c r="A3" s="8"/>
      <c r="B3" s="8"/>
      <c r="C3" s="8"/>
      <c r="D3" s="8"/>
      <c r="E3" s="8"/>
      <c r="F3" s="9"/>
    </row>
    <row r="4" spans="1:8" ht="15.5" x14ac:dyDescent="0.35">
      <c r="A4" s="8"/>
      <c r="B4" s="8"/>
      <c r="C4" s="8"/>
      <c r="D4" s="8"/>
      <c r="E4" s="8"/>
      <c r="F4" s="8"/>
    </row>
    <row r="5" spans="1:8" ht="15.5" x14ac:dyDescent="0.35">
      <c r="A5" s="138" t="s">
        <v>12</v>
      </c>
      <c r="B5" s="138"/>
      <c r="C5" s="138"/>
      <c r="D5" s="138"/>
      <c r="E5" s="138"/>
      <c r="F5" s="138"/>
      <c r="G5" s="1"/>
      <c r="H5" s="1"/>
    </row>
    <row r="6" spans="1:8" ht="15.5" x14ac:dyDescent="0.35">
      <c r="A6" s="138" t="s">
        <v>109</v>
      </c>
      <c r="B6" s="138"/>
      <c r="C6" s="138"/>
      <c r="D6" s="138"/>
      <c r="E6" s="138"/>
      <c r="F6" s="138"/>
      <c r="G6" s="1"/>
      <c r="H6" s="1"/>
    </row>
    <row r="7" spans="1:8" ht="15.5" x14ac:dyDescent="0.35">
      <c r="A7" s="138" t="s">
        <v>273</v>
      </c>
      <c r="B7" s="138"/>
      <c r="C7" s="138"/>
      <c r="D7" s="138"/>
      <c r="E7" s="138"/>
      <c r="F7" s="138"/>
      <c r="G7" s="1"/>
      <c r="H7" s="1"/>
    </row>
    <row r="8" spans="1:8" ht="15.5" x14ac:dyDescent="0.35">
      <c r="A8" s="138" t="s">
        <v>82</v>
      </c>
      <c r="B8" s="138"/>
      <c r="C8" s="138"/>
      <c r="D8" s="138"/>
      <c r="E8" s="138"/>
      <c r="F8" s="138"/>
      <c r="G8" s="1"/>
      <c r="H8" s="1"/>
    </row>
    <row r="9" spans="1:8" ht="15.5" x14ac:dyDescent="0.35">
      <c r="A9" s="10"/>
      <c r="B9" s="10"/>
      <c r="C9" s="10"/>
      <c r="D9" s="10"/>
      <c r="E9" s="11"/>
      <c r="F9" s="11"/>
      <c r="G9" s="1"/>
      <c r="H9" s="1"/>
    </row>
    <row r="10" spans="1:8" ht="15.5" x14ac:dyDescent="0.35">
      <c r="A10" s="8"/>
      <c r="B10" s="8"/>
      <c r="C10" s="8"/>
      <c r="D10" s="8"/>
      <c r="E10" s="8"/>
      <c r="F10" s="8"/>
    </row>
    <row r="11" spans="1:8" ht="15.5" x14ac:dyDescent="0.35">
      <c r="A11" s="8"/>
      <c r="B11" s="8"/>
      <c r="C11" s="8"/>
      <c r="D11" s="8"/>
      <c r="E11" s="8"/>
      <c r="F11" s="8"/>
    </row>
    <row r="12" spans="1:8" ht="15.5" x14ac:dyDescent="0.35">
      <c r="A12" s="8"/>
      <c r="B12" s="8"/>
      <c r="C12" s="8"/>
      <c r="D12" s="8"/>
      <c r="E12" s="8"/>
      <c r="F12" s="8"/>
    </row>
    <row r="13" spans="1:8" ht="15.5" x14ac:dyDescent="0.35">
      <c r="A13" s="19" t="s">
        <v>85</v>
      </c>
      <c r="B13" s="8"/>
      <c r="C13" s="20" t="s">
        <v>48</v>
      </c>
      <c r="D13" s="8"/>
      <c r="E13" s="8"/>
      <c r="F13" s="8"/>
    </row>
    <row r="14" spans="1:8" ht="15.5" x14ac:dyDescent="0.35">
      <c r="A14" s="21" t="s">
        <v>83</v>
      </c>
      <c r="B14" s="8"/>
      <c r="C14" s="8" t="s">
        <v>104</v>
      </c>
      <c r="D14" s="8"/>
      <c r="E14" s="8"/>
      <c r="F14" s="8"/>
    </row>
    <row r="15" spans="1:8" ht="15.5" x14ac:dyDescent="0.35">
      <c r="A15" s="21" t="s">
        <v>84</v>
      </c>
      <c r="B15" s="8"/>
      <c r="C15" s="8" t="s">
        <v>257</v>
      </c>
      <c r="D15" s="8"/>
      <c r="E15" s="8"/>
      <c r="F15" s="8"/>
    </row>
    <row r="16" spans="1:8" ht="15.5" x14ac:dyDescent="0.35">
      <c r="A16" s="21" t="s">
        <v>87</v>
      </c>
      <c r="B16" s="8"/>
      <c r="C16" s="8" t="s">
        <v>88</v>
      </c>
      <c r="D16" s="8"/>
      <c r="E16" s="8"/>
      <c r="F16" s="8"/>
    </row>
    <row r="17" spans="1:6" ht="15.5" x14ac:dyDescent="0.35">
      <c r="A17" s="21">
        <v>2.1</v>
      </c>
      <c r="B17" s="8"/>
      <c r="C17" s="8" t="s">
        <v>86</v>
      </c>
      <c r="D17" s="8"/>
      <c r="E17" s="8"/>
      <c r="F17" s="8"/>
    </row>
    <row r="18" spans="1:6" ht="15.5" x14ac:dyDescent="0.35">
      <c r="A18" s="21">
        <v>2.2000000000000002</v>
      </c>
      <c r="B18" s="8"/>
      <c r="C18" s="8" t="s">
        <v>250</v>
      </c>
      <c r="D18" s="8"/>
      <c r="E18" s="8"/>
      <c r="F18" s="8"/>
    </row>
    <row r="19" spans="1:6" ht="15.5" x14ac:dyDescent="0.35">
      <c r="A19" s="21" t="s">
        <v>89</v>
      </c>
      <c r="B19" s="8"/>
      <c r="C19" s="8" t="s">
        <v>138</v>
      </c>
      <c r="D19" s="8"/>
      <c r="E19" s="8"/>
      <c r="F19" s="8"/>
    </row>
    <row r="20" spans="1:6" ht="15.5" x14ac:dyDescent="0.35">
      <c r="A20" s="21" t="s">
        <v>91</v>
      </c>
      <c r="B20" s="8"/>
      <c r="C20" s="8" t="s">
        <v>173</v>
      </c>
      <c r="D20" s="8"/>
      <c r="E20" s="8"/>
      <c r="F20" s="8"/>
    </row>
    <row r="21" spans="1:6" ht="15.5" x14ac:dyDescent="0.35">
      <c r="A21" s="21" t="s">
        <v>181</v>
      </c>
      <c r="B21" s="8"/>
      <c r="C21" s="8" t="s">
        <v>118</v>
      </c>
      <c r="D21" s="8"/>
      <c r="E21" s="8"/>
      <c r="F21" s="8"/>
    </row>
    <row r="22" spans="1:6" ht="15.5" x14ac:dyDescent="0.35">
      <c r="A22" s="21" t="s">
        <v>182</v>
      </c>
      <c r="B22" s="8"/>
      <c r="C22" s="8" t="s">
        <v>184</v>
      </c>
      <c r="D22" s="8"/>
      <c r="E22" s="8"/>
      <c r="F22" s="8"/>
    </row>
    <row r="23" spans="1:6" ht="15.5" x14ac:dyDescent="0.35">
      <c r="A23" s="21" t="s">
        <v>183</v>
      </c>
      <c r="B23" s="8"/>
      <c r="C23" s="8" t="s">
        <v>185</v>
      </c>
      <c r="D23" s="8"/>
      <c r="E23" s="8"/>
      <c r="F23" s="8"/>
    </row>
    <row r="24" spans="1:6" ht="15.5" x14ac:dyDescent="0.35">
      <c r="A24" s="21" t="s">
        <v>186</v>
      </c>
      <c r="B24" s="8"/>
      <c r="C24" s="8" t="s">
        <v>187</v>
      </c>
      <c r="D24" s="8"/>
      <c r="E24" s="8"/>
      <c r="F24" s="8"/>
    </row>
    <row r="25" spans="1:6" ht="15.5" x14ac:dyDescent="0.35">
      <c r="A25" s="21" t="s">
        <v>188</v>
      </c>
      <c r="B25" s="8"/>
      <c r="C25" s="8" t="s">
        <v>90</v>
      </c>
      <c r="D25" s="8"/>
      <c r="E25" s="8"/>
      <c r="F25" s="8"/>
    </row>
    <row r="26" spans="1:6" x14ac:dyDescent="0.25">
      <c r="A26" s="3"/>
      <c r="C26" s="2"/>
    </row>
    <row r="27" spans="1:6" x14ac:dyDescent="0.25">
      <c r="A27" s="3"/>
      <c r="C27" s="2"/>
    </row>
    <row r="28" spans="1:6" x14ac:dyDescent="0.25">
      <c r="A28" s="3"/>
      <c r="C28" s="2"/>
    </row>
    <row r="29" spans="1:6" x14ac:dyDescent="0.25">
      <c r="A29" s="3"/>
      <c r="C29" s="2"/>
    </row>
    <row r="30" spans="1:6" x14ac:dyDescent="0.25">
      <c r="A30" s="3"/>
      <c r="C30" s="2"/>
    </row>
    <row r="31" spans="1:6" x14ac:dyDescent="0.25">
      <c r="A31" s="3"/>
      <c r="C31" s="2"/>
    </row>
  </sheetData>
  <mergeCells count="4">
    <mergeCell ref="A5:F5"/>
    <mergeCell ref="A6:F6"/>
    <mergeCell ref="A7:F7"/>
    <mergeCell ref="A8:F8"/>
  </mergeCells>
  <phoneticPr fontId="3" type="noConversion"/>
  <printOptions horizontalCentered="1"/>
  <pageMargins left="1" right="1" top="1" bottom="1" header="0.3" footer="0.3"/>
  <pageSetup orientation="landscape" r:id="rId1"/>
  <ignoredErrors>
    <ignoredError sqref="A1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5A8E2-FFA3-4EDC-A62A-BA63D0DB7D41}">
  <sheetPr>
    <pageSetUpPr fitToPage="1"/>
  </sheetPr>
  <dimension ref="A1:Q35"/>
  <sheetViews>
    <sheetView zoomScaleNormal="100" workbookViewId="0">
      <selection activeCell="F1" sqref="F1"/>
    </sheetView>
  </sheetViews>
  <sheetFormatPr defaultColWidth="9.1796875" defaultRowHeight="15.5" x14ac:dyDescent="0.35"/>
  <cols>
    <col min="1" max="1" width="26.453125" style="8" bestFit="1" customWidth="1"/>
    <col min="2" max="2" width="13.81640625" style="8" bestFit="1" customWidth="1"/>
    <col min="3" max="7" width="15" style="8" bestFit="1" customWidth="1"/>
    <col min="8" max="9" width="14.81640625" style="8" customWidth="1"/>
    <col min="10" max="10" width="15.54296875" style="8" customWidth="1"/>
    <col min="11" max="11" width="15.81640625" style="8" customWidth="1"/>
    <col min="12" max="14" width="14.81640625" style="8" customWidth="1"/>
    <col min="15" max="15" width="13.81640625" style="8" bestFit="1" customWidth="1"/>
    <col min="16" max="16" width="18.81640625" style="8" bestFit="1" customWidth="1"/>
    <col min="17" max="17" width="23.1796875" style="8" bestFit="1" customWidth="1"/>
    <col min="18" max="16384" width="9.1796875" style="8"/>
  </cols>
  <sheetData>
    <row r="1" spans="1:17" x14ac:dyDescent="0.35">
      <c r="Q1" s="9" t="str">
        <f>+'5.0 Depr Expense'!Q74</f>
        <v>Case No. 2024-00328</v>
      </c>
    </row>
    <row r="2" spans="1:17" x14ac:dyDescent="0.35">
      <c r="Q2" s="9" t="s">
        <v>205</v>
      </c>
    </row>
    <row r="3" spans="1:17" x14ac:dyDescent="0.35">
      <c r="A3" s="138" t="s">
        <v>12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</row>
    <row r="4" spans="1:17" x14ac:dyDescent="0.35">
      <c r="A4" s="138" t="s">
        <v>204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</row>
    <row r="5" spans="1:17" x14ac:dyDescent="0.35">
      <c r="A5" s="138" t="s">
        <v>112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</row>
    <row r="7" spans="1:17" x14ac:dyDescent="0.35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9" spans="1:17" x14ac:dyDescent="0.35">
      <c r="B9" s="10">
        <v>2022</v>
      </c>
      <c r="C9" s="10">
        <f>+B9+1</f>
        <v>2023</v>
      </c>
      <c r="D9" s="10">
        <f>+C9</f>
        <v>2023</v>
      </c>
      <c r="E9" s="10">
        <f t="shared" ref="E9:M9" si="0">+D9</f>
        <v>2023</v>
      </c>
      <c r="F9" s="10">
        <f t="shared" si="0"/>
        <v>2023</v>
      </c>
      <c r="G9" s="10">
        <f t="shared" si="0"/>
        <v>2023</v>
      </c>
      <c r="H9" s="10">
        <f t="shared" si="0"/>
        <v>2023</v>
      </c>
      <c r="I9" s="10">
        <f t="shared" si="0"/>
        <v>2023</v>
      </c>
      <c r="J9" s="10">
        <f t="shared" si="0"/>
        <v>2023</v>
      </c>
      <c r="K9" s="10">
        <f t="shared" si="0"/>
        <v>2023</v>
      </c>
      <c r="L9" s="10">
        <f t="shared" si="0"/>
        <v>2023</v>
      </c>
      <c r="M9" s="10">
        <f t="shared" si="0"/>
        <v>2023</v>
      </c>
      <c r="N9" s="10">
        <f>+M9</f>
        <v>2023</v>
      </c>
      <c r="O9" s="10">
        <f>+N9</f>
        <v>2023</v>
      </c>
      <c r="P9" s="10">
        <f>+O9</f>
        <v>2023</v>
      </c>
      <c r="Q9" s="10">
        <f>+P9</f>
        <v>2023</v>
      </c>
    </row>
    <row r="10" spans="1:17" x14ac:dyDescent="0.35">
      <c r="B10" s="10" t="s">
        <v>140</v>
      </c>
      <c r="C10" s="10" t="s">
        <v>141</v>
      </c>
      <c r="D10" s="10" t="s">
        <v>142</v>
      </c>
      <c r="E10" s="10" t="s">
        <v>143</v>
      </c>
      <c r="F10" s="10" t="s">
        <v>144</v>
      </c>
      <c r="G10" s="10" t="s">
        <v>81</v>
      </c>
      <c r="H10" s="10" t="s">
        <v>145</v>
      </c>
      <c r="I10" s="10" t="s">
        <v>146</v>
      </c>
      <c r="J10" s="10" t="s">
        <v>147</v>
      </c>
      <c r="K10" s="10" t="s">
        <v>148</v>
      </c>
      <c r="L10" s="10" t="s">
        <v>149</v>
      </c>
      <c r="M10" s="10" t="s">
        <v>150</v>
      </c>
      <c r="N10" s="10" t="s">
        <v>140</v>
      </c>
      <c r="O10" s="10" t="s">
        <v>177</v>
      </c>
      <c r="P10" s="10" t="s">
        <v>208</v>
      </c>
      <c r="Q10" s="10" t="s">
        <v>178</v>
      </c>
    </row>
    <row r="11" spans="1:17" x14ac:dyDescent="0.3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x14ac:dyDescent="0.35">
      <c r="B12" s="100" t="s">
        <v>221</v>
      </c>
      <c r="C12" s="100" t="s">
        <v>235</v>
      </c>
      <c r="D12" s="100" t="s">
        <v>236</v>
      </c>
      <c r="E12" s="100" t="s">
        <v>224</v>
      </c>
      <c r="F12" s="100" t="s">
        <v>225</v>
      </c>
      <c r="G12" s="100" t="s">
        <v>226</v>
      </c>
      <c r="H12" s="100" t="s">
        <v>227</v>
      </c>
      <c r="I12" s="100" t="s">
        <v>228</v>
      </c>
      <c r="J12" s="100" t="s">
        <v>229</v>
      </c>
      <c r="K12" s="100" t="s">
        <v>230</v>
      </c>
      <c r="L12" s="100" t="s">
        <v>231</v>
      </c>
      <c r="M12" s="100" t="s">
        <v>237</v>
      </c>
      <c r="N12" s="100" t="s">
        <v>233</v>
      </c>
      <c r="O12" s="100" t="s">
        <v>234</v>
      </c>
      <c r="P12" s="100" t="s">
        <v>239</v>
      </c>
      <c r="Q12" s="24" t="s">
        <v>241</v>
      </c>
    </row>
    <row r="13" spans="1:17" x14ac:dyDescent="0.35">
      <c r="B13" s="101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102" t="s">
        <v>238</v>
      </c>
      <c r="P13" s="102" t="s">
        <v>240</v>
      </c>
    </row>
    <row r="15" spans="1:17" x14ac:dyDescent="0.35">
      <c r="A15" s="8" t="s">
        <v>206</v>
      </c>
      <c r="B15" s="103">
        <v>0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>
        <f>-'6.1 ADIT Calculated p.1'!AK19</f>
        <v>-4910282</v>
      </c>
      <c r="O15" s="103">
        <f>+N15-B15</f>
        <v>-4910282</v>
      </c>
      <c r="P15" s="103">
        <f>ROUND(O15/12,0)</f>
        <v>-409190</v>
      </c>
    </row>
    <row r="16" spans="1:17" x14ac:dyDescent="0.35"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</row>
    <row r="17" spans="1:17" x14ac:dyDescent="0.35">
      <c r="A17" s="8" t="s">
        <v>207</v>
      </c>
      <c r="B17" s="103">
        <f>+B15</f>
        <v>0</v>
      </c>
      <c r="C17" s="103">
        <f t="shared" ref="C17:M17" si="1">+B17+$P$15</f>
        <v>-409190</v>
      </c>
      <c r="D17" s="103">
        <f t="shared" si="1"/>
        <v>-818380</v>
      </c>
      <c r="E17" s="103">
        <f t="shared" si="1"/>
        <v>-1227570</v>
      </c>
      <c r="F17" s="103">
        <f t="shared" si="1"/>
        <v>-1636760</v>
      </c>
      <c r="G17" s="103">
        <f t="shared" si="1"/>
        <v>-2045950</v>
      </c>
      <c r="H17" s="103">
        <f t="shared" si="1"/>
        <v>-2455140</v>
      </c>
      <c r="I17" s="103">
        <f t="shared" si="1"/>
        <v>-2864330</v>
      </c>
      <c r="J17" s="103">
        <f t="shared" si="1"/>
        <v>-3273520</v>
      </c>
      <c r="K17" s="103">
        <f t="shared" si="1"/>
        <v>-3682710</v>
      </c>
      <c r="L17" s="103">
        <f t="shared" si="1"/>
        <v>-4091900</v>
      </c>
      <c r="M17" s="103">
        <f t="shared" si="1"/>
        <v>-4501090</v>
      </c>
      <c r="N17" s="103">
        <f>+N15</f>
        <v>-4910282</v>
      </c>
      <c r="O17" s="103"/>
      <c r="P17" s="103"/>
      <c r="Q17" s="45">
        <f>AVERAGE(B17:N17)</f>
        <v>-2455140.153846154</v>
      </c>
    </row>
    <row r="18" spans="1:17" x14ac:dyDescent="0.35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</row>
    <row r="19" spans="1:17" x14ac:dyDescent="0.35"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</row>
    <row r="20" spans="1:17" x14ac:dyDescent="0.35"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24"/>
    </row>
    <row r="21" spans="1:17" x14ac:dyDescent="0.35">
      <c r="B21" s="10">
        <f>+N9</f>
        <v>2023</v>
      </c>
      <c r="C21" s="10">
        <f>+B21+1</f>
        <v>2024</v>
      </c>
      <c r="D21" s="10">
        <f>+C21</f>
        <v>2024</v>
      </c>
      <c r="E21" s="10">
        <f t="shared" ref="E21:N21" si="2">+D21</f>
        <v>2024</v>
      </c>
      <c r="F21" s="10">
        <f t="shared" si="2"/>
        <v>2024</v>
      </c>
      <c r="G21" s="10">
        <f t="shared" si="2"/>
        <v>2024</v>
      </c>
      <c r="H21" s="10">
        <f t="shared" si="2"/>
        <v>2024</v>
      </c>
      <c r="I21" s="10">
        <f t="shared" si="2"/>
        <v>2024</v>
      </c>
      <c r="J21" s="10">
        <f t="shared" si="2"/>
        <v>2024</v>
      </c>
      <c r="K21" s="10">
        <f t="shared" si="2"/>
        <v>2024</v>
      </c>
      <c r="L21" s="10">
        <f t="shared" si="2"/>
        <v>2024</v>
      </c>
      <c r="M21" s="10">
        <f t="shared" si="2"/>
        <v>2024</v>
      </c>
      <c r="N21" s="10">
        <f t="shared" si="2"/>
        <v>2024</v>
      </c>
      <c r="O21" s="10">
        <f>+N21</f>
        <v>2024</v>
      </c>
      <c r="P21" s="10">
        <f>+O21</f>
        <v>2024</v>
      </c>
      <c r="Q21" s="10">
        <f>+P21</f>
        <v>2024</v>
      </c>
    </row>
    <row r="22" spans="1:17" x14ac:dyDescent="0.35">
      <c r="B22" s="10" t="s">
        <v>140</v>
      </c>
      <c r="C22" s="10" t="s">
        <v>141</v>
      </c>
      <c r="D22" s="10" t="s">
        <v>142</v>
      </c>
      <c r="E22" s="10" t="s">
        <v>143</v>
      </c>
      <c r="F22" s="10" t="s">
        <v>144</v>
      </c>
      <c r="G22" s="10" t="s">
        <v>81</v>
      </c>
      <c r="H22" s="10" t="s">
        <v>145</v>
      </c>
      <c r="I22" s="10" t="s">
        <v>146</v>
      </c>
      <c r="J22" s="10" t="s">
        <v>147</v>
      </c>
      <c r="K22" s="10" t="s">
        <v>148</v>
      </c>
      <c r="L22" s="10" t="s">
        <v>149</v>
      </c>
      <c r="M22" s="10" t="s">
        <v>150</v>
      </c>
      <c r="N22" s="10" t="s">
        <v>140</v>
      </c>
      <c r="O22" s="10" t="s">
        <v>177</v>
      </c>
      <c r="P22" s="10" t="s">
        <v>208</v>
      </c>
      <c r="Q22" s="10" t="s">
        <v>178</v>
      </c>
    </row>
    <row r="24" spans="1:17" x14ac:dyDescent="0.35">
      <c r="A24" s="8" t="s">
        <v>206</v>
      </c>
      <c r="B24" s="103">
        <f>+N17</f>
        <v>-4910282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>
        <f>+'6.1 ADIT Calculated p.1'!AK20*-1</f>
        <v>-9762103</v>
      </c>
      <c r="O24" s="103">
        <f>+N24-B24</f>
        <v>-4851821</v>
      </c>
      <c r="P24" s="103">
        <f>ROUND(O24/12,0)</f>
        <v>-404318</v>
      </c>
    </row>
    <row r="25" spans="1:17" x14ac:dyDescent="0.35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</row>
    <row r="26" spans="1:17" x14ac:dyDescent="0.35">
      <c r="A26" s="8" t="s">
        <v>267</v>
      </c>
      <c r="B26" s="103">
        <f>+B24</f>
        <v>-4910282</v>
      </c>
      <c r="C26" s="44">
        <f>+B26+P24</f>
        <v>-5314600</v>
      </c>
      <c r="D26" s="44">
        <f t="shared" ref="D26:M26" si="3">+C26+$P$24</f>
        <v>-5718918</v>
      </c>
      <c r="E26" s="44">
        <f t="shared" si="3"/>
        <v>-6123236</v>
      </c>
      <c r="F26" s="44">
        <f t="shared" si="3"/>
        <v>-6527554</v>
      </c>
      <c r="G26" s="44">
        <f t="shared" si="3"/>
        <v>-6931872</v>
      </c>
      <c r="H26" s="44">
        <f t="shared" si="3"/>
        <v>-7336190</v>
      </c>
      <c r="I26" s="44">
        <f t="shared" si="3"/>
        <v>-7740508</v>
      </c>
      <c r="J26" s="44">
        <f t="shared" si="3"/>
        <v>-8144826</v>
      </c>
      <c r="K26" s="44">
        <f t="shared" si="3"/>
        <v>-8549144</v>
      </c>
      <c r="L26" s="44">
        <f t="shared" si="3"/>
        <v>-8953462</v>
      </c>
      <c r="M26" s="44">
        <f t="shared" si="3"/>
        <v>-9357780</v>
      </c>
      <c r="N26" s="44">
        <f>+M26+$P$24+3</f>
        <v>-9762095</v>
      </c>
      <c r="O26" s="44"/>
      <c r="P26" s="44"/>
      <c r="Q26" s="45">
        <f>AVERAGE(B26:N26)</f>
        <v>-7336189.769230769</v>
      </c>
    </row>
    <row r="27" spans="1:17" x14ac:dyDescent="0.35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</row>
    <row r="30" spans="1:17" x14ac:dyDescent="0.35">
      <c r="B30" s="10">
        <f>N21</f>
        <v>2024</v>
      </c>
      <c r="C30" s="10">
        <f>+B30+1</f>
        <v>2025</v>
      </c>
      <c r="D30" s="10">
        <f t="shared" ref="D30:Q30" si="4">+C30</f>
        <v>2025</v>
      </c>
      <c r="E30" s="10">
        <f t="shared" si="4"/>
        <v>2025</v>
      </c>
      <c r="F30" s="10">
        <f t="shared" si="4"/>
        <v>2025</v>
      </c>
      <c r="G30" s="10">
        <f t="shared" si="4"/>
        <v>2025</v>
      </c>
      <c r="H30" s="10">
        <f t="shared" si="4"/>
        <v>2025</v>
      </c>
      <c r="I30" s="10">
        <f t="shared" si="4"/>
        <v>2025</v>
      </c>
      <c r="J30" s="10">
        <f t="shared" si="4"/>
        <v>2025</v>
      </c>
      <c r="K30" s="10">
        <f t="shared" si="4"/>
        <v>2025</v>
      </c>
      <c r="L30" s="10">
        <f t="shared" si="4"/>
        <v>2025</v>
      </c>
      <c r="M30" s="10">
        <f t="shared" si="4"/>
        <v>2025</v>
      </c>
      <c r="N30" s="10">
        <f t="shared" si="4"/>
        <v>2025</v>
      </c>
      <c r="O30" s="10">
        <f t="shared" si="4"/>
        <v>2025</v>
      </c>
      <c r="P30" s="10">
        <f t="shared" si="4"/>
        <v>2025</v>
      </c>
      <c r="Q30" s="10">
        <f t="shared" si="4"/>
        <v>2025</v>
      </c>
    </row>
    <row r="31" spans="1:17" x14ac:dyDescent="0.35">
      <c r="B31" s="10" t="s">
        <v>140</v>
      </c>
      <c r="C31" s="10" t="s">
        <v>141</v>
      </c>
      <c r="D31" s="10" t="s">
        <v>142</v>
      </c>
      <c r="E31" s="10" t="s">
        <v>143</v>
      </c>
      <c r="F31" s="10" t="s">
        <v>144</v>
      </c>
      <c r="G31" s="10" t="s">
        <v>81</v>
      </c>
      <c r="H31" s="10" t="s">
        <v>145</v>
      </c>
      <c r="I31" s="10" t="s">
        <v>146</v>
      </c>
      <c r="J31" s="10" t="s">
        <v>147</v>
      </c>
      <c r="K31" s="10" t="s">
        <v>148</v>
      </c>
      <c r="L31" s="10" t="s">
        <v>149</v>
      </c>
      <c r="M31" s="10" t="s">
        <v>150</v>
      </c>
      <c r="N31" s="10" t="s">
        <v>140</v>
      </c>
      <c r="O31" s="10" t="s">
        <v>177</v>
      </c>
      <c r="P31" s="10" t="s">
        <v>208</v>
      </c>
      <c r="Q31" s="10" t="s">
        <v>178</v>
      </c>
    </row>
    <row r="33" spans="1:17" x14ac:dyDescent="0.35">
      <c r="A33" s="8" t="s">
        <v>206</v>
      </c>
      <c r="B33" s="103">
        <f>+N26</f>
        <v>-9762095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>
        <f>+'6.1 ADIT Calculated p.1'!AK21*-1</f>
        <v>-15031187</v>
      </c>
      <c r="O33" s="103">
        <f>+N33-B33</f>
        <v>-5269092</v>
      </c>
      <c r="P33" s="103">
        <f>ROUND(O33/12,0)</f>
        <v>-439091</v>
      </c>
    </row>
    <row r="34" spans="1:17" x14ac:dyDescent="0.35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</row>
    <row r="35" spans="1:17" x14ac:dyDescent="0.35">
      <c r="A35" s="8" t="s">
        <v>267</v>
      </c>
      <c r="B35" s="103">
        <f>+B33</f>
        <v>-9762095</v>
      </c>
      <c r="C35" s="44">
        <f>+B35+P33</f>
        <v>-10201186</v>
      </c>
      <c r="D35" s="44">
        <f t="shared" ref="D35:M35" si="5">+C35+$P$24</f>
        <v>-10605504</v>
      </c>
      <c r="E35" s="44">
        <f t="shared" si="5"/>
        <v>-11009822</v>
      </c>
      <c r="F35" s="44">
        <f t="shared" si="5"/>
        <v>-11414140</v>
      </c>
      <c r="G35" s="44">
        <f t="shared" si="5"/>
        <v>-11818458</v>
      </c>
      <c r="H35" s="44">
        <f t="shared" si="5"/>
        <v>-12222776</v>
      </c>
      <c r="I35" s="44">
        <f t="shared" si="5"/>
        <v>-12627094</v>
      </c>
      <c r="J35" s="44">
        <f t="shared" si="5"/>
        <v>-13031412</v>
      </c>
      <c r="K35" s="44">
        <f t="shared" si="5"/>
        <v>-13435730</v>
      </c>
      <c r="L35" s="44">
        <f t="shared" si="5"/>
        <v>-13840048</v>
      </c>
      <c r="M35" s="44">
        <f t="shared" si="5"/>
        <v>-14244366</v>
      </c>
      <c r="N35" s="44">
        <f>+M35+$P$24+3</f>
        <v>-14648681</v>
      </c>
      <c r="O35" s="44"/>
      <c r="P35" s="44"/>
      <c r="Q35" s="45">
        <f>AVERAGE(B35:N35)</f>
        <v>-12220100.923076924</v>
      </c>
    </row>
  </sheetData>
  <mergeCells count="3">
    <mergeCell ref="A3:Q3"/>
    <mergeCell ref="A4:Q4"/>
    <mergeCell ref="A5:Q5"/>
  </mergeCells>
  <phoneticPr fontId="3" type="noConversion"/>
  <pageMargins left="0.7" right="0.7" top="0.75" bottom="0.75" header="0.3" footer="0.3"/>
  <pageSetup scale="45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CB076-6B29-4660-AD7A-1C929A63F665}">
  <sheetPr codeName="Sheet5"/>
  <dimension ref="A1:AK72"/>
  <sheetViews>
    <sheetView topLeftCell="A11" zoomScale="90" zoomScaleNormal="90" zoomScaleSheetLayoutView="96" workbookViewId="0">
      <selection activeCell="AJ11" sqref="AJ11"/>
    </sheetView>
  </sheetViews>
  <sheetFormatPr defaultColWidth="9.1796875" defaultRowHeight="15.5" x14ac:dyDescent="0.35"/>
  <cols>
    <col min="1" max="1" width="3.81640625" style="24" customWidth="1"/>
    <col min="2" max="2" width="23.81640625" style="8" bestFit="1" customWidth="1"/>
    <col min="3" max="3" width="6.1796875" style="8" bestFit="1" customWidth="1"/>
    <col min="4" max="5" width="14.1796875" style="8" bestFit="1" customWidth="1"/>
    <col min="6" max="6" width="14.26953125" style="8" bestFit="1" customWidth="1"/>
    <col min="7" max="7" width="11.81640625" style="8" customWidth="1"/>
    <col min="8" max="8" width="12.1796875" style="8" customWidth="1"/>
    <col min="9" max="9" width="11.1796875" style="8" customWidth="1"/>
    <col min="10" max="10" width="11" style="8" hidden="1" customWidth="1"/>
    <col min="11" max="11" width="11.1796875" style="8" hidden="1" customWidth="1"/>
    <col min="12" max="30" width="12.81640625" style="8" hidden="1" customWidth="1"/>
    <col min="31" max="31" width="9.54296875" style="8" hidden="1" customWidth="1"/>
    <col min="32" max="32" width="15.54296875" style="8" bestFit="1" customWidth="1"/>
    <col min="33" max="33" width="12.81640625" style="8" bestFit="1" customWidth="1"/>
    <col min="34" max="34" width="15.54296875" style="8" bestFit="1" customWidth="1"/>
    <col min="35" max="35" width="14.1796875" style="8" bestFit="1" customWidth="1"/>
    <col min="36" max="36" width="12.81640625" style="8" bestFit="1" customWidth="1"/>
    <col min="37" max="37" width="20.54296875" style="8" customWidth="1"/>
    <col min="38" max="16384" width="9.1796875" style="8"/>
  </cols>
  <sheetData>
    <row r="1" spans="1:37" x14ac:dyDescent="0.35">
      <c r="B1" s="11"/>
      <c r="S1" s="9"/>
      <c r="AK1" s="9" t="str">
        <f>+'6.0 ADIT Normalized '!Q1</f>
        <v>Case No. 2024-00328</v>
      </c>
    </row>
    <row r="2" spans="1:37" x14ac:dyDescent="0.35">
      <c r="B2" s="11"/>
      <c r="S2" s="9"/>
      <c r="AK2" s="9" t="s">
        <v>210</v>
      </c>
    </row>
    <row r="3" spans="1:37" x14ac:dyDescent="0.35">
      <c r="H3" s="9"/>
      <c r="R3" s="105"/>
      <c r="S3" s="105"/>
      <c r="AK3" s="9" t="s">
        <v>213</v>
      </c>
    </row>
    <row r="4" spans="1:37" x14ac:dyDescent="0.35">
      <c r="A4" s="138" t="s">
        <v>12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</row>
    <row r="5" spans="1:37" x14ac:dyDescent="0.35">
      <c r="A5" s="138" t="s">
        <v>76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</row>
    <row r="6" spans="1:37" x14ac:dyDescent="0.35">
      <c r="A6" s="138" t="s">
        <v>112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</row>
    <row r="7" spans="1:37" x14ac:dyDescent="0.35">
      <c r="B7" s="13"/>
      <c r="H7" s="10" t="s">
        <v>219</v>
      </c>
    </row>
    <row r="8" spans="1:37" ht="12.75" customHeight="1" x14ac:dyDescent="0.35">
      <c r="B8" s="10"/>
      <c r="AJ8" s="10"/>
      <c r="AK8" s="10"/>
    </row>
    <row r="9" spans="1:37" x14ac:dyDescent="0.35">
      <c r="I9" s="10"/>
      <c r="J9" s="10">
        <v>2022</v>
      </c>
      <c r="K9" s="10">
        <f t="shared" ref="K9:AE9" si="0">+J9+1</f>
        <v>2023</v>
      </c>
      <c r="L9" s="10">
        <f t="shared" si="0"/>
        <v>2024</v>
      </c>
      <c r="M9" s="10">
        <f t="shared" si="0"/>
        <v>2025</v>
      </c>
      <c r="N9" s="10">
        <f t="shared" si="0"/>
        <v>2026</v>
      </c>
      <c r="O9" s="10">
        <f t="shared" si="0"/>
        <v>2027</v>
      </c>
      <c r="P9" s="10">
        <f t="shared" si="0"/>
        <v>2028</v>
      </c>
      <c r="Q9" s="10">
        <f t="shared" si="0"/>
        <v>2029</v>
      </c>
      <c r="R9" s="10">
        <f>+Q9+1</f>
        <v>2030</v>
      </c>
      <c r="S9" s="10">
        <f t="shared" si="0"/>
        <v>2031</v>
      </c>
      <c r="T9" s="10">
        <f t="shared" si="0"/>
        <v>2032</v>
      </c>
      <c r="U9" s="10">
        <f t="shared" si="0"/>
        <v>2033</v>
      </c>
      <c r="V9" s="10">
        <f t="shared" si="0"/>
        <v>2034</v>
      </c>
      <c r="W9" s="10">
        <f t="shared" si="0"/>
        <v>2035</v>
      </c>
      <c r="X9" s="10">
        <f t="shared" si="0"/>
        <v>2036</v>
      </c>
      <c r="Y9" s="10">
        <f t="shared" si="0"/>
        <v>2037</v>
      </c>
      <c r="Z9" s="10">
        <f t="shared" si="0"/>
        <v>2038</v>
      </c>
      <c r="AA9" s="10">
        <f t="shared" si="0"/>
        <v>2039</v>
      </c>
      <c r="AB9" s="10">
        <f t="shared" si="0"/>
        <v>2040</v>
      </c>
      <c r="AC9" s="10">
        <f t="shared" si="0"/>
        <v>2041</v>
      </c>
      <c r="AD9" s="10">
        <f t="shared" si="0"/>
        <v>2042</v>
      </c>
      <c r="AE9" s="10">
        <f t="shared" si="0"/>
        <v>2043</v>
      </c>
      <c r="AF9" s="10" t="s">
        <v>14</v>
      </c>
      <c r="AG9" s="10"/>
      <c r="AI9" s="10"/>
      <c r="AJ9" s="10" t="s">
        <v>47</v>
      </c>
      <c r="AK9" s="10" t="s">
        <v>16</v>
      </c>
    </row>
    <row r="10" spans="1:37" x14ac:dyDescent="0.35">
      <c r="A10" s="10" t="s">
        <v>1</v>
      </c>
      <c r="B10" s="10" t="s">
        <v>73</v>
      </c>
      <c r="D10" s="10">
        <v>2023</v>
      </c>
      <c r="E10" s="10">
        <f>+D10+1</f>
        <v>2024</v>
      </c>
      <c r="F10" s="10">
        <f>+E10+1</f>
        <v>2025</v>
      </c>
      <c r="G10" s="10">
        <f>+F10+1</f>
        <v>2026</v>
      </c>
      <c r="H10" s="10">
        <f>+G10+1</f>
        <v>2027</v>
      </c>
      <c r="I10" s="10">
        <f>+H10+1</f>
        <v>2028</v>
      </c>
      <c r="J10" s="10" t="s">
        <v>17</v>
      </c>
      <c r="K10" s="10" t="s">
        <v>18</v>
      </c>
      <c r="L10" s="10" t="s">
        <v>26</v>
      </c>
      <c r="M10" s="10" t="s">
        <v>27</v>
      </c>
      <c r="N10" s="10" t="s">
        <v>28</v>
      </c>
      <c r="O10" s="10" t="s">
        <v>29</v>
      </c>
      <c r="P10" s="10" t="s">
        <v>30</v>
      </c>
      <c r="Q10" s="10" t="s">
        <v>31</v>
      </c>
      <c r="R10" s="10" t="s">
        <v>32</v>
      </c>
      <c r="S10" s="10" t="s">
        <v>33</v>
      </c>
      <c r="T10" s="10" t="s">
        <v>34</v>
      </c>
      <c r="U10" s="10" t="s">
        <v>35</v>
      </c>
      <c r="V10" s="10" t="s">
        <v>37</v>
      </c>
      <c r="W10" s="10" t="s">
        <v>38</v>
      </c>
      <c r="X10" s="10" t="s">
        <v>39</v>
      </c>
      <c r="Y10" s="10" t="s">
        <v>40</v>
      </c>
      <c r="Z10" s="10" t="s">
        <v>41</v>
      </c>
      <c r="AA10" s="10" t="s">
        <v>42</v>
      </c>
      <c r="AB10" s="10" t="s">
        <v>43</v>
      </c>
      <c r="AC10" s="10" t="s">
        <v>44</v>
      </c>
      <c r="AD10" s="10" t="s">
        <v>45</v>
      </c>
      <c r="AE10" s="10" t="s">
        <v>46</v>
      </c>
      <c r="AF10" s="10" t="s">
        <v>19</v>
      </c>
      <c r="AG10" s="10" t="s">
        <v>69</v>
      </c>
      <c r="AH10" s="10" t="s">
        <v>15</v>
      </c>
      <c r="AI10" s="10"/>
      <c r="AJ10" s="10" t="s">
        <v>218</v>
      </c>
      <c r="AK10" s="10" t="s">
        <v>21</v>
      </c>
    </row>
    <row r="11" spans="1:37" ht="20" x14ac:dyDescent="0.8">
      <c r="A11" s="13" t="s">
        <v>2</v>
      </c>
      <c r="B11" s="106" t="s">
        <v>72</v>
      </c>
      <c r="C11" s="13" t="s">
        <v>0</v>
      </c>
      <c r="D11" s="13" t="s">
        <v>22</v>
      </c>
      <c r="E11" s="13" t="s">
        <v>22</v>
      </c>
      <c r="F11" s="13" t="s">
        <v>22</v>
      </c>
      <c r="G11" s="13" t="s">
        <v>22</v>
      </c>
      <c r="H11" s="13" t="s">
        <v>22</v>
      </c>
      <c r="I11" s="13" t="s">
        <v>22</v>
      </c>
      <c r="J11" s="13" t="s">
        <v>22</v>
      </c>
      <c r="K11" s="13" t="s">
        <v>22</v>
      </c>
      <c r="L11" s="13" t="s">
        <v>22</v>
      </c>
      <c r="M11" s="13" t="s">
        <v>22</v>
      </c>
      <c r="N11" s="13" t="s">
        <v>22</v>
      </c>
      <c r="O11" s="13" t="s">
        <v>22</v>
      </c>
      <c r="P11" s="13" t="s">
        <v>22</v>
      </c>
      <c r="Q11" s="13" t="s">
        <v>22</v>
      </c>
      <c r="R11" s="13" t="s">
        <v>22</v>
      </c>
      <c r="S11" s="13" t="s">
        <v>22</v>
      </c>
      <c r="T11" s="13" t="s">
        <v>22</v>
      </c>
      <c r="U11" s="13" t="s">
        <v>22</v>
      </c>
      <c r="V11" s="13" t="s">
        <v>22</v>
      </c>
      <c r="W11" s="13" t="s">
        <v>22</v>
      </c>
      <c r="X11" s="13" t="s">
        <v>22</v>
      </c>
      <c r="Y11" s="13" t="s">
        <v>22</v>
      </c>
      <c r="Z11" s="13" t="s">
        <v>22</v>
      </c>
      <c r="AA11" s="13" t="s">
        <v>22</v>
      </c>
      <c r="AB11" s="13" t="s">
        <v>22</v>
      </c>
      <c r="AC11" s="13" t="s">
        <v>22</v>
      </c>
      <c r="AD11" s="13" t="s">
        <v>22</v>
      </c>
      <c r="AE11" s="13" t="s">
        <v>22</v>
      </c>
      <c r="AF11" s="13" t="s">
        <v>23</v>
      </c>
      <c r="AG11" s="13" t="s">
        <v>70</v>
      </c>
      <c r="AH11" s="13" t="s">
        <v>23</v>
      </c>
      <c r="AI11" s="13" t="s">
        <v>24</v>
      </c>
      <c r="AJ11" s="107">
        <f>0.2495</f>
        <v>0.2495</v>
      </c>
      <c r="AK11" s="13" t="s">
        <v>25</v>
      </c>
    </row>
    <row r="12" spans="1:37" x14ac:dyDescent="0.35">
      <c r="A12" s="13"/>
      <c r="B12" s="108" t="s">
        <v>221</v>
      </c>
      <c r="C12" s="10" t="s">
        <v>222</v>
      </c>
      <c r="D12" s="108" t="s">
        <v>223</v>
      </c>
      <c r="E12" s="108" t="s">
        <v>224</v>
      </c>
      <c r="F12" s="108" t="s">
        <v>225</v>
      </c>
      <c r="G12" s="108" t="s">
        <v>226</v>
      </c>
      <c r="H12" s="108" t="s">
        <v>227</v>
      </c>
      <c r="I12" s="108" t="s">
        <v>228</v>
      </c>
      <c r="J12" s="108" t="e">
        <f t="shared" ref="J12:AE12" si="1">+I12-1</f>
        <v>#VALUE!</v>
      </c>
      <c r="K12" s="108" t="e">
        <f t="shared" si="1"/>
        <v>#VALUE!</v>
      </c>
      <c r="L12" s="108" t="e">
        <f t="shared" si="1"/>
        <v>#VALUE!</v>
      </c>
      <c r="M12" s="108" t="e">
        <f t="shared" si="1"/>
        <v>#VALUE!</v>
      </c>
      <c r="N12" s="108" t="e">
        <f t="shared" si="1"/>
        <v>#VALUE!</v>
      </c>
      <c r="O12" s="108" t="e">
        <f t="shared" si="1"/>
        <v>#VALUE!</v>
      </c>
      <c r="P12" s="108" t="e">
        <f t="shared" si="1"/>
        <v>#VALUE!</v>
      </c>
      <c r="Q12" s="108" t="e">
        <f t="shared" si="1"/>
        <v>#VALUE!</v>
      </c>
      <c r="R12" s="108" t="e">
        <f>+Q12-1</f>
        <v>#VALUE!</v>
      </c>
      <c r="S12" s="108" t="e">
        <f t="shared" si="1"/>
        <v>#VALUE!</v>
      </c>
      <c r="T12" s="108" t="e">
        <f t="shared" si="1"/>
        <v>#VALUE!</v>
      </c>
      <c r="U12" s="108" t="e">
        <f t="shared" si="1"/>
        <v>#VALUE!</v>
      </c>
      <c r="V12" s="108" t="e">
        <f t="shared" si="1"/>
        <v>#VALUE!</v>
      </c>
      <c r="W12" s="108" t="e">
        <f t="shared" si="1"/>
        <v>#VALUE!</v>
      </c>
      <c r="X12" s="108" t="e">
        <f t="shared" si="1"/>
        <v>#VALUE!</v>
      </c>
      <c r="Y12" s="108" t="e">
        <f t="shared" si="1"/>
        <v>#VALUE!</v>
      </c>
      <c r="Z12" s="108" t="e">
        <f t="shared" si="1"/>
        <v>#VALUE!</v>
      </c>
      <c r="AA12" s="108" t="e">
        <f t="shared" si="1"/>
        <v>#VALUE!</v>
      </c>
      <c r="AB12" s="108" t="e">
        <f t="shared" si="1"/>
        <v>#VALUE!</v>
      </c>
      <c r="AC12" s="108" t="e">
        <f t="shared" si="1"/>
        <v>#VALUE!</v>
      </c>
      <c r="AD12" s="108" t="e">
        <f t="shared" si="1"/>
        <v>#VALUE!</v>
      </c>
      <c r="AE12" s="108" t="e">
        <f t="shared" si="1"/>
        <v>#VALUE!</v>
      </c>
      <c r="AF12" s="108" t="s">
        <v>229</v>
      </c>
      <c r="AG12" s="108" t="s">
        <v>230</v>
      </c>
      <c r="AH12" s="108" t="s">
        <v>231</v>
      </c>
      <c r="AI12" s="108" t="s">
        <v>232</v>
      </c>
      <c r="AJ12" s="108" t="s">
        <v>233</v>
      </c>
      <c r="AK12" s="108" t="s">
        <v>234</v>
      </c>
    </row>
    <row r="13" spans="1:37" x14ac:dyDescent="0.35">
      <c r="A13" s="13"/>
      <c r="B13" s="80"/>
      <c r="C13" s="10"/>
      <c r="D13" s="109" t="s">
        <v>13</v>
      </c>
      <c r="E13" s="109" t="s">
        <v>13</v>
      </c>
      <c r="F13" s="109" t="s">
        <v>13</v>
      </c>
      <c r="G13" s="109" t="s">
        <v>13</v>
      </c>
      <c r="H13" s="109" t="s">
        <v>13</v>
      </c>
      <c r="I13" s="109" t="s">
        <v>13</v>
      </c>
      <c r="J13" s="109" t="s">
        <v>13</v>
      </c>
      <c r="K13" s="109" t="s">
        <v>13</v>
      </c>
      <c r="L13" s="109" t="s">
        <v>13</v>
      </c>
      <c r="M13" s="109" t="s">
        <v>13</v>
      </c>
      <c r="N13" s="109" t="s">
        <v>13</v>
      </c>
      <c r="O13" s="109" t="s">
        <v>13</v>
      </c>
      <c r="P13" s="109" t="s">
        <v>13</v>
      </c>
      <c r="Q13" s="109" t="s">
        <v>13</v>
      </c>
      <c r="R13" s="109" t="s">
        <v>13</v>
      </c>
      <c r="S13" s="109" t="s">
        <v>13</v>
      </c>
      <c r="T13" s="109" t="s">
        <v>13</v>
      </c>
      <c r="U13" s="109" t="s">
        <v>13</v>
      </c>
      <c r="V13" s="109" t="s">
        <v>13</v>
      </c>
      <c r="W13" s="109" t="s">
        <v>13</v>
      </c>
      <c r="X13" s="109" t="s">
        <v>13</v>
      </c>
      <c r="Y13" s="109" t="s">
        <v>13</v>
      </c>
      <c r="Z13" s="109" t="s">
        <v>13</v>
      </c>
      <c r="AA13" s="109" t="s">
        <v>13</v>
      </c>
      <c r="AB13" s="109" t="s">
        <v>13</v>
      </c>
      <c r="AC13" s="109" t="s">
        <v>13</v>
      </c>
      <c r="AD13" s="109" t="s">
        <v>13</v>
      </c>
      <c r="AE13" s="109" t="s">
        <v>13</v>
      </c>
      <c r="AF13" s="109" t="s">
        <v>13</v>
      </c>
      <c r="AG13" s="10" t="s">
        <v>13</v>
      </c>
      <c r="AH13" s="109" t="s">
        <v>13</v>
      </c>
      <c r="AI13" s="109" t="s">
        <v>13</v>
      </c>
      <c r="AJ13" s="109" t="s">
        <v>13</v>
      </c>
      <c r="AK13" s="109" t="s">
        <v>13</v>
      </c>
    </row>
    <row r="14" spans="1:37" x14ac:dyDescent="0.35">
      <c r="A14" s="13"/>
      <c r="B14" s="110"/>
      <c r="C14" s="11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37" ht="17" x14ac:dyDescent="0.5">
      <c r="A15" s="24">
        <v>1</v>
      </c>
      <c r="B15" s="112" t="s">
        <v>95</v>
      </c>
      <c r="C15" s="111"/>
      <c r="D15" s="113">
        <f>'6.1 ADIT Calcluated p.2'!D14+'6.1 ADIT Calcluated p.3'!D14</f>
        <v>43947664.630000003</v>
      </c>
      <c r="E15" s="113">
        <f>'6.1 ADIT Calcluated p.2'!E14+'6.1 ADIT Calcluated p.3'!E14</f>
        <v>40243164</v>
      </c>
      <c r="F15" s="113">
        <f>'6.1 ADIT Calcluated p.2'!F14+'6.1 ADIT Calcluated p.3'!F14</f>
        <v>44312960</v>
      </c>
      <c r="G15" s="113">
        <f>'6.1 ADIT Calcluated p.2'!G14+'6.1 ADIT Calcluated p.3'!G14</f>
        <v>0</v>
      </c>
      <c r="H15" s="113">
        <f>'6.1 ADIT Calcluated p.2'!H14+'6.1 ADIT Calcluated p.3'!H14</f>
        <v>0</v>
      </c>
      <c r="I15" s="113">
        <f>'6.1 ADIT Calcluated p.2'!I14+'6.1 ADIT Calcluated p.3'!I14</f>
        <v>0</v>
      </c>
      <c r="J15" s="113" t="e">
        <f>'6.1 ADIT Calcluated p.2'!J14+'6.1 ADIT Calcluated p.3'!J14</f>
        <v>#REF!</v>
      </c>
      <c r="K15" s="113" t="e">
        <f>'6.1 ADIT Calcluated p.2'!K14+'6.1 ADIT Calcluated p.3'!K14</f>
        <v>#REF!</v>
      </c>
      <c r="L15" s="113" t="e">
        <f>'6.1 ADIT Calcluated p.2'!L14+'6.1 ADIT Calcluated p.3'!L14</f>
        <v>#REF!</v>
      </c>
      <c r="M15" s="113" t="e">
        <f>'6.1 ADIT Calcluated p.2'!M14+'6.1 ADIT Calcluated p.3'!M14</f>
        <v>#REF!</v>
      </c>
      <c r="N15" s="113" t="e">
        <f>'6.1 ADIT Calcluated p.2'!N14+'6.1 ADIT Calcluated p.3'!N14</f>
        <v>#REF!</v>
      </c>
      <c r="O15" s="113" t="e">
        <f>'6.1 ADIT Calcluated p.2'!O14+'6.1 ADIT Calcluated p.3'!O14</f>
        <v>#REF!</v>
      </c>
      <c r="P15" s="113" t="e">
        <f>'6.1 ADIT Calcluated p.2'!P14+'6.1 ADIT Calcluated p.3'!P14</f>
        <v>#REF!</v>
      </c>
      <c r="Q15" s="113" t="e">
        <f>'6.1 ADIT Calcluated p.2'!Q14+'6.1 ADIT Calcluated p.3'!Q14</f>
        <v>#REF!</v>
      </c>
      <c r="R15" s="113" t="e">
        <f>'6.1 ADIT Calcluated p.2'!R14+'6.1 ADIT Calcluated p.3'!R14</f>
        <v>#REF!</v>
      </c>
      <c r="S15" s="113" t="e">
        <f>'6.1 ADIT Calcluated p.2'!S14+'6.1 ADIT Calcluated p.3'!S14</f>
        <v>#REF!</v>
      </c>
      <c r="T15" s="113" t="e">
        <f>'6.1 ADIT Calcluated p.2'!T14+'6.1 ADIT Calcluated p.3'!T14</f>
        <v>#REF!</v>
      </c>
      <c r="U15" s="113" t="e">
        <f>'6.1 ADIT Calcluated p.2'!U14+'6.1 ADIT Calcluated p.3'!U14</f>
        <v>#REF!</v>
      </c>
      <c r="V15" s="113" t="e">
        <f>'6.1 ADIT Calcluated p.2'!V14+'6.1 ADIT Calcluated p.3'!V14</f>
        <v>#REF!</v>
      </c>
      <c r="W15" s="113" t="e">
        <f>'6.1 ADIT Calcluated p.2'!W14+'6.1 ADIT Calcluated p.3'!W14</f>
        <v>#REF!</v>
      </c>
      <c r="X15" s="113" t="e">
        <f>'6.1 ADIT Calcluated p.2'!X14+'6.1 ADIT Calcluated p.3'!X14</f>
        <v>#REF!</v>
      </c>
      <c r="Y15" s="113" t="e">
        <f>'6.1 ADIT Calcluated p.2'!Y14+'6.1 ADIT Calcluated p.3'!Y14</f>
        <v>#REF!</v>
      </c>
      <c r="Z15" s="113" t="e">
        <f>'6.1 ADIT Calcluated p.2'!Z14+'6.1 ADIT Calcluated p.3'!Z14</f>
        <v>#REF!</v>
      </c>
      <c r="AA15" s="113" t="e">
        <f>'6.1 ADIT Calcluated p.2'!AA14+'6.1 ADIT Calcluated p.3'!AA14</f>
        <v>#REF!</v>
      </c>
      <c r="AB15" s="113" t="e">
        <f>'6.1 ADIT Calcluated p.2'!AB14+'6.1 ADIT Calcluated p.3'!AB14</f>
        <v>#REF!</v>
      </c>
      <c r="AC15" s="113" t="e">
        <f>'6.1 ADIT Calcluated p.2'!AC14+'6.1 ADIT Calcluated p.3'!AC14</f>
        <v>#REF!</v>
      </c>
      <c r="AD15" s="113" t="e">
        <f>'6.1 ADIT Calcluated p.2'!AD14+'6.1 ADIT Calcluated p.3'!AD14</f>
        <v>#REF!</v>
      </c>
      <c r="AE15" s="113" t="e">
        <f>'6.1 ADIT Calcluated p.2'!AE14+'6.1 ADIT Calcluated p.3'!AE14</f>
        <v>#REF!</v>
      </c>
      <c r="AH15" s="45"/>
    </row>
    <row r="16" spans="1:37" ht="13.5" customHeight="1" x14ac:dyDescent="0.35">
      <c r="A16" s="13"/>
      <c r="B16" s="110"/>
      <c r="C16" s="111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</row>
    <row r="17" spans="1:37" ht="13.5" customHeight="1" x14ac:dyDescent="0.35">
      <c r="A17" s="24">
        <f>A15+1</f>
        <v>2</v>
      </c>
      <c r="B17" s="112"/>
      <c r="C17" s="111"/>
      <c r="D17" s="114"/>
      <c r="E17" s="114"/>
      <c r="F17" s="114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I17" s="45"/>
    </row>
    <row r="18" spans="1:37" ht="13.5" customHeight="1" x14ac:dyDescent="0.35">
      <c r="B18" s="112"/>
      <c r="C18" s="111"/>
      <c r="D18" s="114"/>
      <c r="E18" s="114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</row>
    <row r="19" spans="1:37" x14ac:dyDescent="0.35">
      <c r="A19" s="24">
        <f>A17+1</f>
        <v>3</v>
      </c>
      <c r="B19" s="115">
        <v>3.7500000000000089E-2</v>
      </c>
      <c r="C19" s="24">
        <v>1</v>
      </c>
      <c r="D19" s="44">
        <f>'6.1 ADIT Calcluated p.2'!D18+'6.1 ADIT Calcluated p.3'!D18</f>
        <v>18046484</v>
      </c>
      <c r="E19" s="44"/>
      <c r="AF19" s="44">
        <f>'6.1 ADIT Calcluated p.2'!AF18+'6.1 ADIT Calcluated p.3'!AF18</f>
        <v>18046484</v>
      </c>
      <c r="AG19" s="44">
        <f>'6.1 ADIT Calcluated p.2'!AG18+'6.1 ADIT Calcluated p.3'!AG18</f>
        <v>2051396.6795919999</v>
      </c>
      <c r="AH19" s="44">
        <f>'6.1 ADIT Calcluated p.2'!AH18+'6.1 ADIT Calcluated p.3'!AH18</f>
        <v>417391.11800000007</v>
      </c>
      <c r="AI19" s="44">
        <f>'6.1 ADIT Calcluated p.2'!AI18+'6.1 ADIT Calcluated p.3'!AI18</f>
        <v>19680489.561592001</v>
      </c>
      <c r="AJ19" s="44">
        <f>+'6.1 ADIT Calcluated p.2'!AJ18+'6.1 ADIT Calcluated p.3'!AJ18</f>
        <v>4910282</v>
      </c>
      <c r="AK19" s="44">
        <f>+'6.1 ADIT Calcluated p.2'!AK18+'6.1 ADIT Calcluated p.3'!AK18</f>
        <v>4910282</v>
      </c>
    </row>
    <row r="20" spans="1:37" x14ac:dyDescent="0.35">
      <c r="A20" s="24">
        <f>A19+1</f>
        <v>4</v>
      </c>
      <c r="B20" s="115">
        <v>7.2190000000000004E-2</v>
      </c>
      <c r="C20" s="24">
        <f>+C19+1</f>
        <v>2</v>
      </c>
      <c r="D20" s="44">
        <f>'6.1 ADIT Calcluated p.2'!D19+'6.1 ADIT Calcluated p.3'!D19</f>
        <v>1942655</v>
      </c>
      <c r="E20" s="44">
        <f>'6.1 ADIT Calcluated p.2'!E19+'6.1 ADIT Calcluated p.3'!E19</f>
        <v>15982127</v>
      </c>
      <c r="F20" s="44">
        <f>'6.1 ADIT Calcluated p.2'!F19+'6.1 ADIT Calcluated p.3'!F19</f>
        <v>0</v>
      </c>
      <c r="AF20" s="44">
        <f>'6.1 ADIT Calcluated p.2'!AF19+'6.1 ADIT Calcluated p.3'!AF19</f>
        <v>17924782</v>
      </c>
      <c r="AG20" s="44">
        <f>'6.1 ADIT Calcluated p.2'!AG19+'6.1 ADIT Calcluated p.3'!AG19</f>
        <v>2860507.0000000005</v>
      </c>
      <c r="AH20" s="44">
        <f>'6.1 ADIT Calcluated p.2'!AH19+'6.1 ADIT Calcluated p.3'!AH19</f>
        <v>1339109.4820000003</v>
      </c>
      <c r="AI20" s="44">
        <f>'6.1 ADIT Calcluated p.2'!AI19+'6.1 ADIT Calcluated p.3'!AI19</f>
        <v>19446179.517999999</v>
      </c>
      <c r="AJ20" s="44">
        <f>+'6.1 ADIT Calcluated p.2'!AJ19+'6.1 ADIT Calcluated p.3'!AJ19</f>
        <v>4851821</v>
      </c>
      <c r="AK20" s="44">
        <f>+'6.1 ADIT Calcluated p.2'!AK19+'6.1 ADIT Calcluated p.3'!AK19</f>
        <v>9762103</v>
      </c>
    </row>
    <row r="21" spans="1:37" x14ac:dyDescent="0.35">
      <c r="A21" s="24">
        <f t="shared" ref="A21:A44" si="2">A20+1</f>
        <v>5</v>
      </c>
      <c r="B21" s="115">
        <v>6.6769999999999996E-2</v>
      </c>
      <c r="C21" s="24">
        <f t="shared" ref="C21:C42" si="3">+C20+1</f>
        <v>3</v>
      </c>
      <c r="D21" s="44">
        <f>'6.1 ADIT Calcluated p.2'!D20+'6.1 ADIT Calcluated p.3'!D20</f>
        <v>1796802</v>
      </c>
      <c r="E21" s="44">
        <f>'6.1 ADIT Calcluated p.2'!E20+'6.1 ADIT Calcluated p.3'!E20</f>
        <v>1819641</v>
      </c>
      <c r="F21" s="44">
        <f>'6.1 ADIT Calcluated p.2'!F20+'6.1 ADIT Calcluated p.3'!F20</f>
        <v>18082798</v>
      </c>
      <c r="G21" s="44">
        <f>'6.1 ADIT Calcluated p.2'!G20+'6.1 ADIT Calcluated p.3'!G20</f>
        <v>0</v>
      </c>
      <c r="AF21" s="44">
        <f>'6.1 ADIT Calcluated p.2'!AF20+'6.1 ADIT Calcluated p.3'!AF20</f>
        <v>21699241</v>
      </c>
      <c r="AG21" s="44">
        <f>'6.1 ADIT Calcluated p.2'!AG20+'6.1 ADIT Calcluated p.3'!AG20</f>
        <v>2051396.6795919999</v>
      </c>
      <c r="AH21" s="44">
        <f>'6.1 ADIT Calcluated p.2'!AH20+'6.1 ADIT Calcluated p.3'!AH20</f>
        <v>2632062.6990000005</v>
      </c>
      <c r="AI21" s="44">
        <f>'6.1 ADIT Calcluated p.2'!AI20+'6.1 ADIT Calcluated p.3'!AI20</f>
        <v>21118574.980591998</v>
      </c>
      <c r="AJ21" s="44">
        <f>+'6.1 ADIT Calcluated p.2'!AJ20+'6.1 ADIT Calcluated p.3'!AJ20</f>
        <v>5269084</v>
      </c>
      <c r="AK21" s="44">
        <f>+'6.1 ADIT Calcluated p.2'!AK20+'6.1 ADIT Calcluated p.3'!AK20</f>
        <v>15031187</v>
      </c>
    </row>
    <row r="22" spans="1:37" x14ac:dyDescent="0.35">
      <c r="A22" s="24">
        <f t="shared" si="2"/>
        <v>6</v>
      </c>
      <c r="B22" s="115">
        <v>6.1769999999999999E-2</v>
      </c>
      <c r="C22" s="24">
        <f t="shared" si="3"/>
        <v>4</v>
      </c>
      <c r="D22" s="44">
        <f>'6.1 ADIT Calcluated p.2'!D21+'6.1 ADIT Calcluated p.3'!D21</f>
        <v>1662250</v>
      </c>
      <c r="E22" s="44">
        <f>'6.1 ADIT Calcluated p.2'!E21+'6.1 ADIT Calcluated p.3'!E21</f>
        <v>1683023</v>
      </c>
      <c r="F22" s="44">
        <f>'6.1 ADIT Calcluated p.2'!F21+'6.1 ADIT Calcluated p.3'!F21</f>
        <v>1967330</v>
      </c>
      <c r="G22" s="44">
        <f>'6.1 ADIT Calcluated p.2'!G21+'6.1 ADIT Calcluated p.3'!G21</f>
        <v>0</v>
      </c>
      <c r="H22" s="44">
        <f>'6.1 ADIT Calcluated p.2'!H21+'6.1 ADIT Calcluated p.3'!H21</f>
        <v>0</v>
      </c>
      <c r="AF22" s="44">
        <f>'6.1 ADIT Calcluated p.2'!AF21+'6.1 ADIT Calcluated p.3'!AF21</f>
        <v>5312603</v>
      </c>
      <c r="AG22" s="44">
        <f>'6.1 ADIT Calcluated p.2'!AG21+'6.1 ADIT Calcluated p.3'!AG21</f>
        <v>0</v>
      </c>
      <c r="AH22" s="44">
        <f>'6.1 ADIT Calcluated p.2'!AH21+'6.1 ADIT Calcluated p.3'!AH21</f>
        <v>0</v>
      </c>
      <c r="AI22" s="44">
        <f>'6.1 ADIT Calcluated p.2'!AI21+'6.1 ADIT Calcluated p.3'!AI21</f>
        <v>0</v>
      </c>
      <c r="AJ22" s="44">
        <f>+'6.1 ADIT Calcluated p.2'!AJ21+'6.1 ADIT Calcluated p.3'!AJ21</f>
        <v>0</v>
      </c>
      <c r="AK22" s="44">
        <f>+'6.1 ADIT Calcluated p.2'!AK21+'6.1 ADIT Calcluated p.3'!AK21</f>
        <v>0</v>
      </c>
    </row>
    <row r="23" spans="1:37" x14ac:dyDescent="0.35">
      <c r="A23" s="24">
        <f t="shared" si="2"/>
        <v>7</v>
      </c>
      <c r="B23" s="115">
        <v>5.713E-2</v>
      </c>
      <c r="C23" s="24">
        <f t="shared" si="3"/>
        <v>5</v>
      </c>
      <c r="D23" s="44">
        <f>'6.1 ADIT Calcluated p.2'!D22+'6.1 ADIT Calcluated p.3'!D22</f>
        <v>1537386</v>
      </c>
      <c r="E23" s="44">
        <f>'6.1 ADIT Calcluated p.2'!E22+'6.1 ADIT Calcluated p.3'!E22</f>
        <v>1556991</v>
      </c>
      <c r="F23" s="44">
        <f>'6.1 ADIT Calcluated p.2'!F22+'6.1 ADIT Calcluated p.3'!F22</f>
        <v>1819623</v>
      </c>
      <c r="G23" s="44">
        <f>'6.1 ADIT Calcluated p.2'!G22+'6.1 ADIT Calcluated p.3'!G22</f>
        <v>0</v>
      </c>
      <c r="H23" s="44">
        <f>'6.1 ADIT Calcluated p.2'!H22+'6.1 ADIT Calcluated p.3'!H22</f>
        <v>0</v>
      </c>
      <c r="I23" s="44">
        <f>'6.1 ADIT Calcluated p.2'!I22+'6.1 ADIT Calcluated p.3'!I22</f>
        <v>0</v>
      </c>
      <c r="AF23" s="44">
        <f>'6.1 ADIT Calcluated p.2'!AF22+'6.1 ADIT Calcluated p.3'!AF22</f>
        <v>4914000</v>
      </c>
      <c r="AG23" s="44">
        <f>'6.1 ADIT Calcluated p.2'!AG22+'6.1 ADIT Calcluated p.3'!AG22</f>
        <v>0</v>
      </c>
      <c r="AH23" s="44">
        <f>'6.1 ADIT Calcluated p.2'!AH22+'6.1 ADIT Calcluated p.3'!AH22</f>
        <v>0</v>
      </c>
      <c r="AI23" s="44">
        <f>'6.1 ADIT Calcluated p.2'!AI22+'6.1 ADIT Calcluated p.3'!AI22</f>
        <v>0</v>
      </c>
      <c r="AJ23" s="44">
        <f>+'6.1 ADIT Calcluated p.2'!AJ22+'6.1 ADIT Calcluated p.3'!AJ22</f>
        <v>0</v>
      </c>
      <c r="AK23" s="44">
        <f>+'6.1 ADIT Calcluated p.2'!AK22+'6.1 ADIT Calcluated p.3'!AK22</f>
        <v>0</v>
      </c>
    </row>
    <row r="24" spans="1:37" x14ac:dyDescent="0.35">
      <c r="A24" s="24">
        <f t="shared" si="2"/>
        <v>8</v>
      </c>
      <c r="B24" s="115">
        <v>5.2850000000000001E-2</v>
      </c>
      <c r="C24" s="24">
        <f t="shared" si="3"/>
        <v>6</v>
      </c>
      <c r="D24" s="44">
        <f>'6.1 ADIT Calcluated p.2'!D23+'6.1 ADIT Calcluated p.3'!D23</f>
        <v>1422211</v>
      </c>
      <c r="E24" s="44">
        <f>'6.1 ADIT Calcluated p.2'!E23+'6.1 ADIT Calcluated p.3'!E23</f>
        <v>1440035</v>
      </c>
      <c r="F24" s="44">
        <f>'6.1 ADIT Calcluated p.2'!F23+'6.1 ADIT Calcluated p.3'!F23</f>
        <v>1683363</v>
      </c>
      <c r="G24" s="44">
        <f>'6.1 ADIT Calcluated p.2'!G23+'6.1 ADIT Calcluated p.3'!G23</f>
        <v>0</v>
      </c>
      <c r="H24" s="44">
        <f>'6.1 ADIT Calcluated p.2'!H23+'6.1 ADIT Calcluated p.3'!H23</f>
        <v>0</v>
      </c>
      <c r="I24" s="44">
        <f>'6.1 ADIT Calcluated p.2'!I23+'6.1 ADIT Calcluated p.3'!I23</f>
        <v>0</v>
      </c>
      <c r="AF24" s="44">
        <f>'6.1 ADIT Calcluated p.2'!AF23+'6.1 ADIT Calcluated p.3'!AF23</f>
        <v>4545609</v>
      </c>
      <c r="AG24" s="44"/>
      <c r="AH24" s="44">
        <v>0</v>
      </c>
      <c r="AI24" s="44">
        <f>'6.1 ADIT Calcluated p.2'!AI23+'6.1 ADIT Calcluated p.3'!AI23</f>
        <v>0</v>
      </c>
      <c r="AJ24" s="44">
        <f>+'6.1 ADIT Calcluated p.2'!AJ23+'6.1 ADIT Calcluated p.3'!AJ23</f>
        <v>0</v>
      </c>
      <c r="AK24" s="44">
        <f>+'6.1 ADIT Calcluated p.2'!AK23+'6.1 ADIT Calcluated p.3'!AK23</f>
        <v>0</v>
      </c>
    </row>
    <row r="25" spans="1:37" x14ac:dyDescent="0.35">
      <c r="A25" s="24">
        <f t="shared" si="2"/>
        <v>9</v>
      </c>
      <c r="B25" s="115">
        <v>4.888E-2</v>
      </c>
      <c r="C25" s="24">
        <f t="shared" si="3"/>
        <v>7</v>
      </c>
      <c r="D25" s="44">
        <f>'6.1 ADIT Calcluated p.2'!D24+'6.1 ADIT Calcluated p.3'!D24</f>
        <v>1315377</v>
      </c>
      <c r="E25" s="44">
        <f>'6.1 ADIT Calcluated p.2'!E24+'6.1 ADIT Calcluated p.3'!E24</f>
        <v>1332151</v>
      </c>
      <c r="F25" s="44">
        <f>'6.1 ADIT Calcluated p.2'!F24+'6.1 ADIT Calcluated p.3'!F24</f>
        <v>1556913</v>
      </c>
      <c r="G25" s="44">
        <f>'6.1 ADIT Calcluated p.2'!G24+'6.1 ADIT Calcluated p.3'!G24</f>
        <v>0</v>
      </c>
      <c r="H25" s="44">
        <f>'6.1 ADIT Calcluated p.2'!H24+'6.1 ADIT Calcluated p.3'!H24</f>
        <v>0</v>
      </c>
      <c r="I25" s="44">
        <f>'6.1 ADIT Calcluated p.2'!I24+'6.1 ADIT Calcluated p.3'!I24</f>
        <v>0</v>
      </c>
      <c r="AF25" s="44">
        <f>'6.1 ADIT Calcluated p.2'!AF24+'6.1 ADIT Calcluated p.3'!AF24</f>
        <v>4204441</v>
      </c>
      <c r="AG25" s="44"/>
      <c r="AH25" s="44">
        <v>0</v>
      </c>
      <c r="AI25" s="44">
        <f>'6.1 ADIT Calcluated p.2'!AI24+'6.1 ADIT Calcluated p.3'!AI24</f>
        <v>0</v>
      </c>
      <c r="AJ25" s="44">
        <f>+'6.1 ADIT Calcluated p.2'!AJ24+'6.1 ADIT Calcluated p.3'!AJ24</f>
        <v>0</v>
      </c>
      <c r="AK25" s="44">
        <f>+'6.1 ADIT Calcluated p.2'!AK24+'6.1 ADIT Calcluated p.3'!AK24</f>
        <v>0</v>
      </c>
    </row>
    <row r="26" spans="1:37" x14ac:dyDescent="0.35">
      <c r="A26" s="24">
        <f t="shared" si="2"/>
        <v>10</v>
      </c>
      <c r="B26" s="115">
        <v>4.5220000000000003E-2</v>
      </c>
      <c r="C26" s="24">
        <f t="shared" si="3"/>
        <v>8</v>
      </c>
      <c r="D26" s="44">
        <f>'6.1 ADIT Calcluated p.2'!D25+'6.1 ADIT Calcluated p.3'!D25</f>
        <v>1216885</v>
      </c>
      <c r="E26" s="44">
        <f>'6.1 ADIT Calcluated p.2'!E25+'6.1 ADIT Calcluated p.3'!E25</f>
        <v>1232083</v>
      </c>
      <c r="F26" s="44">
        <f>'6.1 ADIT Calcluated p.2'!F25+'6.1 ADIT Calcluated p.3'!F25</f>
        <v>1440274</v>
      </c>
      <c r="G26" s="44">
        <f>'6.1 ADIT Calcluated p.2'!G25+'6.1 ADIT Calcluated p.3'!G25</f>
        <v>0</v>
      </c>
      <c r="H26" s="44">
        <f>'6.1 ADIT Calcluated p.2'!H25+'6.1 ADIT Calcluated p.3'!H25</f>
        <v>0</v>
      </c>
      <c r="I26" s="44">
        <f>'6.1 ADIT Calcluated p.2'!I25+'6.1 ADIT Calcluated p.3'!I25</f>
        <v>0</v>
      </c>
      <c r="AF26" s="44">
        <f>'6.1 ADIT Calcluated p.2'!AF25+'6.1 ADIT Calcluated p.3'!AF25</f>
        <v>3889242</v>
      </c>
      <c r="AG26" s="44"/>
      <c r="AH26" s="44">
        <v>0</v>
      </c>
      <c r="AI26" s="44">
        <f>'6.1 ADIT Calcluated p.2'!AI25+'6.1 ADIT Calcluated p.3'!AI25</f>
        <v>0</v>
      </c>
      <c r="AJ26" s="44">
        <f>+'6.1 ADIT Calcluated p.2'!AJ25+'6.1 ADIT Calcluated p.3'!AJ25</f>
        <v>0</v>
      </c>
      <c r="AK26" s="44">
        <f>+'6.1 ADIT Calcluated p.2'!AK25+'6.1 ADIT Calcluated p.3'!AK25</f>
        <v>0</v>
      </c>
    </row>
    <row r="27" spans="1:37" x14ac:dyDescent="0.35">
      <c r="A27" s="24">
        <f t="shared" si="2"/>
        <v>11</v>
      </c>
      <c r="B27" s="115">
        <v>4.462E-2</v>
      </c>
      <c r="C27" s="24">
        <f t="shared" si="3"/>
        <v>9</v>
      </c>
      <c r="D27" s="44">
        <f>'6.1 ADIT Calcluated p.2'!D26+'6.1 ADIT Calcluated p.3'!D26</f>
        <v>1200739</v>
      </c>
      <c r="E27" s="44">
        <f>'6.1 ADIT Calcluated p.2'!E26+'6.1 ADIT Calcluated p.3'!E26</f>
        <v>1139827</v>
      </c>
      <c r="F27" s="44">
        <f>'6.1 ADIT Calcluated p.2'!F26+'6.1 ADIT Calcluated p.3'!F26</f>
        <v>1332084</v>
      </c>
      <c r="G27" s="44">
        <f>'6.1 ADIT Calcluated p.2'!G26+'6.1 ADIT Calcluated p.3'!G26</f>
        <v>0</v>
      </c>
      <c r="H27" s="44">
        <f>'6.1 ADIT Calcluated p.2'!H26+'6.1 ADIT Calcluated p.3'!H26</f>
        <v>0</v>
      </c>
      <c r="I27" s="44">
        <f>'6.1 ADIT Calcluated p.2'!I26+'6.1 ADIT Calcluated p.3'!I26</f>
        <v>0</v>
      </c>
      <c r="J27" s="44"/>
      <c r="AF27" s="44">
        <f>'6.1 ADIT Calcluated p.2'!AF26+'6.1 ADIT Calcluated p.3'!AF26</f>
        <v>3672650</v>
      </c>
      <c r="AG27" s="44"/>
      <c r="AH27" s="44">
        <v>0</v>
      </c>
      <c r="AI27" s="44">
        <f>'6.1 ADIT Calcluated p.2'!AI26+'6.1 ADIT Calcluated p.3'!AI26</f>
        <v>0</v>
      </c>
      <c r="AJ27" s="44">
        <f>+'6.1 ADIT Calcluated p.2'!AJ26+'6.1 ADIT Calcluated p.3'!AJ26</f>
        <v>0</v>
      </c>
      <c r="AK27" s="44">
        <f>+'6.1 ADIT Calcluated p.2'!AK26+'6.1 ADIT Calcluated p.3'!AK26</f>
        <v>0</v>
      </c>
    </row>
    <row r="28" spans="1:37" x14ac:dyDescent="0.35">
      <c r="A28" s="24">
        <f t="shared" si="2"/>
        <v>12</v>
      </c>
      <c r="B28" s="115">
        <v>4.4609999999999997E-2</v>
      </c>
      <c r="C28" s="24">
        <f t="shared" si="3"/>
        <v>10</v>
      </c>
      <c r="D28" s="44">
        <f>'6.1 ADIT Calcluated p.2'!D27+'6.1 ADIT Calcluated p.3'!D27</f>
        <v>1200470</v>
      </c>
      <c r="E28" s="44">
        <f>'6.1 ADIT Calcluated p.2'!E27+'6.1 ADIT Calcluated p.3'!E27</f>
        <v>1124704</v>
      </c>
      <c r="F28" s="44">
        <f>'6.1 ADIT Calcluated p.2'!F27+'6.1 ADIT Calcluated p.3'!F27</f>
        <v>1232341</v>
      </c>
      <c r="G28" s="44">
        <f>'6.1 ADIT Calcluated p.2'!G27+'6.1 ADIT Calcluated p.3'!G27</f>
        <v>0</v>
      </c>
      <c r="H28" s="44">
        <f>'6.1 ADIT Calcluated p.2'!H27+'6.1 ADIT Calcluated p.3'!H27</f>
        <v>0</v>
      </c>
      <c r="I28" s="44">
        <f>'6.1 ADIT Calcluated p.2'!I27+'6.1 ADIT Calcluated p.3'!I27</f>
        <v>0</v>
      </c>
      <c r="J28" s="44"/>
      <c r="K28" s="44"/>
      <c r="AF28" s="44">
        <f>'6.1 ADIT Calcluated p.2'!AF27+'6.1 ADIT Calcluated p.3'!AF27</f>
        <v>3557515</v>
      </c>
      <c r="AG28" s="44"/>
      <c r="AH28" s="44">
        <v>0</v>
      </c>
      <c r="AI28" s="44">
        <f>'6.1 ADIT Calcluated p.2'!AI27+'6.1 ADIT Calcluated p.3'!AI27</f>
        <v>0</v>
      </c>
      <c r="AJ28" s="44">
        <f>+'6.1 ADIT Calcluated p.2'!AJ27+'6.1 ADIT Calcluated p.3'!AJ27</f>
        <v>0</v>
      </c>
      <c r="AK28" s="44">
        <f>+'6.1 ADIT Calcluated p.2'!AK27+'6.1 ADIT Calcluated p.3'!AK27</f>
        <v>0</v>
      </c>
    </row>
    <row r="29" spans="1:37" x14ac:dyDescent="0.35">
      <c r="A29" s="24">
        <f t="shared" si="2"/>
        <v>13</v>
      </c>
      <c r="B29" s="115">
        <v>4.462E-2</v>
      </c>
      <c r="C29" s="24">
        <f t="shared" si="3"/>
        <v>11</v>
      </c>
      <c r="D29" s="44">
        <f>'6.1 ADIT Calcluated p.2'!D28+'6.1 ADIT Calcluated p.3'!D28</f>
        <v>1200739</v>
      </c>
      <c r="E29" s="44">
        <f>'6.1 ADIT Calcluated p.2'!E28+'6.1 ADIT Calcluated p.3'!E28</f>
        <v>1124452</v>
      </c>
      <c r="F29" s="44">
        <f>'6.1 ADIT Calcluated p.2'!F28+'6.1 ADIT Calcluated p.3'!F28</f>
        <v>1215989</v>
      </c>
      <c r="G29" s="44">
        <f>'6.1 ADIT Calcluated p.2'!G28+'6.1 ADIT Calcluated p.3'!G28</f>
        <v>0</v>
      </c>
      <c r="H29" s="44">
        <f>'6.1 ADIT Calcluated p.2'!H28+'6.1 ADIT Calcluated p.3'!H28</f>
        <v>0</v>
      </c>
      <c r="I29" s="44">
        <f>'6.1 ADIT Calcluated p.2'!I28+'6.1 ADIT Calcluated p.3'!I28</f>
        <v>0</v>
      </c>
      <c r="J29" s="44"/>
      <c r="K29" s="44"/>
      <c r="L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>
        <f>'6.1 ADIT Calcluated p.2'!AF28+'6.1 ADIT Calcluated p.3'!AF28</f>
        <v>3541180</v>
      </c>
      <c r="AG29" s="44"/>
      <c r="AH29" s="44">
        <v>0</v>
      </c>
      <c r="AI29" s="44">
        <f>'6.1 ADIT Calcluated p.2'!AI28+'6.1 ADIT Calcluated p.3'!AI28</f>
        <v>0</v>
      </c>
      <c r="AJ29" s="44">
        <f>+'6.1 ADIT Calcluated p.2'!AJ28+'6.1 ADIT Calcluated p.3'!AJ28</f>
        <v>0</v>
      </c>
      <c r="AK29" s="44">
        <f>+'6.1 ADIT Calcluated p.2'!AK28+'6.1 ADIT Calcluated p.3'!AK28</f>
        <v>0</v>
      </c>
    </row>
    <row r="30" spans="1:37" x14ac:dyDescent="0.35">
      <c r="A30" s="24">
        <f t="shared" si="2"/>
        <v>14</v>
      </c>
      <c r="B30" s="115">
        <v>4.4609999999999997E-2</v>
      </c>
      <c r="C30" s="24">
        <f t="shared" si="3"/>
        <v>12</v>
      </c>
      <c r="D30" s="44">
        <f>'6.1 ADIT Calcluated p.2'!D29+'6.1 ADIT Calcluated p.3'!D29</f>
        <v>1200470</v>
      </c>
      <c r="E30" s="44">
        <f>'6.1 ADIT Calcluated p.2'!E29+'6.1 ADIT Calcluated p.3'!E29</f>
        <v>1124704</v>
      </c>
      <c r="F30" s="44">
        <f>'6.1 ADIT Calcluated p.2'!F29+'6.1 ADIT Calcluated p.3'!F29</f>
        <v>1215717</v>
      </c>
      <c r="G30" s="44">
        <f>'6.1 ADIT Calcluated p.2'!G29+'6.1 ADIT Calcluated p.3'!G29</f>
        <v>0</v>
      </c>
      <c r="H30" s="44">
        <f>'6.1 ADIT Calcluated p.2'!H29+'6.1 ADIT Calcluated p.3'!H29</f>
        <v>0</v>
      </c>
      <c r="I30" s="44">
        <f>'6.1 ADIT Calcluated p.2'!I29+'6.1 ADIT Calcluated p.3'!I29</f>
        <v>0</v>
      </c>
      <c r="J30" s="44"/>
      <c r="K30" s="44"/>
      <c r="L30" s="44"/>
      <c r="M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>
        <f>'6.1 ADIT Calcluated p.2'!AF29+'6.1 ADIT Calcluated p.3'!AF29</f>
        <v>3540891</v>
      </c>
      <c r="AG30" s="44"/>
      <c r="AH30" s="44">
        <v>0</v>
      </c>
      <c r="AI30" s="44">
        <f>'6.1 ADIT Calcluated p.2'!AI29+'6.1 ADIT Calcluated p.3'!AI29</f>
        <v>0</v>
      </c>
      <c r="AJ30" s="44">
        <f>+'6.1 ADIT Calcluated p.2'!AJ29+'6.1 ADIT Calcluated p.3'!AJ29</f>
        <v>0</v>
      </c>
      <c r="AK30" s="44">
        <f>+'6.1 ADIT Calcluated p.2'!AK29+'6.1 ADIT Calcluated p.3'!AK29</f>
        <v>0</v>
      </c>
    </row>
    <row r="31" spans="1:37" x14ac:dyDescent="0.35">
      <c r="A31" s="24">
        <f t="shared" si="2"/>
        <v>15</v>
      </c>
      <c r="B31" s="115">
        <v>4.462E-2</v>
      </c>
      <c r="C31" s="24">
        <f t="shared" si="3"/>
        <v>13</v>
      </c>
      <c r="D31" s="44">
        <f>'6.1 ADIT Calcluated p.2'!D30+'6.1 ADIT Calcluated p.3'!D30</f>
        <v>1200739</v>
      </c>
      <c r="E31" s="44">
        <f>'6.1 ADIT Calcluated p.2'!E30+'6.1 ADIT Calcluated p.3'!E30</f>
        <v>1124452</v>
      </c>
      <c r="F31" s="44">
        <f>'6.1 ADIT Calcluated p.2'!F30+'6.1 ADIT Calcluated p.3'!F30</f>
        <v>1215989</v>
      </c>
      <c r="G31" s="44">
        <f>'6.1 ADIT Calcluated p.2'!G30+'6.1 ADIT Calcluated p.3'!G30</f>
        <v>0</v>
      </c>
      <c r="H31" s="44">
        <f>'6.1 ADIT Calcluated p.2'!H30+'6.1 ADIT Calcluated p.3'!H30</f>
        <v>0</v>
      </c>
      <c r="I31" s="44">
        <f>'6.1 ADIT Calcluated p.2'!I30+'6.1 ADIT Calcluated p.3'!I30</f>
        <v>0</v>
      </c>
      <c r="J31" s="44"/>
      <c r="K31" s="44"/>
      <c r="L31" s="44"/>
      <c r="M31" s="44"/>
      <c r="N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>
        <f>'6.1 ADIT Calcluated p.2'!AF30+'6.1 ADIT Calcluated p.3'!AF30</f>
        <v>3541180</v>
      </c>
      <c r="AG31" s="44"/>
      <c r="AH31" s="44">
        <v>0</v>
      </c>
      <c r="AI31" s="44">
        <f>'6.1 ADIT Calcluated p.2'!AI30+'6.1 ADIT Calcluated p.3'!AI30</f>
        <v>0</v>
      </c>
      <c r="AJ31" s="44">
        <f>+'6.1 ADIT Calcluated p.2'!AJ30+'6.1 ADIT Calcluated p.3'!AJ30</f>
        <v>0</v>
      </c>
      <c r="AK31" s="44">
        <f>+'6.1 ADIT Calcluated p.2'!AK30+'6.1 ADIT Calcluated p.3'!AK30</f>
        <v>0</v>
      </c>
    </row>
    <row r="32" spans="1:37" x14ac:dyDescent="0.35">
      <c r="A32" s="24">
        <f t="shared" si="2"/>
        <v>16</v>
      </c>
      <c r="B32" s="115">
        <v>4.4609999999999997E-2</v>
      </c>
      <c r="C32" s="24">
        <f t="shared" si="3"/>
        <v>14</v>
      </c>
      <c r="D32" s="44">
        <f>'6.1 ADIT Calcluated p.2'!D31+'6.1 ADIT Calcluated p.3'!D31</f>
        <v>1200470</v>
      </c>
      <c r="E32" s="44">
        <f>'6.1 ADIT Calcluated p.2'!E31+'6.1 ADIT Calcluated p.3'!E31</f>
        <v>1124704</v>
      </c>
      <c r="F32" s="44">
        <f>'6.1 ADIT Calcluated p.2'!F31+'6.1 ADIT Calcluated p.3'!F31</f>
        <v>1215717</v>
      </c>
      <c r="G32" s="44">
        <f>'6.1 ADIT Calcluated p.2'!G31+'6.1 ADIT Calcluated p.3'!G31</f>
        <v>0</v>
      </c>
      <c r="H32" s="44">
        <f>'6.1 ADIT Calcluated p.2'!H31+'6.1 ADIT Calcluated p.3'!H31</f>
        <v>0</v>
      </c>
      <c r="I32" s="44">
        <f>'6.1 ADIT Calcluated p.2'!I31+'6.1 ADIT Calcluated p.3'!I31</f>
        <v>0</v>
      </c>
      <c r="J32" s="44"/>
      <c r="K32" s="44"/>
      <c r="L32" s="44"/>
      <c r="M32" s="44"/>
      <c r="N32" s="44"/>
      <c r="O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>
        <f>'6.1 ADIT Calcluated p.2'!AF31+'6.1 ADIT Calcluated p.3'!AF31</f>
        <v>3540891</v>
      </c>
      <c r="AG32" s="44"/>
      <c r="AH32" s="44">
        <v>0</v>
      </c>
      <c r="AI32" s="44">
        <f>'6.1 ADIT Calcluated p.2'!AI31+'6.1 ADIT Calcluated p.3'!AI31</f>
        <v>0</v>
      </c>
      <c r="AJ32" s="44">
        <f>+'6.1 ADIT Calcluated p.2'!AJ31+'6.1 ADIT Calcluated p.3'!AJ31</f>
        <v>0</v>
      </c>
      <c r="AK32" s="44">
        <f>+'6.1 ADIT Calcluated p.2'!AK31+'6.1 ADIT Calcluated p.3'!AK31</f>
        <v>0</v>
      </c>
    </row>
    <row r="33" spans="1:37" x14ac:dyDescent="0.35">
      <c r="A33" s="24">
        <f t="shared" si="2"/>
        <v>17</v>
      </c>
      <c r="B33" s="115">
        <v>4.462E-2</v>
      </c>
      <c r="C33" s="24">
        <f t="shared" si="3"/>
        <v>15</v>
      </c>
      <c r="D33" s="44">
        <f>'6.1 ADIT Calcluated p.2'!D32+'6.1 ADIT Calcluated p.3'!D32</f>
        <v>1200739</v>
      </c>
      <c r="E33" s="44">
        <f>'6.1 ADIT Calcluated p.2'!E32+'6.1 ADIT Calcluated p.3'!E32</f>
        <v>1124452</v>
      </c>
      <c r="F33" s="44">
        <f>'6.1 ADIT Calcluated p.2'!F32+'6.1 ADIT Calcluated p.3'!F32</f>
        <v>1215989</v>
      </c>
      <c r="G33" s="44">
        <f>'6.1 ADIT Calcluated p.2'!G32+'6.1 ADIT Calcluated p.3'!G32</f>
        <v>0</v>
      </c>
      <c r="H33" s="44">
        <f>'6.1 ADIT Calcluated p.2'!H32+'6.1 ADIT Calcluated p.3'!H32</f>
        <v>0</v>
      </c>
      <c r="I33" s="44">
        <f>'6.1 ADIT Calcluated p.2'!I32+'6.1 ADIT Calcluated p.3'!I32</f>
        <v>0</v>
      </c>
      <c r="J33" s="44"/>
      <c r="K33" s="44"/>
      <c r="L33" s="44"/>
      <c r="M33" s="44"/>
      <c r="N33" s="44"/>
      <c r="O33" s="44"/>
      <c r="P33" s="44"/>
      <c r="AF33" s="44">
        <f>'6.1 ADIT Calcluated p.2'!AF32+'6.1 ADIT Calcluated p.3'!AF32</f>
        <v>3541180</v>
      </c>
      <c r="AG33" s="44"/>
      <c r="AH33" s="44">
        <v>0</v>
      </c>
      <c r="AI33" s="44">
        <f>'6.1 ADIT Calcluated p.2'!AI32+'6.1 ADIT Calcluated p.3'!AI32</f>
        <v>0</v>
      </c>
      <c r="AJ33" s="44">
        <f>+'6.1 ADIT Calcluated p.2'!AJ32+'6.1 ADIT Calcluated p.3'!AJ32</f>
        <v>0</v>
      </c>
      <c r="AK33" s="44">
        <f>+'6.1 ADIT Calcluated p.2'!AK32+'6.1 ADIT Calcluated p.3'!AK32</f>
        <v>0</v>
      </c>
    </row>
    <row r="34" spans="1:37" x14ac:dyDescent="0.35">
      <c r="A34" s="24">
        <f t="shared" si="2"/>
        <v>18</v>
      </c>
      <c r="B34" s="115">
        <v>4.4609999999999997E-2</v>
      </c>
      <c r="C34" s="24">
        <f t="shared" si="3"/>
        <v>16</v>
      </c>
      <c r="D34" s="44">
        <f>'6.1 ADIT Calcluated p.2'!D33+'6.1 ADIT Calcluated p.3'!D33</f>
        <v>1200470</v>
      </c>
      <c r="E34" s="44">
        <f>'6.1 ADIT Calcluated p.2'!E33+'6.1 ADIT Calcluated p.3'!E33</f>
        <v>1124704</v>
      </c>
      <c r="F34" s="44">
        <f>'6.1 ADIT Calcluated p.2'!F33+'6.1 ADIT Calcluated p.3'!F33</f>
        <v>1215717</v>
      </c>
      <c r="G34" s="44">
        <f>'6.1 ADIT Calcluated p.2'!G33+'6.1 ADIT Calcluated p.3'!G33</f>
        <v>0</v>
      </c>
      <c r="H34" s="44">
        <f>'6.1 ADIT Calcluated p.2'!H33+'6.1 ADIT Calcluated p.3'!H33</f>
        <v>0</v>
      </c>
      <c r="I34" s="44">
        <f>'6.1 ADIT Calcluated p.2'!I33+'6.1 ADIT Calcluated p.3'!I33</f>
        <v>0</v>
      </c>
      <c r="J34" s="44"/>
      <c r="K34" s="44"/>
      <c r="L34" s="44"/>
      <c r="M34" s="44"/>
      <c r="N34" s="44"/>
      <c r="O34" s="44"/>
      <c r="P34" s="44"/>
      <c r="Q34" s="44"/>
      <c r="AF34" s="44">
        <f>'6.1 ADIT Calcluated p.2'!AF33+'6.1 ADIT Calcluated p.3'!AF33</f>
        <v>3540891</v>
      </c>
      <c r="AG34" s="44"/>
      <c r="AH34" s="44">
        <v>0</v>
      </c>
      <c r="AI34" s="44">
        <f>'6.1 ADIT Calcluated p.2'!AI33+'6.1 ADIT Calcluated p.3'!AI33</f>
        <v>0</v>
      </c>
      <c r="AJ34" s="44">
        <f>+'6.1 ADIT Calcluated p.2'!AJ33+'6.1 ADIT Calcluated p.3'!AJ33</f>
        <v>0</v>
      </c>
      <c r="AK34" s="44">
        <f>+'6.1 ADIT Calcluated p.2'!AK33+'6.1 ADIT Calcluated p.3'!AK33</f>
        <v>0</v>
      </c>
    </row>
    <row r="35" spans="1:37" x14ac:dyDescent="0.35">
      <c r="A35" s="24">
        <f t="shared" si="2"/>
        <v>19</v>
      </c>
      <c r="B35" s="115">
        <v>4.462E-2</v>
      </c>
      <c r="C35" s="24">
        <f t="shared" si="3"/>
        <v>17</v>
      </c>
      <c r="D35" s="44">
        <f>'6.1 ADIT Calcluated p.2'!D34+'6.1 ADIT Calcluated p.3'!D34</f>
        <v>1200739</v>
      </c>
      <c r="E35" s="44">
        <f>'6.1 ADIT Calcluated p.2'!E34+'6.1 ADIT Calcluated p.3'!E34</f>
        <v>1124452</v>
      </c>
      <c r="F35" s="44">
        <f>'6.1 ADIT Calcluated p.2'!F34+'6.1 ADIT Calcluated p.3'!F34</f>
        <v>1215989</v>
      </c>
      <c r="G35" s="44">
        <f>'6.1 ADIT Calcluated p.2'!G34+'6.1 ADIT Calcluated p.3'!G34</f>
        <v>0</v>
      </c>
      <c r="H35" s="44">
        <f>'6.1 ADIT Calcluated p.2'!H34+'6.1 ADIT Calcluated p.3'!H34</f>
        <v>0</v>
      </c>
      <c r="I35" s="44">
        <f>'6.1 ADIT Calcluated p.2'!I34+'6.1 ADIT Calcluated p.3'!I34</f>
        <v>0</v>
      </c>
      <c r="J35" s="44"/>
      <c r="K35" s="44"/>
      <c r="L35" s="44"/>
      <c r="M35" s="44"/>
      <c r="N35" s="44"/>
      <c r="O35" s="44"/>
      <c r="P35" s="44"/>
      <c r="Q35" s="44"/>
      <c r="R35" s="44"/>
      <c r="AF35" s="44">
        <f>'6.1 ADIT Calcluated p.2'!AF34+'6.1 ADIT Calcluated p.3'!AF34</f>
        <v>3541180</v>
      </c>
      <c r="AG35" s="44"/>
      <c r="AH35" s="44">
        <v>0</v>
      </c>
      <c r="AI35" s="44">
        <f>'6.1 ADIT Calcluated p.2'!AI34+'6.1 ADIT Calcluated p.3'!AI34</f>
        <v>0</v>
      </c>
      <c r="AJ35" s="44">
        <f>+'6.1 ADIT Calcluated p.2'!AJ34+'6.1 ADIT Calcluated p.3'!AJ34</f>
        <v>0</v>
      </c>
      <c r="AK35" s="44">
        <f>+'6.1 ADIT Calcluated p.2'!AK34+'6.1 ADIT Calcluated p.3'!AK34</f>
        <v>0</v>
      </c>
    </row>
    <row r="36" spans="1:37" x14ac:dyDescent="0.35">
      <c r="A36" s="24">
        <f t="shared" si="2"/>
        <v>20</v>
      </c>
      <c r="B36" s="115">
        <v>4.4609999999999997E-2</v>
      </c>
      <c r="C36" s="24">
        <f t="shared" si="3"/>
        <v>18</v>
      </c>
      <c r="D36" s="44">
        <f>'6.1 ADIT Calcluated p.2'!D35+'6.1 ADIT Calcluated p.3'!D35</f>
        <v>1200470</v>
      </c>
      <c r="E36" s="44">
        <f>'6.1 ADIT Calcluated p.2'!E35+'6.1 ADIT Calcluated p.3'!E35</f>
        <v>1124704</v>
      </c>
      <c r="F36" s="44">
        <f>'6.1 ADIT Calcluated p.2'!F35+'6.1 ADIT Calcluated p.3'!F35</f>
        <v>1215717</v>
      </c>
      <c r="G36" s="44">
        <f>'6.1 ADIT Calcluated p.2'!G35+'6.1 ADIT Calcluated p.3'!G35</f>
        <v>0</v>
      </c>
      <c r="H36" s="44">
        <f>'6.1 ADIT Calcluated p.2'!H35+'6.1 ADIT Calcluated p.3'!H35</f>
        <v>0</v>
      </c>
      <c r="I36" s="44">
        <f>'6.1 ADIT Calcluated p.2'!I35+'6.1 ADIT Calcluated p.3'!I35</f>
        <v>0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AF36" s="44">
        <f>'6.1 ADIT Calcluated p.2'!AF35+'6.1 ADIT Calcluated p.3'!AF35</f>
        <v>3540891</v>
      </c>
      <c r="AG36" s="44"/>
      <c r="AH36" s="44">
        <v>0</v>
      </c>
      <c r="AI36" s="44">
        <f>'6.1 ADIT Calcluated p.2'!AI35+'6.1 ADIT Calcluated p.3'!AI35</f>
        <v>0</v>
      </c>
      <c r="AJ36" s="44">
        <f>+'6.1 ADIT Calcluated p.2'!AJ35+'6.1 ADIT Calcluated p.3'!AJ35</f>
        <v>0</v>
      </c>
      <c r="AK36" s="44">
        <f>+'6.1 ADIT Calcluated p.2'!AK35+'6.1 ADIT Calcluated p.3'!AK35</f>
        <v>0</v>
      </c>
    </row>
    <row r="37" spans="1:37" x14ac:dyDescent="0.35">
      <c r="A37" s="24">
        <f t="shared" si="2"/>
        <v>21</v>
      </c>
      <c r="B37" s="115">
        <v>4.462E-2</v>
      </c>
      <c r="C37" s="24">
        <f t="shared" si="3"/>
        <v>19</v>
      </c>
      <c r="D37" s="44">
        <f>'6.1 ADIT Calcluated p.2'!D36+'6.1 ADIT Calcluated p.3'!D36</f>
        <v>1200739</v>
      </c>
      <c r="E37" s="44">
        <f>'6.1 ADIT Calcluated p.2'!E36+'6.1 ADIT Calcluated p.3'!E36</f>
        <v>1124452</v>
      </c>
      <c r="F37" s="44">
        <f>'6.1 ADIT Calcluated p.2'!F36+'6.1 ADIT Calcluated p.3'!F36</f>
        <v>1215989</v>
      </c>
      <c r="G37" s="44">
        <f>'6.1 ADIT Calcluated p.2'!G36+'6.1 ADIT Calcluated p.3'!G36</f>
        <v>0</v>
      </c>
      <c r="H37" s="44">
        <f>'6.1 ADIT Calcluated p.2'!H36+'6.1 ADIT Calcluated p.3'!H36</f>
        <v>0</v>
      </c>
      <c r="I37" s="44">
        <f>'6.1 ADIT Calcluated p.2'!I36+'6.1 ADIT Calcluated p.3'!I36</f>
        <v>0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F37" s="44">
        <f>'6.1 ADIT Calcluated p.2'!AF36+'6.1 ADIT Calcluated p.3'!AF36</f>
        <v>3541180</v>
      </c>
      <c r="AG37" s="44"/>
      <c r="AH37" s="44">
        <v>0</v>
      </c>
      <c r="AI37" s="44">
        <f>'6.1 ADIT Calcluated p.2'!AI36+'6.1 ADIT Calcluated p.3'!AI36</f>
        <v>0</v>
      </c>
      <c r="AJ37" s="44">
        <f>+'6.1 ADIT Calcluated p.2'!AJ36+'6.1 ADIT Calcluated p.3'!AJ36</f>
        <v>0</v>
      </c>
      <c r="AK37" s="44">
        <f>+'6.1 ADIT Calcluated p.2'!AK36+'6.1 ADIT Calcluated p.3'!AK36</f>
        <v>0</v>
      </c>
    </row>
    <row r="38" spans="1:37" x14ac:dyDescent="0.35">
      <c r="A38" s="24">
        <f t="shared" si="2"/>
        <v>22</v>
      </c>
      <c r="B38" s="115">
        <v>4.4609999999999997E-2</v>
      </c>
      <c r="C38" s="24">
        <f t="shared" si="3"/>
        <v>20</v>
      </c>
      <c r="D38" s="44">
        <f>'6.1 ADIT Calcluated p.2'!D37+'6.1 ADIT Calcluated p.3'!D37</f>
        <v>1200470</v>
      </c>
      <c r="E38" s="44">
        <f>'6.1 ADIT Calcluated p.2'!E37+'6.1 ADIT Calcluated p.3'!E37</f>
        <v>1124704</v>
      </c>
      <c r="F38" s="44">
        <f>'6.1 ADIT Calcluated p.2'!F37+'6.1 ADIT Calcluated p.3'!F37</f>
        <v>1215717</v>
      </c>
      <c r="G38" s="44">
        <f>'6.1 ADIT Calcluated p.2'!G37+'6.1 ADIT Calcluated p.3'!G37</f>
        <v>0</v>
      </c>
      <c r="H38" s="44">
        <f>'6.1 ADIT Calcluated p.2'!H37+'6.1 ADIT Calcluated p.3'!H37</f>
        <v>0</v>
      </c>
      <c r="I38" s="44">
        <f>'6.1 ADIT Calcluated p.2'!I37+'6.1 ADIT Calcluated p.3'!I37</f>
        <v>0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>
        <f>'6.1 ADIT Calcluated p.2'!AF37+'6.1 ADIT Calcluated p.3'!AF37</f>
        <v>3540891</v>
      </c>
      <c r="AG38" s="44"/>
      <c r="AH38" s="44">
        <v>0</v>
      </c>
      <c r="AI38" s="44">
        <f>'6.1 ADIT Calcluated p.2'!AI37+'6.1 ADIT Calcluated p.3'!AI37</f>
        <v>0</v>
      </c>
      <c r="AJ38" s="44">
        <f>+'6.1 ADIT Calcluated p.2'!AJ37+'6.1 ADIT Calcluated p.3'!AJ37</f>
        <v>0</v>
      </c>
      <c r="AK38" s="44">
        <f>+'6.1 ADIT Calcluated p.2'!AK37+'6.1 ADIT Calcluated p.3'!AK37</f>
        <v>0</v>
      </c>
    </row>
    <row r="39" spans="1:37" x14ac:dyDescent="0.35">
      <c r="A39" s="24">
        <f t="shared" si="2"/>
        <v>23</v>
      </c>
      <c r="B39" s="115">
        <v>2.231E-2</v>
      </c>
      <c r="C39" s="24">
        <f t="shared" si="3"/>
        <v>21</v>
      </c>
      <c r="D39" s="44">
        <f>'6.1 ADIT Calcluated p.2'!D38+'6.1 ADIT Calcluated p.3'!D38</f>
        <v>600370</v>
      </c>
      <c r="E39" s="44">
        <f>'6.1 ADIT Calcluated p.2'!E38+'6.1 ADIT Calcluated p.3'!E38</f>
        <v>1124452</v>
      </c>
      <c r="F39" s="44">
        <f>'6.1 ADIT Calcluated p.2'!F38+'6.1 ADIT Calcluated p.3'!F38</f>
        <v>1215989</v>
      </c>
      <c r="G39" s="44">
        <f>'6.1 ADIT Calcluated p.2'!G38+'6.1 ADIT Calcluated p.3'!G38</f>
        <v>0</v>
      </c>
      <c r="H39" s="44">
        <f>'6.1 ADIT Calcluated p.2'!H38+'6.1 ADIT Calcluated p.3'!H38</f>
        <v>0</v>
      </c>
      <c r="I39" s="44">
        <f>'6.1 ADIT Calcluated p.2'!I38+'6.1 ADIT Calcluated p.3'!I38</f>
        <v>0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>
        <f>'6.1 ADIT Calcluated p.2'!AF38+'6.1 ADIT Calcluated p.3'!AF38</f>
        <v>2940811</v>
      </c>
      <c r="AG39" s="44"/>
      <c r="AH39" s="44">
        <v>0</v>
      </c>
      <c r="AI39" s="44">
        <f>'6.1 ADIT Calcluated p.2'!AI38+'6.1 ADIT Calcluated p.3'!AI38</f>
        <v>0</v>
      </c>
      <c r="AJ39" s="44">
        <f>+'6.1 ADIT Calcluated p.2'!AJ38+'6.1 ADIT Calcluated p.3'!AJ38</f>
        <v>0</v>
      </c>
      <c r="AK39" s="44">
        <f>+'6.1 ADIT Calcluated p.2'!AK38+'6.1 ADIT Calcluated p.3'!AK38</f>
        <v>0</v>
      </c>
    </row>
    <row r="40" spans="1:37" x14ac:dyDescent="0.35">
      <c r="A40" s="24">
        <f t="shared" si="2"/>
        <v>24</v>
      </c>
      <c r="B40" s="115"/>
      <c r="C40" s="24">
        <f t="shared" si="3"/>
        <v>22</v>
      </c>
      <c r="D40" s="44"/>
      <c r="E40" s="44">
        <f>'6.1 ADIT Calcluated p.2'!E39+'6.1 ADIT Calcluated p.3'!E39</f>
        <v>562358</v>
      </c>
      <c r="F40" s="44">
        <f>'6.1 ADIT Calcluated p.2'!F39+'6.1 ADIT Calcluated p.3'!F39</f>
        <v>1215717</v>
      </c>
      <c r="G40" s="44">
        <f>'6.1 ADIT Calcluated p.2'!G39+'6.1 ADIT Calcluated p.3'!G39</f>
        <v>0</v>
      </c>
      <c r="H40" s="44">
        <f>'6.1 ADIT Calcluated p.2'!H39+'6.1 ADIT Calcluated p.3'!H39</f>
        <v>0</v>
      </c>
      <c r="I40" s="44">
        <f>'6.1 ADIT Calcluated p.2'!I39+'6.1 ADIT Calcluated p.3'!I39</f>
        <v>0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>
        <f>'6.1 ADIT Calcluated p.2'!AF39+'6.1 ADIT Calcluated p.3'!AF39</f>
        <v>1778075</v>
      </c>
      <c r="AH40" s="44">
        <v>0</v>
      </c>
      <c r="AI40" s="44">
        <f>'6.1 ADIT Calcluated p.2'!AI39+'6.1 ADIT Calcluated p.3'!AI39</f>
        <v>0</v>
      </c>
      <c r="AJ40" s="44">
        <f>+'6.1 ADIT Calcluated p.2'!AJ39+'6.1 ADIT Calcluated p.3'!AJ39</f>
        <v>0</v>
      </c>
      <c r="AK40" s="44">
        <f>+'6.1 ADIT Calcluated p.2'!AK39+'6.1 ADIT Calcluated p.3'!AK39</f>
        <v>0</v>
      </c>
    </row>
    <row r="41" spans="1:37" x14ac:dyDescent="0.35">
      <c r="A41" s="24">
        <f t="shared" si="2"/>
        <v>25</v>
      </c>
      <c r="B41" s="115"/>
      <c r="C41" s="24">
        <f t="shared" si="3"/>
        <v>23</v>
      </c>
      <c r="E41" s="44">
        <f>'6.1 ADIT Calcluated p.2'!E40+'6.1 ADIT Calcluated p.3'!E41</f>
        <v>0</v>
      </c>
      <c r="F41" s="44">
        <f>'6.1 ADIT Calcluated p.2'!F40+'6.1 ADIT Calcluated p.3'!F40</f>
        <v>607995</v>
      </c>
      <c r="G41" s="44">
        <f>'6.1 ADIT Calcluated p.2'!G40+'6.1 ADIT Calcluated p.3'!G40</f>
        <v>0</v>
      </c>
      <c r="H41" s="44">
        <f>'6.1 ADIT Calcluated p.2'!H40+'6.1 ADIT Calcluated p.3'!H40</f>
        <v>0</v>
      </c>
      <c r="I41" s="44">
        <f>'6.1 ADIT Calcluated p.2'!I40+'6.1 ADIT Calcluated p.3'!I40</f>
        <v>0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>
        <f>'6.1 ADIT Calcluated p.2'!AF40+'6.1 ADIT Calcluated p.3'!AF40</f>
        <v>607995</v>
      </c>
      <c r="AH41" s="44">
        <v>0</v>
      </c>
      <c r="AI41" s="44">
        <f>'6.1 ADIT Calcluated p.2'!AI40+'6.1 ADIT Calcluated p.3'!AI40</f>
        <v>0</v>
      </c>
      <c r="AJ41" s="44">
        <f>+'6.1 ADIT Calcluated p.2'!AJ40+'6.1 ADIT Calcluated p.3'!AJ40</f>
        <v>0</v>
      </c>
      <c r="AK41" s="44">
        <f>+'6.1 ADIT Calcluated p.2'!AK40+'6.1 ADIT Calcluated p.3'!AK40</f>
        <v>0</v>
      </c>
    </row>
    <row r="42" spans="1:37" x14ac:dyDescent="0.35">
      <c r="A42" s="24">
        <f t="shared" si="2"/>
        <v>26</v>
      </c>
      <c r="B42" s="115"/>
      <c r="C42" s="24">
        <f t="shared" si="3"/>
        <v>24</v>
      </c>
      <c r="E42" s="44">
        <f>'6.1 ADIT Calcluated p.2'!E41+'6.1 ADIT Calcluated p.3'!E42</f>
        <v>0</v>
      </c>
      <c r="F42" s="44"/>
      <c r="G42" s="44"/>
      <c r="H42" s="44">
        <f>'6.1 ADIT Calcluated p.2'!H41+'6.1 ADIT Calcluated p.3'!H41</f>
        <v>0</v>
      </c>
      <c r="I42" s="44">
        <f>'6.1 ADIT Calcluated p.2'!I41+'6.1 ADIT Calcluated p.3'!I41</f>
        <v>0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>
        <f>'6.1 ADIT Calcluated p.2'!AF41+'6.1 ADIT Calcluated p.3'!AF41</f>
        <v>0</v>
      </c>
      <c r="AH42" s="44">
        <v>0</v>
      </c>
      <c r="AI42" s="44">
        <f>'6.1 ADIT Calcluated p.2'!AI43+'6.1 ADIT Calcluated p.3'!AI43</f>
        <v>0</v>
      </c>
      <c r="AJ42" s="44">
        <f>+'6.1 ADIT Calcluated p.2'!AJ41+'6.1 ADIT Calcluated p.3'!AJ41</f>
        <v>0</v>
      </c>
      <c r="AK42" s="44">
        <f>+'6.1 ADIT Calcluated p.2'!AJ41+'6.1 ADIT Calcluated p.3'!AJ41</f>
        <v>0</v>
      </c>
    </row>
    <row r="43" spans="1:37" x14ac:dyDescent="0.35">
      <c r="A43" s="24">
        <f t="shared" si="2"/>
        <v>27</v>
      </c>
      <c r="B43" s="115"/>
      <c r="C43" s="24"/>
      <c r="G43" s="44"/>
      <c r="H43" s="44"/>
      <c r="I43" s="44">
        <f>'6.1 ADIT Calcluated p.2'!I42+'6.1 ADIT Calcluated p.3'!I42</f>
        <v>0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>
        <f>'6.1 ADIT Calcluated p.2'!AF42+'6.1 ADIT Calcluated p.3'!AF42</f>
        <v>0</v>
      </c>
      <c r="AH43" s="44"/>
      <c r="AI43" s="44"/>
      <c r="AJ43" s="44"/>
      <c r="AK43" s="44"/>
    </row>
    <row r="44" spans="1:37" x14ac:dyDescent="0.35">
      <c r="A44" s="24">
        <f t="shared" si="2"/>
        <v>28</v>
      </c>
      <c r="D44" s="45">
        <f>SUM(D19:D41)</f>
        <v>43947674</v>
      </c>
      <c r="E44" s="45">
        <f>SUM(E19:E41)</f>
        <v>40243172</v>
      </c>
      <c r="F44" s="45">
        <f>SUM(F19:F41)</f>
        <v>44312957</v>
      </c>
      <c r="G44" s="45">
        <f>SUM(G19:G41)</f>
        <v>0</v>
      </c>
      <c r="H44" s="45">
        <f>SUM(H19:H43)</f>
        <v>0</v>
      </c>
      <c r="I44" s="45">
        <f>SUM(I19:I43)</f>
        <v>0</v>
      </c>
      <c r="J44" s="45">
        <f t="shared" ref="J44:AF44" si="4">SUM(J19:J43)</f>
        <v>0</v>
      </c>
      <c r="K44" s="45">
        <f t="shared" si="4"/>
        <v>0</v>
      </c>
      <c r="L44" s="45">
        <f t="shared" si="4"/>
        <v>0</v>
      </c>
      <c r="M44" s="45">
        <f t="shared" si="4"/>
        <v>0</v>
      </c>
      <c r="N44" s="45">
        <f t="shared" si="4"/>
        <v>0</v>
      </c>
      <c r="O44" s="45">
        <f t="shared" si="4"/>
        <v>0</v>
      </c>
      <c r="P44" s="45">
        <f t="shared" si="4"/>
        <v>0</v>
      </c>
      <c r="Q44" s="45">
        <f t="shared" si="4"/>
        <v>0</v>
      </c>
      <c r="R44" s="45">
        <f t="shared" si="4"/>
        <v>0</v>
      </c>
      <c r="S44" s="45">
        <f t="shared" si="4"/>
        <v>0</v>
      </c>
      <c r="T44" s="45">
        <f t="shared" si="4"/>
        <v>0</v>
      </c>
      <c r="U44" s="45">
        <f t="shared" si="4"/>
        <v>0</v>
      </c>
      <c r="V44" s="45">
        <f t="shared" si="4"/>
        <v>0</v>
      </c>
      <c r="W44" s="45">
        <f t="shared" si="4"/>
        <v>0</v>
      </c>
      <c r="X44" s="45">
        <f t="shared" si="4"/>
        <v>0</v>
      </c>
      <c r="Y44" s="45">
        <f t="shared" si="4"/>
        <v>0</v>
      </c>
      <c r="Z44" s="45">
        <f t="shared" si="4"/>
        <v>0</v>
      </c>
      <c r="AA44" s="45">
        <f t="shared" si="4"/>
        <v>0</v>
      </c>
      <c r="AB44" s="45">
        <f t="shared" si="4"/>
        <v>0</v>
      </c>
      <c r="AC44" s="45">
        <f t="shared" si="4"/>
        <v>0</v>
      </c>
      <c r="AD44" s="45">
        <f t="shared" si="4"/>
        <v>0</v>
      </c>
      <c r="AE44" s="45">
        <f t="shared" si="4"/>
        <v>0</v>
      </c>
      <c r="AF44" s="45">
        <f t="shared" si="4"/>
        <v>128503803</v>
      </c>
      <c r="AG44" s="45">
        <f>SUM(AG19:AG42)</f>
        <v>6963300.3591840006</v>
      </c>
      <c r="AH44" s="45">
        <f>SUM(AH19:AH42)</f>
        <v>4388563.2990000006</v>
      </c>
      <c r="AI44" s="44"/>
      <c r="AJ44" s="44"/>
      <c r="AK44" s="44"/>
    </row>
    <row r="45" spans="1:37" x14ac:dyDescent="0.35"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4"/>
      <c r="AG45" s="45"/>
      <c r="AH45" s="44"/>
      <c r="AI45" s="44"/>
      <c r="AJ45" s="44"/>
      <c r="AK45" s="44"/>
    </row>
    <row r="46" spans="1:37" x14ac:dyDescent="0.35">
      <c r="A46" s="25" t="s">
        <v>71</v>
      </c>
      <c r="F46" s="45"/>
      <c r="AF46" s="45"/>
      <c r="AG46" s="45"/>
      <c r="AH46" s="44"/>
      <c r="AI46" s="44"/>
      <c r="AJ46" s="116"/>
      <c r="AK46" s="116"/>
    </row>
    <row r="47" spans="1:37" x14ac:dyDescent="0.35">
      <c r="A47" s="25" t="s">
        <v>268</v>
      </c>
      <c r="AH47" s="45"/>
      <c r="AI47" s="44"/>
      <c r="AJ47" s="44"/>
      <c r="AK47" s="44"/>
    </row>
    <row r="48" spans="1:37" x14ac:dyDescent="0.35">
      <c r="D48" s="117"/>
      <c r="E48" s="117"/>
      <c r="F48" s="117"/>
    </row>
    <row r="49" spans="4:33" x14ac:dyDescent="0.35">
      <c r="D49" s="117"/>
      <c r="E49" s="117"/>
      <c r="F49" s="117"/>
    </row>
    <row r="54" spans="4:33" x14ac:dyDescent="0.35">
      <c r="AF54" s="45"/>
    </row>
    <row r="55" spans="4:33" x14ac:dyDescent="0.35">
      <c r="AF55" s="45"/>
    </row>
    <row r="56" spans="4:33" x14ac:dyDescent="0.35">
      <c r="AF56" s="45"/>
    </row>
    <row r="57" spans="4:33" x14ac:dyDescent="0.35">
      <c r="AF57" s="45"/>
    </row>
    <row r="58" spans="4:33" x14ac:dyDescent="0.35">
      <c r="G58" s="44"/>
      <c r="AF58" s="45"/>
    </row>
    <row r="59" spans="4:33" x14ac:dyDescent="0.35">
      <c r="G59" s="44"/>
      <c r="H59" s="44"/>
      <c r="AF59" s="45"/>
    </row>
    <row r="60" spans="4:33" x14ac:dyDescent="0.35">
      <c r="G60" s="44"/>
      <c r="H60" s="44"/>
      <c r="I60" s="44"/>
      <c r="AF60" s="45"/>
    </row>
    <row r="61" spans="4:33" x14ac:dyDescent="0.35">
      <c r="G61" s="44"/>
      <c r="H61" s="44"/>
      <c r="I61" s="44"/>
      <c r="J61" s="44"/>
      <c r="AF61" s="45"/>
    </row>
    <row r="62" spans="4:33" x14ac:dyDescent="0.35">
      <c r="G62" s="44"/>
      <c r="H62" s="44"/>
      <c r="I62" s="44"/>
      <c r="J62" s="44"/>
      <c r="K62" s="44"/>
      <c r="AF62" s="45"/>
    </row>
    <row r="63" spans="4:33" x14ac:dyDescent="0.35"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5"/>
    </row>
    <row r="64" spans="4:33" x14ac:dyDescent="0.35"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5"/>
      <c r="AG64" s="45"/>
    </row>
    <row r="65" spans="7:33" x14ac:dyDescent="0.35"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5"/>
      <c r="AG65" s="45"/>
    </row>
    <row r="66" spans="7:33" x14ac:dyDescent="0.35"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5"/>
      <c r="AG66" s="45"/>
    </row>
    <row r="67" spans="7:33" x14ac:dyDescent="0.35"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</row>
    <row r="68" spans="7:33" x14ac:dyDescent="0.35"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</row>
    <row r="69" spans="7:33" x14ac:dyDescent="0.35"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</row>
    <row r="70" spans="7:33" x14ac:dyDescent="0.35"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</row>
    <row r="71" spans="7:33" x14ac:dyDescent="0.35"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</row>
    <row r="72" spans="7:33" x14ac:dyDescent="0.35"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</row>
  </sheetData>
  <mergeCells count="4">
    <mergeCell ref="A4:AK4"/>
    <mergeCell ref="A6:AK6"/>
    <mergeCell ref="D16:AG16"/>
    <mergeCell ref="A5:AK5"/>
  </mergeCells>
  <phoneticPr fontId="0" type="noConversion"/>
  <printOptions horizontalCentered="1"/>
  <pageMargins left="0" right="0" top="0.5" bottom="0" header="0.5" footer="0.5"/>
  <pageSetup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618C5-BF96-47E6-81C2-FBF0F228C897}">
  <sheetPr codeName="Sheet7">
    <pageSetUpPr fitToPage="1"/>
  </sheetPr>
  <dimension ref="A1:AK105"/>
  <sheetViews>
    <sheetView zoomScale="98" zoomScaleNormal="98" zoomScaleSheetLayoutView="100" workbookViewId="0">
      <selection activeCell="AJ18" sqref="AJ18"/>
    </sheetView>
  </sheetViews>
  <sheetFormatPr defaultColWidth="9.1796875" defaultRowHeight="15.5" x14ac:dyDescent="0.35"/>
  <cols>
    <col min="1" max="1" width="4.81640625" style="24" customWidth="1"/>
    <col min="2" max="2" width="27.1796875" style="8" bestFit="1" customWidth="1"/>
    <col min="3" max="3" width="6.1796875" style="8" bestFit="1" customWidth="1"/>
    <col min="4" max="5" width="14.54296875" style="8" bestFit="1" customWidth="1"/>
    <col min="6" max="6" width="14.26953125" style="8" bestFit="1" customWidth="1"/>
    <col min="7" max="7" width="12" style="8" customWidth="1"/>
    <col min="8" max="8" width="12.1796875" style="8" customWidth="1"/>
    <col min="9" max="9" width="11.1796875" style="8" customWidth="1"/>
    <col min="10" max="10" width="11" style="8" hidden="1" customWidth="1"/>
    <col min="11" max="11" width="11.1796875" style="8" hidden="1" customWidth="1"/>
    <col min="12" max="31" width="12.81640625" style="8" hidden="1" customWidth="1"/>
    <col min="32" max="32" width="15.54296875" style="8" bestFit="1" customWidth="1"/>
    <col min="33" max="34" width="13.1796875" style="8" bestFit="1" customWidth="1"/>
    <col min="35" max="35" width="14.54296875" style="8" bestFit="1" customWidth="1"/>
    <col min="36" max="36" width="13.1796875" style="8" bestFit="1" customWidth="1"/>
    <col min="37" max="37" width="14.81640625" style="8" customWidth="1"/>
    <col min="38" max="16384" width="9.1796875" style="8"/>
  </cols>
  <sheetData>
    <row r="1" spans="1:37" x14ac:dyDescent="0.35">
      <c r="B1" s="11"/>
      <c r="S1" s="9"/>
      <c r="AK1" s="9" t="str">
        <f>+'6.1 ADIT Calculated p.1'!AK1</f>
        <v>Case No. 2024-00328</v>
      </c>
    </row>
    <row r="2" spans="1:37" x14ac:dyDescent="0.35">
      <c r="B2" s="11"/>
      <c r="S2" s="9"/>
      <c r="AK2" s="9" t="str">
        <f>+'6.1 ADIT Calculated p.1'!AK2</f>
        <v>SMRP Form 6.1</v>
      </c>
    </row>
    <row r="3" spans="1:37" x14ac:dyDescent="0.35">
      <c r="H3" s="9"/>
      <c r="R3" s="105"/>
      <c r="S3" s="105"/>
      <c r="AK3" s="9" t="s">
        <v>212</v>
      </c>
    </row>
    <row r="4" spans="1:37" x14ac:dyDescent="0.35">
      <c r="A4" s="138" t="s">
        <v>12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</row>
    <row r="5" spans="1:37" x14ac:dyDescent="0.35">
      <c r="A5" s="138" t="s">
        <v>76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</row>
    <row r="6" spans="1:37" ht="17.5" x14ac:dyDescent="0.35">
      <c r="A6" s="138" t="s">
        <v>272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</row>
    <row r="7" spans="1:37" x14ac:dyDescent="0.35">
      <c r="B7" s="13"/>
    </row>
    <row r="8" spans="1:37" x14ac:dyDescent="0.35">
      <c r="I8" s="10"/>
      <c r="J8" s="10">
        <f t="shared" ref="J8:AE8" si="0">+I8+1</f>
        <v>1</v>
      </c>
      <c r="K8" s="10">
        <f t="shared" si="0"/>
        <v>2</v>
      </c>
      <c r="L8" s="10">
        <f t="shared" si="0"/>
        <v>3</v>
      </c>
      <c r="M8" s="10">
        <f t="shared" si="0"/>
        <v>4</v>
      </c>
      <c r="N8" s="10">
        <f t="shared" si="0"/>
        <v>5</v>
      </c>
      <c r="O8" s="10">
        <f t="shared" si="0"/>
        <v>6</v>
      </c>
      <c r="P8" s="10">
        <f t="shared" si="0"/>
        <v>7</v>
      </c>
      <c r="Q8" s="10">
        <f t="shared" si="0"/>
        <v>8</v>
      </c>
      <c r="R8" s="10">
        <f>+Q8+1</f>
        <v>9</v>
      </c>
      <c r="S8" s="10">
        <f t="shared" si="0"/>
        <v>10</v>
      </c>
      <c r="T8" s="10">
        <f t="shared" si="0"/>
        <v>11</v>
      </c>
      <c r="U8" s="10">
        <f t="shared" si="0"/>
        <v>12</v>
      </c>
      <c r="V8" s="10">
        <f t="shared" si="0"/>
        <v>13</v>
      </c>
      <c r="W8" s="10">
        <f t="shared" si="0"/>
        <v>14</v>
      </c>
      <c r="X8" s="10">
        <f t="shared" si="0"/>
        <v>15</v>
      </c>
      <c r="Y8" s="10">
        <f t="shared" si="0"/>
        <v>16</v>
      </c>
      <c r="Z8" s="10">
        <f t="shared" si="0"/>
        <v>17</v>
      </c>
      <c r="AA8" s="10">
        <f t="shared" si="0"/>
        <v>18</v>
      </c>
      <c r="AB8" s="10">
        <f t="shared" si="0"/>
        <v>19</v>
      </c>
      <c r="AC8" s="10">
        <f t="shared" si="0"/>
        <v>20</v>
      </c>
      <c r="AD8" s="10">
        <f t="shared" si="0"/>
        <v>21</v>
      </c>
      <c r="AE8" s="10">
        <f t="shared" si="0"/>
        <v>22</v>
      </c>
      <c r="AF8" s="10" t="s">
        <v>14</v>
      </c>
      <c r="AG8" s="10"/>
      <c r="AI8" s="10"/>
      <c r="AJ8" s="10" t="s">
        <v>47</v>
      </c>
      <c r="AK8" s="10" t="s">
        <v>16</v>
      </c>
    </row>
    <row r="9" spans="1:37" x14ac:dyDescent="0.35">
      <c r="A9" s="10" t="s">
        <v>1</v>
      </c>
      <c r="B9" s="10" t="s">
        <v>73</v>
      </c>
      <c r="D9" s="10">
        <f>+'6.1 ADIT Calculated p.1'!D10</f>
        <v>2023</v>
      </c>
      <c r="E9" s="10">
        <f>+'6.1 ADIT Calculated p.1'!E10</f>
        <v>2024</v>
      </c>
      <c r="F9" s="10">
        <f>+'6.1 ADIT Calculated p.1'!F10</f>
        <v>2025</v>
      </c>
      <c r="G9" s="10">
        <f>+'6.1 ADIT Calculated p.1'!G10</f>
        <v>2026</v>
      </c>
      <c r="H9" s="10">
        <f>+'6.1 ADIT Calculated p.1'!H10</f>
        <v>2027</v>
      </c>
      <c r="I9" s="10">
        <f>+'6.1 ADIT Calculated p.1'!I10</f>
        <v>2028</v>
      </c>
      <c r="J9" s="10" t="s">
        <v>17</v>
      </c>
      <c r="K9" s="10" t="s">
        <v>18</v>
      </c>
      <c r="L9" s="10" t="s">
        <v>26</v>
      </c>
      <c r="M9" s="10" t="s">
        <v>27</v>
      </c>
      <c r="N9" s="10" t="s">
        <v>28</v>
      </c>
      <c r="O9" s="10" t="s">
        <v>29</v>
      </c>
      <c r="P9" s="10" t="s">
        <v>30</v>
      </c>
      <c r="Q9" s="10" t="s">
        <v>31</v>
      </c>
      <c r="R9" s="10" t="s">
        <v>32</v>
      </c>
      <c r="S9" s="10" t="s">
        <v>33</v>
      </c>
      <c r="T9" s="10" t="s">
        <v>34</v>
      </c>
      <c r="U9" s="10" t="s">
        <v>35</v>
      </c>
      <c r="V9" s="10" t="s">
        <v>37</v>
      </c>
      <c r="W9" s="10" t="s">
        <v>38</v>
      </c>
      <c r="X9" s="10" t="s">
        <v>39</v>
      </c>
      <c r="Y9" s="10" t="s">
        <v>40</v>
      </c>
      <c r="Z9" s="10" t="s">
        <v>41</v>
      </c>
      <c r="AA9" s="10" t="s">
        <v>42</v>
      </c>
      <c r="AB9" s="10" t="s">
        <v>43</v>
      </c>
      <c r="AC9" s="10" t="s">
        <v>44</v>
      </c>
      <c r="AD9" s="10" t="s">
        <v>45</v>
      </c>
      <c r="AE9" s="10" t="s">
        <v>46</v>
      </c>
      <c r="AF9" s="10" t="s">
        <v>19</v>
      </c>
      <c r="AG9" s="10" t="s">
        <v>69</v>
      </c>
      <c r="AH9" s="10" t="s">
        <v>15</v>
      </c>
      <c r="AI9" s="10"/>
      <c r="AJ9" s="10" t="s">
        <v>20</v>
      </c>
      <c r="AK9" s="10" t="s">
        <v>21</v>
      </c>
    </row>
    <row r="10" spans="1:37" ht="20" x14ac:dyDescent="0.8">
      <c r="A10" s="13" t="s">
        <v>2</v>
      </c>
      <c r="B10" s="106" t="s">
        <v>72</v>
      </c>
      <c r="C10" s="13" t="s">
        <v>0</v>
      </c>
      <c r="D10" s="13" t="s">
        <v>22</v>
      </c>
      <c r="E10" s="13" t="s">
        <v>22</v>
      </c>
      <c r="F10" s="13" t="s">
        <v>22</v>
      </c>
      <c r="G10" s="13" t="s">
        <v>22</v>
      </c>
      <c r="H10" s="13" t="s">
        <v>22</v>
      </c>
      <c r="I10" s="13" t="s">
        <v>22</v>
      </c>
      <c r="J10" s="13" t="s">
        <v>22</v>
      </c>
      <c r="K10" s="13" t="s">
        <v>22</v>
      </c>
      <c r="L10" s="13" t="s">
        <v>22</v>
      </c>
      <c r="M10" s="13" t="s">
        <v>22</v>
      </c>
      <c r="N10" s="13" t="s">
        <v>22</v>
      </c>
      <c r="O10" s="13" t="s">
        <v>22</v>
      </c>
      <c r="P10" s="13" t="s">
        <v>22</v>
      </c>
      <c r="Q10" s="13" t="s">
        <v>22</v>
      </c>
      <c r="R10" s="13" t="s">
        <v>22</v>
      </c>
      <c r="S10" s="13" t="s">
        <v>22</v>
      </c>
      <c r="T10" s="13" t="s">
        <v>22</v>
      </c>
      <c r="U10" s="13" t="s">
        <v>22</v>
      </c>
      <c r="V10" s="13" t="s">
        <v>22</v>
      </c>
      <c r="W10" s="13" t="s">
        <v>22</v>
      </c>
      <c r="X10" s="13" t="s">
        <v>22</v>
      </c>
      <c r="Y10" s="13" t="s">
        <v>22</v>
      </c>
      <c r="Z10" s="13" t="s">
        <v>22</v>
      </c>
      <c r="AA10" s="13" t="s">
        <v>22</v>
      </c>
      <c r="AB10" s="13" t="s">
        <v>22</v>
      </c>
      <c r="AC10" s="13" t="s">
        <v>22</v>
      </c>
      <c r="AD10" s="13" t="s">
        <v>22</v>
      </c>
      <c r="AE10" s="13" t="s">
        <v>22</v>
      </c>
      <c r="AF10" s="13" t="s">
        <v>23</v>
      </c>
      <c r="AG10" s="13" t="s">
        <v>70</v>
      </c>
      <c r="AH10" s="13" t="s">
        <v>23</v>
      </c>
      <c r="AI10" s="13" t="s">
        <v>24</v>
      </c>
      <c r="AJ10" s="118" t="s">
        <v>100</v>
      </c>
      <c r="AK10" s="13" t="s">
        <v>25</v>
      </c>
    </row>
    <row r="11" spans="1:37" x14ac:dyDescent="0.35">
      <c r="A11" s="13"/>
      <c r="B11" s="108" t="s">
        <v>221</v>
      </c>
      <c r="C11" s="10" t="s">
        <v>222</v>
      </c>
      <c r="D11" s="108" t="s">
        <v>223</v>
      </c>
      <c r="E11" s="108" t="s">
        <v>224</v>
      </c>
      <c r="F11" s="108" t="s">
        <v>225</v>
      </c>
      <c r="G11" s="108" t="s">
        <v>226</v>
      </c>
      <c r="H11" s="108" t="s">
        <v>227</v>
      </c>
      <c r="I11" s="108" t="s">
        <v>228</v>
      </c>
      <c r="J11" s="108" t="e">
        <f t="shared" ref="J11:AE11" si="1">+I11-1</f>
        <v>#VALUE!</v>
      </c>
      <c r="K11" s="108" t="e">
        <f t="shared" si="1"/>
        <v>#VALUE!</v>
      </c>
      <c r="L11" s="108" t="e">
        <f t="shared" si="1"/>
        <v>#VALUE!</v>
      </c>
      <c r="M11" s="108" t="e">
        <f t="shared" si="1"/>
        <v>#VALUE!</v>
      </c>
      <c r="N11" s="108" t="e">
        <f t="shared" si="1"/>
        <v>#VALUE!</v>
      </c>
      <c r="O11" s="108" t="e">
        <f t="shared" si="1"/>
        <v>#VALUE!</v>
      </c>
      <c r="P11" s="108" t="e">
        <f t="shared" si="1"/>
        <v>#VALUE!</v>
      </c>
      <c r="Q11" s="108" t="e">
        <f t="shared" si="1"/>
        <v>#VALUE!</v>
      </c>
      <c r="R11" s="108" t="e">
        <f>+Q11-1</f>
        <v>#VALUE!</v>
      </c>
      <c r="S11" s="108" t="e">
        <f t="shared" si="1"/>
        <v>#VALUE!</v>
      </c>
      <c r="T11" s="108" t="e">
        <f t="shared" si="1"/>
        <v>#VALUE!</v>
      </c>
      <c r="U11" s="108" t="e">
        <f t="shared" si="1"/>
        <v>#VALUE!</v>
      </c>
      <c r="V11" s="108" t="e">
        <f t="shared" si="1"/>
        <v>#VALUE!</v>
      </c>
      <c r="W11" s="108" t="e">
        <f t="shared" si="1"/>
        <v>#VALUE!</v>
      </c>
      <c r="X11" s="108" t="e">
        <f t="shared" si="1"/>
        <v>#VALUE!</v>
      </c>
      <c r="Y11" s="108" t="e">
        <f t="shared" si="1"/>
        <v>#VALUE!</v>
      </c>
      <c r="Z11" s="108" t="e">
        <f t="shared" si="1"/>
        <v>#VALUE!</v>
      </c>
      <c r="AA11" s="108" t="e">
        <f t="shared" si="1"/>
        <v>#VALUE!</v>
      </c>
      <c r="AB11" s="108" t="e">
        <f t="shared" si="1"/>
        <v>#VALUE!</v>
      </c>
      <c r="AC11" s="108" t="e">
        <f t="shared" si="1"/>
        <v>#VALUE!</v>
      </c>
      <c r="AD11" s="108" t="e">
        <f t="shared" si="1"/>
        <v>#VALUE!</v>
      </c>
      <c r="AE11" s="108" t="e">
        <f t="shared" si="1"/>
        <v>#VALUE!</v>
      </c>
      <c r="AF11" s="108" t="s">
        <v>229</v>
      </c>
      <c r="AG11" s="108" t="s">
        <v>230</v>
      </c>
      <c r="AH11" s="108" t="s">
        <v>231</v>
      </c>
      <c r="AI11" s="108" t="s">
        <v>232</v>
      </c>
      <c r="AJ11" s="108" t="s">
        <v>233</v>
      </c>
      <c r="AK11" s="108" t="s">
        <v>234</v>
      </c>
    </row>
    <row r="12" spans="1:37" x14ac:dyDescent="0.35">
      <c r="A12" s="13"/>
      <c r="B12" s="80"/>
      <c r="C12" s="10"/>
      <c r="D12" s="109" t="s">
        <v>13</v>
      </c>
      <c r="E12" s="109" t="s">
        <v>13</v>
      </c>
      <c r="F12" s="109" t="s">
        <v>13</v>
      </c>
      <c r="G12" s="109" t="s">
        <v>13</v>
      </c>
      <c r="H12" s="109" t="s">
        <v>13</v>
      </c>
      <c r="I12" s="109" t="s">
        <v>13</v>
      </c>
      <c r="J12" s="109" t="s">
        <v>13</v>
      </c>
      <c r="K12" s="109" t="s">
        <v>13</v>
      </c>
      <c r="L12" s="109" t="s">
        <v>13</v>
      </c>
      <c r="M12" s="109" t="s">
        <v>13</v>
      </c>
      <c r="N12" s="109" t="s">
        <v>13</v>
      </c>
      <c r="O12" s="109" t="s">
        <v>13</v>
      </c>
      <c r="P12" s="109" t="s">
        <v>13</v>
      </c>
      <c r="Q12" s="109" t="s">
        <v>13</v>
      </c>
      <c r="R12" s="109" t="s">
        <v>13</v>
      </c>
      <c r="S12" s="109" t="s">
        <v>13</v>
      </c>
      <c r="T12" s="109" t="s">
        <v>13</v>
      </c>
      <c r="U12" s="109" t="s">
        <v>13</v>
      </c>
      <c r="V12" s="109" t="s">
        <v>13</v>
      </c>
      <c r="W12" s="109" t="s">
        <v>13</v>
      </c>
      <c r="X12" s="109" t="s">
        <v>13</v>
      </c>
      <c r="Y12" s="109" t="s">
        <v>13</v>
      </c>
      <c r="Z12" s="109" t="s">
        <v>13</v>
      </c>
      <c r="AA12" s="109" t="s">
        <v>13</v>
      </c>
      <c r="AB12" s="109" t="s">
        <v>13</v>
      </c>
      <c r="AC12" s="109" t="s">
        <v>13</v>
      </c>
      <c r="AD12" s="109" t="s">
        <v>13</v>
      </c>
      <c r="AE12" s="109" t="s">
        <v>13</v>
      </c>
      <c r="AF12" s="109" t="s">
        <v>13</v>
      </c>
      <c r="AG12" s="10" t="s">
        <v>13</v>
      </c>
      <c r="AH12" s="109" t="s">
        <v>13</v>
      </c>
      <c r="AI12" s="109" t="s">
        <v>13</v>
      </c>
      <c r="AJ12" s="109" t="s">
        <v>13</v>
      </c>
      <c r="AK12" s="109" t="s">
        <v>13</v>
      </c>
    </row>
    <row r="13" spans="1:37" x14ac:dyDescent="0.35">
      <c r="A13" s="13"/>
      <c r="B13" s="110"/>
      <c r="C13" s="111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37" ht="17" x14ac:dyDescent="0.5">
      <c r="A14" s="24">
        <v>1</v>
      </c>
      <c r="B14" s="8" t="s">
        <v>174</v>
      </c>
      <c r="C14" s="111"/>
      <c r="D14" s="113">
        <f>+'5.0 Depr Expense'!Q13+'5.0 Depr Expense'!Q33</f>
        <v>43862082.25</v>
      </c>
      <c r="E14" s="113">
        <f>+'5.0 Depr Expense'!Q86+'5.0 Depr Expense'!Q106</f>
        <v>38544361.373138838</v>
      </c>
      <c r="F14" s="113">
        <f>+'5.0 Depr Expense'!Q159+'5.0 Depr Expense'!Q179</f>
        <v>43887493</v>
      </c>
      <c r="G14" s="113">
        <v>0</v>
      </c>
      <c r="H14" s="113">
        <v>0</v>
      </c>
      <c r="I14" s="113">
        <v>0</v>
      </c>
      <c r="J14" s="113" t="e">
        <f>#REF!+#REF!</f>
        <v>#REF!</v>
      </c>
      <c r="K14" s="113" t="e">
        <f>#REF!+#REF!</f>
        <v>#REF!</v>
      </c>
      <c r="L14" s="113" t="e">
        <f>#REF!+#REF!</f>
        <v>#REF!</v>
      </c>
      <c r="M14" s="113" t="e">
        <f>#REF!+#REF!</f>
        <v>#REF!</v>
      </c>
      <c r="N14" s="113" t="e">
        <f>#REF!+#REF!</f>
        <v>#REF!</v>
      </c>
      <c r="O14" s="113" t="e">
        <f>#REF!+#REF!</f>
        <v>#REF!</v>
      </c>
      <c r="P14" s="113" t="e">
        <f>#REF!+#REF!</f>
        <v>#REF!</v>
      </c>
      <c r="Q14" s="113" t="e">
        <f>#REF!+#REF!</f>
        <v>#REF!</v>
      </c>
      <c r="R14" s="113" t="e">
        <f>#REF!+#REF!</f>
        <v>#REF!</v>
      </c>
      <c r="S14" s="113" t="e">
        <f>#REF!+#REF!</f>
        <v>#REF!</v>
      </c>
      <c r="T14" s="113" t="e">
        <f>#REF!+#REF!</f>
        <v>#REF!</v>
      </c>
      <c r="U14" s="113" t="e">
        <f>#REF!+#REF!</f>
        <v>#REF!</v>
      </c>
      <c r="V14" s="113" t="e">
        <f>#REF!+#REF!</f>
        <v>#REF!</v>
      </c>
      <c r="W14" s="113" t="e">
        <f>#REF!+#REF!</f>
        <v>#REF!</v>
      </c>
      <c r="X14" s="113" t="e">
        <f>#REF!+#REF!</f>
        <v>#REF!</v>
      </c>
      <c r="Y14" s="113" t="e">
        <f>#REF!+#REF!</f>
        <v>#REF!</v>
      </c>
      <c r="Z14" s="113" t="e">
        <f>#REF!+#REF!</f>
        <v>#REF!</v>
      </c>
      <c r="AA14" s="113" t="e">
        <f>#REF!+#REF!</f>
        <v>#REF!</v>
      </c>
      <c r="AB14" s="113" t="e">
        <f>#REF!+#REF!</f>
        <v>#REF!</v>
      </c>
      <c r="AC14" s="113" t="e">
        <f>#REF!+#REF!</f>
        <v>#REF!</v>
      </c>
      <c r="AD14" s="113" t="e">
        <f>#REF!+#REF!</f>
        <v>#REF!</v>
      </c>
      <c r="AE14" s="113" t="e">
        <f>#REF!+#REF!</f>
        <v>#REF!</v>
      </c>
      <c r="AH14" s="45"/>
    </row>
    <row r="15" spans="1:37" ht="13.5" customHeight="1" x14ac:dyDescent="0.35">
      <c r="A15" s="13"/>
      <c r="B15" s="110"/>
      <c r="C15" s="111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</row>
    <row r="16" spans="1:37" ht="13.5" customHeight="1" x14ac:dyDescent="0.35">
      <c r="A16" s="24">
        <f>A14+1</f>
        <v>2</v>
      </c>
      <c r="B16" s="112" t="s">
        <v>97</v>
      </c>
      <c r="C16" s="111"/>
      <c r="D16" s="114">
        <f t="shared" ref="D16:I16" si="2">D55+D54</f>
        <v>0.38835172000000001</v>
      </c>
      <c r="E16" s="114">
        <f t="shared" si="2"/>
        <v>0.38835172000000001</v>
      </c>
      <c r="F16" s="114">
        <f t="shared" si="2"/>
        <v>0.38835172000000001</v>
      </c>
      <c r="G16" s="114">
        <f t="shared" si="2"/>
        <v>0.38835172000000001</v>
      </c>
      <c r="H16" s="114">
        <f t="shared" si="2"/>
        <v>0.38835172000000001</v>
      </c>
      <c r="I16" s="114">
        <f t="shared" si="2"/>
        <v>0.38835172000000001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</row>
    <row r="17" spans="1:37" ht="13.5" customHeight="1" x14ac:dyDescent="0.35">
      <c r="B17" s="112"/>
      <c r="C17" s="111"/>
      <c r="D17" s="114"/>
      <c r="E17" s="114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</row>
    <row r="18" spans="1:37" x14ac:dyDescent="0.35">
      <c r="A18" s="24">
        <f>A16+1</f>
        <v>3</v>
      </c>
      <c r="B18" s="115">
        <v>3.7500000000000089E-2</v>
      </c>
      <c r="C18" s="24">
        <v>1</v>
      </c>
      <c r="D18" s="44">
        <f>ROUND((D$14)*$D$16,0)+ROUND(($D$14-($D$14*$D$16))*B18,0)</f>
        <v>18039971</v>
      </c>
      <c r="E18" s="44"/>
      <c r="AF18" s="44">
        <f>SUM(D18:G18)</f>
        <v>18039971</v>
      </c>
      <c r="AG18" s="44">
        <f>SUM('4.0 Accumulated Depr'!D34:O34)+SUM('4.0 Accumulated Depr'!D36:O36)</f>
        <v>1997634.6495919998</v>
      </c>
      <c r="AH18" s="44">
        <f>+'5.0 Depr Expense'!Q20+'5.0 Depr Expense'!Q40</f>
        <v>421651.05500000005</v>
      </c>
      <c r="AI18" s="45">
        <f>AF18+AG18-AH18</f>
        <v>19615954.594592001</v>
      </c>
      <c r="AJ18" s="44">
        <f>ROUND(0.2495*AI18,0)</f>
        <v>4894181</v>
      </c>
      <c r="AK18" s="44">
        <f>+AJ18</f>
        <v>4894181</v>
      </c>
    </row>
    <row r="19" spans="1:37" x14ac:dyDescent="0.35">
      <c r="A19" s="24">
        <f>A18+1</f>
        <v>4</v>
      </c>
      <c r="B19" s="115">
        <v>7.2190000000000004E-2</v>
      </c>
      <c r="C19" s="24">
        <f>+C18+1</f>
        <v>2</v>
      </c>
      <c r="D19" s="44">
        <f t="shared" ref="D19:D37" si="3">ROUND(($D$14-($D$14*$D$16))*B19,0)</f>
        <v>1936725</v>
      </c>
      <c r="E19" s="44">
        <f>ROUND((E$14)*E$16,0)+ROUND((E$14-(E$14*E$16))*$B18,0)</f>
        <v>15852854</v>
      </c>
      <c r="F19" s="44"/>
      <c r="AF19" s="44">
        <f>SUM(D19:G19)</f>
        <v>17789579</v>
      </c>
      <c r="AG19" s="44">
        <f>SUM('4.0 Accumulated Depr'!D107:O107)+SUM('4.0 Accumulated Depr'!D109:O109)</f>
        <v>2693028.0000000005</v>
      </c>
      <c r="AH19" s="44">
        <f>+'5.0 Depr Expense'!Q93+'5.0 Depr Expense'!Q113</f>
        <v>1331675.2740000002</v>
      </c>
      <c r="AI19" s="45">
        <f>AF19+AG19-AH19</f>
        <v>19150931.726</v>
      </c>
      <c r="AJ19" s="44">
        <f>ROUND(0.2495*AI19,0)</f>
        <v>4778157</v>
      </c>
      <c r="AK19" s="44">
        <f>+AK18+AJ19</f>
        <v>9672338</v>
      </c>
    </row>
    <row r="20" spans="1:37" x14ac:dyDescent="0.35">
      <c r="A20" s="24">
        <f t="shared" ref="A20:A43" si="4">A19+1</f>
        <v>5</v>
      </c>
      <c r="B20" s="115">
        <v>6.6769999999999996E-2</v>
      </c>
      <c r="C20" s="24">
        <f t="shared" ref="C20:C41" si="5">+C19+1</f>
        <v>3</v>
      </c>
      <c r="D20" s="44">
        <f t="shared" si="3"/>
        <v>1791317</v>
      </c>
      <c r="E20" s="44">
        <f>ROUND((E$14-(E$14*E$16))*$B19,0)</f>
        <v>1701922</v>
      </c>
      <c r="F20" s="44">
        <f>ROUND((F$14)*F$16,0)+ROUND((F$14-(F$14*F$16))*$B18,0)</f>
        <v>18050422</v>
      </c>
      <c r="G20" s="44">
        <f>ROUND((G$14)*G$16,0)+ROUND((G$14-(G$14*G$16))*$B18,0)</f>
        <v>0</v>
      </c>
      <c r="AF20" s="44">
        <f>SUM(D20:G20)</f>
        <v>21543661</v>
      </c>
      <c r="AG20" s="44">
        <f>SUM('4.0 Accumulated Depr'!D180:O180)+SUM('4.0 Accumulated Depr'!D182:O182)</f>
        <v>1997634.6495919998</v>
      </c>
      <c r="AH20" s="44">
        <f>+'5.0 Depr Expense'!Q166+'5.0 Depr Expense'!Q186</f>
        <v>2607126.5030000005</v>
      </c>
      <c r="AI20" s="45">
        <f>AF20+AG20-AH20</f>
        <v>20934169.146591999</v>
      </c>
      <c r="AJ20" s="44">
        <f>ROUND(0.2495*AI20,0)</f>
        <v>5223075</v>
      </c>
      <c r="AK20" s="44">
        <f>+AK19+AJ20</f>
        <v>14895413</v>
      </c>
    </row>
    <row r="21" spans="1:37" x14ac:dyDescent="0.35">
      <c r="A21" s="24">
        <f t="shared" si="4"/>
        <v>6</v>
      </c>
      <c r="B21" s="115">
        <v>6.1769999999999999E-2</v>
      </c>
      <c r="C21" s="24">
        <f t="shared" si="5"/>
        <v>4</v>
      </c>
      <c r="D21" s="44">
        <f t="shared" si="3"/>
        <v>1657176</v>
      </c>
      <c r="E21" s="44">
        <f t="shared" ref="E21:E38" si="6">ROUND(($E$14-($E$14*$E$16))*B20,0)</f>
        <v>1574142</v>
      </c>
      <c r="F21" s="44">
        <f>ROUND((F$14-(F$14*F$16))*$B19,0)</f>
        <v>1937847</v>
      </c>
      <c r="G21" s="44">
        <f>ROUND((G$14-(G$14*G$16))*$B19,0)</f>
        <v>0</v>
      </c>
      <c r="H21" s="44">
        <f>ROUND((H$14)*H$16,0)+ROUND((H$14-(H$14*H$16))*$B18,0)</f>
        <v>0</v>
      </c>
      <c r="AF21" s="44">
        <f>SUM(D21:H21)</f>
        <v>5169165</v>
      </c>
      <c r="AG21" s="44">
        <v>0</v>
      </c>
      <c r="AH21" s="44"/>
      <c r="AI21" s="45"/>
      <c r="AJ21" s="44"/>
      <c r="AK21" s="44"/>
    </row>
    <row r="22" spans="1:37" x14ac:dyDescent="0.35">
      <c r="A22" s="24">
        <f t="shared" si="4"/>
        <v>7</v>
      </c>
      <c r="B22" s="115">
        <v>5.713E-2</v>
      </c>
      <c r="C22" s="24">
        <f t="shared" si="5"/>
        <v>5</v>
      </c>
      <c r="D22" s="44">
        <f t="shared" si="3"/>
        <v>1532693</v>
      </c>
      <c r="E22" s="44">
        <f t="shared" si="6"/>
        <v>1456264</v>
      </c>
      <c r="F22" s="44">
        <f t="shared" ref="F22:F39" si="7">ROUND((F$14-(F$14*F$16))*$B20,0)</f>
        <v>1792354</v>
      </c>
      <c r="G22" s="44">
        <f t="shared" ref="G22:G40" si="8">ROUND((G$14-(G$14*G$16))*$B20,0)</f>
        <v>0</v>
      </c>
      <c r="H22" s="44">
        <f>ROUND((H$14-(H$14*H$16))*$B19,0)</f>
        <v>0</v>
      </c>
      <c r="I22" s="44">
        <f>ROUND((I$14)*I$16,0)+ROUND((I$14-(I$14*I$16))*$B18,0)</f>
        <v>0</v>
      </c>
      <c r="AF22" s="44">
        <f>SUM(D22:I22)</f>
        <v>4781311</v>
      </c>
      <c r="AG22" s="44">
        <v>0</v>
      </c>
      <c r="AH22" s="44"/>
      <c r="AI22" s="45"/>
      <c r="AJ22" s="44"/>
      <c r="AK22" s="44"/>
    </row>
    <row r="23" spans="1:37" x14ac:dyDescent="0.35">
      <c r="A23" s="24">
        <f t="shared" si="4"/>
        <v>8</v>
      </c>
      <c r="B23" s="115">
        <v>5.2850000000000001E-2</v>
      </c>
      <c r="C23" s="24">
        <f t="shared" si="5"/>
        <v>6</v>
      </c>
      <c r="D23" s="44">
        <f t="shared" si="3"/>
        <v>1417869</v>
      </c>
      <c r="E23" s="44">
        <f t="shared" si="6"/>
        <v>1346874</v>
      </c>
      <c r="F23" s="44">
        <f t="shared" si="7"/>
        <v>1658136</v>
      </c>
      <c r="G23" s="44">
        <f t="shared" si="8"/>
        <v>0</v>
      </c>
      <c r="H23" s="44">
        <f t="shared" ref="H23:H41" si="9">ROUND((H$14-(H$14*H$16))*$B20,0)</f>
        <v>0</v>
      </c>
      <c r="I23" s="44">
        <f>ROUND((I$14-(I$14*I$16))*$B19,0)</f>
        <v>0</v>
      </c>
      <c r="AF23" s="44">
        <f t="shared" ref="AF23:AF42" si="10">SUM(D23:I23)</f>
        <v>4422879</v>
      </c>
      <c r="AG23" s="44"/>
      <c r="AH23" s="44"/>
      <c r="AI23" s="45"/>
      <c r="AJ23" s="44"/>
      <c r="AK23" s="44"/>
    </row>
    <row r="24" spans="1:37" x14ac:dyDescent="0.35">
      <c r="A24" s="24">
        <f t="shared" si="4"/>
        <v>9</v>
      </c>
      <c r="B24" s="115">
        <v>4.888E-2</v>
      </c>
      <c r="C24" s="24">
        <f t="shared" si="5"/>
        <v>7</v>
      </c>
      <c r="D24" s="44">
        <f t="shared" si="3"/>
        <v>1311361</v>
      </c>
      <c r="E24" s="44">
        <f t="shared" si="6"/>
        <v>1245970</v>
      </c>
      <c r="F24" s="44">
        <f t="shared" si="7"/>
        <v>1533581</v>
      </c>
      <c r="G24" s="44">
        <f t="shared" si="8"/>
        <v>0</v>
      </c>
      <c r="H24" s="44">
        <f t="shared" si="9"/>
        <v>0</v>
      </c>
      <c r="I24" s="44">
        <f t="shared" ref="I24:I42" si="11">ROUND((I$14-(I$14*I$16))*$B20,0)</f>
        <v>0</v>
      </c>
      <c r="AF24" s="44">
        <f t="shared" si="10"/>
        <v>4090912</v>
      </c>
      <c r="AG24" s="44"/>
      <c r="AH24" s="44"/>
      <c r="AI24" s="45"/>
      <c r="AJ24" s="44"/>
      <c r="AK24" s="44"/>
    </row>
    <row r="25" spans="1:37" x14ac:dyDescent="0.35">
      <c r="A25" s="24">
        <f t="shared" si="4"/>
        <v>10</v>
      </c>
      <c r="B25" s="115">
        <v>4.5220000000000003E-2</v>
      </c>
      <c r="C25" s="24">
        <f t="shared" si="5"/>
        <v>8</v>
      </c>
      <c r="D25" s="44">
        <f t="shared" si="3"/>
        <v>1213170</v>
      </c>
      <c r="E25" s="44">
        <f t="shared" si="6"/>
        <v>1152375</v>
      </c>
      <c r="F25" s="44">
        <f t="shared" si="7"/>
        <v>1418690</v>
      </c>
      <c r="G25" s="44">
        <f t="shared" si="8"/>
        <v>0</v>
      </c>
      <c r="H25" s="44">
        <f t="shared" si="9"/>
        <v>0</v>
      </c>
      <c r="I25" s="44">
        <f t="shared" si="11"/>
        <v>0</v>
      </c>
      <c r="AF25" s="44">
        <f t="shared" si="10"/>
        <v>3784235</v>
      </c>
      <c r="AG25" s="44"/>
      <c r="AH25" s="44"/>
      <c r="AI25" s="45"/>
      <c r="AJ25" s="44"/>
      <c r="AK25" s="44"/>
    </row>
    <row r="26" spans="1:37" x14ac:dyDescent="0.35">
      <c r="A26" s="24">
        <f t="shared" si="4"/>
        <v>11</v>
      </c>
      <c r="B26" s="115">
        <v>4.462E-2</v>
      </c>
      <c r="C26" s="24">
        <f t="shared" si="5"/>
        <v>9</v>
      </c>
      <c r="D26" s="44">
        <f t="shared" si="3"/>
        <v>1197073</v>
      </c>
      <c r="E26" s="44">
        <f t="shared" si="6"/>
        <v>1066088</v>
      </c>
      <c r="F26" s="44">
        <f t="shared" si="7"/>
        <v>1312121</v>
      </c>
      <c r="G26" s="44">
        <f t="shared" si="8"/>
        <v>0</v>
      </c>
      <c r="H26" s="44">
        <f t="shared" si="9"/>
        <v>0</v>
      </c>
      <c r="I26" s="44">
        <f t="shared" si="11"/>
        <v>0</v>
      </c>
      <c r="J26" s="44"/>
      <c r="AF26" s="44">
        <f t="shared" si="10"/>
        <v>3575282</v>
      </c>
      <c r="AG26" s="44"/>
      <c r="AH26" s="44"/>
      <c r="AI26" s="45"/>
      <c r="AJ26" s="44"/>
      <c r="AK26" s="44"/>
    </row>
    <row r="27" spans="1:37" x14ac:dyDescent="0.35">
      <c r="A27" s="24">
        <f t="shared" si="4"/>
        <v>12</v>
      </c>
      <c r="B27" s="115">
        <v>4.4609999999999997E-2</v>
      </c>
      <c r="C27" s="24">
        <f t="shared" si="5"/>
        <v>10</v>
      </c>
      <c r="D27" s="44">
        <f t="shared" si="3"/>
        <v>1196805</v>
      </c>
      <c r="E27" s="44">
        <f t="shared" si="6"/>
        <v>1051943</v>
      </c>
      <c r="F27" s="44">
        <f t="shared" si="7"/>
        <v>1213873</v>
      </c>
      <c r="G27" s="44">
        <f t="shared" si="8"/>
        <v>0</v>
      </c>
      <c r="H27" s="44">
        <f t="shared" si="9"/>
        <v>0</v>
      </c>
      <c r="I27" s="44">
        <f t="shared" si="11"/>
        <v>0</v>
      </c>
      <c r="J27" s="44"/>
      <c r="K27" s="44"/>
      <c r="AF27" s="44">
        <f t="shared" si="10"/>
        <v>3462621</v>
      </c>
      <c r="AG27" s="44"/>
      <c r="AH27" s="44"/>
      <c r="AI27" s="45"/>
      <c r="AJ27" s="44"/>
      <c r="AK27" s="44"/>
    </row>
    <row r="28" spans="1:37" x14ac:dyDescent="0.35">
      <c r="A28" s="24">
        <f t="shared" si="4"/>
        <v>13</v>
      </c>
      <c r="B28" s="115">
        <v>4.462E-2</v>
      </c>
      <c r="C28" s="24">
        <f t="shared" si="5"/>
        <v>11</v>
      </c>
      <c r="D28" s="44">
        <f t="shared" si="3"/>
        <v>1197073</v>
      </c>
      <c r="E28" s="44">
        <f t="shared" si="6"/>
        <v>1051707</v>
      </c>
      <c r="F28" s="44">
        <f t="shared" si="7"/>
        <v>1197766</v>
      </c>
      <c r="G28" s="44">
        <f t="shared" si="8"/>
        <v>0</v>
      </c>
      <c r="H28" s="44">
        <f t="shared" si="9"/>
        <v>0</v>
      </c>
      <c r="I28" s="44">
        <f t="shared" si="11"/>
        <v>0</v>
      </c>
      <c r="J28" s="44"/>
      <c r="K28" s="44"/>
      <c r="L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>
        <f t="shared" si="10"/>
        <v>3446546</v>
      </c>
      <c r="AG28" s="44"/>
      <c r="AH28" s="44"/>
      <c r="AI28" s="45"/>
      <c r="AJ28" s="44"/>
      <c r="AK28" s="44"/>
    </row>
    <row r="29" spans="1:37" x14ac:dyDescent="0.35">
      <c r="A29" s="24">
        <f t="shared" si="4"/>
        <v>14</v>
      </c>
      <c r="B29" s="115">
        <v>4.4609999999999997E-2</v>
      </c>
      <c r="C29" s="24">
        <f t="shared" si="5"/>
        <v>12</v>
      </c>
      <c r="D29" s="44">
        <f t="shared" si="3"/>
        <v>1196805</v>
      </c>
      <c r="E29" s="44">
        <f t="shared" si="6"/>
        <v>1051943</v>
      </c>
      <c r="F29" s="44">
        <f t="shared" si="7"/>
        <v>1197498</v>
      </c>
      <c r="G29" s="44">
        <f t="shared" si="8"/>
        <v>0</v>
      </c>
      <c r="H29" s="44">
        <f t="shared" si="9"/>
        <v>0</v>
      </c>
      <c r="I29" s="44">
        <f t="shared" si="11"/>
        <v>0</v>
      </c>
      <c r="J29" s="44"/>
      <c r="K29" s="44"/>
      <c r="L29" s="44"/>
      <c r="M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>
        <f t="shared" si="10"/>
        <v>3446246</v>
      </c>
      <c r="AG29" s="44"/>
      <c r="AH29" s="44"/>
      <c r="AI29" s="45"/>
      <c r="AJ29" s="44"/>
      <c r="AK29" s="44"/>
    </row>
    <row r="30" spans="1:37" x14ac:dyDescent="0.35">
      <c r="A30" s="24">
        <f t="shared" si="4"/>
        <v>15</v>
      </c>
      <c r="B30" s="115">
        <v>4.462E-2</v>
      </c>
      <c r="C30" s="24">
        <f t="shared" si="5"/>
        <v>13</v>
      </c>
      <c r="D30" s="44">
        <f t="shared" si="3"/>
        <v>1197073</v>
      </c>
      <c r="E30" s="44">
        <f t="shared" si="6"/>
        <v>1051707</v>
      </c>
      <c r="F30" s="44">
        <f t="shared" si="7"/>
        <v>1197766</v>
      </c>
      <c r="G30" s="44">
        <f t="shared" si="8"/>
        <v>0</v>
      </c>
      <c r="H30" s="44">
        <f t="shared" si="9"/>
        <v>0</v>
      </c>
      <c r="I30" s="44">
        <f t="shared" si="11"/>
        <v>0</v>
      </c>
      <c r="J30" s="44"/>
      <c r="K30" s="44"/>
      <c r="L30" s="44"/>
      <c r="M30" s="44"/>
      <c r="N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>
        <f t="shared" si="10"/>
        <v>3446546</v>
      </c>
      <c r="AG30" s="44"/>
      <c r="AH30" s="44"/>
      <c r="AI30" s="45"/>
      <c r="AJ30" s="44"/>
      <c r="AK30" s="44"/>
    </row>
    <row r="31" spans="1:37" x14ac:dyDescent="0.35">
      <c r="A31" s="24">
        <f t="shared" si="4"/>
        <v>16</v>
      </c>
      <c r="B31" s="115">
        <v>4.4609999999999997E-2</v>
      </c>
      <c r="C31" s="24">
        <f t="shared" si="5"/>
        <v>14</v>
      </c>
      <c r="D31" s="44">
        <f t="shared" si="3"/>
        <v>1196805</v>
      </c>
      <c r="E31" s="44">
        <f t="shared" si="6"/>
        <v>1051943</v>
      </c>
      <c r="F31" s="44">
        <f t="shared" si="7"/>
        <v>1197498</v>
      </c>
      <c r="G31" s="44">
        <f t="shared" si="8"/>
        <v>0</v>
      </c>
      <c r="H31" s="44">
        <f t="shared" si="9"/>
        <v>0</v>
      </c>
      <c r="I31" s="44">
        <f t="shared" si="11"/>
        <v>0</v>
      </c>
      <c r="J31" s="44"/>
      <c r="K31" s="44"/>
      <c r="L31" s="44"/>
      <c r="M31" s="44"/>
      <c r="N31" s="44"/>
      <c r="O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>
        <f t="shared" si="10"/>
        <v>3446246</v>
      </c>
      <c r="AG31" s="44"/>
      <c r="AH31" s="44"/>
      <c r="AI31" s="45"/>
      <c r="AJ31" s="44"/>
      <c r="AK31" s="44"/>
    </row>
    <row r="32" spans="1:37" x14ac:dyDescent="0.35">
      <c r="A32" s="24">
        <f t="shared" si="4"/>
        <v>17</v>
      </c>
      <c r="B32" s="115">
        <v>4.462E-2</v>
      </c>
      <c r="C32" s="24">
        <f t="shared" si="5"/>
        <v>15</v>
      </c>
      <c r="D32" s="44">
        <f t="shared" si="3"/>
        <v>1197073</v>
      </c>
      <c r="E32" s="44">
        <f t="shared" si="6"/>
        <v>1051707</v>
      </c>
      <c r="F32" s="44">
        <f t="shared" si="7"/>
        <v>1197766</v>
      </c>
      <c r="G32" s="44">
        <f t="shared" si="8"/>
        <v>0</v>
      </c>
      <c r="H32" s="44">
        <f t="shared" si="9"/>
        <v>0</v>
      </c>
      <c r="I32" s="44">
        <f t="shared" si="11"/>
        <v>0</v>
      </c>
      <c r="J32" s="44"/>
      <c r="K32" s="44"/>
      <c r="L32" s="44"/>
      <c r="M32" s="44"/>
      <c r="N32" s="44"/>
      <c r="O32" s="44"/>
      <c r="P32" s="44"/>
      <c r="AF32" s="44">
        <f t="shared" si="10"/>
        <v>3446546</v>
      </c>
      <c r="AG32" s="44"/>
      <c r="AH32" s="44"/>
      <c r="AI32" s="45"/>
      <c r="AJ32" s="44"/>
      <c r="AK32" s="44"/>
    </row>
    <row r="33" spans="1:37" x14ac:dyDescent="0.35">
      <c r="A33" s="24">
        <f t="shared" si="4"/>
        <v>18</v>
      </c>
      <c r="B33" s="115">
        <v>4.4609999999999997E-2</v>
      </c>
      <c r="C33" s="24">
        <f t="shared" si="5"/>
        <v>16</v>
      </c>
      <c r="D33" s="44">
        <f t="shared" si="3"/>
        <v>1196805</v>
      </c>
      <c r="E33" s="44">
        <f t="shared" si="6"/>
        <v>1051943</v>
      </c>
      <c r="F33" s="44">
        <f t="shared" si="7"/>
        <v>1197498</v>
      </c>
      <c r="G33" s="44">
        <f t="shared" si="8"/>
        <v>0</v>
      </c>
      <c r="H33" s="44">
        <f t="shared" si="9"/>
        <v>0</v>
      </c>
      <c r="I33" s="44">
        <f t="shared" si="11"/>
        <v>0</v>
      </c>
      <c r="J33" s="44"/>
      <c r="K33" s="44"/>
      <c r="L33" s="44"/>
      <c r="M33" s="44"/>
      <c r="N33" s="44"/>
      <c r="O33" s="44"/>
      <c r="P33" s="44"/>
      <c r="Q33" s="44"/>
      <c r="AF33" s="44">
        <f t="shared" si="10"/>
        <v>3446246</v>
      </c>
      <c r="AG33" s="44"/>
      <c r="AH33" s="44"/>
      <c r="AI33" s="45"/>
      <c r="AJ33" s="44"/>
      <c r="AK33" s="44"/>
    </row>
    <row r="34" spans="1:37" x14ac:dyDescent="0.35">
      <c r="A34" s="24">
        <f t="shared" si="4"/>
        <v>19</v>
      </c>
      <c r="B34" s="115">
        <v>4.462E-2</v>
      </c>
      <c r="C34" s="24">
        <f t="shared" si="5"/>
        <v>17</v>
      </c>
      <c r="D34" s="44">
        <f t="shared" si="3"/>
        <v>1197073</v>
      </c>
      <c r="E34" s="44">
        <f t="shared" si="6"/>
        <v>1051707</v>
      </c>
      <c r="F34" s="44">
        <f t="shared" si="7"/>
        <v>1197766</v>
      </c>
      <c r="G34" s="44">
        <f t="shared" si="8"/>
        <v>0</v>
      </c>
      <c r="H34" s="44">
        <f t="shared" si="9"/>
        <v>0</v>
      </c>
      <c r="I34" s="44">
        <f t="shared" si="11"/>
        <v>0</v>
      </c>
      <c r="J34" s="44"/>
      <c r="K34" s="44"/>
      <c r="L34" s="44"/>
      <c r="M34" s="44"/>
      <c r="N34" s="44"/>
      <c r="O34" s="44"/>
      <c r="P34" s="44"/>
      <c r="Q34" s="44"/>
      <c r="R34" s="44"/>
      <c r="AF34" s="44">
        <f t="shared" si="10"/>
        <v>3446546</v>
      </c>
      <c r="AG34" s="44"/>
      <c r="AH34" s="44"/>
      <c r="AI34" s="45"/>
      <c r="AJ34" s="44"/>
      <c r="AK34" s="44"/>
    </row>
    <row r="35" spans="1:37" x14ac:dyDescent="0.35">
      <c r="A35" s="24">
        <f t="shared" si="4"/>
        <v>20</v>
      </c>
      <c r="B35" s="115">
        <v>4.4609999999999997E-2</v>
      </c>
      <c r="C35" s="24">
        <f t="shared" si="5"/>
        <v>18</v>
      </c>
      <c r="D35" s="44">
        <f t="shared" si="3"/>
        <v>1196805</v>
      </c>
      <c r="E35" s="44">
        <f t="shared" si="6"/>
        <v>1051943</v>
      </c>
      <c r="F35" s="44">
        <f t="shared" si="7"/>
        <v>1197498</v>
      </c>
      <c r="G35" s="44">
        <f t="shared" si="8"/>
        <v>0</v>
      </c>
      <c r="H35" s="44">
        <f t="shared" si="9"/>
        <v>0</v>
      </c>
      <c r="I35" s="44">
        <f t="shared" si="11"/>
        <v>0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AF35" s="44">
        <f t="shared" si="10"/>
        <v>3446246</v>
      </c>
      <c r="AG35" s="44"/>
      <c r="AH35" s="44"/>
      <c r="AI35" s="45"/>
      <c r="AJ35" s="44"/>
      <c r="AK35" s="44"/>
    </row>
    <row r="36" spans="1:37" x14ac:dyDescent="0.35">
      <c r="A36" s="24">
        <f t="shared" si="4"/>
        <v>21</v>
      </c>
      <c r="B36" s="115">
        <v>4.462E-2</v>
      </c>
      <c r="C36" s="24">
        <f t="shared" si="5"/>
        <v>19</v>
      </c>
      <c r="D36" s="44">
        <f t="shared" si="3"/>
        <v>1197073</v>
      </c>
      <c r="E36" s="44">
        <f t="shared" si="6"/>
        <v>1051707</v>
      </c>
      <c r="F36" s="44">
        <f t="shared" si="7"/>
        <v>1197766</v>
      </c>
      <c r="G36" s="44">
        <f t="shared" si="8"/>
        <v>0</v>
      </c>
      <c r="H36" s="44">
        <f t="shared" si="9"/>
        <v>0</v>
      </c>
      <c r="I36" s="44">
        <f t="shared" si="11"/>
        <v>0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F36" s="44">
        <f t="shared" si="10"/>
        <v>3446546</v>
      </c>
      <c r="AG36" s="44"/>
      <c r="AH36" s="44"/>
      <c r="AI36" s="45"/>
      <c r="AJ36" s="44"/>
      <c r="AK36" s="44"/>
    </row>
    <row r="37" spans="1:37" x14ac:dyDescent="0.35">
      <c r="A37" s="24">
        <f t="shared" si="4"/>
        <v>22</v>
      </c>
      <c r="B37" s="115">
        <v>4.4609999999999997E-2</v>
      </c>
      <c r="C37" s="24">
        <f t="shared" si="5"/>
        <v>20</v>
      </c>
      <c r="D37" s="44">
        <f t="shared" si="3"/>
        <v>1196805</v>
      </c>
      <c r="E37" s="44">
        <f t="shared" si="6"/>
        <v>1051943</v>
      </c>
      <c r="F37" s="44">
        <f t="shared" si="7"/>
        <v>1197498</v>
      </c>
      <c r="G37" s="44">
        <f t="shared" si="8"/>
        <v>0</v>
      </c>
      <c r="H37" s="44">
        <f t="shared" si="9"/>
        <v>0</v>
      </c>
      <c r="I37" s="44">
        <f t="shared" si="11"/>
        <v>0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>
        <f t="shared" si="10"/>
        <v>3446246</v>
      </c>
      <c r="AG37" s="44"/>
      <c r="AH37" s="44"/>
      <c r="AI37" s="45"/>
      <c r="AJ37" s="44"/>
      <c r="AK37" s="44"/>
    </row>
    <row r="38" spans="1:37" x14ac:dyDescent="0.35">
      <c r="A38" s="24">
        <f t="shared" si="4"/>
        <v>23</v>
      </c>
      <c r="B38" s="115">
        <v>2.231E-2</v>
      </c>
      <c r="C38" s="24">
        <f t="shared" si="5"/>
        <v>21</v>
      </c>
      <c r="D38" s="44">
        <f>ROUND(($D$14-($D$14*$D$16))*B38,0)+1</f>
        <v>598537</v>
      </c>
      <c r="E38" s="44">
        <f t="shared" si="6"/>
        <v>1051707</v>
      </c>
      <c r="F38" s="44">
        <f t="shared" si="7"/>
        <v>1197766</v>
      </c>
      <c r="G38" s="44">
        <f t="shared" si="8"/>
        <v>0</v>
      </c>
      <c r="H38" s="44">
        <f t="shared" si="9"/>
        <v>0</v>
      </c>
      <c r="I38" s="44">
        <f t="shared" si="11"/>
        <v>0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>
        <f t="shared" si="10"/>
        <v>2848010</v>
      </c>
      <c r="AG38" s="44"/>
      <c r="AH38" s="44"/>
      <c r="AI38" s="45"/>
      <c r="AJ38" s="44"/>
      <c r="AK38" s="44"/>
    </row>
    <row r="39" spans="1:37" x14ac:dyDescent="0.35">
      <c r="A39" s="24">
        <f t="shared" si="4"/>
        <v>24</v>
      </c>
      <c r="B39" s="115"/>
      <c r="C39" s="24">
        <f t="shared" si="5"/>
        <v>22</v>
      </c>
      <c r="E39" s="44">
        <f>ROUND(($E$14-($E$14*$E$16))*B38,0)+6</f>
        <v>525977</v>
      </c>
      <c r="F39" s="44">
        <f t="shared" si="7"/>
        <v>1197498</v>
      </c>
      <c r="G39" s="44">
        <f t="shared" si="8"/>
        <v>0</v>
      </c>
      <c r="H39" s="44">
        <f t="shared" si="9"/>
        <v>0</v>
      </c>
      <c r="I39" s="44">
        <f t="shared" si="11"/>
        <v>0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>
        <f t="shared" si="10"/>
        <v>1723475</v>
      </c>
      <c r="AH39" s="44"/>
      <c r="AI39" s="45"/>
      <c r="AJ39" s="44"/>
      <c r="AK39" s="44"/>
    </row>
    <row r="40" spans="1:37" x14ac:dyDescent="0.35">
      <c r="A40" s="24">
        <f t="shared" si="4"/>
        <v>25</v>
      </c>
      <c r="B40" s="115"/>
      <c r="C40" s="24">
        <f t="shared" si="5"/>
        <v>23</v>
      </c>
      <c r="F40" s="44">
        <f>ROUND((F$14-(F$14*F$16))*$B38,0)</f>
        <v>598883</v>
      </c>
      <c r="G40" s="44">
        <f t="shared" si="8"/>
        <v>0</v>
      </c>
      <c r="H40" s="44">
        <f t="shared" si="9"/>
        <v>0</v>
      </c>
      <c r="I40" s="44">
        <f t="shared" si="11"/>
        <v>0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>
        <f t="shared" si="10"/>
        <v>598883</v>
      </c>
      <c r="AH40" s="44"/>
      <c r="AI40" s="45"/>
      <c r="AJ40" s="44"/>
      <c r="AK40" s="44"/>
    </row>
    <row r="41" spans="1:37" x14ac:dyDescent="0.35">
      <c r="A41" s="24">
        <f t="shared" si="4"/>
        <v>26</v>
      </c>
      <c r="B41" s="115"/>
      <c r="C41" s="24">
        <f t="shared" si="5"/>
        <v>24</v>
      </c>
      <c r="F41" s="44"/>
      <c r="G41" s="44"/>
      <c r="H41" s="44">
        <f t="shared" si="9"/>
        <v>0</v>
      </c>
      <c r="I41" s="44">
        <f t="shared" si="11"/>
        <v>0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>
        <f t="shared" si="10"/>
        <v>0</v>
      </c>
      <c r="AH41" s="44">
        <f>AH40</f>
        <v>0</v>
      </c>
      <c r="AI41" s="45">
        <f>AF41+AG41-AH41</f>
        <v>0</v>
      </c>
      <c r="AJ41" s="44">
        <f>ROUND(0.2495*AH41,0)</f>
        <v>0</v>
      </c>
      <c r="AK41" s="44">
        <f>ROUND(0.2495*AI41,0)</f>
        <v>0</v>
      </c>
    </row>
    <row r="42" spans="1:37" x14ac:dyDescent="0.35">
      <c r="A42" s="24">
        <f t="shared" si="4"/>
        <v>27</v>
      </c>
      <c r="B42" s="115"/>
      <c r="C42" s="24"/>
      <c r="F42" s="44"/>
      <c r="G42" s="44"/>
      <c r="H42" s="44"/>
      <c r="I42" s="44">
        <f t="shared" si="11"/>
        <v>0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>
        <f t="shared" si="10"/>
        <v>0</v>
      </c>
      <c r="AH42" s="44"/>
      <c r="AI42" s="45"/>
      <c r="AJ42" s="44"/>
      <c r="AK42" s="44"/>
    </row>
    <row r="43" spans="1:37" x14ac:dyDescent="0.35">
      <c r="A43" s="24">
        <f t="shared" si="4"/>
        <v>28</v>
      </c>
      <c r="D43" s="45">
        <f>SUM(D18:D39)</f>
        <v>43862087</v>
      </c>
      <c r="E43" s="45">
        <f>SUM(E18:E39)-2</f>
        <v>38544364</v>
      </c>
      <c r="F43" s="45">
        <f>SUM(F18:F41)</f>
        <v>43887491</v>
      </c>
      <c r="G43" s="45">
        <f>SUM(G18:G40)</f>
        <v>0</v>
      </c>
      <c r="H43" s="45">
        <f>SUM(H18:H42)</f>
        <v>0</v>
      </c>
      <c r="I43" s="45">
        <f>SUM(I18:I42)</f>
        <v>0</v>
      </c>
      <c r="J43" s="45">
        <f t="shared" ref="J43:AE43" si="12">SUM(J18:J40)</f>
        <v>0</v>
      </c>
      <c r="K43" s="45">
        <f t="shared" si="12"/>
        <v>0</v>
      </c>
      <c r="L43" s="45">
        <f t="shared" si="12"/>
        <v>0</v>
      </c>
      <c r="M43" s="45">
        <f t="shared" si="12"/>
        <v>0</v>
      </c>
      <c r="N43" s="45">
        <f t="shared" si="12"/>
        <v>0</v>
      </c>
      <c r="O43" s="45">
        <f t="shared" si="12"/>
        <v>0</v>
      </c>
      <c r="P43" s="45">
        <f t="shared" si="12"/>
        <v>0</v>
      </c>
      <c r="Q43" s="45">
        <f t="shared" si="12"/>
        <v>0</v>
      </c>
      <c r="R43" s="45">
        <f t="shared" si="12"/>
        <v>0</v>
      </c>
      <c r="S43" s="45">
        <f t="shared" si="12"/>
        <v>0</v>
      </c>
      <c r="T43" s="45">
        <f t="shared" si="12"/>
        <v>0</v>
      </c>
      <c r="U43" s="45">
        <f t="shared" si="12"/>
        <v>0</v>
      </c>
      <c r="V43" s="45">
        <f t="shared" si="12"/>
        <v>0</v>
      </c>
      <c r="W43" s="45">
        <f t="shared" si="12"/>
        <v>0</v>
      </c>
      <c r="X43" s="45">
        <f t="shared" si="12"/>
        <v>0</v>
      </c>
      <c r="Y43" s="45">
        <f t="shared" si="12"/>
        <v>0</v>
      </c>
      <c r="Z43" s="45">
        <f t="shared" si="12"/>
        <v>0</v>
      </c>
      <c r="AA43" s="45">
        <f t="shared" si="12"/>
        <v>0</v>
      </c>
      <c r="AB43" s="45">
        <f t="shared" si="12"/>
        <v>0</v>
      </c>
      <c r="AC43" s="45">
        <f t="shared" si="12"/>
        <v>0</v>
      </c>
      <c r="AD43" s="45">
        <f t="shared" si="12"/>
        <v>0</v>
      </c>
      <c r="AE43" s="45">
        <f t="shared" si="12"/>
        <v>0</v>
      </c>
      <c r="AF43" s="45">
        <f>SUM(AF18:AF41)</f>
        <v>126293944</v>
      </c>
      <c r="AG43" s="45">
        <f>SUM(AG18:AG41)</f>
        <v>6688297.2991840001</v>
      </c>
      <c r="AH43" s="45">
        <f>SUM(AH18:AH41)</f>
        <v>4360452.8320000004</v>
      </c>
      <c r="AI43" s="44"/>
      <c r="AJ43" s="44"/>
      <c r="AK43" s="44"/>
    </row>
    <row r="44" spans="1:37" x14ac:dyDescent="0.35"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4"/>
      <c r="AG44" s="45"/>
      <c r="AH44" s="44"/>
      <c r="AI44" s="44"/>
      <c r="AJ44" s="44"/>
      <c r="AK44" s="44"/>
    </row>
    <row r="45" spans="1:37" x14ac:dyDescent="0.35">
      <c r="A45" s="25" t="s">
        <v>71</v>
      </c>
      <c r="F45" s="45"/>
      <c r="AF45" s="45"/>
      <c r="AG45" s="45"/>
      <c r="AH45" s="44"/>
      <c r="AI45" s="44"/>
      <c r="AJ45" s="116"/>
      <c r="AK45" s="116"/>
    </row>
    <row r="46" spans="1:37" x14ac:dyDescent="0.35">
      <c r="A46" s="25" t="s">
        <v>93</v>
      </c>
      <c r="AH46" s="45"/>
      <c r="AI46" s="44"/>
      <c r="AJ46" s="44"/>
      <c r="AK46" s="44"/>
    </row>
    <row r="47" spans="1:37" x14ac:dyDescent="0.35">
      <c r="A47" s="25" t="s">
        <v>297</v>
      </c>
      <c r="AH47" s="45"/>
      <c r="AI47" s="44"/>
      <c r="AJ47" s="44"/>
      <c r="AK47" s="44"/>
    </row>
    <row r="48" spans="1:37" x14ac:dyDescent="0.35">
      <c r="A48" s="25" t="s">
        <v>176</v>
      </c>
      <c r="AH48" s="45"/>
      <c r="AI48" s="44"/>
      <c r="AJ48" s="44"/>
      <c r="AK48" s="44"/>
    </row>
    <row r="49" spans="1:37" x14ac:dyDescent="0.35">
      <c r="A49" s="25"/>
      <c r="AH49" s="45"/>
      <c r="AI49" s="44"/>
      <c r="AJ49" s="44"/>
      <c r="AK49" s="44"/>
    </row>
    <row r="50" spans="1:37" x14ac:dyDescent="0.35">
      <c r="D50" s="119">
        <v>2023</v>
      </c>
      <c r="E50" s="119">
        <f>+D50+1</f>
        <v>2024</v>
      </c>
      <c r="F50" s="119">
        <f>+E50+1</f>
        <v>2025</v>
      </c>
      <c r="G50" s="119">
        <f>+F50+1</f>
        <v>2026</v>
      </c>
      <c r="H50" s="119">
        <f>+G50+1</f>
        <v>2027</v>
      </c>
      <c r="I50" s="119">
        <f>+H50+1</f>
        <v>2028</v>
      </c>
      <c r="AH50" s="45"/>
      <c r="AI50" s="44"/>
      <c r="AJ50" s="44"/>
      <c r="AK50" s="44"/>
    </row>
    <row r="51" spans="1:37" x14ac:dyDescent="0.35">
      <c r="B51" s="120" t="s">
        <v>74</v>
      </c>
      <c r="D51" s="121">
        <v>0.36280000000000001</v>
      </c>
      <c r="E51" s="121">
        <f>+D51</f>
        <v>0.36280000000000001</v>
      </c>
      <c r="F51" s="121">
        <f>+E51</f>
        <v>0.36280000000000001</v>
      </c>
      <c r="G51" s="121">
        <f>+F51</f>
        <v>0.36280000000000001</v>
      </c>
      <c r="H51" s="121">
        <f>+G51</f>
        <v>0.36280000000000001</v>
      </c>
      <c r="I51" s="121">
        <f>+H51</f>
        <v>0.36280000000000001</v>
      </c>
      <c r="AH51" s="45"/>
      <c r="AI51" s="44"/>
      <c r="AJ51" s="44"/>
      <c r="AK51" s="44"/>
    </row>
    <row r="52" spans="1:37" x14ac:dyDescent="0.35">
      <c r="B52" s="120" t="s">
        <v>75</v>
      </c>
      <c r="D52" s="121">
        <v>4.0099999999999997E-2</v>
      </c>
      <c r="E52" s="121">
        <v>4.0099999999999997E-2</v>
      </c>
      <c r="F52" s="121">
        <v>4.0099999999999997E-2</v>
      </c>
      <c r="G52" s="121">
        <v>4.0099999999999997E-2</v>
      </c>
      <c r="H52" s="121">
        <v>4.0099999999999997E-2</v>
      </c>
      <c r="I52" s="121">
        <v>4.0099999999999997E-2</v>
      </c>
      <c r="AG52" s="11"/>
    </row>
    <row r="53" spans="1:37" x14ac:dyDescent="0.35">
      <c r="D53" s="122">
        <f>(1-D51)*D52</f>
        <v>2.5551719999999997E-2</v>
      </c>
      <c r="E53" s="122">
        <f>(1-E51)*E52</f>
        <v>2.5551719999999997E-2</v>
      </c>
      <c r="F53" s="122">
        <f t="shared" ref="F53:AE53" si="13">(1-F51)*F52</f>
        <v>2.5551719999999997E-2</v>
      </c>
      <c r="G53" s="122">
        <f t="shared" si="13"/>
        <v>2.5551719999999997E-2</v>
      </c>
      <c r="H53" s="122">
        <f>(1-H51)*H52</f>
        <v>2.5551719999999997E-2</v>
      </c>
      <c r="I53" s="122">
        <f>(1-I51)*I52</f>
        <v>2.5551719999999997E-2</v>
      </c>
      <c r="J53" s="122">
        <f t="shared" si="13"/>
        <v>0</v>
      </c>
      <c r="K53" s="122">
        <f t="shared" si="13"/>
        <v>0</v>
      </c>
      <c r="L53" s="122">
        <f t="shared" si="13"/>
        <v>0</v>
      </c>
      <c r="M53" s="122">
        <f t="shared" si="13"/>
        <v>0</v>
      </c>
      <c r="N53" s="122">
        <f t="shared" si="13"/>
        <v>0</v>
      </c>
      <c r="O53" s="122">
        <f t="shared" si="13"/>
        <v>0</v>
      </c>
      <c r="P53" s="122">
        <f t="shared" si="13"/>
        <v>0</v>
      </c>
      <c r="Q53" s="122">
        <f t="shared" si="13"/>
        <v>0</v>
      </c>
      <c r="R53" s="122">
        <f t="shared" si="13"/>
        <v>0</v>
      </c>
      <c r="S53" s="122">
        <f t="shared" si="13"/>
        <v>0</v>
      </c>
      <c r="T53" s="122">
        <f t="shared" si="13"/>
        <v>0</v>
      </c>
      <c r="U53" s="122">
        <f t="shared" si="13"/>
        <v>0</v>
      </c>
      <c r="V53" s="122">
        <f t="shared" si="13"/>
        <v>0</v>
      </c>
      <c r="W53" s="122">
        <f t="shared" si="13"/>
        <v>0</v>
      </c>
      <c r="X53" s="122">
        <f t="shared" si="13"/>
        <v>0</v>
      </c>
      <c r="Y53" s="122">
        <f t="shared" si="13"/>
        <v>0</v>
      </c>
      <c r="Z53" s="122">
        <f t="shared" si="13"/>
        <v>0</v>
      </c>
      <c r="AA53" s="122">
        <f t="shared" si="13"/>
        <v>0</v>
      </c>
      <c r="AB53" s="122">
        <f t="shared" si="13"/>
        <v>0</v>
      </c>
      <c r="AC53" s="122">
        <f t="shared" si="13"/>
        <v>0</v>
      </c>
      <c r="AD53" s="122">
        <f t="shared" si="13"/>
        <v>0</v>
      </c>
      <c r="AE53" s="122">
        <f t="shared" si="13"/>
        <v>0</v>
      </c>
      <c r="AJ53" s="24"/>
      <c r="AK53" s="24"/>
    </row>
    <row r="54" spans="1:37" x14ac:dyDescent="0.35">
      <c r="B54" s="120" t="s">
        <v>99</v>
      </c>
      <c r="D54" s="122">
        <v>0</v>
      </c>
      <c r="E54" s="122">
        <f>+D54</f>
        <v>0</v>
      </c>
      <c r="F54" s="122">
        <f>(1-F51-F53)*0</f>
        <v>0</v>
      </c>
      <c r="G54" s="122">
        <f>(1-G51-G53)*0</f>
        <v>0</v>
      </c>
      <c r="H54" s="122">
        <f>(1-H51-H53)*0</f>
        <v>0</v>
      </c>
      <c r="I54" s="122">
        <f>(1-I51-I53)*0</f>
        <v>0</v>
      </c>
      <c r="AG54" s="24"/>
      <c r="AH54" s="24"/>
      <c r="AI54" s="24"/>
      <c r="AJ54" s="24"/>
      <c r="AK54" s="24"/>
    </row>
    <row r="55" spans="1:37" x14ac:dyDescent="0.35">
      <c r="B55" s="123"/>
      <c r="D55" s="122">
        <f t="shared" ref="D55:I55" si="14">D51+D53</f>
        <v>0.38835172000000001</v>
      </c>
      <c r="E55" s="122">
        <f t="shared" si="14"/>
        <v>0.38835172000000001</v>
      </c>
      <c r="F55" s="122">
        <f t="shared" si="14"/>
        <v>0.38835172000000001</v>
      </c>
      <c r="G55" s="122">
        <f t="shared" si="14"/>
        <v>0.38835172000000001</v>
      </c>
      <c r="H55" s="122">
        <f t="shared" si="14"/>
        <v>0.38835172000000001</v>
      </c>
      <c r="I55" s="122">
        <f t="shared" si="14"/>
        <v>0.38835172000000001</v>
      </c>
      <c r="AG55" s="124"/>
      <c r="AH55" s="124"/>
      <c r="AI55" s="124"/>
      <c r="AJ55" s="124"/>
      <c r="AK55" s="124"/>
    </row>
    <row r="56" spans="1:37" x14ac:dyDescent="0.35">
      <c r="D56" s="117"/>
      <c r="E56" s="117"/>
      <c r="F56" s="117"/>
      <c r="AH56" s="44"/>
      <c r="AI56" s="45"/>
      <c r="AJ56" s="44"/>
      <c r="AK56" s="44"/>
    </row>
    <row r="57" spans="1:37" x14ac:dyDescent="0.35">
      <c r="D57" s="117"/>
      <c r="E57" s="117"/>
      <c r="F57" s="117"/>
      <c r="AH57" s="44"/>
      <c r="AI57" s="45"/>
      <c r="AJ57" s="44"/>
      <c r="AK57" s="44"/>
    </row>
    <row r="58" spans="1:37" x14ac:dyDescent="0.35">
      <c r="AH58" s="44"/>
      <c r="AI58" s="45"/>
      <c r="AJ58" s="44"/>
      <c r="AK58" s="44"/>
    </row>
    <row r="59" spans="1:37" x14ac:dyDescent="0.35">
      <c r="AH59" s="44"/>
      <c r="AI59" s="45"/>
      <c r="AJ59" s="44"/>
      <c r="AK59" s="44"/>
    </row>
    <row r="60" spans="1:37" x14ac:dyDescent="0.35">
      <c r="AH60" s="44"/>
      <c r="AI60" s="45"/>
      <c r="AJ60" s="44"/>
      <c r="AK60" s="44"/>
    </row>
    <row r="61" spans="1:37" x14ac:dyDescent="0.35">
      <c r="AH61" s="44"/>
      <c r="AI61" s="45"/>
      <c r="AJ61" s="44"/>
      <c r="AK61" s="44"/>
    </row>
    <row r="62" spans="1:37" x14ac:dyDescent="0.35">
      <c r="AF62" s="45"/>
      <c r="AH62" s="44"/>
      <c r="AI62" s="45"/>
      <c r="AJ62" s="44"/>
      <c r="AK62" s="44"/>
    </row>
    <row r="63" spans="1:37" x14ac:dyDescent="0.35">
      <c r="AF63" s="45"/>
      <c r="AH63" s="44"/>
      <c r="AI63" s="45"/>
      <c r="AJ63" s="44"/>
      <c r="AK63" s="44"/>
    </row>
    <row r="64" spans="1:37" x14ac:dyDescent="0.35">
      <c r="AF64" s="45"/>
      <c r="AH64" s="44"/>
      <c r="AI64" s="45"/>
      <c r="AJ64" s="44"/>
      <c r="AK64" s="44"/>
    </row>
    <row r="65" spans="7:37" x14ac:dyDescent="0.35">
      <c r="AF65" s="45"/>
      <c r="AH65" s="44"/>
      <c r="AI65" s="45"/>
      <c r="AJ65" s="44"/>
      <c r="AK65" s="44"/>
    </row>
    <row r="66" spans="7:37" x14ac:dyDescent="0.35">
      <c r="G66" s="44"/>
      <c r="AF66" s="45"/>
      <c r="AH66" s="44"/>
      <c r="AI66" s="45"/>
      <c r="AJ66" s="44"/>
      <c r="AK66" s="44"/>
    </row>
    <row r="67" spans="7:37" x14ac:dyDescent="0.35">
      <c r="G67" s="44"/>
      <c r="H67" s="44"/>
      <c r="AF67" s="45"/>
      <c r="AH67" s="44"/>
      <c r="AI67" s="45"/>
      <c r="AJ67" s="44"/>
      <c r="AK67" s="44"/>
    </row>
    <row r="68" spans="7:37" x14ac:dyDescent="0.35">
      <c r="G68" s="44"/>
      <c r="H68" s="44"/>
      <c r="I68" s="44"/>
      <c r="AF68" s="45"/>
      <c r="AH68" s="44"/>
      <c r="AI68" s="45"/>
      <c r="AJ68" s="44"/>
      <c r="AK68" s="44"/>
    </row>
    <row r="69" spans="7:37" x14ac:dyDescent="0.35">
      <c r="G69" s="44"/>
      <c r="H69" s="44"/>
      <c r="I69" s="44"/>
      <c r="J69" s="44"/>
      <c r="AF69" s="45"/>
      <c r="AH69" s="44"/>
      <c r="AI69" s="45"/>
      <c r="AJ69" s="44"/>
      <c r="AK69" s="44"/>
    </row>
    <row r="70" spans="7:37" x14ac:dyDescent="0.35">
      <c r="G70" s="44"/>
      <c r="H70" s="44"/>
      <c r="I70" s="44"/>
      <c r="J70" s="44"/>
      <c r="K70" s="44"/>
      <c r="AF70" s="45"/>
      <c r="AH70" s="44"/>
      <c r="AI70" s="45"/>
      <c r="AJ70" s="44"/>
      <c r="AK70" s="44"/>
    </row>
    <row r="71" spans="7:37" x14ac:dyDescent="0.35"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5"/>
      <c r="AH71" s="44"/>
      <c r="AI71" s="45"/>
      <c r="AJ71" s="44"/>
      <c r="AK71" s="44"/>
    </row>
    <row r="72" spans="7:37" x14ac:dyDescent="0.35"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5"/>
      <c r="AH72" s="44"/>
      <c r="AI72" s="45"/>
      <c r="AJ72" s="44"/>
      <c r="AK72" s="44"/>
    </row>
    <row r="73" spans="7:37" x14ac:dyDescent="0.35"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5"/>
      <c r="AH73" s="44"/>
      <c r="AI73" s="45"/>
      <c r="AJ73" s="44"/>
      <c r="AK73" s="44"/>
    </row>
    <row r="74" spans="7:37" x14ac:dyDescent="0.35"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5"/>
      <c r="AH74" s="44"/>
      <c r="AI74" s="45"/>
      <c r="AJ74" s="44"/>
      <c r="AK74" s="44"/>
    </row>
    <row r="75" spans="7:37" x14ac:dyDescent="0.35"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H75" s="44"/>
      <c r="AI75" s="45"/>
      <c r="AJ75" s="44"/>
      <c r="AK75" s="44"/>
    </row>
    <row r="76" spans="7:37" x14ac:dyDescent="0.35"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H76" s="44"/>
      <c r="AI76" s="45"/>
      <c r="AJ76" s="44"/>
      <c r="AK76" s="44"/>
    </row>
    <row r="77" spans="7:37" x14ac:dyDescent="0.35"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H77" s="45"/>
      <c r="AI77" s="45"/>
      <c r="AJ77" s="45"/>
      <c r="AK77" s="45"/>
    </row>
    <row r="78" spans="7:37" x14ac:dyDescent="0.35"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</row>
    <row r="79" spans="7:37" x14ac:dyDescent="0.35"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</row>
    <row r="80" spans="7:37" x14ac:dyDescent="0.35"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G80" s="11"/>
    </row>
    <row r="81" spans="33:37" x14ac:dyDescent="0.35">
      <c r="AJ81" s="24"/>
      <c r="AK81" s="24"/>
    </row>
    <row r="82" spans="33:37" x14ac:dyDescent="0.35">
      <c r="AG82" s="24"/>
      <c r="AH82" s="24"/>
      <c r="AI82" s="24"/>
      <c r="AJ82" s="24"/>
      <c r="AK82" s="24"/>
    </row>
    <row r="83" spans="33:37" x14ac:dyDescent="0.35">
      <c r="AG83" s="124"/>
      <c r="AH83" s="124"/>
      <c r="AI83" s="124"/>
      <c r="AJ83" s="124"/>
      <c r="AK83" s="124"/>
    </row>
    <row r="84" spans="33:37" x14ac:dyDescent="0.35">
      <c r="AH84" s="44"/>
      <c r="AI84" s="45"/>
      <c r="AJ84" s="44"/>
      <c r="AK84" s="44"/>
    </row>
    <row r="85" spans="33:37" x14ac:dyDescent="0.35">
      <c r="AH85" s="44"/>
      <c r="AI85" s="45"/>
      <c r="AJ85" s="44"/>
      <c r="AK85" s="44"/>
    </row>
    <row r="86" spans="33:37" x14ac:dyDescent="0.35">
      <c r="AH86" s="44"/>
      <c r="AI86" s="45"/>
      <c r="AJ86" s="44"/>
      <c r="AK86" s="44"/>
    </row>
    <row r="87" spans="33:37" x14ac:dyDescent="0.35">
      <c r="AH87" s="44"/>
      <c r="AI87" s="45"/>
      <c r="AJ87" s="44"/>
      <c r="AK87" s="44"/>
    </row>
    <row r="88" spans="33:37" x14ac:dyDescent="0.35">
      <c r="AH88" s="44"/>
      <c r="AI88" s="45"/>
      <c r="AJ88" s="44"/>
      <c r="AK88" s="44"/>
    </row>
    <row r="89" spans="33:37" x14ac:dyDescent="0.35">
      <c r="AH89" s="44"/>
      <c r="AI89" s="45"/>
      <c r="AJ89" s="44"/>
      <c r="AK89" s="44"/>
    </row>
    <row r="90" spans="33:37" x14ac:dyDescent="0.35">
      <c r="AH90" s="44"/>
      <c r="AI90" s="45"/>
      <c r="AJ90" s="44"/>
      <c r="AK90" s="44"/>
    </row>
    <row r="91" spans="33:37" x14ac:dyDescent="0.35">
      <c r="AH91" s="44"/>
      <c r="AI91" s="45"/>
      <c r="AJ91" s="44"/>
      <c r="AK91" s="44"/>
    </row>
    <row r="92" spans="33:37" x14ac:dyDescent="0.35">
      <c r="AH92" s="44"/>
      <c r="AI92" s="45"/>
      <c r="AJ92" s="44"/>
      <c r="AK92" s="44"/>
    </row>
    <row r="93" spans="33:37" x14ac:dyDescent="0.35">
      <c r="AH93" s="44"/>
      <c r="AI93" s="45"/>
      <c r="AJ93" s="44"/>
      <c r="AK93" s="44"/>
    </row>
    <row r="94" spans="33:37" x14ac:dyDescent="0.35">
      <c r="AH94" s="44"/>
      <c r="AI94" s="45"/>
      <c r="AJ94" s="44"/>
      <c r="AK94" s="44"/>
    </row>
    <row r="95" spans="33:37" x14ac:dyDescent="0.35">
      <c r="AH95" s="44"/>
      <c r="AI95" s="45"/>
      <c r="AJ95" s="44"/>
      <c r="AK95" s="44"/>
    </row>
    <row r="96" spans="33:37" x14ac:dyDescent="0.35">
      <c r="AH96" s="44"/>
      <c r="AI96" s="45"/>
      <c r="AJ96" s="44"/>
      <c r="AK96" s="44"/>
    </row>
    <row r="97" spans="34:37" x14ac:dyDescent="0.35">
      <c r="AH97" s="44"/>
      <c r="AI97" s="45"/>
      <c r="AJ97" s="44"/>
      <c r="AK97" s="44"/>
    </row>
    <row r="98" spans="34:37" x14ac:dyDescent="0.35">
      <c r="AH98" s="44"/>
      <c r="AI98" s="45"/>
      <c r="AJ98" s="44"/>
      <c r="AK98" s="44"/>
    </row>
    <row r="99" spans="34:37" x14ac:dyDescent="0.35">
      <c r="AH99" s="44"/>
      <c r="AI99" s="45"/>
      <c r="AJ99" s="44"/>
      <c r="AK99" s="44"/>
    </row>
    <row r="100" spans="34:37" x14ac:dyDescent="0.35">
      <c r="AH100" s="44"/>
      <c r="AI100" s="45"/>
      <c r="AJ100" s="44"/>
      <c r="AK100" s="44"/>
    </row>
    <row r="101" spans="34:37" x14ac:dyDescent="0.35">
      <c r="AH101" s="44"/>
      <c r="AI101" s="45"/>
      <c r="AJ101" s="44"/>
      <c r="AK101" s="44"/>
    </row>
    <row r="102" spans="34:37" x14ac:dyDescent="0.35">
      <c r="AH102" s="44"/>
      <c r="AI102" s="45"/>
      <c r="AJ102" s="44"/>
      <c r="AK102" s="44"/>
    </row>
    <row r="103" spans="34:37" x14ac:dyDescent="0.35">
      <c r="AH103" s="44"/>
      <c r="AI103" s="45"/>
      <c r="AJ103" s="44"/>
      <c r="AK103" s="44"/>
    </row>
    <row r="104" spans="34:37" x14ac:dyDescent="0.35">
      <c r="AH104" s="44"/>
      <c r="AI104" s="45"/>
      <c r="AJ104" s="44"/>
      <c r="AK104" s="44"/>
    </row>
    <row r="105" spans="34:37" x14ac:dyDescent="0.35">
      <c r="AH105" s="45"/>
      <c r="AI105" s="45"/>
      <c r="AJ105" s="45"/>
      <c r="AK105" s="45"/>
    </row>
  </sheetData>
  <mergeCells count="4">
    <mergeCell ref="A4:AK4"/>
    <mergeCell ref="A5:AK5"/>
    <mergeCell ref="A6:AK6"/>
    <mergeCell ref="D15:AG15"/>
  </mergeCells>
  <printOptions horizontalCentered="1"/>
  <pageMargins left="0" right="0" top="0.5" bottom="0" header="0.5" footer="0.5"/>
  <pageSetup scale="6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8427B-9A08-4008-BA3A-7D6B1C0532C7}">
  <sheetPr codeName="Sheet8">
    <pageSetUpPr fitToPage="1"/>
  </sheetPr>
  <dimension ref="A1:AK105"/>
  <sheetViews>
    <sheetView topLeftCell="A10" zoomScale="90" zoomScaleNormal="90" zoomScaleSheetLayoutView="118" workbookViewId="0">
      <selection activeCell="AJ10" sqref="AJ10"/>
    </sheetView>
  </sheetViews>
  <sheetFormatPr defaultColWidth="9.1796875" defaultRowHeight="15.5" x14ac:dyDescent="0.35"/>
  <cols>
    <col min="1" max="1" width="5" style="24" customWidth="1"/>
    <col min="2" max="2" width="17.1796875" style="8" customWidth="1"/>
    <col min="3" max="3" width="5.81640625" style="8" customWidth="1"/>
    <col min="4" max="4" width="13.1796875" style="8" bestFit="1" customWidth="1"/>
    <col min="5" max="5" width="12.81640625" style="8" bestFit="1" customWidth="1"/>
    <col min="6" max="6" width="11" style="8" customWidth="1"/>
    <col min="7" max="7" width="12" style="8" customWidth="1"/>
    <col min="8" max="8" width="12.1796875" style="8" customWidth="1"/>
    <col min="9" max="9" width="11.1796875" style="8" customWidth="1"/>
    <col min="10" max="10" width="11" style="8" hidden="1" customWidth="1"/>
    <col min="11" max="11" width="11.1796875" style="8" hidden="1" customWidth="1"/>
    <col min="12" max="31" width="12.81640625" style="8" hidden="1" customWidth="1"/>
    <col min="32" max="32" width="15.54296875" style="8" bestFit="1" customWidth="1"/>
    <col min="33" max="33" width="11" style="8" bestFit="1" customWidth="1"/>
    <col min="34" max="34" width="15.54296875" style="8" bestFit="1" customWidth="1"/>
    <col min="35" max="35" width="12.54296875" style="8" customWidth="1"/>
    <col min="36" max="36" width="12.54296875" style="8" bestFit="1" customWidth="1"/>
    <col min="37" max="37" width="15.453125" style="8" customWidth="1"/>
    <col min="38" max="16384" width="9.1796875" style="8"/>
  </cols>
  <sheetData>
    <row r="1" spans="1:37" x14ac:dyDescent="0.35">
      <c r="B1" s="11"/>
      <c r="S1" s="9"/>
      <c r="AK1" s="9" t="str">
        <f>+'6.1 ADIT Calcluated p.2'!AK1</f>
        <v>Case No. 2024-00328</v>
      </c>
    </row>
    <row r="2" spans="1:37" x14ac:dyDescent="0.35">
      <c r="B2" s="11"/>
      <c r="S2" s="9"/>
      <c r="AK2" s="9" t="str">
        <f>+'6.1 ADIT Calcluated p.2'!AK2</f>
        <v>SMRP Form 6.1</v>
      </c>
    </row>
    <row r="3" spans="1:37" x14ac:dyDescent="0.35">
      <c r="H3" s="9"/>
      <c r="R3" s="105"/>
      <c r="S3" s="105"/>
      <c r="AK3" s="9" t="s">
        <v>211</v>
      </c>
    </row>
    <row r="4" spans="1:37" x14ac:dyDescent="0.35">
      <c r="A4" s="138" t="s">
        <v>12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</row>
    <row r="5" spans="1:37" x14ac:dyDescent="0.35">
      <c r="A5" s="138" t="s">
        <v>76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</row>
    <row r="6" spans="1:37" ht="17.5" x14ac:dyDescent="0.35">
      <c r="A6" s="138" t="s">
        <v>272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</row>
    <row r="7" spans="1:37" x14ac:dyDescent="0.35">
      <c r="B7" s="13"/>
    </row>
    <row r="8" spans="1:37" x14ac:dyDescent="0.35">
      <c r="I8" s="10"/>
      <c r="J8" s="10">
        <v>2022</v>
      </c>
      <c r="K8" s="10">
        <f t="shared" ref="K8:AE8" si="0">+J8+1</f>
        <v>2023</v>
      </c>
      <c r="L8" s="10">
        <f t="shared" si="0"/>
        <v>2024</v>
      </c>
      <c r="M8" s="10">
        <f t="shared" si="0"/>
        <v>2025</v>
      </c>
      <c r="N8" s="10">
        <f t="shared" si="0"/>
        <v>2026</v>
      </c>
      <c r="O8" s="10">
        <f t="shared" si="0"/>
        <v>2027</v>
      </c>
      <c r="P8" s="10">
        <f t="shared" si="0"/>
        <v>2028</v>
      </c>
      <c r="Q8" s="10">
        <f t="shared" si="0"/>
        <v>2029</v>
      </c>
      <c r="R8" s="10">
        <f>+Q8+1</f>
        <v>2030</v>
      </c>
      <c r="S8" s="10">
        <f t="shared" si="0"/>
        <v>2031</v>
      </c>
      <c r="T8" s="10">
        <f t="shared" si="0"/>
        <v>2032</v>
      </c>
      <c r="U8" s="10">
        <f t="shared" si="0"/>
        <v>2033</v>
      </c>
      <c r="V8" s="10">
        <f t="shared" si="0"/>
        <v>2034</v>
      </c>
      <c r="W8" s="10">
        <f t="shared" si="0"/>
        <v>2035</v>
      </c>
      <c r="X8" s="10">
        <f t="shared" si="0"/>
        <v>2036</v>
      </c>
      <c r="Y8" s="10">
        <f t="shared" si="0"/>
        <v>2037</v>
      </c>
      <c r="Z8" s="10">
        <f t="shared" si="0"/>
        <v>2038</v>
      </c>
      <c r="AA8" s="10">
        <f t="shared" si="0"/>
        <v>2039</v>
      </c>
      <c r="AB8" s="10">
        <f t="shared" si="0"/>
        <v>2040</v>
      </c>
      <c r="AC8" s="10">
        <f t="shared" si="0"/>
        <v>2041</v>
      </c>
      <c r="AD8" s="10">
        <f t="shared" si="0"/>
        <v>2042</v>
      </c>
      <c r="AE8" s="10">
        <f t="shared" si="0"/>
        <v>2043</v>
      </c>
      <c r="AF8" s="10" t="s">
        <v>14</v>
      </c>
      <c r="AG8" s="10"/>
      <c r="AI8" s="10"/>
      <c r="AJ8" s="10" t="s">
        <v>47</v>
      </c>
      <c r="AK8" s="10" t="s">
        <v>16</v>
      </c>
    </row>
    <row r="9" spans="1:37" x14ac:dyDescent="0.35">
      <c r="A9" s="10" t="s">
        <v>1</v>
      </c>
      <c r="B9" s="10" t="s">
        <v>73</v>
      </c>
      <c r="D9" s="10">
        <f>+'6.1 ADIT Calcluated p.2'!D9</f>
        <v>2023</v>
      </c>
      <c r="E9" s="10">
        <f>+'6.1 ADIT Calcluated p.2'!E9</f>
        <v>2024</v>
      </c>
      <c r="F9" s="10">
        <f>+'6.1 ADIT Calcluated p.2'!F9</f>
        <v>2025</v>
      </c>
      <c r="G9" s="10">
        <f>+'6.1 ADIT Calcluated p.2'!G9</f>
        <v>2026</v>
      </c>
      <c r="H9" s="10">
        <f>+'6.1 ADIT Calcluated p.2'!H9</f>
        <v>2027</v>
      </c>
      <c r="I9" s="10">
        <f>+'6.1 ADIT Calcluated p.2'!I9</f>
        <v>2028</v>
      </c>
      <c r="J9" s="10" t="s">
        <v>17</v>
      </c>
      <c r="K9" s="10" t="s">
        <v>18</v>
      </c>
      <c r="L9" s="10" t="s">
        <v>26</v>
      </c>
      <c r="M9" s="10" t="s">
        <v>27</v>
      </c>
      <c r="N9" s="10" t="s">
        <v>28</v>
      </c>
      <c r="O9" s="10" t="s">
        <v>29</v>
      </c>
      <c r="P9" s="10" t="s">
        <v>30</v>
      </c>
      <c r="Q9" s="10" t="s">
        <v>31</v>
      </c>
      <c r="R9" s="10" t="s">
        <v>32</v>
      </c>
      <c r="S9" s="10" t="s">
        <v>33</v>
      </c>
      <c r="T9" s="10" t="s">
        <v>34</v>
      </c>
      <c r="U9" s="10" t="s">
        <v>35</v>
      </c>
      <c r="V9" s="10" t="s">
        <v>37</v>
      </c>
      <c r="W9" s="10" t="s">
        <v>38</v>
      </c>
      <c r="X9" s="10" t="s">
        <v>39</v>
      </c>
      <c r="Y9" s="10" t="s">
        <v>40</v>
      </c>
      <c r="Z9" s="10" t="s">
        <v>41</v>
      </c>
      <c r="AA9" s="10" t="s">
        <v>42</v>
      </c>
      <c r="AB9" s="10" t="s">
        <v>43</v>
      </c>
      <c r="AC9" s="10" t="s">
        <v>44</v>
      </c>
      <c r="AD9" s="10" t="s">
        <v>45</v>
      </c>
      <c r="AE9" s="10" t="s">
        <v>46</v>
      </c>
      <c r="AF9" s="10" t="s">
        <v>19</v>
      </c>
      <c r="AG9" s="10" t="s">
        <v>69</v>
      </c>
      <c r="AH9" s="10" t="s">
        <v>15</v>
      </c>
      <c r="AI9" s="10"/>
      <c r="AJ9" s="10" t="s">
        <v>20</v>
      </c>
      <c r="AK9" s="10" t="s">
        <v>21</v>
      </c>
    </row>
    <row r="10" spans="1:37" ht="20" x14ac:dyDescent="0.8">
      <c r="A10" s="13" t="s">
        <v>2</v>
      </c>
      <c r="B10" s="106" t="s">
        <v>72</v>
      </c>
      <c r="C10" s="13" t="s">
        <v>0</v>
      </c>
      <c r="D10" s="13" t="s">
        <v>22</v>
      </c>
      <c r="E10" s="13" t="s">
        <v>22</v>
      </c>
      <c r="F10" s="13" t="s">
        <v>22</v>
      </c>
      <c r="G10" s="13" t="s">
        <v>22</v>
      </c>
      <c r="H10" s="13" t="s">
        <v>22</v>
      </c>
      <c r="I10" s="13" t="s">
        <v>22</v>
      </c>
      <c r="J10" s="13" t="s">
        <v>22</v>
      </c>
      <c r="K10" s="13" t="s">
        <v>22</v>
      </c>
      <c r="L10" s="13" t="s">
        <v>22</v>
      </c>
      <c r="M10" s="13" t="s">
        <v>22</v>
      </c>
      <c r="N10" s="13" t="s">
        <v>22</v>
      </c>
      <c r="O10" s="13" t="s">
        <v>22</v>
      </c>
      <c r="P10" s="13" t="s">
        <v>22</v>
      </c>
      <c r="Q10" s="13" t="s">
        <v>22</v>
      </c>
      <c r="R10" s="13" t="s">
        <v>22</v>
      </c>
      <c r="S10" s="13" t="s">
        <v>22</v>
      </c>
      <c r="T10" s="13" t="s">
        <v>22</v>
      </c>
      <c r="U10" s="13" t="s">
        <v>22</v>
      </c>
      <c r="V10" s="13" t="s">
        <v>22</v>
      </c>
      <c r="W10" s="13" t="s">
        <v>22</v>
      </c>
      <c r="X10" s="13" t="s">
        <v>22</v>
      </c>
      <c r="Y10" s="13" t="s">
        <v>22</v>
      </c>
      <c r="Z10" s="13" t="s">
        <v>22</v>
      </c>
      <c r="AA10" s="13" t="s">
        <v>22</v>
      </c>
      <c r="AB10" s="13" t="s">
        <v>22</v>
      </c>
      <c r="AC10" s="13" t="s">
        <v>22</v>
      </c>
      <c r="AD10" s="13" t="s">
        <v>22</v>
      </c>
      <c r="AE10" s="13" t="s">
        <v>22</v>
      </c>
      <c r="AF10" s="13" t="s">
        <v>23</v>
      </c>
      <c r="AG10" s="13" t="s">
        <v>70</v>
      </c>
      <c r="AH10" s="13" t="s">
        <v>23</v>
      </c>
      <c r="AI10" s="13" t="s">
        <v>24</v>
      </c>
      <c r="AJ10" s="118" t="s">
        <v>100</v>
      </c>
      <c r="AK10" s="13" t="s">
        <v>25</v>
      </c>
    </row>
    <row r="11" spans="1:37" x14ac:dyDescent="0.35">
      <c r="A11" s="13"/>
      <c r="B11" s="108" t="s">
        <v>221</v>
      </c>
      <c r="C11" s="10" t="s">
        <v>222</v>
      </c>
      <c r="D11" s="108" t="s">
        <v>223</v>
      </c>
      <c r="E11" s="108" t="s">
        <v>224</v>
      </c>
      <c r="F11" s="108" t="s">
        <v>225</v>
      </c>
      <c r="G11" s="108" t="s">
        <v>226</v>
      </c>
      <c r="H11" s="108" t="s">
        <v>227</v>
      </c>
      <c r="I11" s="108" t="s">
        <v>228</v>
      </c>
      <c r="J11" s="108" t="e">
        <f t="shared" ref="J11:AE11" si="1">+I11-1</f>
        <v>#VALUE!</v>
      </c>
      <c r="K11" s="108" t="e">
        <f t="shared" si="1"/>
        <v>#VALUE!</v>
      </c>
      <c r="L11" s="108" t="e">
        <f t="shared" si="1"/>
        <v>#VALUE!</v>
      </c>
      <c r="M11" s="108" t="e">
        <f t="shared" si="1"/>
        <v>#VALUE!</v>
      </c>
      <c r="N11" s="108" t="e">
        <f t="shared" si="1"/>
        <v>#VALUE!</v>
      </c>
      <c r="O11" s="108" t="e">
        <f t="shared" si="1"/>
        <v>#VALUE!</v>
      </c>
      <c r="P11" s="108" t="e">
        <f t="shared" si="1"/>
        <v>#VALUE!</v>
      </c>
      <c r="Q11" s="108" t="e">
        <f t="shared" si="1"/>
        <v>#VALUE!</v>
      </c>
      <c r="R11" s="108" t="e">
        <f>+Q11-1</f>
        <v>#VALUE!</v>
      </c>
      <c r="S11" s="108" t="e">
        <f t="shared" si="1"/>
        <v>#VALUE!</v>
      </c>
      <c r="T11" s="108" t="e">
        <f t="shared" si="1"/>
        <v>#VALUE!</v>
      </c>
      <c r="U11" s="108" t="e">
        <f t="shared" si="1"/>
        <v>#VALUE!</v>
      </c>
      <c r="V11" s="108" t="e">
        <f t="shared" si="1"/>
        <v>#VALUE!</v>
      </c>
      <c r="W11" s="108" t="e">
        <f t="shared" si="1"/>
        <v>#VALUE!</v>
      </c>
      <c r="X11" s="108" t="e">
        <f t="shared" si="1"/>
        <v>#VALUE!</v>
      </c>
      <c r="Y11" s="108" t="e">
        <f t="shared" si="1"/>
        <v>#VALUE!</v>
      </c>
      <c r="Z11" s="108" t="e">
        <f t="shared" si="1"/>
        <v>#VALUE!</v>
      </c>
      <c r="AA11" s="108" t="e">
        <f t="shared" si="1"/>
        <v>#VALUE!</v>
      </c>
      <c r="AB11" s="108" t="e">
        <f t="shared" si="1"/>
        <v>#VALUE!</v>
      </c>
      <c r="AC11" s="108" t="e">
        <f t="shared" si="1"/>
        <v>#VALUE!</v>
      </c>
      <c r="AD11" s="108" t="e">
        <f t="shared" si="1"/>
        <v>#VALUE!</v>
      </c>
      <c r="AE11" s="108" t="e">
        <f t="shared" si="1"/>
        <v>#VALUE!</v>
      </c>
      <c r="AF11" s="108" t="s">
        <v>229</v>
      </c>
      <c r="AG11" s="108" t="s">
        <v>230</v>
      </c>
      <c r="AH11" s="108" t="s">
        <v>231</v>
      </c>
      <c r="AI11" s="108" t="s">
        <v>232</v>
      </c>
      <c r="AJ11" s="108" t="s">
        <v>233</v>
      </c>
      <c r="AK11" s="108" t="s">
        <v>234</v>
      </c>
    </row>
    <row r="12" spans="1:37" x14ac:dyDescent="0.35">
      <c r="A12" s="13"/>
      <c r="B12" s="80"/>
      <c r="C12" s="10"/>
      <c r="D12" s="109" t="s">
        <v>13</v>
      </c>
      <c r="E12" s="109" t="s">
        <v>13</v>
      </c>
      <c r="F12" s="109" t="s">
        <v>13</v>
      </c>
      <c r="G12" s="109" t="s">
        <v>13</v>
      </c>
      <c r="H12" s="109" t="s">
        <v>13</v>
      </c>
      <c r="I12" s="109" t="s">
        <v>13</v>
      </c>
      <c r="J12" s="109" t="s">
        <v>13</v>
      </c>
      <c r="K12" s="109" t="s">
        <v>13</v>
      </c>
      <c r="L12" s="109" t="s">
        <v>13</v>
      </c>
      <c r="M12" s="109" t="s">
        <v>13</v>
      </c>
      <c r="N12" s="109" t="s">
        <v>13</v>
      </c>
      <c r="O12" s="109" t="s">
        <v>13</v>
      </c>
      <c r="P12" s="109" t="s">
        <v>13</v>
      </c>
      <c r="Q12" s="109" t="s">
        <v>13</v>
      </c>
      <c r="R12" s="109" t="s">
        <v>13</v>
      </c>
      <c r="S12" s="109" t="s">
        <v>13</v>
      </c>
      <c r="T12" s="109" t="s">
        <v>13</v>
      </c>
      <c r="U12" s="109" t="s">
        <v>13</v>
      </c>
      <c r="V12" s="109" t="s">
        <v>13</v>
      </c>
      <c r="W12" s="109" t="s">
        <v>13</v>
      </c>
      <c r="X12" s="109" t="s">
        <v>13</v>
      </c>
      <c r="Y12" s="109" t="s">
        <v>13</v>
      </c>
      <c r="Z12" s="109" t="s">
        <v>13</v>
      </c>
      <c r="AA12" s="109" t="s">
        <v>13</v>
      </c>
      <c r="AB12" s="109" t="s">
        <v>13</v>
      </c>
      <c r="AC12" s="109" t="s">
        <v>13</v>
      </c>
      <c r="AD12" s="109" t="s">
        <v>13</v>
      </c>
      <c r="AE12" s="109" t="s">
        <v>13</v>
      </c>
      <c r="AF12" s="109" t="s">
        <v>13</v>
      </c>
      <c r="AG12" s="10" t="s">
        <v>13</v>
      </c>
      <c r="AH12" s="109" t="s">
        <v>13</v>
      </c>
      <c r="AI12" s="109" t="s">
        <v>13</v>
      </c>
      <c r="AJ12" s="109" t="s">
        <v>13</v>
      </c>
      <c r="AK12" s="109" t="s">
        <v>13</v>
      </c>
    </row>
    <row r="13" spans="1:37" x14ac:dyDescent="0.35">
      <c r="A13" s="13"/>
      <c r="B13" s="110"/>
      <c r="C13" s="111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37" ht="17" x14ac:dyDescent="0.5">
      <c r="A14" s="24">
        <v>1</v>
      </c>
      <c r="B14" s="8" t="s">
        <v>96</v>
      </c>
      <c r="C14" s="111"/>
      <c r="D14" s="113">
        <f>+'5.0 Depr Expense'!Q23+'5.0 Depr Expense'!Q43+'5.0 Depr Expense'!Q53</f>
        <v>85582.380000000019</v>
      </c>
      <c r="E14" s="113">
        <f>+'5.0 Depr Expense'!Q96+'5.0 Depr Expense'!Q116+'5.0 Depr Expense'!Q126</f>
        <v>1698802.6268611662</v>
      </c>
      <c r="F14" s="113">
        <f>+'5.0 Depr Expense'!Q169+'5.0 Depr Expense'!Q189+'5.0 Depr Expense'!Q199</f>
        <v>425466.99999999988</v>
      </c>
      <c r="G14" s="113">
        <v>0</v>
      </c>
      <c r="H14" s="113">
        <v>0</v>
      </c>
      <c r="I14" s="113">
        <v>0</v>
      </c>
      <c r="J14" s="113" t="e">
        <f>#REF!+#REF!</f>
        <v>#REF!</v>
      </c>
      <c r="K14" s="113" t="e">
        <f>#REF!+#REF!</f>
        <v>#REF!</v>
      </c>
      <c r="L14" s="113" t="e">
        <f>#REF!+#REF!</f>
        <v>#REF!</v>
      </c>
      <c r="M14" s="113" t="e">
        <f>#REF!+#REF!</f>
        <v>#REF!</v>
      </c>
      <c r="N14" s="113" t="e">
        <f>#REF!+#REF!</f>
        <v>#REF!</v>
      </c>
      <c r="O14" s="113" t="e">
        <f>#REF!+#REF!</f>
        <v>#REF!</v>
      </c>
      <c r="P14" s="113" t="e">
        <f>#REF!+#REF!</f>
        <v>#REF!</v>
      </c>
      <c r="Q14" s="113" t="e">
        <f>#REF!+#REF!</f>
        <v>#REF!</v>
      </c>
      <c r="R14" s="113" t="e">
        <f>#REF!+#REF!</f>
        <v>#REF!</v>
      </c>
      <c r="S14" s="113" t="e">
        <f>#REF!+#REF!</f>
        <v>#REF!</v>
      </c>
      <c r="T14" s="113" t="e">
        <f>#REF!+#REF!</f>
        <v>#REF!</v>
      </c>
      <c r="U14" s="113" t="e">
        <f>#REF!+#REF!</f>
        <v>#REF!</v>
      </c>
      <c r="V14" s="113" t="e">
        <f>#REF!+#REF!</f>
        <v>#REF!</v>
      </c>
      <c r="W14" s="113" t="e">
        <f>#REF!+#REF!</f>
        <v>#REF!</v>
      </c>
      <c r="X14" s="113" t="e">
        <f>#REF!+#REF!</f>
        <v>#REF!</v>
      </c>
      <c r="Y14" s="113" t="e">
        <f>#REF!+#REF!</f>
        <v>#REF!</v>
      </c>
      <c r="Z14" s="113" t="e">
        <f>#REF!+#REF!</f>
        <v>#REF!</v>
      </c>
      <c r="AA14" s="113" t="e">
        <f>#REF!+#REF!</f>
        <v>#REF!</v>
      </c>
      <c r="AB14" s="113" t="e">
        <f>#REF!+#REF!</f>
        <v>#REF!</v>
      </c>
      <c r="AC14" s="113" t="e">
        <f>#REF!+#REF!</f>
        <v>#REF!</v>
      </c>
      <c r="AD14" s="113" t="e">
        <f>#REF!+#REF!</f>
        <v>#REF!</v>
      </c>
      <c r="AE14" s="113" t="e">
        <f>#REF!+#REF!</f>
        <v>#REF!</v>
      </c>
      <c r="AH14" s="45"/>
    </row>
    <row r="15" spans="1:37" ht="13.5" customHeight="1" x14ac:dyDescent="0.35">
      <c r="A15" s="13"/>
      <c r="B15" s="110"/>
      <c r="C15" s="111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</row>
    <row r="16" spans="1:37" ht="13.5" customHeight="1" x14ac:dyDescent="0.35">
      <c r="A16" s="24">
        <f>A14+1</f>
        <v>2</v>
      </c>
      <c r="B16" s="112" t="s">
        <v>97</v>
      </c>
      <c r="C16" s="111"/>
      <c r="D16" s="114">
        <f t="shared" ref="D16:I16" si="2">D55+D54</f>
        <v>4.0099999999999997E-2</v>
      </c>
      <c r="E16" s="114">
        <f t="shared" si="2"/>
        <v>4.0099999999999997E-2</v>
      </c>
      <c r="F16" s="114">
        <f t="shared" si="2"/>
        <v>4.0099999999999997E-2</v>
      </c>
      <c r="G16" s="114">
        <f t="shared" si="2"/>
        <v>4.0099999999999997E-2</v>
      </c>
      <c r="H16" s="114">
        <f t="shared" si="2"/>
        <v>4.0099999999999997E-2</v>
      </c>
      <c r="I16" s="114">
        <f t="shared" si="2"/>
        <v>4.0099999999999997E-2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</row>
    <row r="17" spans="1:37" ht="13.5" customHeight="1" x14ac:dyDescent="0.35">
      <c r="B17" s="112"/>
      <c r="C17" s="111"/>
      <c r="D17" s="114"/>
      <c r="E17" s="114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</row>
    <row r="18" spans="1:37" x14ac:dyDescent="0.35">
      <c r="A18" s="24">
        <f>A16+1</f>
        <v>3</v>
      </c>
      <c r="B18" s="115">
        <v>3.7500000000000089E-2</v>
      </c>
      <c r="C18" s="24">
        <v>1</v>
      </c>
      <c r="D18" s="44">
        <f>ROUND((D$14)*$D$16,0)+ROUND(($D$14-($D$14*$D$16))*B18,0)</f>
        <v>6513</v>
      </c>
      <c r="AF18" s="44">
        <f>SUM(D18:G18)</f>
        <v>6513</v>
      </c>
      <c r="AG18" s="44">
        <f>SUM('4.0 Accumulated Depr'!D35:O35)+SUM('4.0 Accumulated Depr'!D37:O38)</f>
        <v>53762.03</v>
      </c>
      <c r="AH18" s="44">
        <f>+'5.0 Depr Expense'!Q30+'5.0 Depr Expense'!Q50+'5.0 Depr Expense'!Q60</f>
        <v>-4259.9369999999999</v>
      </c>
      <c r="AI18" s="45">
        <f>AF18+AG18-AH18</f>
        <v>64534.966999999997</v>
      </c>
      <c r="AJ18" s="44">
        <f>ROUND(0.2495*AI18,0)</f>
        <v>16101</v>
      </c>
      <c r="AK18" s="44">
        <f>+AJ18</f>
        <v>16101</v>
      </c>
    </row>
    <row r="19" spans="1:37" x14ac:dyDescent="0.35">
      <c r="A19" s="24">
        <f>A18+1</f>
        <v>4</v>
      </c>
      <c r="B19" s="115">
        <v>7.2190000000000004E-2</v>
      </c>
      <c r="C19" s="24">
        <f>+C18+1</f>
        <v>2</v>
      </c>
      <c r="D19" s="44">
        <f>ROUND(($D$14-($D$14*$D$16))*B19,0)</f>
        <v>5930</v>
      </c>
      <c r="E19" s="44">
        <f>ROUND((E$14)*$E$16,0)+ROUND(($E$14-($E$14*$E$16))*B18,0)</f>
        <v>129273</v>
      </c>
      <c r="AF19" s="44">
        <f>SUM(D19:G19)</f>
        <v>135203</v>
      </c>
      <c r="AG19" s="44">
        <f>SUM('4.0 Accumulated Depr'!D108:O108)+SUM('4.0 Accumulated Depr'!D110:O111)</f>
        <v>167478.99999999997</v>
      </c>
      <c r="AH19" s="44">
        <f>+'5.0 Depr Expense'!Q103+'5.0 Depr Expense'!Q123+'5.0 Depr Expense'!Q133</f>
        <v>7434.2080000000005</v>
      </c>
      <c r="AI19" s="45">
        <f>AF19+AG19-AH19</f>
        <v>295247.79200000002</v>
      </c>
      <c r="AJ19" s="44">
        <f>ROUND(0.2495*AI19,0)</f>
        <v>73664</v>
      </c>
      <c r="AK19" s="44">
        <f>+AK18+AJ19</f>
        <v>89765</v>
      </c>
    </row>
    <row r="20" spans="1:37" x14ac:dyDescent="0.35">
      <c r="A20" s="24">
        <f t="shared" ref="A20:A43" si="3">A19+1</f>
        <v>5</v>
      </c>
      <c r="B20" s="115">
        <v>6.6769999999999996E-2</v>
      </c>
      <c r="C20" s="24">
        <f t="shared" ref="C20:C41" si="4">+C19+1</f>
        <v>3</v>
      </c>
      <c r="D20" s="44">
        <f t="shared" ref="D20:D37" si="5">ROUND(($D$14-($D$14*$D$16))*B20,0)</f>
        <v>5485</v>
      </c>
      <c r="E20" s="44">
        <f t="shared" ref="E20:E38" si="6">ROUND(($E$14-($E$14*$E$16))*B19,0)</f>
        <v>117719</v>
      </c>
      <c r="F20" s="44">
        <f>ROUND((F$14)*F$16,0)+ROUND((F$14-(F$14*F$16))*$B18,0)</f>
        <v>32376</v>
      </c>
      <c r="G20" s="44">
        <f>ROUND((G$14)*G$16,0)+ROUND((G$14-(G$14*G$16))*$B18,0)</f>
        <v>0</v>
      </c>
      <c r="AF20" s="44">
        <f>SUM(D20:G20)</f>
        <v>155580</v>
      </c>
      <c r="AG20" s="44">
        <f>SUM('4.0 Accumulated Depr'!D181:O181)+SUM('4.0 Accumulated Depr'!D183:O184)</f>
        <v>53762.03</v>
      </c>
      <c r="AH20" s="44">
        <f>+'5.0 Depr Expense'!Q176+'5.0 Depr Expense'!Q196+'5.0 Depr Expense'!Q206</f>
        <v>24936.195999999996</v>
      </c>
      <c r="AI20" s="45">
        <f>AF20+AG20-AH20</f>
        <v>184405.834</v>
      </c>
      <c r="AJ20" s="44">
        <f>ROUND(0.2495*AI20,0)</f>
        <v>46009</v>
      </c>
      <c r="AK20" s="44">
        <f>+AK19+AJ20</f>
        <v>135774</v>
      </c>
    </row>
    <row r="21" spans="1:37" x14ac:dyDescent="0.35">
      <c r="A21" s="24">
        <f t="shared" si="3"/>
        <v>6</v>
      </c>
      <c r="B21" s="115">
        <v>6.1769999999999999E-2</v>
      </c>
      <c r="C21" s="24">
        <f t="shared" si="4"/>
        <v>4</v>
      </c>
      <c r="D21" s="44">
        <f t="shared" si="5"/>
        <v>5074</v>
      </c>
      <c r="E21" s="44">
        <f t="shared" si="6"/>
        <v>108881</v>
      </c>
      <c r="F21" s="44">
        <f>ROUND((F$14-(F$14*F$16))*$B19,0)</f>
        <v>29483</v>
      </c>
      <c r="G21" s="44">
        <f>ROUND((G$14-(G$14*G$16))*$B19,0)</f>
        <v>0</v>
      </c>
      <c r="H21" s="44">
        <f>ROUND((H$14)*H$16,0)+ROUND((H$14-(H$14*H$16))*$B18,0)</f>
        <v>0</v>
      </c>
      <c r="AF21" s="44">
        <f>SUM(D21:H21)</f>
        <v>143438</v>
      </c>
      <c r="AG21" s="44">
        <v>0</v>
      </c>
      <c r="AH21" s="44"/>
      <c r="AI21" s="45"/>
      <c r="AJ21" s="44"/>
      <c r="AK21" s="44"/>
    </row>
    <row r="22" spans="1:37" x14ac:dyDescent="0.35">
      <c r="A22" s="24">
        <f t="shared" si="3"/>
        <v>7</v>
      </c>
      <c r="B22" s="115">
        <v>5.713E-2</v>
      </c>
      <c r="C22" s="24">
        <f t="shared" si="4"/>
        <v>5</v>
      </c>
      <c r="D22" s="44">
        <f t="shared" si="5"/>
        <v>4693</v>
      </c>
      <c r="E22" s="44">
        <f t="shared" si="6"/>
        <v>100727</v>
      </c>
      <c r="F22" s="44">
        <f t="shared" ref="F22:F40" si="7">ROUND(($F$14-($F$14*$F$16))*B20,0)</f>
        <v>27269</v>
      </c>
      <c r="G22" s="44">
        <f t="shared" ref="G22:G40" si="8">ROUND((G$14-(G$14*G$16))*$B20,0)</f>
        <v>0</v>
      </c>
      <c r="H22" s="44">
        <f>ROUND((H$14-(H$14*H$16))*$B19,0)</f>
        <v>0</v>
      </c>
      <c r="I22" s="44">
        <f>ROUND((I$14)*I$16,0)+ROUND((I$14-(I$14*I$16))*$B18,0)</f>
        <v>0</v>
      </c>
      <c r="AF22" s="44">
        <f>SUM(D22:I22)</f>
        <v>132689</v>
      </c>
      <c r="AG22" s="44">
        <v>0</v>
      </c>
      <c r="AH22" s="44"/>
      <c r="AI22" s="45"/>
      <c r="AJ22" s="44"/>
      <c r="AK22" s="44"/>
    </row>
    <row r="23" spans="1:37" x14ac:dyDescent="0.35">
      <c r="A23" s="24">
        <f t="shared" si="3"/>
        <v>8</v>
      </c>
      <c r="B23" s="115">
        <v>5.2850000000000001E-2</v>
      </c>
      <c r="C23" s="24">
        <f t="shared" si="4"/>
        <v>6</v>
      </c>
      <c r="D23" s="44">
        <f t="shared" si="5"/>
        <v>4342</v>
      </c>
      <c r="E23" s="44">
        <f t="shared" si="6"/>
        <v>93161</v>
      </c>
      <c r="F23" s="44">
        <f t="shared" si="7"/>
        <v>25227</v>
      </c>
      <c r="G23" s="44">
        <f t="shared" si="8"/>
        <v>0</v>
      </c>
      <c r="H23" s="44">
        <f t="shared" ref="H23:H41" si="9">ROUND((H$14-(H$14*H$16))*$B20,0)</f>
        <v>0</v>
      </c>
      <c r="I23" s="44">
        <f>ROUND((I$14-(I$14*I$16))*$B19,0)</f>
        <v>0</v>
      </c>
      <c r="AF23" s="44">
        <f t="shared" ref="AF23:AF42" si="10">SUM(D23:I23)</f>
        <v>122730</v>
      </c>
      <c r="AG23" s="44"/>
      <c r="AH23" s="44"/>
      <c r="AI23" s="45"/>
      <c r="AJ23" s="44"/>
      <c r="AK23" s="44"/>
    </row>
    <row r="24" spans="1:37" x14ac:dyDescent="0.35">
      <c r="A24" s="24">
        <f t="shared" si="3"/>
        <v>9</v>
      </c>
      <c r="B24" s="115">
        <v>4.888E-2</v>
      </c>
      <c r="C24" s="24">
        <f t="shared" si="4"/>
        <v>7</v>
      </c>
      <c r="D24" s="44">
        <f t="shared" si="5"/>
        <v>4016</v>
      </c>
      <c r="E24" s="44">
        <f t="shared" si="6"/>
        <v>86181</v>
      </c>
      <c r="F24" s="44">
        <f t="shared" si="7"/>
        <v>23332</v>
      </c>
      <c r="G24" s="44">
        <f t="shared" si="8"/>
        <v>0</v>
      </c>
      <c r="H24" s="44">
        <f t="shared" si="9"/>
        <v>0</v>
      </c>
      <c r="I24" s="44">
        <f t="shared" ref="I24:I42" si="11">ROUND((I$14-(I$14*I$16))*$B20,0)</f>
        <v>0</v>
      </c>
      <c r="AF24" s="44">
        <f t="shared" si="10"/>
        <v>113529</v>
      </c>
      <c r="AG24" s="44"/>
      <c r="AH24" s="44"/>
      <c r="AI24" s="45"/>
      <c r="AJ24" s="44"/>
      <c r="AK24" s="44"/>
    </row>
    <row r="25" spans="1:37" x14ac:dyDescent="0.35">
      <c r="A25" s="24">
        <f t="shared" si="3"/>
        <v>10</v>
      </c>
      <c r="B25" s="115">
        <v>4.5220000000000003E-2</v>
      </c>
      <c r="C25" s="24">
        <f t="shared" si="4"/>
        <v>8</v>
      </c>
      <c r="D25" s="44">
        <f t="shared" si="5"/>
        <v>3715</v>
      </c>
      <c r="E25" s="44">
        <f t="shared" si="6"/>
        <v>79708</v>
      </c>
      <c r="F25" s="44">
        <f t="shared" si="7"/>
        <v>21584</v>
      </c>
      <c r="G25" s="44">
        <f t="shared" si="8"/>
        <v>0</v>
      </c>
      <c r="H25" s="44">
        <f t="shared" si="9"/>
        <v>0</v>
      </c>
      <c r="I25" s="44">
        <f t="shared" si="11"/>
        <v>0</v>
      </c>
      <c r="AF25" s="44">
        <f t="shared" si="10"/>
        <v>105007</v>
      </c>
      <c r="AG25" s="44"/>
      <c r="AH25" s="44"/>
      <c r="AI25" s="45"/>
      <c r="AJ25" s="44"/>
      <c r="AK25" s="44"/>
    </row>
    <row r="26" spans="1:37" x14ac:dyDescent="0.35">
      <c r="A26" s="24">
        <f t="shared" si="3"/>
        <v>11</v>
      </c>
      <c r="B26" s="115">
        <v>4.462E-2</v>
      </c>
      <c r="C26" s="24">
        <f t="shared" si="4"/>
        <v>9</v>
      </c>
      <c r="D26" s="44">
        <f t="shared" si="5"/>
        <v>3666</v>
      </c>
      <c r="E26" s="44">
        <f t="shared" si="6"/>
        <v>73739</v>
      </c>
      <c r="F26" s="44">
        <f t="shared" si="7"/>
        <v>19963</v>
      </c>
      <c r="G26" s="44">
        <f t="shared" si="8"/>
        <v>0</v>
      </c>
      <c r="H26" s="44">
        <f t="shared" si="9"/>
        <v>0</v>
      </c>
      <c r="I26" s="44">
        <f t="shared" si="11"/>
        <v>0</v>
      </c>
      <c r="J26" s="44"/>
      <c r="AF26" s="44">
        <f t="shared" si="10"/>
        <v>97368</v>
      </c>
      <c r="AG26" s="44"/>
      <c r="AH26" s="44"/>
      <c r="AI26" s="45"/>
      <c r="AJ26" s="44"/>
      <c r="AK26" s="44"/>
    </row>
    <row r="27" spans="1:37" x14ac:dyDescent="0.35">
      <c r="A27" s="24">
        <f t="shared" si="3"/>
        <v>12</v>
      </c>
      <c r="B27" s="115">
        <v>4.4609999999999997E-2</v>
      </c>
      <c r="C27" s="24">
        <f t="shared" si="4"/>
        <v>10</v>
      </c>
      <c r="D27" s="44">
        <f t="shared" si="5"/>
        <v>3665</v>
      </c>
      <c r="E27" s="44">
        <f t="shared" si="6"/>
        <v>72761</v>
      </c>
      <c r="F27" s="44">
        <f t="shared" si="7"/>
        <v>18468</v>
      </c>
      <c r="G27" s="44">
        <f t="shared" si="8"/>
        <v>0</v>
      </c>
      <c r="H27" s="44">
        <f t="shared" si="9"/>
        <v>0</v>
      </c>
      <c r="I27" s="44">
        <f t="shared" si="11"/>
        <v>0</v>
      </c>
      <c r="J27" s="44"/>
      <c r="K27" s="44"/>
      <c r="AF27" s="44">
        <f t="shared" si="10"/>
        <v>94894</v>
      </c>
      <c r="AG27" s="44"/>
      <c r="AH27" s="44"/>
      <c r="AI27" s="45"/>
      <c r="AJ27" s="44"/>
      <c r="AK27" s="44"/>
    </row>
    <row r="28" spans="1:37" x14ac:dyDescent="0.35">
      <c r="A28" s="24">
        <f t="shared" si="3"/>
        <v>13</v>
      </c>
      <c r="B28" s="115">
        <v>4.462E-2</v>
      </c>
      <c r="C28" s="24">
        <f t="shared" si="4"/>
        <v>11</v>
      </c>
      <c r="D28" s="44">
        <f t="shared" si="5"/>
        <v>3666</v>
      </c>
      <c r="E28" s="44">
        <f t="shared" si="6"/>
        <v>72745</v>
      </c>
      <c r="F28" s="44">
        <f t="shared" si="7"/>
        <v>18223</v>
      </c>
      <c r="G28" s="44">
        <f t="shared" si="8"/>
        <v>0</v>
      </c>
      <c r="H28" s="44">
        <f t="shared" si="9"/>
        <v>0</v>
      </c>
      <c r="I28" s="44">
        <f t="shared" si="11"/>
        <v>0</v>
      </c>
      <c r="J28" s="44"/>
      <c r="K28" s="44"/>
      <c r="L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>
        <f t="shared" si="10"/>
        <v>94634</v>
      </c>
      <c r="AG28" s="44"/>
      <c r="AH28" s="44"/>
      <c r="AI28" s="45"/>
      <c r="AJ28" s="44"/>
      <c r="AK28" s="44"/>
    </row>
    <row r="29" spans="1:37" x14ac:dyDescent="0.35">
      <c r="A29" s="24">
        <f t="shared" si="3"/>
        <v>14</v>
      </c>
      <c r="B29" s="115">
        <v>4.4609999999999997E-2</v>
      </c>
      <c r="C29" s="24">
        <f t="shared" si="4"/>
        <v>12</v>
      </c>
      <c r="D29" s="44">
        <f t="shared" si="5"/>
        <v>3665</v>
      </c>
      <c r="E29" s="44">
        <f t="shared" si="6"/>
        <v>72761</v>
      </c>
      <c r="F29" s="44">
        <f t="shared" si="7"/>
        <v>18219</v>
      </c>
      <c r="G29" s="44">
        <f t="shared" si="8"/>
        <v>0</v>
      </c>
      <c r="H29" s="44">
        <f t="shared" si="9"/>
        <v>0</v>
      </c>
      <c r="I29" s="44">
        <f t="shared" si="11"/>
        <v>0</v>
      </c>
      <c r="J29" s="44"/>
      <c r="K29" s="44"/>
      <c r="L29" s="44"/>
      <c r="M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>
        <f t="shared" si="10"/>
        <v>94645</v>
      </c>
      <c r="AG29" s="44"/>
      <c r="AH29" s="44"/>
      <c r="AI29" s="45"/>
      <c r="AJ29" s="44"/>
      <c r="AK29" s="44"/>
    </row>
    <row r="30" spans="1:37" x14ac:dyDescent="0.35">
      <c r="A30" s="24">
        <f t="shared" si="3"/>
        <v>15</v>
      </c>
      <c r="B30" s="115">
        <v>4.462E-2</v>
      </c>
      <c r="C30" s="24">
        <f t="shared" si="4"/>
        <v>13</v>
      </c>
      <c r="D30" s="44">
        <f t="shared" si="5"/>
        <v>3666</v>
      </c>
      <c r="E30" s="44">
        <f t="shared" si="6"/>
        <v>72745</v>
      </c>
      <c r="F30" s="44">
        <f t="shared" si="7"/>
        <v>18223</v>
      </c>
      <c r="G30" s="44">
        <f t="shared" si="8"/>
        <v>0</v>
      </c>
      <c r="H30" s="44">
        <f t="shared" si="9"/>
        <v>0</v>
      </c>
      <c r="I30" s="44">
        <f t="shared" si="11"/>
        <v>0</v>
      </c>
      <c r="J30" s="44"/>
      <c r="K30" s="44"/>
      <c r="L30" s="44"/>
      <c r="M30" s="44"/>
      <c r="N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>
        <f t="shared" si="10"/>
        <v>94634</v>
      </c>
      <c r="AG30" s="44"/>
      <c r="AH30" s="44"/>
      <c r="AI30" s="45"/>
      <c r="AJ30" s="44"/>
      <c r="AK30" s="44"/>
    </row>
    <row r="31" spans="1:37" x14ac:dyDescent="0.35">
      <c r="A31" s="24">
        <f t="shared" si="3"/>
        <v>16</v>
      </c>
      <c r="B31" s="115">
        <v>4.4609999999999997E-2</v>
      </c>
      <c r="C31" s="24">
        <f t="shared" si="4"/>
        <v>14</v>
      </c>
      <c r="D31" s="44">
        <f t="shared" si="5"/>
        <v>3665</v>
      </c>
      <c r="E31" s="44">
        <f t="shared" si="6"/>
        <v>72761</v>
      </c>
      <c r="F31" s="44">
        <f t="shared" si="7"/>
        <v>18219</v>
      </c>
      <c r="G31" s="44">
        <f t="shared" si="8"/>
        <v>0</v>
      </c>
      <c r="H31" s="44">
        <f t="shared" si="9"/>
        <v>0</v>
      </c>
      <c r="I31" s="44">
        <f t="shared" si="11"/>
        <v>0</v>
      </c>
      <c r="J31" s="44"/>
      <c r="K31" s="44"/>
      <c r="L31" s="44"/>
      <c r="M31" s="44"/>
      <c r="N31" s="44"/>
      <c r="O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>
        <f t="shared" si="10"/>
        <v>94645</v>
      </c>
      <c r="AG31" s="44"/>
      <c r="AH31" s="44"/>
      <c r="AI31" s="45"/>
      <c r="AJ31" s="44"/>
      <c r="AK31" s="44"/>
    </row>
    <row r="32" spans="1:37" x14ac:dyDescent="0.35">
      <c r="A32" s="24">
        <f t="shared" si="3"/>
        <v>17</v>
      </c>
      <c r="B32" s="115">
        <v>4.462E-2</v>
      </c>
      <c r="C32" s="24">
        <f t="shared" si="4"/>
        <v>15</v>
      </c>
      <c r="D32" s="44">
        <f t="shared" si="5"/>
        <v>3666</v>
      </c>
      <c r="E32" s="44">
        <f t="shared" si="6"/>
        <v>72745</v>
      </c>
      <c r="F32" s="44">
        <f t="shared" si="7"/>
        <v>18223</v>
      </c>
      <c r="G32" s="44">
        <f t="shared" si="8"/>
        <v>0</v>
      </c>
      <c r="H32" s="44">
        <f t="shared" si="9"/>
        <v>0</v>
      </c>
      <c r="I32" s="44">
        <f t="shared" si="11"/>
        <v>0</v>
      </c>
      <c r="J32" s="44"/>
      <c r="K32" s="44"/>
      <c r="L32" s="44"/>
      <c r="M32" s="44"/>
      <c r="N32" s="44"/>
      <c r="O32" s="44"/>
      <c r="P32" s="44"/>
      <c r="AF32" s="44">
        <f t="shared" si="10"/>
        <v>94634</v>
      </c>
      <c r="AG32" s="44"/>
      <c r="AH32" s="44"/>
      <c r="AI32" s="45"/>
      <c r="AJ32" s="44"/>
      <c r="AK32" s="44"/>
    </row>
    <row r="33" spans="1:37" x14ac:dyDescent="0.35">
      <c r="A33" s="24">
        <f t="shared" si="3"/>
        <v>18</v>
      </c>
      <c r="B33" s="115">
        <v>4.4609999999999997E-2</v>
      </c>
      <c r="C33" s="24">
        <f t="shared" si="4"/>
        <v>16</v>
      </c>
      <c r="D33" s="44">
        <f t="shared" si="5"/>
        <v>3665</v>
      </c>
      <c r="E33" s="44">
        <f t="shared" si="6"/>
        <v>72761</v>
      </c>
      <c r="F33" s="44">
        <f t="shared" si="7"/>
        <v>18219</v>
      </c>
      <c r="G33" s="44">
        <f t="shared" si="8"/>
        <v>0</v>
      </c>
      <c r="H33" s="44">
        <f t="shared" si="9"/>
        <v>0</v>
      </c>
      <c r="I33" s="44">
        <f t="shared" si="11"/>
        <v>0</v>
      </c>
      <c r="J33" s="44"/>
      <c r="K33" s="44"/>
      <c r="L33" s="44"/>
      <c r="M33" s="44"/>
      <c r="N33" s="44"/>
      <c r="O33" s="44"/>
      <c r="P33" s="44"/>
      <c r="Q33" s="44"/>
      <c r="AF33" s="44">
        <f t="shared" si="10"/>
        <v>94645</v>
      </c>
      <c r="AG33" s="44"/>
      <c r="AH33" s="44"/>
      <c r="AI33" s="45"/>
      <c r="AJ33" s="44"/>
      <c r="AK33" s="44"/>
    </row>
    <row r="34" spans="1:37" x14ac:dyDescent="0.35">
      <c r="A34" s="24">
        <f t="shared" si="3"/>
        <v>19</v>
      </c>
      <c r="B34" s="115">
        <v>4.462E-2</v>
      </c>
      <c r="C34" s="24">
        <f t="shared" si="4"/>
        <v>17</v>
      </c>
      <c r="D34" s="44">
        <f t="shared" si="5"/>
        <v>3666</v>
      </c>
      <c r="E34" s="44">
        <f t="shared" si="6"/>
        <v>72745</v>
      </c>
      <c r="F34" s="44">
        <f t="shared" si="7"/>
        <v>18223</v>
      </c>
      <c r="G34" s="44">
        <f t="shared" si="8"/>
        <v>0</v>
      </c>
      <c r="H34" s="44">
        <f t="shared" si="9"/>
        <v>0</v>
      </c>
      <c r="I34" s="44">
        <f t="shared" si="11"/>
        <v>0</v>
      </c>
      <c r="J34" s="44"/>
      <c r="K34" s="44"/>
      <c r="L34" s="44"/>
      <c r="M34" s="44"/>
      <c r="N34" s="44"/>
      <c r="O34" s="44"/>
      <c r="P34" s="44"/>
      <c r="Q34" s="44"/>
      <c r="R34" s="44"/>
      <c r="AF34" s="44">
        <f t="shared" si="10"/>
        <v>94634</v>
      </c>
      <c r="AG34" s="44"/>
      <c r="AH34" s="44"/>
      <c r="AI34" s="45"/>
      <c r="AJ34" s="44"/>
      <c r="AK34" s="44"/>
    </row>
    <row r="35" spans="1:37" x14ac:dyDescent="0.35">
      <c r="A35" s="24">
        <f t="shared" si="3"/>
        <v>20</v>
      </c>
      <c r="B35" s="115">
        <v>4.4609999999999997E-2</v>
      </c>
      <c r="C35" s="24">
        <f t="shared" si="4"/>
        <v>18</v>
      </c>
      <c r="D35" s="44">
        <f t="shared" si="5"/>
        <v>3665</v>
      </c>
      <c r="E35" s="44">
        <f t="shared" si="6"/>
        <v>72761</v>
      </c>
      <c r="F35" s="44">
        <f t="shared" si="7"/>
        <v>18219</v>
      </c>
      <c r="G35" s="44">
        <f t="shared" si="8"/>
        <v>0</v>
      </c>
      <c r="H35" s="44">
        <f t="shared" si="9"/>
        <v>0</v>
      </c>
      <c r="I35" s="44">
        <f t="shared" si="11"/>
        <v>0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AF35" s="44">
        <f t="shared" si="10"/>
        <v>94645</v>
      </c>
      <c r="AG35" s="44"/>
      <c r="AH35" s="44"/>
      <c r="AI35" s="45"/>
      <c r="AJ35" s="44"/>
      <c r="AK35" s="44"/>
    </row>
    <row r="36" spans="1:37" x14ac:dyDescent="0.35">
      <c r="A36" s="24">
        <f t="shared" si="3"/>
        <v>21</v>
      </c>
      <c r="B36" s="115">
        <v>4.462E-2</v>
      </c>
      <c r="C36" s="24">
        <f t="shared" si="4"/>
        <v>19</v>
      </c>
      <c r="D36" s="44">
        <f t="shared" si="5"/>
        <v>3666</v>
      </c>
      <c r="E36" s="44">
        <f t="shared" si="6"/>
        <v>72745</v>
      </c>
      <c r="F36" s="44">
        <f t="shared" si="7"/>
        <v>18223</v>
      </c>
      <c r="G36" s="44">
        <f t="shared" si="8"/>
        <v>0</v>
      </c>
      <c r="H36" s="44">
        <f t="shared" si="9"/>
        <v>0</v>
      </c>
      <c r="I36" s="44">
        <f t="shared" si="11"/>
        <v>0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F36" s="44">
        <f t="shared" si="10"/>
        <v>94634</v>
      </c>
      <c r="AG36" s="44"/>
      <c r="AH36" s="44"/>
      <c r="AI36" s="45"/>
      <c r="AJ36" s="44"/>
      <c r="AK36" s="44"/>
    </row>
    <row r="37" spans="1:37" x14ac:dyDescent="0.35">
      <c r="A37" s="24">
        <f t="shared" si="3"/>
        <v>22</v>
      </c>
      <c r="B37" s="115">
        <v>4.4609999999999997E-2</v>
      </c>
      <c r="C37" s="24">
        <f t="shared" si="4"/>
        <v>20</v>
      </c>
      <c r="D37" s="44">
        <f t="shared" si="5"/>
        <v>3665</v>
      </c>
      <c r="E37" s="44">
        <f t="shared" si="6"/>
        <v>72761</v>
      </c>
      <c r="F37" s="44">
        <f t="shared" si="7"/>
        <v>18219</v>
      </c>
      <c r="G37" s="44">
        <f t="shared" si="8"/>
        <v>0</v>
      </c>
      <c r="H37" s="44">
        <f t="shared" si="9"/>
        <v>0</v>
      </c>
      <c r="I37" s="44">
        <f t="shared" si="11"/>
        <v>0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>
        <f t="shared" si="10"/>
        <v>94645</v>
      </c>
      <c r="AG37" s="44"/>
      <c r="AH37" s="44"/>
      <c r="AI37" s="45"/>
      <c r="AJ37" s="44"/>
      <c r="AK37" s="44"/>
    </row>
    <row r="38" spans="1:37" x14ac:dyDescent="0.35">
      <c r="A38" s="24">
        <f t="shared" si="3"/>
        <v>23</v>
      </c>
      <c r="B38" s="115">
        <v>2.231E-2</v>
      </c>
      <c r="C38" s="24">
        <f t="shared" si="4"/>
        <v>21</v>
      </c>
      <c r="D38" s="44">
        <f>ROUND(($D$14-($D$14*$D$16))*B38,0)</f>
        <v>1833</v>
      </c>
      <c r="E38" s="44">
        <f t="shared" si="6"/>
        <v>72745</v>
      </c>
      <c r="F38" s="44">
        <f t="shared" si="7"/>
        <v>18223</v>
      </c>
      <c r="G38" s="44">
        <f t="shared" si="8"/>
        <v>0</v>
      </c>
      <c r="H38" s="44">
        <f t="shared" si="9"/>
        <v>0</v>
      </c>
      <c r="I38" s="44">
        <f t="shared" si="11"/>
        <v>0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>
        <f t="shared" si="10"/>
        <v>92801</v>
      </c>
      <c r="AG38" s="44"/>
      <c r="AH38" s="44"/>
      <c r="AI38" s="45"/>
      <c r="AJ38" s="44"/>
      <c r="AK38" s="44"/>
    </row>
    <row r="39" spans="1:37" x14ac:dyDescent="0.35">
      <c r="A39" s="24">
        <f t="shared" si="3"/>
        <v>24</v>
      </c>
      <c r="B39" s="115"/>
      <c r="C39" s="24">
        <f t="shared" si="4"/>
        <v>22</v>
      </c>
      <c r="E39" s="44">
        <f>ROUND(($E$14-($E$14*$E$16))*B38,0)+1</f>
        <v>36381</v>
      </c>
      <c r="F39" s="44">
        <f t="shared" si="7"/>
        <v>18219</v>
      </c>
      <c r="G39" s="44">
        <f t="shared" si="8"/>
        <v>0</v>
      </c>
      <c r="H39" s="44">
        <f t="shared" si="9"/>
        <v>0</v>
      </c>
      <c r="I39" s="44">
        <f t="shared" si="11"/>
        <v>0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>
        <f t="shared" si="10"/>
        <v>54600</v>
      </c>
      <c r="AH39" s="44"/>
      <c r="AI39" s="45"/>
      <c r="AJ39" s="44"/>
      <c r="AK39" s="44"/>
    </row>
    <row r="40" spans="1:37" x14ac:dyDescent="0.35">
      <c r="A40" s="24">
        <f t="shared" si="3"/>
        <v>25</v>
      </c>
      <c r="B40" s="115"/>
      <c r="C40" s="24">
        <f t="shared" si="4"/>
        <v>23</v>
      </c>
      <c r="F40" s="44">
        <f t="shared" si="7"/>
        <v>9112</v>
      </c>
      <c r="G40" s="44">
        <f t="shared" si="8"/>
        <v>0</v>
      </c>
      <c r="H40" s="44">
        <f t="shared" si="9"/>
        <v>0</v>
      </c>
      <c r="I40" s="44">
        <f t="shared" si="11"/>
        <v>0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>
        <f t="shared" si="10"/>
        <v>9112</v>
      </c>
      <c r="AH40" s="44"/>
      <c r="AI40" s="45"/>
      <c r="AJ40" s="44"/>
      <c r="AK40" s="44"/>
    </row>
    <row r="41" spans="1:37" x14ac:dyDescent="0.35">
      <c r="A41" s="24">
        <f t="shared" si="3"/>
        <v>26</v>
      </c>
      <c r="B41" s="115"/>
      <c r="C41" s="24">
        <f t="shared" si="4"/>
        <v>24</v>
      </c>
      <c r="F41" s="44"/>
      <c r="G41" s="44"/>
      <c r="H41" s="44">
        <f t="shared" si="9"/>
        <v>0</v>
      </c>
      <c r="I41" s="44">
        <f t="shared" si="11"/>
        <v>0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>
        <f t="shared" si="10"/>
        <v>0</v>
      </c>
      <c r="AH41" s="44"/>
      <c r="AI41" s="45"/>
      <c r="AJ41" s="44"/>
      <c r="AK41" s="44"/>
    </row>
    <row r="42" spans="1:37" x14ac:dyDescent="0.35">
      <c r="A42" s="24">
        <f t="shared" si="3"/>
        <v>27</v>
      </c>
      <c r="B42" s="115"/>
      <c r="C42" s="24"/>
      <c r="F42" s="44"/>
      <c r="G42" s="44"/>
      <c r="H42" s="44"/>
      <c r="I42" s="44">
        <f t="shared" si="11"/>
        <v>0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>
        <f t="shared" si="10"/>
        <v>0</v>
      </c>
      <c r="AH42" s="44"/>
      <c r="AI42" s="45"/>
      <c r="AJ42" s="44"/>
      <c r="AK42" s="44"/>
    </row>
    <row r="43" spans="1:37" x14ac:dyDescent="0.35">
      <c r="A43" s="24">
        <f t="shared" si="3"/>
        <v>28</v>
      </c>
      <c r="D43" s="45">
        <f>SUM(D18:D39)</f>
        <v>85587</v>
      </c>
      <c r="E43" s="45">
        <f>SUM(E19:E39)</f>
        <v>1698806</v>
      </c>
      <c r="F43" s="45">
        <f>SUM(F18:F42)</f>
        <v>425466</v>
      </c>
      <c r="G43" s="45">
        <f>SUM(G18:G40)</f>
        <v>0</v>
      </c>
      <c r="H43" s="45">
        <f>SUM(H18:H42)</f>
        <v>0</v>
      </c>
      <c r="I43" s="45">
        <f>SUM(I18:I42)</f>
        <v>0</v>
      </c>
      <c r="J43" s="45">
        <f t="shared" ref="J43:AE43" si="12">SUM(J18:J39)</f>
        <v>0</v>
      </c>
      <c r="K43" s="45">
        <f t="shared" si="12"/>
        <v>0</v>
      </c>
      <c r="L43" s="45">
        <f t="shared" si="12"/>
        <v>0</v>
      </c>
      <c r="M43" s="45">
        <f t="shared" si="12"/>
        <v>0</v>
      </c>
      <c r="N43" s="45">
        <f t="shared" si="12"/>
        <v>0</v>
      </c>
      <c r="O43" s="45">
        <f t="shared" si="12"/>
        <v>0</v>
      </c>
      <c r="P43" s="45">
        <f t="shared" si="12"/>
        <v>0</v>
      </c>
      <c r="Q43" s="45">
        <f t="shared" si="12"/>
        <v>0</v>
      </c>
      <c r="R43" s="45">
        <f t="shared" si="12"/>
        <v>0</v>
      </c>
      <c r="S43" s="45">
        <f t="shared" si="12"/>
        <v>0</v>
      </c>
      <c r="T43" s="45">
        <f t="shared" si="12"/>
        <v>0</v>
      </c>
      <c r="U43" s="45">
        <f t="shared" si="12"/>
        <v>0</v>
      </c>
      <c r="V43" s="45">
        <f t="shared" si="12"/>
        <v>0</v>
      </c>
      <c r="W43" s="45">
        <f t="shared" si="12"/>
        <v>0</v>
      </c>
      <c r="X43" s="45">
        <f t="shared" si="12"/>
        <v>0</v>
      </c>
      <c r="Y43" s="45">
        <f t="shared" si="12"/>
        <v>0</v>
      </c>
      <c r="Z43" s="45">
        <f t="shared" si="12"/>
        <v>0</v>
      </c>
      <c r="AA43" s="45">
        <f t="shared" si="12"/>
        <v>0</v>
      </c>
      <c r="AB43" s="45">
        <f t="shared" si="12"/>
        <v>0</v>
      </c>
      <c r="AC43" s="45">
        <f t="shared" si="12"/>
        <v>0</v>
      </c>
      <c r="AD43" s="45">
        <f t="shared" si="12"/>
        <v>0</v>
      </c>
      <c r="AE43" s="45">
        <f t="shared" si="12"/>
        <v>0</v>
      </c>
      <c r="AF43" s="45">
        <f>SUM(AF18:AF41)</f>
        <v>2209859</v>
      </c>
      <c r="AG43" s="45">
        <f>SUM(AG18:AG41)</f>
        <v>275003.05999999994</v>
      </c>
      <c r="AH43" s="45">
        <f>SUM(AH18:AH41)</f>
        <v>28110.466999999997</v>
      </c>
      <c r="AI43" s="44"/>
      <c r="AJ43" s="44"/>
      <c r="AK43" s="45"/>
    </row>
    <row r="44" spans="1:37" x14ac:dyDescent="0.35"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4"/>
      <c r="AG44" s="45"/>
      <c r="AH44" s="44"/>
      <c r="AI44" s="44"/>
      <c r="AJ44" s="44"/>
      <c r="AK44" s="45"/>
    </row>
    <row r="45" spans="1:37" x14ac:dyDescent="0.35">
      <c r="A45" s="25" t="s">
        <v>71</v>
      </c>
      <c r="F45" s="45"/>
      <c r="AF45" s="45"/>
      <c r="AG45" s="45"/>
      <c r="AH45" s="44"/>
      <c r="AI45" s="44"/>
      <c r="AJ45" s="116"/>
      <c r="AK45" s="45"/>
    </row>
    <row r="46" spans="1:37" x14ac:dyDescent="0.35">
      <c r="A46" s="25" t="s">
        <v>98</v>
      </c>
      <c r="AH46" s="45"/>
      <c r="AI46" s="44"/>
      <c r="AJ46" s="44"/>
    </row>
    <row r="47" spans="1:37" x14ac:dyDescent="0.35">
      <c r="A47" s="25" t="s">
        <v>175</v>
      </c>
      <c r="AH47" s="45"/>
      <c r="AI47" s="44"/>
      <c r="AJ47" s="44"/>
    </row>
    <row r="48" spans="1:37" x14ac:dyDescent="0.35">
      <c r="A48" s="25" t="s">
        <v>176</v>
      </c>
      <c r="AH48" s="45"/>
      <c r="AI48" s="44"/>
      <c r="AJ48" s="44"/>
    </row>
    <row r="49" spans="1:37" x14ac:dyDescent="0.35">
      <c r="A49" s="25"/>
      <c r="AH49" s="45"/>
      <c r="AI49" s="44"/>
      <c r="AJ49" s="44"/>
    </row>
    <row r="50" spans="1:37" x14ac:dyDescent="0.35">
      <c r="D50" s="119">
        <f>+'6.1 ADIT Calcluated p.2'!D50</f>
        <v>2023</v>
      </c>
      <c r="E50" s="119">
        <f>+'6.1 ADIT Calcluated p.2'!E50</f>
        <v>2024</v>
      </c>
      <c r="F50" s="119">
        <f>+'6.1 ADIT Calcluated p.2'!F50</f>
        <v>2025</v>
      </c>
      <c r="G50" s="119">
        <f>+'6.1 ADIT Calcluated p.2'!G50</f>
        <v>2026</v>
      </c>
      <c r="H50" s="119">
        <f>+'6.1 ADIT Calcluated p.2'!H50</f>
        <v>2027</v>
      </c>
      <c r="I50" s="119">
        <f>+'6.1 ADIT Calcluated p.2'!I50</f>
        <v>2028</v>
      </c>
      <c r="AH50" s="45"/>
      <c r="AI50" s="44"/>
      <c r="AJ50" s="44"/>
      <c r="AK50" s="125"/>
    </row>
    <row r="51" spans="1:37" x14ac:dyDescent="0.35">
      <c r="B51" s="120" t="s">
        <v>74</v>
      </c>
      <c r="D51" s="121">
        <v>0</v>
      </c>
      <c r="E51" s="121">
        <v>0</v>
      </c>
      <c r="F51" s="121">
        <v>0</v>
      </c>
      <c r="G51" s="121">
        <v>0</v>
      </c>
      <c r="H51" s="121">
        <v>0</v>
      </c>
      <c r="I51" s="121">
        <v>0</v>
      </c>
      <c r="AH51" s="45"/>
      <c r="AI51" s="44"/>
      <c r="AJ51" s="44"/>
      <c r="AK51" s="125"/>
    </row>
    <row r="52" spans="1:37" x14ac:dyDescent="0.35">
      <c r="B52" s="120" t="s">
        <v>75</v>
      </c>
      <c r="D52" s="121">
        <f>+'6.1 ADIT Calcluated p.2'!D52</f>
        <v>4.0099999999999997E-2</v>
      </c>
      <c r="E52" s="121">
        <f>+'6.1 ADIT Calcluated p.2'!E52</f>
        <v>4.0099999999999997E-2</v>
      </c>
      <c r="F52" s="121">
        <f>+'6.1 ADIT Calcluated p.2'!F52</f>
        <v>4.0099999999999997E-2</v>
      </c>
      <c r="G52" s="121">
        <f>+'6.1 ADIT Calcluated p.2'!G52</f>
        <v>4.0099999999999997E-2</v>
      </c>
      <c r="H52" s="121">
        <f>+'6.1 ADIT Calcluated p.2'!H52</f>
        <v>4.0099999999999997E-2</v>
      </c>
      <c r="I52" s="121">
        <f>+'6.1 ADIT Calcluated p.2'!I52</f>
        <v>4.0099999999999997E-2</v>
      </c>
      <c r="AG52" s="11"/>
      <c r="AK52" s="45"/>
    </row>
    <row r="53" spans="1:37" x14ac:dyDescent="0.35">
      <c r="B53" s="126"/>
      <c r="D53" s="127">
        <f>(1-D51)*D52</f>
        <v>4.0099999999999997E-2</v>
      </c>
      <c r="E53" s="127">
        <f>(1-E51)*E52</f>
        <v>4.0099999999999997E-2</v>
      </c>
      <c r="F53" s="127">
        <f t="shared" ref="F53:AE53" si="13">(1-F51)*F52</f>
        <v>4.0099999999999997E-2</v>
      </c>
      <c r="G53" s="127">
        <f>(1-G51)*G52</f>
        <v>4.0099999999999997E-2</v>
      </c>
      <c r="H53" s="127">
        <f>(1-H51)*H52</f>
        <v>4.0099999999999997E-2</v>
      </c>
      <c r="I53" s="127">
        <f>(1-I51)*I52</f>
        <v>4.0099999999999997E-2</v>
      </c>
      <c r="J53" s="127">
        <f t="shared" si="13"/>
        <v>0</v>
      </c>
      <c r="K53" s="127">
        <f t="shared" si="13"/>
        <v>0</v>
      </c>
      <c r="L53" s="127">
        <f t="shared" si="13"/>
        <v>0</v>
      </c>
      <c r="M53" s="127">
        <f t="shared" si="13"/>
        <v>0</v>
      </c>
      <c r="N53" s="127">
        <f t="shared" si="13"/>
        <v>0</v>
      </c>
      <c r="O53" s="127">
        <f t="shared" si="13"/>
        <v>0</v>
      </c>
      <c r="P53" s="127">
        <f t="shared" si="13"/>
        <v>0</v>
      </c>
      <c r="Q53" s="127">
        <f t="shared" si="13"/>
        <v>0</v>
      </c>
      <c r="R53" s="127">
        <f t="shared" si="13"/>
        <v>0</v>
      </c>
      <c r="S53" s="127">
        <f t="shared" si="13"/>
        <v>0</v>
      </c>
      <c r="T53" s="127">
        <f t="shared" si="13"/>
        <v>0</v>
      </c>
      <c r="U53" s="127">
        <f t="shared" si="13"/>
        <v>0</v>
      </c>
      <c r="V53" s="127">
        <f t="shared" si="13"/>
        <v>0</v>
      </c>
      <c r="W53" s="127">
        <f t="shared" si="13"/>
        <v>0</v>
      </c>
      <c r="X53" s="127">
        <f t="shared" si="13"/>
        <v>0</v>
      </c>
      <c r="Y53" s="127">
        <f t="shared" si="13"/>
        <v>0</v>
      </c>
      <c r="Z53" s="127">
        <f t="shared" si="13"/>
        <v>0</v>
      </c>
      <c r="AA53" s="127">
        <f t="shared" si="13"/>
        <v>0</v>
      </c>
      <c r="AB53" s="127">
        <f t="shared" si="13"/>
        <v>0</v>
      </c>
      <c r="AC53" s="127">
        <f t="shared" si="13"/>
        <v>0</v>
      </c>
      <c r="AD53" s="127">
        <f t="shared" si="13"/>
        <v>0</v>
      </c>
      <c r="AE53" s="127">
        <f t="shared" si="13"/>
        <v>0</v>
      </c>
      <c r="AJ53" s="24"/>
      <c r="AK53" s="45"/>
    </row>
    <row r="54" spans="1:37" x14ac:dyDescent="0.35">
      <c r="B54" s="128" t="s">
        <v>99</v>
      </c>
      <c r="D54" s="121">
        <f>+'6.1 ADIT Calcluated p.2'!D54</f>
        <v>0</v>
      </c>
      <c r="E54" s="121">
        <f>+'6.1 ADIT Calcluated p.2'!E54</f>
        <v>0</v>
      </c>
      <c r="F54" s="121">
        <f>+'6.1 ADIT Calcluated p.2'!F54</f>
        <v>0</v>
      </c>
      <c r="G54" s="121">
        <f>+'6.1 ADIT Calcluated p.2'!G54</f>
        <v>0</v>
      </c>
      <c r="H54" s="121">
        <f>+'6.1 ADIT Calcluated p.2'!H54</f>
        <v>0</v>
      </c>
      <c r="I54" s="121">
        <f>+'6.1 ADIT Calcluated p.2'!I54</f>
        <v>0</v>
      </c>
      <c r="AG54" s="24"/>
      <c r="AH54" s="24"/>
      <c r="AI54" s="24"/>
      <c r="AJ54" s="24"/>
      <c r="AK54" s="24"/>
    </row>
    <row r="55" spans="1:37" x14ac:dyDescent="0.35">
      <c r="B55" s="129"/>
      <c r="D55" s="127">
        <f t="shared" ref="D55:I55" si="14">D51+D53</f>
        <v>4.0099999999999997E-2</v>
      </c>
      <c r="E55" s="127">
        <f t="shared" si="14"/>
        <v>4.0099999999999997E-2</v>
      </c>
      <c r="F55" s="127">
        <f t="shared" si="14"/>
        <v>4.0099999999999997E-2</v>
      </c>
      <c r="G55" s="127">
        <f t="shared" si="14"/>
        <v>4.0099999999999997E-2</v>
      </c>
      <c r="H55" s="127">
        <f t="shared" si="14"/>
        <v>4.0099999999999997E-2</v>
      </c>
      <c r="I55" s="127">
        <f t="shared" si="14"/>
        <v>4.0099999999999997E-2</v>
      </c>
      <c r="AG55" s="124"/>
      <c r="AH55" s="124"/>
      <c r="AI55" s="124"/>
      <c r="AJ55" s="124"/>
      <c r="AK55" s="124"/>
    </row>
    <row r="56" spans="1:37" x14ac:dyDescent="0.35">
      <c r="D56" s="117"/>
      <c r="E56" s="117"/>
      <c r="F56" s="117"/>
      <c r="AH56" s="82"/>
      <c r="AI56" s="45"/>
      <c r="AJ56" s="44"/>
      <c r="AK56" s="45"/>
    </row>
    <row r="57" spans="1:37" x14ac:dyDescent="0.35">
      <c r="D57" s="117"/>
      <c r="E57" s="117"/>
      <c r="F57" s="117"/>
      <c r="AH57" s="44"/>
      <c r="AI57" s="45"/>
      <c r="AJ57" s="44"/>
      <c r="AK57" s="45"/>
    </row>
    <row r="58" spans="1:37" x14ac:dyDescent="0.35">
      <c r="AH58" s="44"/>
      <c r="AI58" s="45"/>
      <c r="AJ58" s="44"/>
      <c r="AK58" s="45"/>
    </row>
    <row r="59" spans="1:37" x14ac:dyDescent="0.35">
      <c r="AH59" s="44"/>
      <c r="AI59" s="45"/>
      <c r="AJ59" s="44"/>
      <c r="AK59" s="45"/>
    </row>
    <row r="60" spans="1:37" x14ac:dyDescent="0.35">
      <c r="AH60" s="44"/>
      <c r="AI60" s="45"/>
      <c r="AJ60" s="44"/>
      <c r="AK60" s="45"/>
    </row>
    <row r="61" spans="1:37" x14ac:dyDescent="0.35">
      <c r="AH61" s="44"/>
      <c r="AI61" s="45"/>
      <c r="AJ61" s="44"/>
      <c r="AK61" s="45"/>
    </row>
    <row r="62" spans="1:37" x14ac:dyDescent="0.35">
      <c r="AF62" s="45"/>
      <c r="AH62" s="44"/>
      <c r="AI62" s="45"/>
      <c r="AJ62" s="44"/>
      <c r="AK62" s="45"/>
    </row>
    <row r="63" spans="1:37" x14ac:dyDescent="0.35">
      <c r="AF63" s="45"/>
      <c r="AH63" s="44"/>
      <c r="AI63" s="45"/>
      <c r="AJ63" s="44"/>
      <c r="AK63" s="45"/>
    </row>
    <row r="64" spans="1:37" x14ac:dyDescent="0.35">
      <c r="AF64" s="45"/>
      <c r="AH64" s="44"/>
      <c r="AI64" s="45"/>
      <c r="AJ64" s="44"/>
      <c r="AK64" s="45"/>
    </row>
    <row r="65" spans="7:37" x14ac:dyDescent="0.35">
      <c r="AF65" s="45"/>
      <c r="AH65" s="44"/>
      <c r="AI65" s="45"/>
      <c r="AJ65" s="44"/>
      <c r="AK65" s="45"/>
    </row>
    <row r="66" spans="7:37" x14ac:dyDescent="0.35">
      <c r="G66" s="44"/>
      <c r="AF66" s="45"/>
      <c r="AH66" s="44"/>
      <c r="AI66" s="45"/>
      <c r="AJ66" s="44"/>
      <c r="AK66" s="45"/>
    </row>
    <row r="67" spans="7:37" x14ac:dyDescent="0.35">
      <c r="G67" s="44"/>
      <c r="H67" s="44"/>
      <c r="AF67" s="45"/>
      <c r="AH67" s="44"/>
      <c r="AI67" s="45"/>
      <c r="AJ67" s="44"/>
      <c r="AK67" s="45"/>
    </row>
    <row r="68" spans="7:37" x14ac:dyDescent="0.35">
      <c r="G68" s="44"/>
      <c r="H68" s="44"/>
      <c r="I68" s="44"/>
      <c r="AF68" s="45"/>
      <c r="AH68" s="44"/>
      <c r="AI68" s="45"/>
      <c r="AJ68" s="44"/>
      <c r="AK68" s="45"/>
    </row>
    <row r="69" spans="7:37" x14ac:dyDescent="0.35">
      <c r="G69" s="44"/>
      <c r="H69" s="44"/>
      <c r="I69" s="44"/>
      <c r="J69" s="44"/>
      <c r="AF69" s="45"/>
      <c r="AH69" s="44"/>
      <c r="AI69" s="45"/>
      <c r="AJ69" s="44"/>
      <c r="AK69" s="45"/>
    </row>
    <row r="70" spans="7:37" x14ac:dyDescent="0.35">
      <c r="G70" s="44"/>
      <c r="H70" s="44"/>
      <c r="I70" s="44"/>
      <c r="J70" s="44"/>
      <c r="K70" s="44"/>
      <c r="AF70" s="45"/>
      <c r="AH70" s="44"/>
      <c r="AI70" s="45"/>
      <c r="AJ70" s="44"/>
      <c r="AK70" s="45"/>
    </row>
    <row r="71" spans="7:37" x14ac:dyDescent="0.35"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5"/>
      <c r="AH71" s="44"/>
      <c r="AI71" s="45"/>
      <c r="AJ71" s="44"/>
      <c r="AK71" s="45"/>
    </row>
    <row r="72" spans="7:37" x14ac:dyDescent="0.35"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5"/>
      <c r="AH72" s="44"/>
      <c r="AI72" s="45"/>
      <c r="AJ72" s="44"/>
      <c r="AK72" s="45"/>
    </row>
    <row r="73" spans="7:37" x14ac:dyDescent="0.35"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5"/>
      <c r="AH73" s="44"/>
      <c r="AI73" s="45"/>
      <c r="AJ73" s="44"/>
      <c r="AK73" s="45"/>
    </row>
    <row r="74" spans="7:37" x14ac:dyDescent="0.35"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5"/>
      <c r="AH74" s="44"/>
      <c r="AI74" s="45"/>
      <c r="AJ74" s="44"/>
      <c r="AK74" s="45"/>
    </row>
    <row r="75" spans="7:37" x14ac:dyDescent="0.35"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H75" s="44"/>
      <c r="AI75" s="45"/>
      <c r="AJ75" s="44"/>
      <c r="AK75" s="45"/>
    </row>
    <row r="76" spans="7:37" x14ac:dyDescent="0.35"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H76" s="44"/>
      <c r="AI76" s="45"/>
      <c r="AJ76" s="44"/>
      <c r="AK76" s="45"/>
    </row>
    <row r="77" spans="7:37" x14ac:dyDescent="0.35"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H77" s="45"/>
      <c r="AI77" s="45"/>
      <c r="AJ77" s="45"/>
      <c r="AK77" s="45"/>
    </row>
    <row r="78" spans="7:37" x14ac:dyDescent="0.35"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</row>
    <row r="79" spans="7:37" x14ac:dyDescent="0.35"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</row>
    <row r="80" spans="7:37" x14ac:dyDescent="0.35"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G80" s="11"/>
      <c r="AK80" s="45"/>
    </row>
    <row r="81" spans="33:37" x14ac:dyDescent="0.35">
      <c r="AJ81" s="24"/>
      <c r="AK81" s="45"/>
    </row>
    <row r="82" spans="33:37" x14ac:dyDescent="0.35">
      <c r="AG82" s="24"/>
      <c r="AH82" s="24"/>
      <c r="AI82" s="24"/>
      <c r="AJ82" s="24"/>
      <c r="AK82" s="24"/>
    </row>
    <row r="83" spans="33:37" x14ac:dyDescent="0.35">
      <c r="AG83" s="124"/>
      <c r="AH83" s="124"/>
      <c r="AI83" s="124"/>
      <c r="AJ83" s="124"/>
      <c r="AK83" s="124"/>
    </row>
    <row r="84" spans="33:37" x14ac:dyDescent="0.35">
      <c r="AH84" s="44"/>
      <c r="AI84" s="45"/>
      <c r="AJ84" s="44"/>
      <c r="AK84" s="45"/>
    </row>
    <row r="85" spans="33:37" x14ac:dyDescent="0.35">
      <c r="AH85" s="44"/>
      <c r="AI85" s="45"/>
      <c r="AJ85" s="44"/>
      <c r="AK85" s="45"/>
    </row>
    <row r="86" spans="33:37" x14ac:dyDescent="0.35">
      <c r="AH86" s="44"/>
      <c r="AI86" s="45"/>
      <c r="AJ86" s="44"/>
      <c r="AK86" s="45"/>
    </row>
    <row r="87" spans="33:37" x14ac:dyDescent="0.35">
      <c r="AH87" s="44"/>
      <c r="AI87" s="45"/>
      <c r="AJ87" s="44"/>
      <c r="AK87" s="45"/>
    </row>
    <row r="88" spans="33:37" x14ac:dyDescent="0.35">
      <c r="AH88" s="44"/>
      <c r="AI88" s="45"/>
      <c r="AJ88" s="44"/>
      <c r="AK88" s="45"/>
    </row>
    <row r="89" spans="33:37" x14ac:dyDescent="0.35">
      <c r="AH89" s="44"/>
      <c r="AI89" s="45"/>
      <c r="AJ89" s="44"/>
      <c r="AK89" s="45"/>
    </row>
    <row r="90" spans="33:37" x14ac:dyDescent="0.35">
      <c r="AH90" s="44"/>
      <c r="AI90" s="45"/>
      <c r="AJ90" s="44"/>
      <c r="AK90" s="45"/>
    </row>
    <row r="91" spans="33:37" x14ac:dyDescent="0.35">
      <c r="AH91" s="44"/>
      <c r="AI91" s="45"/>
      <c r="AJ91" s="44"/>
      <c r="AK91" s="45"/>
    </row>
    <row r="92" spans="33:37" x14ac:dyDescent="0.35">
      <c r="AH92" s="44"/>
      <c r="AI92" s="45"/>
      <c r="AJ92" s="44"/>
      <c r="AK92" s="45"/>
    </row>
    <row r="93" spans="33:37" x14ac:dyDescent="0.35">
      <c r="AH93" s="44"/>
      <c r="AI93" s="45"/>
      <c r="AJ93" s="44"/>
      <c r="AK93" s="45"/>
    </row>
    <row r="94" spans="33:37" x14ac:dyDescent="0.35">
      <c r="AH94" s="44"/>
      <c r="AI94" s="45"/>
      <c r="AJ94" s="44"/>
      <c r="AK94" s="45"/>
    </row>
    <row r="95" spans="33:37" x14ac:dyDescent="0.35">
      <c r="AH95" s="44"/>
      <c r="AI95" s="45"/>
      <c r="AJ95" s="44"/>
      <c r="AK95" s="45"/>
    </row>
    <row r="96" spans="33:37" x14ac:dyDescent="0.35">
      <c r="AH96" s="44"/>
      <c r="AI96" s="45"/>
      <c r="AJ96" s="44"/>
      <c r="AK96" s="45"/>
    </row>
    <row r="97" spans="34:37" x14ac:dyDescent="0.35">
      <c r="AH97" s="44"/>
      <c r="AI97" s="45"/>
      <c r="AJ97" s="44"/>
      <c r="AK97" s="45"/>
    </row>
    <row r="98" spans="34:37" x14ac:dyDescent="0.35">
      <c r="AH98" s="44"/>
      <c r="AI98" s="45"/>
      <c r="AJ98" s="44"/>
      <c r="AK98" s="45"/>
    </row>
    <row r="99" spans="34:37" x14ac:dyDescent="0.35">
      <c r="AH99" s="44"/>
      <c r="AI99" s="45"/>
      <c r="AJ99" s="44"/>
      <c r="AK99" s="45"/>
    </row>
    <row r="100" spans="34:37" x14ac:dyDescent="0.35">
      <c r="AH100" s="44"/>
      <c r="AI100" s="45"/>
      <c r="AJ100" s="44"/>
      <c r="AK100" s="45"/>
    </row>
    <row r="101" spans="34:37" x14ac:dyDescent="0.35">
      <c r="AH101" s="44"/>
      <c r="AI101" s="45"/>
      <c r="AJ101" s="44"/>
      <c r="AK101" s="45"/>
    </row>
    <row r="102" spans="34:37" x14ac:dyDescent="0.35">
      <c r="AH102" s="44"/>
      <c r="AI102" s="45"/>
      <c r="AJ102" s="44"/>
      <c r="AK102" s="45"/>
    </row>
    <row r="103" spans="34:37" x14ac:dyDescent="0.35">
      <c r="AH103" s="44"/>
      <c r="AI103" s="45"/>
      <c r="AJ103" s="44"/>
      <c r="AK103" s="45"/>
    </row>
    <row r="104" spans="34:37" x14ac:dyDescent="0.35">
      <c r="AH104" s="44"/>
      <c r="AI104" s="45"/>
      <c r="AJ104" s="44"/>
      <c r="AK104" s="45"/>
    </row>
    <row r="105" spans="34:37" x14ac:dyDescent="0.35">
      <c r="AH105" s="45"/>
      <c r="AI105" s="45"/>
      <c r="AJ105" s="45"/>
      <c r="AK105" s="45"/>
    </row>
  </sheetData>
  <mergeCells count="4">
    <mergeCell ref="A4:AK4"/>
    <mergeCell ref="A5:AK5"/>
    <mergeCell ref="A6:AK6"/>
    <mergeCell ref="D15:AG15"/>
  </mergeCells>
  <printOptions horizontalCentered="1"/>
  <pageMargins left="0" right="0" top="0.5" bottom="0" header="0.5" footer="0.5"/>
  <pageSetup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BCA3E-96EC-4F86-ABE1-8ED350901E36}">
  <sheetPr>
    <pageSetUpPr fitToPage="1"/>
  </sheetPr>
  <dimension ref="A1:Q26"/>
  <sheetViews>
    <sheetView zoomScaleNormal="100" workbookViewId="0">
      <selection activeCell="F1" sqref="F1"/>
    </sheetView>
  </sheetViews>
  <sheetFormatPr defaultColWidth="9.1796875" defaultRowHeight="15.5" x14ac:dyDescent="0.35"/>
  <cols>
    <col min="1" max="1" width="6.1796875" style="8" customWidth="1"/>
    <col min="2" max="2" width="2.453125" style="8" customWidth="1"/>
    <col min="3" max="3" width="3" style="8" customWidth="1"/>
    <col min="4" max="4" width="44.54296875" style="8" bestFit="1" customWidth="1"/>
    <col min="5" max="5" width="8.54296875" style="8" customWidth="1"/>
    <col min="6" max="6" width="9.1796875" style="8"/>
    <col min="7" max="7" width="21.54296875" style="8" customWidth="1"/>
    <col min="8" max="8" width="9.1796875" style="8"/>
    <col min="9" max="9" width="35.1796875" style="8" bestFit="1" customWidth="1"/>
    <col min="10" max="16384" width="9.1796875" style="8"/>
  </cols>
  <sheetData>
    <row r="1" spans="1:17" x14ac:dyDescent="0.35">
      <c r="I1" s="9" t="str">
        <f>+'6.1 ADIT Calcluated p.3'!AK1</f>
        <v>Case No. 2024-00328</v>
      </c>
    </row>
    <row r="2" spans="1:17" x14ac:dyDescent="0.35">
      <c r="I2" s="9" t="s">
        <v>196</v>
      </c>
      <c r="L2" s="9"/>
    </row>
    <row r="3" spans="1:17" x14ac:dyDescent="0.35">
      <c r="A3" s="138" t="s">
        <v>12</v>
      </c>
      <c r="B3" s="138"/>
      <c r="C3" s="138"/>
      <c r="D3" s="138"/>
      <c r="E3" s="138"/>
      <c r="F3" s="138"/>
      <c r="G3" s="138"/>
      <c r="H3" s="138"/>
      <c r="I3" s="138"/>
      <c r="J3" s="11"/>
      <c r="K3" s="11"/>
      <c r="L3" s="11"/>
      <c r="M3" s="11"/>
    </row>
    <row r="4" spans="1:17" x14ac:dyDescent="0.35">
      <c r="A4" s="138" t="s">
        <v>109</v>
      </c>
      <c r="B4" s="138"/>
      <c r="C4" s="138"/>
      <c r="D4" s="138"/>
      <c r="E4" s="138"/>
      <c r="F4" s="138"/>
      <c r="G4" s="138"/>
      <c r="H4" s="138"/>
      <c r="I4" s="138"/>
      <c r="J4" s="11"/>
      <c r="K4" s="11"/>
      <c r="L4" s="11"/>
      <c r="M4" s="11"/>
      <c r="N4" s="11"/>
      <c r="O4" s="11"/>
      <c r="P4" s="11"/>
      <c r="Q4" s="11"/>
    </row>
    <row r="5" spans="1:17" x14ac:dyDescent="0.35">
      <c r="A5" s="138" t="s">
        <v>197</v>
      </c>
      <c r="B5" s="138"/>
      <c r="C5" s="138"/>
      <c r="D5" s="138"/>
      <c r="E5" s="138"/>
      <c r="F5" s="138"/>
      <c r="G5" s="138"/>
      <c r="H5" s="138"/>
      <c r="I5" s="138"/>
      <c r="J5" s="11"/>
      <c r="K5" s="11"/>
      <c r="L5" s="11"/>
      <c r="M5" s="11"/>
    </row>
    <row r="8" spans="1:17" x14ac:dyDescent="0.35">
      <c r="A8" s="10" t="s">
        <v>49</v>
      </c>
      <c r="F8" s="10"/>
      <c r="G8" s="10" t="s">
        <v>111</v>
      </c>
      <c r="H8" s="11"/>
      <c r="I8" s="11"/>
    </row>
    <row r="9" spans="1:17" x14ac:dyDescent="0.35">
      <c r="A9" s="13" t="s">
        <v>50</v>
      </c>
      <c r="E9" s="24"/>
      <c r="F9" s="130"/>
      <c r="G9" s="42">
        <v>45657</v>
      </c>
      <c r="H9" s="11"/>
      <c r="I9" s="13" t="s">
        <v>51</v>
      </c>
    </row>
    <row r="10" spans="1:17" x14ac:dyDescent="0.35">
      <c r="A10" s="10"/>
      <c r="E10" s="24"/>
      <c r="F10" s="23"/>
      <c r="G10" s="23" t="s">
        <v>221</v>
      </c>
      <c r="H10" s="23"/>
      <c r="I10" s="23" t="s">
        <v>222</v>
      </c>
    </row>
    <row r="12" spans="1:17" x14ac:dyDescent="0.35">
      <c r="A12" s="24"/>
      <c r="B12" s="11"/>
    </row>
    <row r="13" spans="1:17" x14ac:dyDescent="0.35">
      <c r="A13" s="24"/>
      <c r="B13" s="20" t="s">
        <v>269</v>
      </c>
    </row>
    <row r="14" spans="1:17" x14ac:dyDescent="0.35">
      <c r="A14" s="24">
        <v>1</v>
      </c>
      <c r="D14" s="8" t="s">
        <v>200</v>
      </c>
      <c r="F14" s="43"/>
      <c r="G14" s="44">
        <f>+'3.0 Plant in Service'!P109+'4.0 Accumulated Depr'!O122</f>
        <v>87346231.709592</v>
      </c>
      <c r="I14" s="8" t="s">
        <v>242</v>
      </c>
    </row>
    <row r="15" spans="1:17" x14ac:dyDescent="0.35">
      <c r="A15" s="24"/>
    </row>
    <row r="16" spans="1:17" x14ac:dyDescent="0.35">
      <c r="A16" s="24"/>
      <c r="B16" s="20" t="s">
        <v>198</v>
      </c>
      <c r="C16" s="11"/>
      <c r="D16" s="11"/>
      <c r="E16" s="11"/>
    </row>
    <row r="17" spans="1:9" ht="18.5" x14ac:dyDescent="0.35">
      <c r="A17" s="24">
        <f>A14+1</f>
        <v>2</v>
      </c>
      <c r="D17" s="8" t="s">
        <v>199</v>
      </c>
      <c r="F17" s="43"/>
      <c r="G17" s="46">
        <f>ROUND(G14*0.015297,0)</f>
        <v>1336135</v>
      </c>
      <c r="I17" s="8" t="s">
        <v>292</v>
      </c>
    </row>
    <row r="18" spans="1:9" x14ac:dyDescent="0.35">
      <c r="A18" s="24"/>
      <c r="F18" s="43"/>
      <c r="G18" s="103"/>
    </row>
    <row r="19" spans="1:9" ht="18.5" x14ac:dyDescent="0.65">
      <c r="A19" s="24"/>
      <c r="F19" s="43"/>
      <c r="G19" s="131"/>
    </row>
    <row r="20" spans="1:9" x14ac:dyDescent="0.35">
      <c r="A20" s="24"/>
      <c r="F20" s="45"/>
      <c r="G20" s="45"/>
    </row>
    <row r="21" spans="1:9" x14ac:dyDescent="0.35">
      <c r="A21" s="24"/>
      <c r="F21" s="55"/>
      <c r="G21" s="45"/>
    </row>
    <row r="22" spans="1:9" x14ac:dyDescent="0.35">
      <c r="A22" s="24"/>
      <c r="B22" s="11"/>
      <c r="F22" s="132"/>
      <c r="G22" s="45"/>
    </row>
    <row r="23" spans="1:9" x14ac:dyDescent="0.35">
      <c r="F23" s="55"/>
      <c r="G23" s="133"/>
    </row>
    <row r="24" spans="1:9" x14ac:dyDescent="0.35">
      <c r="A24" s="24" t="s">
        <v>71</v>
      </c>
      <c r="B24" s="11"/>
      <c r="C24" s="11"/>
      <c r="D24" s="11"/>
      <c r="E24" s="11"/>
      <c r="F24" s="134"/>
      <c r="G24" s="134"/>
      <c r="H24" s="11"/>
      <c r="I24" s="11"/>
    </row>
    <row r="25" spans="1:9" ht="18.5" x14ac:dyDescent="0.35">
      <c r="A25" s="8" t="s">
        <v>296</v>
      </c>
      <c r="F25" s="79"/>
      <c r="G25" s="79"/>
      <c r="I25" s="11"/>
    </row>
    <row r="26" spans="1:9" x14ac:dyDescent="0.35">
      <c r="G26" s="55"/>
    </row>
  </sheetData>
  <mergeCells count="3">
    <mergeCell ref="A3:I3"/>
    <mergeCell ref="A4:I4"/>
    <mergeCell ref="A5:I5"/>
  </mergeCells>
  <pageMargins left="0.7" right="0.7" top="0.75" bottom="0.75" header="0.3" footer="0.3"/>
  <pageSetup scale="89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46518-80EC-468C-9CB2-923045F9282A}">
  <sheetPr codeName="Sheet10">
    <pageSetUpPr fitToPage="1"/>
  </sheetPr>
  <dimension ref="B1:I18"/>
  <sheetViews>
    <sheetView zoomScaleNormal="100" workbookViewId="0">
      <selection activeCell="F1" sqref="F1"/>
    </sheetView>
  </sheetViews>
  <sheetFormatPr defaultColWidth="9.1796875" defaultRowHeight="15.5" x14ac:dyDescent="0.35"/>
  <cols>
    <col min="1" max="1" width="3.81640625" style="8" customWidth="1"/>
    <col min="2" max="2" width="53.1796875" style="8" bestFit="1" customWidth="1"/>
    <col min="3" max="4" width="10.81640625" style="8" customWidth="1"/>
    <col min="5" max="5" width="20.81640625" style="8" customWidth="1"/>
    <col min="6" max="7" width="10.1796875" style="8" bestFit="1" customWidth="1"/>
    <col min="8" max="8" width="9.1796875" style="8"/>
    <col min="9" max="9" width="9.81640625" style="8" customWidth="1"/>
    <col min="10" max="16384" width="9.1796875" style="8"/>
  </cols>
  <sheetData>
    <row r="1" spans="2:9" x14ac:dyDescent="0.35">
      <c r="G1" s="9" t="str">
        <f>+'7.0 Property Tax'!I1</f>
        <v>Case No. 2024-00328</v>
      </c>
    </row>
    <row r="2" spans="2:9" x14ac:dyDescent="0.35">
      <c r="G2" s="9" t="s">
        <v>189</v>
      </c>
    </row>
    <row r="3" spans="2:9" x14ac:dyDescent="0.35">
      <c r="E3" s="9"/>
    </row>
    <row r="4" spans="2:9" x14ac:dyDescent="0.35">
      <c r="B4" s="138" t="s">
        <v>12</v>
      </c>
      <c r="C4" s="138"/>
      <c r="D4" s="138"/>
      <c r="E4" s="138"/>
      <c r="F4" s="11"/>
      <c r="G4" s="11"/>
      <c r="H4" s="11"/>
    </row>
    <row r="5" spans="2:9" x14ac:dyDescent="0.35">
      <c r="B5" s="138" t="s">
        <v>112</v>
      </c>
      <c r="C5" s="138"/>
      <c r="D5" s="138"/>
      <c r="E5" s="138"/>
      <c r="F5" s="11"/>
      <c r="G5" s="11"/>
      <c r="H5" s="11"/>
    </row>
    <row r="6" spans="2:9" x14ac:dyDescent="0.35">
      <c r="B6" s="138" t="s">
        <v>78</v>
      </c>
      <c r="C6" s="138"/>
      <c r="D6" s="138"/>
      <c r="E6" s="138"/>
      <c r="F6" s="11"/>
      <c r="G6" s="11"/>
      <c r="H6" s="11"/>
    </row>
    <row r="9" spans="2:9" x14ac:dyDescent="0.35">
      <c r="E9" s="13" t="s">
        <v>79</v>
      </c>
    </row>
    <row r="10" spans="2:9" x14ac:dyDescent="0.35">
      <c r="E10" s="10" t="s">
        <v>13</v>
      </c>
    </row>
    <row r="11" spans="2:9" ht="18.5" x14ac:dyDescent="0.35">
      <c r="B11" s="8" t="s">
        <v>283</v>
      </c>
      <c r="E11" s="15">
        <v>3488186</v>
      </c>
    </row>
    <row r="12" spans="2:9" ht="18.5" x14ac:dyDescent="0.65">
      <c r="B12" s="8" t="s">
        <v>209</v>
      </c>
      <c r="E12" s="135">
        <v>2978227</v>
      </c>
    </row>
    <row r="13" spans="2:9" x14ac:dyDescent="0.35">
      <c r="B13" s="8" t="s">
        <v>77</v>
      </c>
      <c r="E13" s="45">
        <f>IF(+E11-E12&lt;0,+E11-E12,0)</f>
        <v>0</v>
      </c>
      <c r="G13" s="43"/>
    </row>
    <row r="14" spans="2:9" x14ac:dyDescent="0.35">
      <c r="I14" s="55"/>
    </row>
    <row r="16" spans="2:9" ht="18.5" x14ac:dyDescent="0.35">
      <c r="B16" s="8" t="s">
        <v>284</v>
      </c>
    </row>
    <row r="17" spans="2:2" x14ac:dyDescent="0.35">
      <c r="B17" s="8" t="s">
        <v>286</v>
      </c>
    </row>
    <row r="18" spans="2:2" x14ac:dyDescent="0.35">
      <c r="B18" s="8" t="s">
        <v>285</v>
      </c>
    </row>
  </sheetData>
  <mergeCells count="3">
    <mergeCell ref="B4:E4"/>
    <mergeCell ref="B5:E5"/>
    <mergeCell ref="B6:E6"/>
  </mergeCells>
  <pageMargins left="0.7" right="0.7" top="0.75" bottom="0.75" header="0.3" footer="0.3"/>
  <pageSetup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C404B-9755-4514-94D2-6F6E2C86389B}">
  <sheetPr codeName="Sheet1">
    <pageSetUpPr fitToPage="1"/>
  </sheetPr>
  <dimension ref="A1:J29"/>
  <sheetViews>
    <sheetView zoomScaleNormal="100" zoomScaleSheetLayoutView="106" workbookViewId="0">
      <selection activeCell="A27" sqref="A27"/>
    </sheetView>
  </sheetViews>
  <sheetFormatPr defaultColWidth="8.81640625" defaultRowHeight="12.5" x14ac:dyDescent="0.25"/>
  <cols>
    <col min="1" max="1" width="4.54296875" style="2" customWidth="1"/>
    <col min="2" max="2" width="58.81640625" style="2" bestFit="1" customWidth="1"/>
    <col min="3" max="3" width="12.1796875" style="2" bestFit="1" customWidth="1"/>
    <col min="4" max="4" width="15.453125" style="2" bestFit="1" customWidth="1"/>
    <col min="5" max="5" width="16.1796875" style="2" bestFit="1" customWidth="1"/>
    <col min="6" max="6" width="13" style="2" bestFit="1" customWidth="1"/>
    <col min="7" max="7" width="17.1796875" style="2" bestFit="1" customWidth="1"/>
    <col min="8" max="8" width="14.54296875" style="2" bestFit="1" customWidth="1"/>
    <col min="9" max="9" width="8.81640625" style="2"/>
    <col min="10" max="10" width="10" style="7" bestFit="1" customWidth="1"/>
    <col min="11" max="16384" width="8.81640625" style="2"/>
  </cols>
  <sheetData>
    <row r="1" spans="1:8" ht="15.5" x14ac:dyDescent="0.35">
      <c r="A1" s="8"/>
      <c r="B1" s="8"/>
      <c r="C1" s="8"/>
      <c r="D1" s="8"/>
      <c r="E1" s="8"/>
      <c r="F1" s="8"/>
      <c r="G1" s="8"/>
      <c r="H1" s="9" t="str">
        <f>+'Table of Contents'!F1</f>
        <v>Case No. 2024-00328</v>
      </c>
    </row>
    <row r="2" spans="1:8" ht="15.5" x14ac:dyDescent="0.35">
      <c r="A2" s="8"/>
      <c r="B2" s="8"/>
      <c r="C2" s="8"/>
      <c r="D2" s="8"/>
      <c r="E2" s="8"/>
      <c r="F2" s="8"/>
      <c r="G2" s="8"/>
      <c r="H2" s="9" t="s">
        <v>108</v>
      </c>
    </row>
    <row r="3" spans="1:8" ht="15.5" x14ac:dyDescent="0.35">
      <c r="A3" s="8"/>
      <c r="B3" s="8"/>
      <c r="C3" s="8"/>
      <c r="D3" s="8"/>
      <c r="E3" s="8"/>
      <c r="F3" s="8"/>
      <c r="G3" s="8"/>
      <c r="H3" s="9"/>
    </row>
    <row r="4" spans="1:8" ht="15.5" x14ac:dyDescent="0.35">
      <c r="A4" s="138" t="s">
        <v>12</v>
      </c>
      <c r="B4" s="138"/>
      <c r="C4" s="138"/>
      <c r="D4" s="138"/>
      <c r="E4" s="138"/>
      <c r="F4" s="138"/>
      <c r="G4" s="138"/>
      <c r="H4" s="138"/>
    </row>
    <row r="5" spans="1:8" ht="15.5" x14ac:dyDescent="0.35">
      <c r="A5" s="138" t="s">
        <v>109</v>
      </c>
      <c r="B5" s="138"/>
      <c r="C5" s="138"/>
      <c r="D5" s="138"/>
      <c r="E5" s="138"/>
      <c r="F5" s="138"/>
      <c r="G5" s="138"/>
      <c r="H5" s="138"/>
    </row>
    <row r="6" spans="1:8" ht="15.5" x14ac:dyDescent="0.35">
      <c r="A6" s="138" t="s">
        <v>106</v>
      </c>
      <c r="B6" s="138"/>
      <c r="C6" s="138"/>
      <c r="D6" s="138"/>
      <c r="E6" s="138"/>
      <c r="F6" s="138"/>
      <c r="G6" s="138"/>
      <c r="H6" s="138"/>
    </row>
    <row r="7" spans="1:8" ht="15.5" x14ac:dyDescent="0.35">
      <c r="A7" s="10"/>
      <c r="B7" s="10"/>
      <c r="C7" s="10"/>
      <c r="D7" s="10"/>
      <c r="E7" s="10"/>
      <c r="F7" s="10"/>
      <c r="G7" s="8"/>
      <c r="H7" s="8"/>
    </row>
    <row r="8" spans="1:8" ht="15.5" x14ac:dyDescent="0.35">
      <c r="A8" s="8"/>
      <c r="B8" s="8"/>
      <c r="C8" s="8"/>
      <c r="D8" s="10"/>
      <c r="E8" s="10" t="s">
        <v>57</v>
      </c>
      <c r="F8" s="10" t="s">
        <v>245</v>
      </c>
      <c r="G8" s="10" t="s">
        <v>101</v>
      </c>
      <c r="H8" s="10" t="s">
        <v>9</v>
      </c>
    </row>
    <row r="9" spans="1:8" ht="15.5" x14ac:dyDescent="0.35">
      <c r="A9" s="10" t="s">
        <v>49</v>
      </c>
      <c r="B9" s="8"/>
      <c r="C9" s="10" t="s">
        <v>54</v>
      </c>
      <c r="D9" s="10" t="s">
        <v>55</v>
      </c>
      <c r="E9" s="10" t="s">
        <v>58</v>
      </c>
      <c r="F9" s="10" t="s">
        <v>105</v>
      </c>
      <c r="G9" s="10" t="s">
        <v>94</v>
      </c>
      <c r="H9" s="10" t="s">
        <v>245</v>
      </c>
    </row>
    <row r="10" spans="1:8" ht="17.5" x14ac:dyDescent="0.35">
      <c r="A10" s="13" t="s">
        <v>50</v>
      </c>
      <c r="B10" s="13" t="s">
        <v>53</v>
      </c>
      <c r="C10" s="22" t="s">
        <v>102</v>
      </c>
      <c r="D10" s="22" t="s">
        <v>56</v>
      </c>
      <c r="E10" s="22" t="s">
        <v>194</v>
      </c>
      <c r="F10" s="13" t="s">
        <v>59</v>
      </c>
      <c r="G10" s="13" t="s">
        <v>270</v>
      </c>
      <c r="H10" s="22" t="s">
        <v>107</v>
      </c>
    </row>
    <row r="11" spans="1:8" ht="15.5" x14ac:dyDescent="0.35">
      <c r="A11" s="10"/>
      <c r="B11" s="23" t="s">
        <v>221</v>
      </c>
      <c r="C11" s="23" t="s">
        <v>222</v>
      </c>
      <c r="D11" s="23" t="s">
        <v>223</v>
      </c>
      <c r="E11" s="23" t="s">
        <v>224</v>
      </c>
      <c r="F11" s="23" t="s">
        <v>225</v>
      </c>
      <c r="G11" s="23" t="s">
        <v>226</v>
      </c>
      <c r="H11" s="23" t="s">
        <v>227</v>
      </c>
    </row>
    <row r="12" spans="1:8" ht="15.5" x14ac:dyDescent="0.35">
      <c r="A12" s="8"/>
      <c r="B12" s="8"/>
      <c r="C12" s="8"/>
      <c r="D12" s="8"/>
      <c r="E12" s="8"/>
      <c r="F12" s="8"/>
      <c r="G12" s="8"/>
      <c r="H12" s="8"/>
    </row>
    <row r="13" spans="1:8" ht="15.5" x14ac:dyDescent="0.35">
      <c r="A13" s="24">
        <v>1</v>
      </c>
      <c r="B13" s="25" t="s">
        <v>63</v>
      </c>
      <c r="C13" s="26">
        <v>0.64795000000000003</v>
      </c>
      <c r="D13" s="27">
        <f>ROUND(C13*$D$21,0)</f>
        <v>8215328</v>
      </c>
      <c r="E13" s="18">
        <f>+'1.1 Projected Volumes'!C17</f>
        <v>8282858.7999999998</v>
      </c>
      <c r="F13" s="28">
        <f>ROUND(D13/E13,4)</f>
        <v>0.99180000000000001</v>
      </c>
      <c r="G13" s="29">
        <v>4.3200000000000002E-2</v>
      </c>
      <c r="H13" s="28">
        <f>F13+G13</f>
        <v>1.0349999999999999</v>
      </c>
    </row>
    <row r="14" spans="1:8" ht="15.5" x14ac:dyDescent="0.35">
      <c r="A14" s="24"/>
      <c r="B14" s="24"/>
      <c r="C14" s="26"/>
      <c r="D14" s="27"/>
      <c r="E14" s="18"/>
      <c r="F14" s="28"/>
      <c r="G14" s="29"/>
      <c r="H14" s="28"/>
    </row>
    <row r="15" spans="1:8" ht="15.5" x14ac:dyDescent="0.35">
      <c r="A15" s="24">
        <f>A13+1</f>
        <v>2</v>
      </c>
      <c r="B15" s="25" t="s">
        <v>64</v>
      </c>
      <c r="C15" s="26">
        <v>0.27683000000000002</v>
      </c>
      <c r="D15" s="27">
        <f>ROUND(C15*$D$21,0)</f>
        <v>3509915</v>
      </c>
      <c r="E15" s="18">
        <f>+'1.1 Projected Volumes'!C18</f>
        <v>6238515.7999999998</v>
      </c>
      <c r="F15" s="28">
        <f>ROUND(D15/E15,4)</f>
        <v>0.56259999999999999</v>
      </c>
      <c r="G15" s="29">
        <v>2.6200000000000001E-2</v>
      </c>
      <c r="H15" s="28">
        <f>F15+G15</f>
        <v>0.58879999999999999</v>
      </c>
    </row>
    <row r="16" spans="1:8" ht="15.5" x14ac:dyDescent="0.35">
      <c r="A16" s="24"/>
      <c r="B16" s="24"/>
      <c r="C16" s="26"/>
      <c r="D16" s="27"/>
      <c r="E16" s="18"/>
      <c r="F16" s="28"/>
      <c r="G16" s="29"/>
      <c r="H16" s="28"/>
    </row>
    <row r="17" spans="1:8" ht="15.5" x14ac:dyDescent="0.35">
      <c r="A17" s="24">
        <f>A15+1</f>
        <v>3</v>
      </c>
      <c r="B17" s="25" t="s">
        <v>65</v>
      </c>
      <c r="C17" s="26">
        <v>2.9E-4</v>
      </c>
      <c r="D17" s="27">
        <f>ROUND(C17*$D$21,0)</f>
        <v>3677</v>
      </c>
      <c r="E17" s="18">
        <f>'1.1 Projected Volumes'!C19</f>
        <v>10410.5</v>
      </c>
      <c r="F17" s="28">
        <f>ROUND(D17/E17,4)</f>
        <v>0.35320000000000001</v>
      </c>
      <c r="G17" s="29">
        <v>1.6400000000000001E-2</v>
      </c>
      <c r="H17" s="28">
        <f>F17+G17</f>
        <v>0.36960000000000004</v>
      </c>
    </row>
    <row r="18" spans="1:8" ht="15.5" x14ac:dyDescent="0.35">
      <c r="A18" s="24"/>
      <c r="B18" s="25"/>
      <c r="C18" s="30"/>
      <c r="D18" s="27"/>
      <c r="E18" s="18"/>
      <c r="F18" s="28"/>
      <c r="G18" s="29"/>
      <c r="H18" s="28"/>
    </row>
    <row r="19" spans="1:8" ht="18.5" x14ac:dyDescent="0.35">
      <c r="A19" s="24">
        <f>A17+1</f>
        <v>4</v>
      </c>
      <c r="B19" s="25" t="s">
        <v>271</v>
      </c>
      <c r="C19" s="31">
        <v>7.4929999999999997E-2</v>
      </c>
      <c r="D19" s="32">
        <f>ROUND(C19*$D$21,0)</f>
        <v>950034</v>
      </c>
      <c r="E19" s="33">
        <f>+'1.1 Projected Volumes'!C20</f>
        <v>9122354.9000000004</v>
      </c>
      <c r="F19" s="28">
        <f>ROUND(D19/E19,4)</f>
        <v>0.1041</v>
      </c>
      <c r="G19" s="29">
        <v>4.7000000000000002E-3</v>
      </c>
      <c r="H19" s="28">
        <f>F19+G19</f>
        <v>0.10879999999999999</v>
      </c>
    </row>
    <row r="20" spans="1:8" ht="15.5" x14ac:dyDescent="0.35">
      <c r="A20" s="24"/>
      <c r="B20" s="25"/>
      <c r="C20" s="30"/>
      <c r="D20" s="34"/>
      <c r="E20" s="35"/>
      <c r="F20" s="8"/>
      <c r="G20" s="29"/>
      <c r="H20" s="29"/>
    </row>
    <row r="21" spans="1:8" ht="16" thickBot="1" x14ac:dyDescent="0.4">
      <c r="A21" s="24">
        <f>A19+1</f>
        <v>5</v>
      </c>
      <c r="B21" s="25" t="s">
        <v>61</v>
      </c>
      <c r="C21" s="36">
        <f>SUM(C13:C20)</f>
        <v>1</v>
      </c>
      <c r="D21" s="37">
        <f>'2.0 Revenue Req.'!I30</f>
        <v>12678954</v>
      </c>
      <c r="E21" s="38">
        <f>SUM(E13:E20)</f>
        <v>23654140</v>
      </c>
      <c r="F21" s="39"/>
      <c r="G21" s="39"/>
      <c r="H21" s="40"/>
    </row>
    <row r="22" spans="1:8" ht="16" thickTop="1" x14ac:dyDescent="0.35">
      <c r="A22" s="24"/>
      <c r="B22" s="24"/>
      <c r="C22" s="8"/>
      <c r="D22" s="8"/>
      <c r="E22" s="8"/>
      <c r="F22" s="8"/>
      <c r="G22" s="8"/>
      <c r="H22" s="8"/>
    </row>
    <row r="23" spans="1:8" x14ac:dyDescent="0.25">
      <c r="A23" s="4"/>
      <c r="B23" s="4"/>
      <c r="D23" s="5"/>
    </row>
    <row r="25" spans="1:8" ht="15.5" x14ac:dyDescent="0.35">
      <c r="A25" s="8" t="s">
        <v>71</v>
      </c>
    </row>
    <row r="26" spans="1:8" ht="18.5" x14ac:dyDescent="0.35">
      <c r="A26" s="6" t="s">
        <v>298</v>
      </c>
    </row>
    <row r="27" spans="1:8" ht="18.5" x14ac:dyDescent="0.35">
      <c r="A27" s="2" t="s">
        <v>291</v>
      </c>
    </row>
    <row r="28" spans="1:8" ht="18.5" x14ac:dyDescent="0.35">
      <c r="A28" s="2" t="s">
        <v>103</v>
      </c>
    </row>
    <row r="29" spans="1:8" ht="18.5" x14ac:dyDescent="0.35">
      <c r="A29" s="2" t="s">
        <v>290</v>
      </c>
    </row>
  </sheetData>
  <mergeCells count="3">
    <mergeCell ref="A4:H4"/>
    <mergeCell ref="A5:H5"/>
    <mergeCell ref="A6:H6"/>
  </mergeCells>
  <phoneticPr fontId="3" type="noConversion"/>
  <pageMargins left="0.5" right="0.5" top="1" bottom="0" header="0.5" footer="0.5"/>
  <pageSetup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468AA-1C6D-4517-BF73-CBCA2C01501B}">
  <sheetPr codeName="Sheet6">
    <pageSetUpPr fitToPage="1"/>
  </sheetPr>
  <dimension ref="B1:E25"/>
  <sheetViews>
    <sheetView topLeftCell="B1" zoomScaleNormal="100" workbookViewId="0">
      <selection activeCell="F1" sqref="F1"/>
    </sheetView>
  </sheetViews>
  <sheetFormatPr defaultColWidth="8.81640625" defaultRowHeight="15.5" x14ac:dyDescent="0.35"/>
  <cols>
    <col min="1" max="1" width="20.1796875" style="8" customWidth="1"/>
    <col min="2" max="2" width="59.54296875" style="8" customWidth="1"/>
    <col min="3" max="3" width="26.453125" style="8" customWidth="1"/>
    <col min="4" max="4" width="8.81640625" style="8" customWidth="1"/>
    <col min="5" max="5" width="10.1796875" style="8" bestFit="1" customWidth="1"/>
    <col min="6" max="16384" width="8.81640625" style="8"/>
  </cols>
  <sheetData>
    <row r="1" spans="2:3" x14ac:dyDescent="0.35">
      <c r="C1" s="9" t="str">
        <f>+'1.0 SMRP Rider Calc '!H1</f>
        <v>Case No. 2024-00328</v>
      </c>
    </row>
    <row r="2" spans="2:3" x14ac:dyDescent="0.35">
      <c r="C2" s="9" t="s">
        <v>260</v>
      </c>
    </row>
    <row r="3" spans="2:3" x14ac:dyDescent="0.35">
      <c r="C3" s="9"/>
    </row>
    <row r="4" spans="2:3" x14ac:dyDescent="0.35">
      <c r="B4" s="10" t="s">
        <v>66</v>
      </c>
    </row>
    <row r="5" spans="2:3" x14ac:dyDescent="0.35">
      <c r="B5" s="10" t="s">
        <v>109</v>
      </c>
      <c r="C5" s="9"/>
    </row>
    <row r="6" spans="2:3" x14ac:dyDescent="0.35">
      <c r="B6" s="10" t="s">
        <v>191</v>
      </c>
      <c r="C6" s="11"/>
    </row>
    <row r="7" spans="2:3" x14ac:dyDescent="0.35">
      <c r="B7" s="10" t="s">
        <v>274</v>
      </c>
      <c r="C7" s="11"/>
    </row>
    <row r="8" spans="2:3" x14ac:dyDescent="0.35">
      <c r="B8" s="10"/>
    </row>
    <row r="12" spans="2:3" x14ac:dyDescent="0.35">
      <c r="B12" s="12" t="s">
        <v>53</v>
      </c>
      <c r="C12" s="13" t="s">
        <v>248</v>
      </c>
    </row>
    <row r="13" spans="2:3" x14ac:dyDescent="0.35">
      <c r="B13" s="12"/>
      <c r="C13" s="13"/>
    </row>
    <row r="14" spans="2:3" x14ac:dyDescent="0.35">
      <c r="B14" s="10" t="s">
        <v>221</v>
      </c>
      <c r="C14" s="10" t="s">
        <v>222</v>
      </c>
    </row>
    <row r="15" spans="2:3" x14ac:dyDescent="0.35">
      <c r="B15" s="10"/>
      <c r="C15" s="10"/>
    </row>
    <row r="16" spans="2:3" x14ac:dyDescent="0.35">
      <c r="B16" s="14"/>
    </row>
    <row r="17" spans="2:5" s="15" customFormat="1" x14ac:dyDescent="0.35">
      <c r="B17" s="16" t="s">
        <v>246</v>
      </c>
      <c r="C17" s="18">
        <v>8282858.7999999998</v>
      </c>
      <c r="E17" s="137"/>
    </row>
    <row r="18" spans="2:5" s="15" customFormat="1" x14ac:dyDescent="0.35">
      <c r="B18" s="16" t="s">
        <v>247</v>
      </c>
      <c r="C18" s="18">
        <v>6238515.7999999998</v>
      </c>
    </row>
    <row r="19" spans="2:5" s="15" customFormat="1" x14ac:dyDescent="0.35">
      <c r="B19" s="16" t="s">
        <v>67</v>
      </c>
      <c r="C19" s="18">
        <v>10410.5</v>
      </c>
    </row>
    <row r="20" spans="2:5" s="15" customFormat="1" x14ac:dyDescent="0.35">
      <c r="B20" s="16" t="s">
        <v>68</v>
      </c>
      <c r="C20" s="18">
        <v>9122354.9000000004</v>
      </c>
    </row>
    <row r="21" spans="2:5" s="15" customFormat="1" ht="16" thickBot="1" x14ac:dyDescent="0.4">
      <c r="B21" s="16" t="s">
        <v>249</v>
      </c>
      <c r="C21" s="17">
        <f>SUM(C17:C20)</f>
        <v>23654140</v>
      </c>
    </row>
    <row r="22" spans="2:5" s="15" customFormat="1" ht="16" thickTop="1" x14ac:dyDescent="0.35">
      <c r="B22" s="16"/>
    </row>
    <row r="23" spans="2:5" s="15" customFormat="1" x14ac:dyDescent="0.35">
      <c r="B23" s="16"/>
    </row>
    <row r="24" spans="2:5" x14ac:dyDescent="0.35">
      <c r="B24" s="16"/>
      <c r="C24" s="15"/>
    </row>
    <row r="25" spans="2:5" x14ac:dyDescent="0.35">
      <c r="B25" s="16"/>
    </row>
  </sheetData>
  <phoneticPr fontId="3" type="noConversion"/>
  <printOptions horizontalCentered="1"/>
  <pageMargins left="0.7" right="0.7" top="0.75" bottom="0.75" header="0.3" footer="0.3"/>
  <pageSetup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C14C-A06D-4090-8279-5EF3A892688A}">
  <sheetPr codeName="Sheet2">
    <pageSetUpPr fitToPage="1"/>
  </sheetPr>
  <dimension ref="A1:Z39"/>
  <sheetViews>
    <sheetView zoomScaleNormal="100" zoomScaleSheetLayoutView="112" workbookViewId="0">
      <selection activeCell="F1" sqref="F1"/>
    </sheetView>
  </sheetViews>
  <sheetFormatPr defaultColWidth="8.81640625" defaultRowHeight="15.5" x14ac:dyDescent="0.35"/>
  <cols>
    <col min="1" max="1" width="5.1796875" style="8" customWidth="1"/>
    <col min="2" max="2" width="3.453125" style="8" customWidth="1"/>
    <col min="3" max="3" width="1.81640625" style="8" customWidth="1"/>
    <col min="4" max="4" width="8.81640625" style="8"/>
    <col min="5" max="5" width="35.81640625" style="8" customWidth="1"/>
    <col min="6" max="6" width="1.81640625" style="8" customWidth="1"/>
    <col min="7" max="7" width="22.1796875" style="8" bestFit="1" customWidth="1"/>
    <col min="8" max="8" width="1.54296875" style="8" customWidth="1"/>
    <col min="9" max="9" width="26.1796875" style="8" bestFit="1" customWidth="1"/>
    <col min="10" max="10" width="2.1796875" style="8" customWidth="1"/>
    <col min="11" max="11" width="25" style="8" bestFit="1" customWidth="1"/>
    <col min="12" max="12" width="11.1796875" style="8" customWidth="1"/>
    <col min="13" max="13" width="12.81640625" style="8" bestFit="1" customWidth="1"/>
    <col min="14" max="14" width="8.81640625" style="8"/>
    <col min="15" max="15" width="12.453125" style="8" bestFit="1" customWidth="1"/>
    <col min="16" max="16" width="19" style="8" customWidth="1"/>
    <col min="17" max="16384" width="8.81640625" style="8"/>
  </cols>
  <sheetData>
    <row r="1" spans="1:26" x14ac:dyDescent="0.35">
      <c r="K1" s="41" t="str">
        <f>+'1.1 Projected Volumes'!C1</f>
        <v>Case No. 2024-00328</v>
      </c>
    </row>
    <row r="2" spans="1:26" x14ac:dyDescent="0.35">
      <c r="K2" s="41" t="s">
        <v>179</v>
      </c>
    </row>
    <row r="3" spans="1:26" x14ac:dyDescent="0.35">
      <c r="A3" s="138" t="s">
        <v>12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26" x14ac:dyDescent="0.35">
      <c r="A4" s="138" t="s">
        <v>109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</row>
    <row r="5" spans="1:26" x14ac:dyDescent="0.35">
      <c r="A5" s="138" t="s">
        <v>282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</row>
    <row r="6" spans="1:26" x14ac:dyDescent="0.35">
      <c r="A6" s="25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26" x14ac:dyDescent="0.35">
      <c r="F7" s="10"/>
    </row>
    <row r="8" spans="1:26" x14ac:dyDescent="0.35">
      <c r="A8" s="10" t="s">
        <v>49</v>
      </c>
      <c r="F8" s="10"/>
      <c r="G8" s="10" t="s">
        <v>111</v>
      </c>
      <c r="H8" s="10"/>
      <c r="I8" s="10" t="s">
        <v>88</v>
      </c>
      <c r="J8" s="10"/>
      <c r="K8" s="11"/>
      <c r="L8" s="11"/>
      <c r="M8" s="11"/>
      <c r="N8" s="11"/>
      <c r="O8" s="11"/>
      <c r="P8" s="11"/>
      <c r="Q8" s="11"/>
      <c r="R8" s="11"/>
    </row>
    <row r="9" spans="1:26" x14ac:dyDescent="0.35">
      <c r="A9" s="13" t="s">
        <v>50</v>
      </c>
      <c r="E9" s="24"/>
      <c r="F9" s="42"/>
      <c r="G9" s="42">
        <v>46022</v>
      </c>
      <c r="H9" s="11"/>
      <c r="I9" s="13" t="s">
        <v>117</v>
      </c>
      <c r="J9" s="13"/>
      <c r="K9" s="13" t="s">
        <v>51</v>
      </c>
      <c r="L9" s="11"/>
      <c r="M9" s="11"/>
      <c r="N9" s="11"/>
      <c r="O9" s="11"/>
      <c r="P9" s="11"/>
      <c r="Q9" s="11"/>
      <c r="R9" s="11"/>
    </row>
    <row r="10" spans="1:26" x14ac:dyDescent="0.35">
      <c r="A10" s="10"/>
      <c r="E10" s="24"/>
      <c r="F10" s="23"/>
      <c r="G10" s="23" t="s">
        <v>221</v>
      </c>
      <c r="H10" s="23"/>
      <c r="I10" s="23" t="s">
        <v>222</v>
      </c>
      <c r="J10" s="23"/>
      <c r="K10" s="23" t="s">
        <v>223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x14ac:dyDescent="0.35">
      <c r="A11" s="24"/>
    </row>
    <row r="12" spans="1:26" ht="18" customHeight="1" x14ac:dyDescent="0.35">
      <c r="A12" s="24">
        <v>1</v>
      </c>
      <c r="C12" s="8" t="s">
        <v>138</v>
      </c>
      <c r="F12" s="43"/>
      <c r="G12" s="44">
        <f>+'3.0 Plant in Service'!Q182</f>
        <v>92982807.037939787</v>
      </c>
      <c r="H12" s="45"/>
      <c r="K12" s="8" t="s">
        <v>254</v>
      </c>
    </row>
    <row r="13" spans="1:26" ht="18" customHeight="1" x14ac:dyDescent="0.35">
      <c r="A13" s="24">
        <f>A12+1</f>
        <v>2</v>
      </c>
      <c r="C13" s="8" t="s">
        <v>173</v>
      </c>
      <c r="F13" s="43"/>
      <c r="G13" s="44">
        <f>+'4.0 Accumulated Depr'!Q195</f>
        <v>13989243.180020114</v>
      </c>
      <c r="H13" s="45"/>
      <c r="K13" s="8" t="s">
        <v>255</v>
      </c>
    </row>
    <row r="14" spans="1:26" ht="18" customHeight="1" x14ac:dyDescent="0.35">
      <c r="A14" s="24">
        <v>3</v>
      </c>
      <c r="C14" s="8" t="s">
        <v>114</v>
      </c>
      <c r="F14" s="43"/>
      <c r="G14" s="46">
        <f>+'6.0 ADIT Normalized '!Q35</f>
        <v>-12220100.923076924</v>
      </c>
      <c r="H14" s="45"/>
      <c r="K14" s="8" t="s">
        <v>256</v>
      </c>
    </row>
    <row r="15" spans="1:26" ht="18" customHeight="1" x14ac:dyDescent="0.35">
      <c r="A15" s="24">
        <v>4</v>
      </c>
      <c r="D15" s="8" t="s">
        <v>115</v>
      </c>
      <c r="F15" s="43"/>
      <c r="G15" s="44"/>
      <c r="H15" s="45"/>
      <c r="I15" s="45">
        <f>SUM(G12:G14)</f>
        <v>94751949.294882968</v>
      </c>
      <c r="J15" s="45"/>
      <c r="K15" s="8" t="s">
        <v>131</v>
      </c>
    </row>
    <row r="16" spans="1:26" ht="18" customHeight="1" x14ac:dyDescent="0.35">
      <c r="A16" s="24"/>
      <c r="F16" s="43"/>
      <c r="G16" s="44"/>
    </row>
    <row r="17" spans="1:13" ht="18" customHeight="1" x14ac:dyDescent="0.35">
      <c r="A17" s="24">
        <v>5</v>
      </c>
      <c r="C17" s="8" t="s">
        <v>116</v>
      </c>
      <c r="F17" s="43"/>
      <c r="G17" s="44"/>
      <c r="I17" s="47">
        <f>+'2.1 ROR '!F20</f>
        <v>9.1200000000000003E-2</v>
      </c>
      <c r="J17" s="47"/>
      <c r="K17" s="8" t="s">
        <v>192</v>
      </c>
    </row>
    <row r="18" spans="1:13" ht="18" customHeight="1" x14ac:dyDescent="0.35">
      <c r="A18" s="24"/>
      <c r="F18" s="43"/>
      <c r="G18" s="44"/>
      <c r="I18" s="47"/>
      <c r="J18" s="47"/>
    </row>
    <row r="19" spans="1:13" ht="18" customHeight="1" x14ac:dyDescent="0.35">
      <c r="A19" s="24">
        <v>6</v>
      </c>
      <c r="C19" s="8" t="s">
        <v>119</v>
      </c>
      <c r="F19" s="43"/>
      <c r="G19" s="44"/>
      <c r="I19" s="48">
        <f>ROUND(I15*I17,0)</f>
        <v>8641378</v>
      </c>
      <c r="J19" s="43"/>
      <c r="K19" s="8" t="s">
        <v>130</v>
      </c>
    </row>
    <row r="20" spans="1:13" ht="18" customHeight="1" x14ac:dyDescent="0.35">
      <c r="A20" s="24"/>
      <c r="F20" s="43"/>
      <c r="G20" s="44"/>
    </row>
    <row r="21" spans="1:13" ht="18" customHeight="1" x14ac:dyDescent="0.35">
      <c r="A21" s="24">
        <v>7</v>
      </c>
      <c r="C21" s="8" t="s">
        <v>118</v>
      </c>
      <c r="F21" s="43"/>
      <c r="G21" s="44">
        <f>+'5.0 Depr Expense'!Q208</f>
        <v>2632062.699</v>
      </c>
      <c r="H21" s="45"/>
      <c r="I21" s="45"/>
      <c r="J21" s="45"/>
      <c r="K21" s="8" t="s">
        <v>279</v>
      </c>
    </row>
    <row r="22" spans="1:13" ht="18" customHeight="1" x14ac:dyDescent="0.35">
      <c r="A22" s="24">
        <v>8</v>
      </c>
      <c r="C22" s="8" t="s">
        <v>120</v>
      </c>
      <c r="F22" s="43"/>
      <c r="G22" s="44">
        <f>'7.0 Property Tax'!G17</f>
        <v>1336135</v>
      </c>
      <c r="H22" s="45"/>
      <c r="I22" s="45"/>
      <c r="J22" s="45"/>
      <c r="K22" s="8" t="s">
        <v>280</v>
      </c>
    </row>
    <row r="23" spans="1:13" ht="18" customHeight="1" x14ac:dyDescent="0.35">
      <c r="A23" s="24">
        <f>+A22+1</f>
        <v>9</v>
      </c>
      <c r="C23" s="8" t="s">
        <v>90</v>
      </c>
      <c r="F23" s="43"/>
      <c r="G23" s="44">
        <f>+'8.0 O&amp;M Savings '!E13</f>
        <v>0</v>
      </c>
      <c r="H23" s="45"/>
      <c r="I23" s="45"/>
      <c r="J23" s="45"/>
      <c r="K23" s="8" t="s">
        <v>281</v>
      </c>
    </row>
    <row r="24" spans="1:13" ht="18" customHeight="1" x14ac:dyDescent="0.35">
      <c r="A24" s="24">
        <f>+A23+1</f>
        <v>10</v>
      </c>
      <c r="D24" s="8" t="s">
        <v>190</v>
      </c>
      <c r="F24" s="43"/>
      <c r="G24" s="48"/>
      <c r="H24" s="45"/>
      <c r="I24" s="45">
        <f>SUM(G21:G23)</f>
        <v>3968197.699</v>
      </c>
      <c r="J24" s="45"/>
      <c r="K24" s="8" t="s">
        <v>261</v>
      </c>
    </row>
    <row r="25" spans="1:13" ht="18" customHeight="1" x14ac:dyDescent="0.35">
      <c r="A25" s="24"/>
      <c r="F25" s="43"/>
      <c r="G25" s="43"/>
      <c r="H25" s="45"/>
      <c r="I25" s="45"/>
      <c r="J25" s="45"/>
    </row>
    <row r="26" spans="1:13" ht="18" customHeight="1" x14ac:dyDescent="0.35">
      <c r="A26" s="24">
        <f>+A24+1</f>
        <v>11</v>
      </c>
      <c r="C26" s="8" t="s">
        <v>132</v>
      </c>
      <c r="F26" s="43"/>
      <c r="G26" s="44"/>
      <c r="I26" s="49">
        <f>+I19+I24</f>
        <v>12609575.699000001</v>
      </c>
      <c r="J26" s="45"/>
      <c r="K26" s="8" t="s">
        <v>216</v>
      </c>
    </row>
    <row r="27" spans="1:13" ht="18" customHeight="1" x14ac:dyDescent="0.35">
      <c r="A27" s="24"/>
      <c r="F27" s="43"/>
      <c r="G27" s="44"/>
      <c r="I27" s="45"/>
      <c r="J27" s="45"/>
    </row>
    <row r="28" spans="1:13" ht="18" customHeight="1" x14ac:dyDescent="0.35">
      <c r="A28" s="24">
        <f>+A26+1</f>
        <v>12</v>
      </c>
      <c r="C28" s="8" t="s">
        <v>129</v>
      </c>
      <c r="F28" s="43"/>
      <c r="G28" s="44"/>
      <c r="I28" s="50">
        <f>+'2.2 Conversion Factor '!E22</f>
        <v>1.0055019999999999</v>
      </c>
      <c r="J28" s="51"/>
      <c r="K28" s="8" t="s">
        <v>193</v>
      </c>
    </row>
    <row r="29" spans="1:13" x14ac:dyDescent="0.35">
      <c r="A29" s="24"/>
      <c r="F29" s="43"/>
      <c r="G29" s="44"/>
      <c r="L29" s="45"/>
      <c r="M29" s="45"/>
    </row>
    <row r="30" spans="1:13" ht="17.149999999999999" customHeight="1" thickBot="1" x14ac:dyDescent="0.55000000000000004">
      <c r="A30" s="24">
        <f>+A28+1</f>
        <v>13</v>
      </c>
      <c r="C30" s="11" t="s">
        <v>110</v>
      </c>
      <c r="F30" s="52"/>
      <c r="G30" s="44"/>
      <c r="I30" s="53">
        <f>ROUND(I26*I28,0)</f>
        <v>12678954</v>
      </c>
      <c r="J30" s="54"/>
      <c r="K30" s="8" t="s">
        <v>217</v>
      </c>
      <c r="M30" s="55"/>
    </row>
    <row r="31" spans="1:13" ht="16" thickTop="1" x14ac:dyDescent="0.35">
      <c r="F31" s="45"/>
      <c r="G31" s="45"/>
    </row>
    <row r="32" spans="1:13" x14ac:dyDescent="0.35">
      <c r="E32" s="56"/>
    </row>
    <row r="33" spans="6:12" x14ac:dyDescent="0.35">
      <c r="F33" s="24"/>
      <c r="H33" s="24"/>
      <c r="I33" s="24"/>
      <c r="J33" s="24"/>
    </row>
    <row r="34" spans="6:12" x14ac:dyDescent="0.35">
      <c r="F34" s="24"/>
      <c r="G34" s="24"/>
      <c r="H34" s="24"/>
      <c r="I34" s="57"/>
      <c r="J34" s="24"/>
      <c r="K34" s="24"/>
      <c r="L34" s="24"/>
    </row>
    <row r="36" spans="6:12" x14ac:dyDescent="0.35">
      <c r="F36" s="58"/>
      <c r="G36" s="58"/>
      <c r="H36" s="47"/>
      <c r="I36" s="47"/>
      <c r="J36" s="47"/>
      <c r="L36" s="47"/>
    </row>
    <row r="37" spans="6:12" x14ac:dyDescent="0.35">
      <c r="F37" s="58"/>
      <c r="G37" s="58"/>
      <c r="H37" s="47"/>
      <c r="I37" s="47"/>
      <c r="J37" s="47"/>
      <c r="K37" s="58"/>
      <c r="L37" s="47"/>
    </row>
    <row r="39" spans="6:12" x14ac:dyDescent="0.35">
      <c r="H39" s="47"/>
      <c r="I39" s="47"/>
      <c r="J39" s="47"/>
      <c r="L39" s="59"/>
    </row>
  </sheetData>
  <mergeCells count="3">
    <mergeCell ref="A3:K3"/>
    <mergeCell ref="A4:K4"/>
    <mergeCell ref="A5:K5"/>
  </mergeCells>
  <phoneticPr fontId="3" type="noConversion"/>
  <pageMargins left="0.5" right="0.5" top="0.75" bottom="0.75" header="0.5" footer="0.5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40A2A-D387-4381-9EB0-7A5BC0B73025}">
  <sheetPr codeName="Sheet3">
    <pageSetUpPr fitToPage="1"/>
  </sheetPr>
  <dimension ref="A1:J36"/>
  <sheetViews>
    <sheetView zoomScaleNormal="100" zoomScaleSheetLayoutView="220" workbookViewId="0">
      <selection activeCell="E19" sqref="E19"/>
    </sheetView>
  </sheetViews>
  <sheetFormatPr defaultColWidth="8.81640625" defaultRowHeight="15.5" x14ac:dyDescent="0.35"/>
  <cols>
    <col min="1" max="1" width="5.54296875" style="8" customWidth="1"/>
    <col min="2" max="2" width="19.54296875" style="8" customWidth="1"/>
    <col min="3" max="3" width="11" style="8" customWidth="1"/>
    <col min="4" max="4" width="11.81640625" style="8" customWidth="1"/>
    <col min="5" max="5" width="13.81640625" style="8" customWidth="1"/>
    <col min="6" max="6" width="15.1796875" style="8" customWidth="1"/>
    <col min="7" max="16384" width="8.81640625" style="8"/>
  </cols>
  <sheetData>
    <row r="1" spans="1:10" x14ac:dyDescent="0.35">
      <c r="H1" s="9" t="str">
        <f>+'2.0 Revenue Req.'!K1</f>
        <v>Case No. 2024-00328</v>
      </c>
    </row>
    <row r="2" spans="1:10" x14ac:dyDescent="0.35">
      <c r="H2" s="9" t="s">
        <v>113</v>
      </c>
    </row>
    <row r="3" spans="1:10" x14ac:dyDescent="0.35">
      <c r="F3" s="9"/>
    </row>
    <row r="4" spans="1:10" x14ac:dyDescent="0.35">
      <c r="A4" s="138" t="s">
        <v>12</v>
      </c>
      <c r="B4" s="138"/>
      <c r="C4" s="138"/>
      <c r="D4" s="138"/>
      <c r="E4" s="138"/>
      <c r="F4" s="138"/>
      <c r="G4" s="11"/>
      <c r="H4" s="11"/>
      <c r="I4" s="11"/>
      <c r="J4" s="11"/>
    </row>
    <row r="5" spans="1:10" x14ac:dyDescent="0.35">
      <c r="A5" s="138" t="s">
        <v>112</v>
      </c>
      <c r="B5" s="138"/>
      <c r="C5" s="138"/>
      <c r="D5" s="138"/>
      <c r="E5" s="138"/>
      <c r="F5" s="138"/>
      <c r="G5" s="11"/>
      <c r="H5" s="11"/>
      <c r="I5" s="11"/>
      <c r="J5" s="11"/>
    </row>
    <row r="6" spans="1:10" x14ac:dyDescent="0.35">
      <c r="A6" s="138" t="s">
        <v>86</v>
      </c>
      <c r="B6" s="138"/>
      <c r="C6" s="138"/>
      <c r="D6" s="138"/>
      <c r="E6" s="138"/>
      <c r="F6" s="138"/>
      <c r="G6" s="11"/>
      <c r="H6" s="11"/>
      <c r="I6" s="11"/>
      <c r="J6" s="11"/>
    </row>
    <row r="10" spans="1:10" x14ac:dyDescent="0.35">
      <c r="C10" s="10"/>
      <c r="D10" s="10"/>
      <c r="F10" s="10" t="s">
        <v>11</v>
      </c>
    </row>
    <row r="11" spans="1:10" x14ac:dyDescent="0.35">
      <c r="A11" s="10" t="s">
        <v>49</v>
      </c>
      <c r="C11" s="10"/>
      <c r="D11" s="10"/>
      <c r="E11" s="10" t="s">
        <v>10</v>
      </c>
      <c r="F11" s="10" t="s">
        <v>36</v>
      </c>
    </row>
    <row r="12" spans="1:10" x14ac:dyDescent="0.35">
      <c r="A12" s="13" t="s">
        <v>50</v>
      </c>
      <c r="B12" s="13" t="s">
        <v>3</v>
      </c>
      <c r="C12" s="13" t="s">
        <v>7</v>
      </c>
      <c r="D12" s="13" t="s">
        <v>8</v>
      </c>
      <c r="E12" s="13" t="s">
        <v>8</v>
      </c>
      <c r="F12" s="60">
        <v>0.2495</v>
      </c>
    </row>
    <row r="13" spans="1:10" x14ac:dyDescent="0.35">
      <c r="A13" s="10"/>
      <c r="B13" s="23" t="s">
        <v>221</v>
      </c>
      <c r="C13" s="61" t="s">
        <v>222</v>
      </c>
      <c r="D13" s="61" t="s">
        <v>223</v>
      </c>
      <c r="E13" s="61" t="s">
        <v>224</v>
      </c>
      <c r="F13" s="61" t="s">
        <v>225</v>
      </c>
    </row>
    <row r="14" spans="1:10" x14ac:dyDescent="0.35">
      <c r="A14" s="10"/>
      <c r="B14" s="20"/>
      <c r="C14" s="13"/>
      <c r="D14" s="13"/>
      <c r="E14" s="13"/>
      <c r="F14" s="60"/>
    </row>
    <row r="16" spans="1:10" x14ac:dyDescent="0.35">
      <c r="A16" s="24">
        <v>1</v>
      </c>
      <c r="B16" s="8" t="s">
        <v>6</v>
      </c>
      <c r="C16" s="47">
        <v>1.83E-2</v>
      </c>
      <c r="D16" s="62">
        <v>5.2499999999999998E-2</v>
      </c>
      <c r="E16" s="58">
        <f>+C16*D16</f>
        <v>9.6075000000000002E-4</v>
      </c>
      <c r="F16" s="47">
        <f>E16</f>
        <v>9.6075000000000002E-4</v>
      </c>
    </row>
    <row r="17" spans="1:6" x14ac:dyDescent="0.35">
      <c r="A17" s="24">
        <f>+A16+1</f>
        <v>2</v>
      </c>
      <c r="B17" s="8" t="s">
        <v>5</v>
      </c>
      <c r="C17" s="47">
        <v>0.45529999999999998</v>
      </c>
      <c r="D17" s="58">
        <v>4.8000000000000001E-2</v>
      </c>
      <c r="E17" s="58">
        <f>+C17*D17</f>
        <v>2.18544E-2</v>
      </c>
      <c r="F17" s="47">
        <f>E17</f>
        <v>2.18544E-2</v>
      </c>
    </row>
    <row r="18" spans="1:6" x14ac:dyDescent="0.35">
      <c r="A18" s="24">
        <f>+A17+1</f>
        <v>3</v>
      </c>
      <c r="B18" s="8" t="s">
        <v>4</v>
      </c>
      <c r="C18" s="63">
        <v>0.52641000000000004</v>
      </c>
      <c r="D18" s="64">
        <v>9.7500000000000003E-2</v>
      </c>
      <c r="E18" s="64">
        <f>+C18*D18</f>
        <v>5.1324975000000009E-2</v>
      </c>
      <c r="F18" s="64">
        <f>ROUND(E18/(1-F12),7)</f>
        <v>6.8387699999999996E-2</v>
      </c>
    </row>
    <row r="19" spans="1:6" x14ac:dyDescent="0.35">
      <c r="A19" s="24"/>
      <c r="C19" s="65"/>
      <c r="D19" s="58"/>
      <c r="E19" s="66"/>
      <c r="F19" s="66"/>
    </row>
    <row r="20" spans="1:6" x14ac:dyDescent="0.35">
      <c r="A20" s="24">
        <f>A18+1</f>
        <v>4</v>
      </c>
      <c r="B20" s="8" t="s">
        <v>9</v>
      </c>
      <c r="C20" s="47">
        <f>SUM(C16:C18)</f>
        <v>1.0000100000000001</v>
      </c>
      <c r="E20" s="58">
        <f>SUM(E16:E18)</f>
        <v>7.4140125000000001E-2</v>
      </c>
      <c r="F20" s="47">
        <f>ROUND(SUM(F16:F18),4)</f>
        <v>9.1200000000000003E-2</v>
      </c>
    </row>
    <row r="21" spans="1:6" x14ac:dyDescent="0.35">
      <c r="F21" s="67"/>
    </row>
    <row r="22" spans="1:6" x14ac:dyDescent="0.35">
      <c r="F22" s="68"/>
    </row>
    <row r="23" spans="1:6" x14ac:dyDescent="0.35">
      <c r="B23" s="8" t="s">
        <v>294</v>
      </c>
      <c r="F23" s="69"/>
    </row>
    <row r="24" spans="1:6" x14ac:dyDescent="0.35">
      <c r="F24" s="69"/>
    </row>
    <row r="25" spans="1:6" x14ac:dyDescent="0.35">
      <c r="F25" s="69"/>
    </row>
    <row r="26" spans="1:6" x14ac:dyDescent="0.35">
      <c r="F26" s="69"/>
    </row>
    <row r="27" spans="1:6" x14ac:dyDescent="0.35">
      <c r="F27" s="69"/>
    </row>
    <row r="28" spans="1:6" x14ac:dyDescent="0.35">
      <c r="F28" s="69"/>
    </row>
    <row r="29" spans="1:6" x14ac:dyDescent="0.35">
      <c r="F29" s="69"/>
    </row>
    <row r="30" spans="1:6" x14ac:dyDescent="0.35">
      <c r="F30" s="69"/>
    </row>
    <row r="31" spans="1:6" x14ac:dyDescent="0.35">
      <c r="F31" s="69"/>
    </row>
    <row r="32" spans="1:6" x14ac:dyDescent="0.35">
      <c r="F32" s="69"/>
    </row>
    <row r="33" spans="6:6" x14ac:dyDescent="0.35">
      <c r="F33" s="69"/>
    </row>
    <row r="34" spans="6:6" x14ac:dyDescent="0.35">
      <c r="F34" s="69"/>
    </row>
    <row r="35" spans="6:6" x14ac:dyDescent="0.35">
      <c r="F35" s="69"/>
    </row>
    <row r="36" spans="6:6" x14ac:dyDescent="0.35">
      <c r="F36" s="69"/>
    </row>
  </sheetData>
  <mergeCells count="3">
    <mergeCell ref="A4:F4"/>
    <mergeCell ref="A5:F5"/>
    <mergeCell ref="A6:F6"/>
  </mergeCells>
  <phoneticPr fontId="3" type="noConversion"/>
  <printOptions horizontalCentered="1"/>
  <pageMargins left="1" right="1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340FF-C740-4015-9DC7-DC0D2BAEDCE8}">
  <sheetPr>
    <pageSetUpPr fitToPage="1"/>
  </sheetPr>
  <dimension ref="B1:I25"/>
  <sheetViews>
    <sheetView zoomScaleNormal="100" workbookViewId="0">
      <selection activeCell="F1" sqref="F1"/>
    </sheetView>
  </sheetViews>
  <sheetFormatPr defaultColWidth="9.1796875" defaultRowHeight="15.5" x14ac:dyDescent="0.35"/>
  <cols>
    <col min="1" max="1" width="9.1796875" style="8"/>
    <col min="2" max="2" width="4.1796875" style="8" customWidth="1"/>
    <col min="3" max="3" width="8.1796875" style="8" bestFit="1" customWidth="1"/>
    <col min="4" max="4" width="47.81640625" style="8" bestFit="1" customWidth="1"/>
    <col min="5" max="5" width="20.1796875" style="8" bestFit="1" customWidth="1"/>
    <col min="6" max="16384" width="9.1796875" style="8"/>
  </cols>
  <sheetData>
    <row r="1" spans="2:9" x14ac:dyDescent="0.35">
      <c r="I1" s="9" t="str">
        <f>+'2.1 ROR '!H1</f>
        <v>Case No. 2024-00328</v>
      </c>
    </row>
    <row r="2" spans="2:9" x14ac:dyDescent="0.35">
      <c r="I2" s="9" t="s">
        <v>180</v>
      </c>
    </row>
    <row r="4" spans="2:9" x14ac:dyDescent="0.35">
      <c r="C4" s="138" t="s">
        <v>12</v>
      </c>
      <c r="D4" s="138"/>
      <c r="E4" s="138"/>
      <c r="F4" s="11"/>
    </row>
    <row r="5" spans="2:9" x14ac:dyDescent="0.35">
      <c r="C5" s="138" t="s">
        <v>112</v>
      </c>
      <c r="D5" s="138"/>
      <c r="E5" s="138"/>
      <c r="F5" s="11"/>
    </row>
    <row r="6" spans="2:9" x14ac:dyDescent="0.35">
      <c r="C6" s="138" t="s">
        <v>251</v>
      </c>
      <c r="D6" s="138"/>
      <c r="E6" s="138"/>
      <c r="F6" s="11"/>
    </row>
    <row r="9" spans="2:9" x14ac:dyDescent="0.35">
      <c r="B9" s="70"/>
      <c r="C9" s="71"/>
      <c r="D9" s="71"/>
      <c r="E9" s="70"/>
    </row>
    <row r="10" spans="2:9" x14ac:dyDescent="0.35">
      <c r="C10" s="72"/>
      <c r="D10" s="72"/>
      <c r="E10" s="73" t="s">
        <v>121</v>
      </c>
    </row>
    <row r="11" spans="2:9" x14ac:dyDescent="0.35">
      <c r="C11" s="72"/>
      <c r="D11" s="72"/>
      <c r="E11" s="73" t="s">
        <v>122</v>
      </c>
    </row>
    <row r="12" spans="2:9" x14ac:dyDescent="0.35">
      <c r="C12" s="72" t="s">
        <v>80</v>
      </c>
      <c r="D12" s="72" t="s">
        <v>123</v>
      </c>
      <c r="E12" s="72" t="s">
        <v>124</v>
      </c>
    </row>
    <row r="13" spans="2:9" x14ac:dyDescent="0.35">
      <c r="C13" s="70"/>
      <c r="D13" s="74"/>
      <c r="E13" s="71"/>
    </row>
    <row r="14" spans="2:9" x14ac:dyDescent="0.35">
      <c r="C14" s="70">
        <v>1</v>
      </c>
      <c r="D14" s="75" t="s">
        <v>125</v>
      </c>
      <c r="E14" s="76">
        <v>1</v>
      </c>
    </row>
    <row r="15" spans="2:9" x14ac:dyDescent="0.35">
      <c r="C15" s="70"/>
      <c r="D15" s="75"/>
      <c r="E15" s="71"/>
    </row>
    <row r="16" spans="2:9" x14ac:dyDescent="0.35">
      <c r="C16" s="70">
        <f>+C14+1</f>
        <v>2</v>
      </c>
      <c r="D16" s="75" t="s">
        <v>126</v>
      </c>
      <c r="E16" s="76">
        <v>4.1700000000000001E-3</v>
      </c>
    </row>
    <row r="17" spans="3:5" x14ac:dyDescent="0.35">
      <c r="C17" s="70"/>
      <c r="D17" s="75"/>
      <c r="E17" s="71"/>
    </row>
    <row r="18" spans="3:5" x14ac:dyDescent="0.35">
      <c r="C18" s="70">
        <f>+C16+1</f>
        <v>3</v>
      </c>
      <c r="D18" s="75" t="s">
        <v>126</v>
      </c>
      <c r="E18" s="77">
        <v>1.302E-3</v>
      </c>
    </row>
    <row r="19" spans="3:5" x14ac:dyDescent="0.35">
      <c r="C19" s="70"/>
      <c r="D19" s="75"/>
      <c r="E19" s="71"/>
    </row>
    <row r="20" spans="3:5" x14ac:dyDescent="0.35">
      <c r="C20" s="70">
        <f>+C18+1</f>
        <v>4</v>
      </c>
      <c r="D20" s="75" t="s">
        <v>127</v>
      </c>
      <c r="E20" s="76">
        <f>+E14-E16-E18</f>
        <v>0.99452799999999997</v>
      </c>
    </row>
    <row r="21" spans="3:5" x14ac:dyDescent="0.35">
      <c r="C21" s="70"/>
      <c r="D21" s="75"/>
      <c r="E21" s="71"/>
    </row>
    <row r="22" spans="3:5" x14ac:dyDescent="0.35">
      <c r="C22" s="70">
        <f>+C20+1</f>
        <v>5</v>
      </c>
      <c r="D22" s="75" t="s">
        <v>128</v>
      </c>
      <c r="E22" s="78">
        <f>ROUND(1/$E$20,6)</f>
        <v>1.0055019999999999</v>
      </c>
    </row>
    <row r="23" spans="3:5" x14ac:dyDescent="0.35">
      <c r="C23" s="70"/>
      <c r="D23" s="75"/>
      <c r="E23" s="78"/>
    </row>
    <row r="24" spans="3:5" x14ac:dyDescent="0.35">
      <c r="C24" s="71"/>
      <c r="D24" s="71"/>
      <c r="E24" s="71"/>
    </row>
    <row r="25" spans="3:5" x14ac:dyDescent="0.35">
      <c r="C25" s="8" t="s">
        <v>295</v>
      </c>
    </row>
  </sheetData>
  <mergeCells count="3">
    <mergeCell ref="C5:E5"/>
    <mergeCell ref="C6:E6"/>
    <mergeCell ref="C4:E4"/>
  </mergeCells>
  <pageMargins left="0.7" right="0.7" top="0.75" bottom="0.75" header="0.3" footer="0.3"/>
  <pageSetup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8A167-5B64-475A-B54B-36BD8821BEFC}">
  <dimension ref="A1:Q182"/>
  <sheetViews>
    <sheetView topLeftCell="C1" zoomScale="98" zoomScaleNormal="98" workbookViewId="0">
      <selection activeCell="F1" sqref="F1"/>
    </sheetView>
  </sheetViews>
  <sheetFormatPr defaultColWidth="8.81640625" defaultRowHeight="15.5" x14ac:dyDescent="0.35"/>
  <cols>
    <col min="1" max="1" width="3.54296875" style="8" customWidth="1"/>
    <col min="2" max="2" width="41.1796875" style="8" bestFit="1" customWidth="1"/>
    <col min="3" max="5" width="14.54296875" style="8" bestFit="1" customWidth="1"/>
    <col min="6" max="6" width="15.81640625" style="8" bestFit="1" customWidth="1"/>
    <col min="7" max="8" width="15" style="8" bestFit="1" customWidth="1"/>
    <col min="9" max="15" width="15.81640625" style="8" bestFit="1" customWidth="1"/>
    <col min="16" max="16" width="20.1796875" style="8" bestFit="1" customWidth="1"/>
    <col min="17" max="17" width="23.54296875" style="8" bestFit="1" customWidth="1"/>
    <col min="18" max="16384" width="8.81640625" style="8"/>
  </cols>
  <sheetData>
    <row r="1" spans="1:17" x14ac:dyDescent="0.35">
      <c r="Q1" s="9" t="str">
        <f>'2.2 Conversion Factor '!I1</f>
        <v>Case No. 2024-00328</v>
      </c>
    </row>
    <row r="2" spans="1:17" x14ac:dyDescent="0.35">
      <c r="Q2" s="9" t="s">
        <v>195</v>
      </c>
    </row>
    <row r="3" spans="1:17" x14ac:dyDescent="0.35">
      <c r="Q3" s="9" t="s">
        <v>213</v>
      </c>
    </row>
    <row r="4" spans="1:17" x14ac:dyDescent="0.35">
      <c r="A4" s="138" t="s">
        <v>12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</row>
    <row r="5" spans="1:17" x14ac:dyDescent="0.35">
      <c r="A5" s="138" t="s">
        <v>109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</row>
    <row r="6" spans="1:17" x14ac:dyDescent="0.35">
      <c r="A6" s="138" t="s">
        <v>287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</row>
    <row r="7" spans="1:17" x14ac:dyDescent="0.3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1"/>
    </row>
    <row r="8" spans="1:17" x14ac:dyDescent="0.35">
      <c r="P8" s="79"/>
    </row>
    <row r="9" spans="1:17" x14ac:dyDescent="0.35">
      <c r="D9" s="139"/>
      <c r="E9" s="139"/>
      <c r="F9" s="139"/>
      <c r="G9" s="139"/>
      <c r="H9" s="139"/>
      <c r="I9" s="139"/>
      <c r="J9" s="139"/>
      <c r="K9" s="139"/>
      <c r="P9" s="55"/>
    </row>
    <row r="10" spans="1:17" x14ac:dyDescent="0.35">
      <c r="C10" s="10">
        <v>2022</v>
      </c>
      <c r="D10" s="10">
        <f>+C10+1</f>
        <v>2023</v>
      </c>
      <c r="E10" s="10">
        <f t="shared" ref="E10:Q10" si="0">+D10</f>
        <v>2023</v>
      </c>
      <c r="F10" s="10">
        <f t="shared" si="0"/>
        <v>2023</v>
      </c>
      <c r="G10" s="10">
        <f t="shared" si="0"/>
        <v>2023</v>
      </c>
      <c r="H10" s="10">
        <f t="shared" si="0"/>
        <v>2023</v>
      </c>
      <c r="I10" s="10">
        <f t="shared" si="0"/>
        <v>2023</v>
      </c>
      <c r="J10" s="10">
        <f t="shared" si="0"/>
        <v>2023</v>
      </c>
      <c r="K10" s="10">
        <f t="shared" si="0"/>
        <v>2023</v>
      </c>
      <c r="L10" s="10">
        <f t="shared" si="0"/>
        <v>2023</v>
      </c>
      <c r="M10" s="10">
        <f t="shared" si="0"/>
        <v>2023</v>
      </c>
      <c r="N10" s="10">
        <f t="shared" si="0"/>
        <v>2023</v>
      </c>
      <c r="O10" s="10">
        <f t="shared" si="0"/>
        <v>2023</v>
      </c>
      <c r="P10" s="10">
        <f t="shared" si="0"/>
        <v>2023</v>
      </c>
      <c r="Q10" s="10">
        <f t="shared" si="0"/>
        <v>2023</v>
      </c>
    </row>
    <row r="11" spans="1:17" x14ac:dyDescent="0.35">
      <c r="C11" s="10" t="s">
        <v>140</v>
      </c>
      <c r="D11" s="10" t="s">
        <v>141</v>
      </c>
      <c r="E11" s="10" t="s">
        <v>142</v>
      </c>
      <c r="F11" s="10" t="s">
        <v>143</v>
      </c>
      <c r="G11" s="10" t="s">
        <v>144</v>
      </c>
      <c r="H11" s="10" t="s">
        <v>81</v>
      </c>
      <c r="I11" s="10" t="s">
        <v>145</v>
      </c>
      <c r="J11" s="10" t="s">
        <v>146</v>
      </c>
      <c r="K11" s="10" t="s">
        <v>147</v>
      </c>
      <c r="L11" s="10" t="s">
        <v>148</v>
      </c>
      <c r="M11" s="10" t="s">
        <v>149</v>
      </c>
      <c r="N11" s="10" t="s">
        <v>150</v>
      </c>
      <c r="O11" s="10" t="s">
        <v>140</v>
      </c>
      <c r="P11" s="10" t="s">
        <v>151</v>
      </c>
      <c r="Q11" s="10" t="s">
        <v>152</v>
      </c>
    </row>
    <row r="12" spans="1:17" x14ac:dyDescent="0.35">
      <c r="C12" s="10" t="s">
        <v>92</v>
      </c>
      <c r="D12" s="10" t="s">
        <v>258</v>
      </c>
      <c r="E12" s="10" t="s">
        <v>258</v>
      </c>
      <c r="F12" s="10" t="s">
        <v>258</v>
      </c>
      <c r="G12" s="10" t="s">
        <v>258</v>
      </c>
      <c r="H12" s="10" t="s">
        <v>258</v>
      </c>
      <c r="I12" s="10" t="s">
        <v>258</v>
      </c>
      <c r="J12" s="10" t="s">
        <v>258</v>
      </c>
      <c r="K12" s="10" t="s">
        <v>258</v>
      </c>
      <c r="L12" s="10" t="s">
        <v>258</v>
      </c>
      <c r="M12" s="10" t="s">
        <v>258</v>
      </c>
      <c r="N12" s="10" t="s">
        <v>258</v>
      </c>
      <c r="O12" s="10" t="s">
        <v>258</v>
      </c>
      <c r="P12" s="11"/>
      <c r="Q12" s="11"/>
    </row>
    <row r="13" spans="1:17" x14ac:dyDescent="0.35">
      <c r="C13" s="11"/>
    </row>
    <row r="14" spans="1:17" x14ac:dyDescent="0.35">
      <c r="B14" s="81" t="s">
        <v>22</v>
      </c>
    </row>
    <row r="15" spans="1:17" x14ac:dyDescent="0.35">
      <c r="B15" s="8" t="s">
        <v>133</v>
      </c>
      <c r="C15" s="44">
        <v>0</v>
      </c>
      <c r="D15" s="44">
        <v>79805.64</v>
      </c>
      <c r="E15" s="44">
        <v>859141.8</v>
      </c>
      <c r="F15" s="44">
        <v>3925560.5700000008</v>
      </c>
      <c r="G15" s="44">
        <v>805780.17999999993</v>
      </c>
      <c r="H15" s="44">
        <v>3005341.4100000006</v>
      </c>
      <c r="I15" s="44">
        <v>3854453.0500000007</v>
      </c>
      <c r="J15" s="44">
        <v>3124046.71</v>
      </c>
      <c r="K15" s="44">
        <v>1345549.6300000004</v>
      </c>
      <c r="L15" s="44">
        <v>4929452</v>
      </c>
      <c r="M15" s="44">
        <v>1282582.1600000004</v>
      </c>
      <c r="N15" s="44">
        <v>3498689.6999999997</v>
      </c>
      <c r="O15" s="44">
        <v>4263655.3099999996</v>
      </c>
      <c r="P15" s="45">
        <f>SUM(C15:O15)</f>
        <v>30974058.16</v>
      </c>
    </row>
    <row r="16" spans="1:17" x14ac:dyDescent="0.35">
      <c r="B16" s="8" t="s">
        <v>134</v>
      </c>
      <c r="C16" s="44">
        <v>0</v>
      </c>
      <c r="D16" s="44"/>
      <c r="E16" s="44"/>
      <c r="F16" s="82"/>
      <c r="G16" s="44"/>
      <c r="H16" s="44"/>
      <c r="I16" s="44"/>
      <c r="J16" s="44"/>
      <c r="K16" s="44"/>
      <c r="L16" s="44"/>
      <c r="M16" s="44"/>
      <c r="N16" s="44"/>
      <c r="O16" s="44"/>
      <c r="P16" s="45">
        <f>SUM(C16:O16)</f>
        <v>0</v>
      </c>
    </row>
    <row r="17" spans="2:17" x14ac:dyDescent="0.35">
      <c r="B17" s="8" t="s">
        <v>135</v>
      </c>
      <c r="C17" s="44">
        <v>0</v>
      </c>
      <c r="D17" s="44">
        <v>849592.64</v>
      </c>
      <c r="E17" s="44">
        <v>1027481.72</v>
      </c>
      <c r="F17" s="44">
        <v>1095911.02</v>
      </c>
      <c r="G17" s="44">
        <v>1074077.54</v>
      </c>
      <c r="H17" s="44">
        <v>1261171.98</v>
      </c>
      <c r="I17" s="44">
        <v>1124603.45</v>
      </c>
      <c r="J17" s="44">
        <v>946236.83000000007</v>
      </c>
      <c r="K17" s="44">
        <v>1262751.21</v>
      </c>
      <c r="L17" s="44">
        <v>1078244.2400000002</v>
      </c>
      <c r="M17" s="44">
        <v>1523803.0500000003</v>
      </c>
      <c r="N17" s="44">
        <v>861761.95000000007</v>
      </c>
      <c r="O17" s="44">
        <v>782388.46</v>
      </c>
      <c r="P17" s="45">
        <f>SUM(C17:O17)</f>
        <v>12888024.09</v>
      </c>
    </row>
    <row r="18" spans="2:17" x14ac:dyDescent="0.35">
      <c r="B18" s="8" t="s">
        <v>136</v>
      </c>
      <c r="C18" s="44">
        <v>0</v>
      </c>
      <c r="D18" s="44">
        <v>1645.31</v>
      </c>
      <c r="E18" s="44">
        <v>0</v>
      </c>
      <c r="F18" s="44">
        <v>1219.19</v>
      </c>
      <c r="G18" s="44">
        <v>374.88</v>
      </c>
      <c r="H18" s="44">
        <v>2800.4300000000003</v>
      </c>
      <c r="I18" s="44">
        <v>4551.3500000000004</v>
      </c>
      <c r="J18" s="44">
        <v>7084.41</v>
      </c>
      <c r="K18" s="44">
        <v>19772.759999999998</v>
      </c>
      <c r="L18" s="44">
        <v>5637.8600000000006</v>
      </c>
      <c r="M18" s="44">
        <v>17703.63</v>
      </c>
      <c r="N18" s="44">
        <v>14238.460000000001</v>
      </c>
      <c r="O18" s="44">
        <v>10554.1</v>
      </c>
      <c r="P18" s="45">
        <f>SUM(C18:O18)</f>
        <v>85582.380000000019</v>
      </c>
    </row>
    <row r="19" spans="2:17" x14ac:dyDescent="0.35">
      <c r="B19" s="8" t="s">
        <v>137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5">
        <f>SUM(C19:O19)</f>
        <v>0</v>
      </c>
    </row>
    <row r="20" spans="2:17" x14ac:dyDescent="0.35">
      <c r="B20" s="8" t="s">
        <v>153</v>
      </c>
      <c r="C20" s="48">
        <f>SUM(C15:C19)</f>
        <v>0</v>
      </c>
      <c r="D20" s="48">
        <f t="shared" ref="D20:M20" si="1">SUM(D15:D19)</f>
        <v>931043.59000000008</v>
      </c>
      <c r="E20" s="48">
        <f t="shared" si="1"/>
        <v>1886623.52</v>
      </c>
      <c r="F20" s="48">
        <f t="shared" si="1"/>
        <v>5022690.7800000012</v>
      </c>
      <c r="G20" s="48">
        <f t="shared" si="1"/>
        <v>1880232.5999999999</v>
      </c>
      <c r="H20" s="48">
        <f t="shared" si="1"/>
        <v>4269313.82</v>
      </c>
      <c r="I20" s="48">
        <f t="shared" si="1"/>
        <v>4983607.8500000006</v>
      </c>
      <c r="J20" s="48">
        <f t="shared" si="1"/>
        <v>4077367.95</v>
      </c>
      <c r="K20" s="48">
        <f t="shared" si="1"/>
        <v>2628073.6</v>
      </c>
      <c r="L20" s="48">
        <f t="shared" si="1"/>
        <v>6013334.1000000006</v>
      </c>
      <c r="M20" s="48">
        <f t="shared" si="1"/>
        <v>2824088.8400000008</v>
      </c>
      <c r="N20" s="48">
        <f>SUM(N15:N19)</f>
        <v>4374690.1099999994</v>
      </c>
      <c r="O20" s="48">
        <f>SUM(O15:O19)</f>
        <v>5056597.8699999992</v>
      </c>
      <c r="P20" s="48"/>
    </row>
    <row r="21" spans="2:17" x14ac:dyDescent="0.35">
      <c r="B21" s="8" t="s">
        <v>154</v>
      </c>
      <c r="C21" s="43">
        <f>+C20</f>
        <v>0</v>
      </c>
      <c r="D21" s="43">
        <f t="shared" ref="D21:O21" si="2">+D20+C21</f>
        <v>931043.59000000008</v>
      </c>
      <c r="E21" s="43">
        <f t="shared" si="2"/>
        <v>2817667.1100000003</v>
      </c>
      <c r="F21" s="43">
        <f t="shared" si="2"/>
        <v>7840357.8900000015</v>
      </c>
      <c r="G21" s="43">
        <f t="shared" si="2"/>
        <v>9720590.4900000021</v>
      </c>
      <c r="H21" s="43">
        <f t="shared" si="2"/>
        <v>13989904.310000002</v>
      </c>
      <c r="I21" s="43">
        <f t="shared" si="2"/>
        <v>18973512.160000004</v>
      </c>
      <c r="J21" s="43">
        <f t="shared" si="2"/>
        <v>23050880.110000003</v>
      </c>
      <c r="K21" s="43">
        <f t="shared" si="2"/>
        <v>25678953.710000005</v>
      </c>
      <c r="L21" s="43">
        <f t="shared" si="2"/>
        <v>31692287.810000006</v>
      </c>
      <c r="M21" s="43">
        <f t="shared" si="2"/>
        <v>34516376.650000006</v>
      </c>
      <c r="N21" s="43">
        <f t="shared" si="2"/>
        <v>38891066.760000005</v>
      </c>
      <c r="O21" s="43">
        <f t="shared" si="2"/>
        <v>43947664.630000003</v>
      </c>
      <c r="P21" s="43">
        <f>SUM(P15:P19)</f>
        <v>43947664.630000003</v>
      </c>
      <c r="Q21" s="45">
        <f>AVERAGE(C21:O21)</f>
        <v>19388485.016923077</v>
      </c>
    </row>
    <row r="23" spans="2:17" x14ac:dyDescent="0.35">
      <c r="B23" s="81" t="s">
        <v>62</v>
      </c>
    </row>
    <row r="24" spans="2:17" x14ac:dyDescent="0.35">
      <c r="B24" s="8" t="s">
        <v>133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-14490.58</v>
      </c>
      <c r="I24" s="44">
        <v>-207</v>
      </c>
      <c r="J24" s="44">
        <v>-64.34</v>
      </c>
      <c r="K24" s="44">
        <v>-207</v>
      </c>
      <c r="L24" s="44">
        <v>-175288.07</v>
      </c>
      <c r="M24" s="44">
        <v>-557.34</v>
      </c>
      <c r="N24" s="44">
        <v>0</v>
      </c>
      <c r="O24" s="44">
        <v>-94799.38</v>
      </c>
      <c r="P24" s="45">
        <f>SUM(C24:O24)</f>
        <v>-285613.71000000002</v>
      </c>
    </row>
    <row r="25" spans="2:17" x14ac:dyDescent="0.35">
      <c r="B25" s="8" t="s">
        <v>134</v>
      </c>
      <c r="C25" s="44">
        <v>0</v>
      </c>
      <c r="D25" s="44">
        <v>-7576.5300000000007</v>
      </c>
      <c r="E25" s="44">
        <v>-6092.8</v>
      </c>
      <c r="F25" s="44">
        <v>-17244.22</v>
      </c>
      <c r="G25" s="44">
        <v>-1679.98</v>
      </c>
      <c r="H25" s="44">
        <v>-9507.9599999999991</v>
      </c>
      <c r="I25" s="44">
        <v>-98607.48000000001</v>
      </c>
      <c r="J25" s="44">
        <v>-90900.479999999996</v>
      </c>
      <c r="K25" s="44">
        <v>-73755.900000000009</v>
      </c>
      <c r="L25" s="44">
        <v>-42418.09</v>
      </c>
      <c r="M25" s="44">
        <v>0</v>
      </c>
      <c r="N25" s="44">
        <v>-507.39</v>
      </c>
      <c r="O25" s="44">
        <v>-42121.18</v>
      </c>
      <c r="P25" s="45">
        <f>SUM(C25:O25)</f>
        <v>-390412.01000000007</v>
      </c>
    </row>
    <row r="26" spans="2:17" x14ac:dyDescent="0.35">
      <c r="B26" s="8" t="s">
        <v>220</v>
      </c>
      <c r="C26" s="44">
        <v>0</v>
      </c>
      <c r="D26" s="44">
        <v>-277338.54684376396</v>
      </c>
      <c r="E26" s="44">
        <v>-116568.9110269363</v>
      </c>
      <c r="F26" s="44">
        <v>-192040.81348253199</v>
      </c>
      <c r="G26" s="44">
        <v>-189065.28196242961</v>
      </c>
      <c r="H26" s="44">
        <v>-292187.67817744327</v>
      </c>
      <c r="I26" s="44">
        <v>-358664.11432266055</v>
      </c>
      <c r="J26" s="44">
        <v>-231124.9352651996</v>
      </c>
      <c r="K26" s="44">
        <v>-168870.39495231336</v>
      </c>
      <c r="L26" s="44">
        <v>-273184.83045736718</v>
      </c>
      <c r="M26" s="44">
        <v>-178657.54023643697</v>
      </c>
      <c r="N26" s="44">
        <v>-274398.30615260021</v>
      </c>
      <c r="O26" s="44">
        <v>-240285.08654995094</v>
      </c>
      <c r="P26" s="45">
        <f>SUM(C26:O26)</f>
        <v>-2792386.4394296333</v>
      </c>
    </row>
    <row r="27" spans="2:17" x14ac:dyDescent="0.35">
      <c r="B27" s="8" t="s">
        <v>136</v>
      </c>
      <c r="C27" s="44">
        <v>0</v>
      </c>
      <c r="D27" s="44">
        <v>-489.15000000000003</v>
      </c>
      <c r="E27" s="44">
        <v>-1574.7300000000002</v>
      </c>
      <c r="F27" s="44">
        <v>-2045.7900000000002</v>
      </c>
      <c r="G27" s="44">
        <v>-5647.4500000000007</v>
      </c>
      <c r="H27" s="44">
        <v>-3453.44</v>
      </c>
      <c r="I27" s="44">
        <v>-3705.5099999999998</v>
      </c>
      <c r="J27" s="44">
        <v>-5252.36</v>
      </c>
      <c r="K27" s="44">
        <v>-9322.3200000000015</v>
      </c>
      <c r="L27" s="44">
        <v>-4705.1100000000006</v>
      </c>
      <c r="M27" s="44">
        <v>-4703.41</v>
      </c>
      <c r="N27" s="44">
        <v>-3639.67</v>
      </c>
      <c r="O27" s="44">
        <v>-3691.8300000000004</v>
      </c>
      <c r="P27" s="45">
        <f>SUM(C27:O27)</f>
        <v>-48230.770000000004</v>
      </c>
    </row>
    <row r="28" spans="2:17" x14ac:dyDescent="0.35">
      <c r="B28" s="8" t="s">
        <v>137</v>
      </c>
      <c r="C28" s="44">
        <v>0</v>
      </c>
      <c r="D28" s="44">
        <v>-188.66000000000003</v>
      </c>
      <c r="E28" s="44">
        <v>-230.70000000000002</v>
      </c>
      <c r="F28" s="44">
        <v>-156.80000000000001</v>
      </c>
      <c r="G28" s="44">
        <v>-171.39000000000001</v>
      </c>
      <c r="H28" s="44">
        <v>-348.81</v>
      </c>
      <c r="I28" s="44">
        <v>-226.33</v>
      </c>
      <c r="J28" s="44">
        <v>-3043.2999999999997</v>
      </c>
      <c r="K28" s="44">
        <v>-197.14000000000001</v>
      </c>
      <c r="L28" s="44">
        <v>-575.59</v>
      </c>
      <c r="M28" s="44">
        <v>-562.87</v>
      </c>
      <c r="N28" s="44">
        <v>-632.7299999999999</v>
      </c>
      <c r="O28" s="44">
        <v>-534.66999999999996</v>
      </c>
      <c r="P28" s="45">
        <f>SUM(C28:O28)</f>
        <v>-6868.99</v>
      </c>
    </row>
    <row r="29" spans="2:17" x14ac:dyDescent="0.35">
      <c r="B29" s="8" t="s">
        <v>155</v>
      </c>
      <c r="C29" s="48">
        <f>SUM(C24:C28)</f>
        <v>0</v>
      </c>
      <c r="D29" s="48">
        <f t="shared" ref="D29:O29" si="3">SUM(D24:D28)</f>
        <v>-285592.88684376399</v>
      </c>
      <c r="E29" s="48">
        <f t="shared" si="3"/>
        <v>-124467.1410269363</v>
      </c>
      <c r="F29" s="48">
        <f t="shared" si="3"/>
        <v>-211487.62348253198</v>
      </c>
      <c r="G29" s="48">
        <f t="shared" si="3"/>
        <v>-196564.10196242965</v>
      </c>
      <c r="H29" s="48">
        <f t="shared" si="3"/>
        <v>-319988.46817744325</v>
      </c>
      <c r="I29" s="48">
        <f t="shared" si="3"/>
        <v>-461410.43432266061</v>
      </c>
      <c r="J29" s="48">
        <f t="shared" si="3"/>
        <v>-330385.41526519955</v>
      </c>
      <c r="K29" s="48">
        <f t="shared" si="3"/>
        <v>-252352.75495231338</v>
      </c>
      <c r="L29" s="48">
        <f t="shared" si="3"/>
        <v>-496171.69045736716</v>
      </c>
      <c r="M29" s="48">
        <f t="shared" si="3"/>
        <v>-184481.16023643696</v>
      </c>
      <c r="N29" s="48">
        <f t="shared" si="3"/>
        <v>-279178.09615260019</v>
      </c>
      <c r="O29" s="48">
        <f t="shared" si="3"/>
        <v>-381432.14654995094</v>
      </c>
      <c r="P29" s="48"/>
    </row>
    <row r="30" spans="2:17" x14ac:dyDescent="0.35">
      <c r="B30" s="8" t="s">
        <v>156</v>
      </c>
      <c r="C30" s="43">
        <f>+C29</f>
        <v>0</v>
      </c>
      <c r="D30" s="43">
        <f t="shared" ref="D30:O30" si="4">+D29+C30</f>
        <v>-285592.88684376399</v>
      </c>
      <c r="E30" s="43">
        <f t="shared" si="4"/>
        <v>-410060.02787070029</v>
      </c>
      <c r="F30" s="43">
        <f t="shared" si="4"/>
        <v>-621547.65135323233</v>
      </c>
      <c r="G30" s="43">
        <f t="shared" si="4"/>
        <v>-818111.75331566203</v>
      </c>
      <c r="H30" s="43">
        <f t="shared" si="4"/>
        <v>-1138100.2214931054</v>
      </c>
      <c r="I30" s="43">
        <f t="shared" si="4"/>
        <v>-1599510.655815766</v>
      </c>
      <c r="J30" s="43">
        <f t="shared" si="4"/>
        <v>-1929896.0710809655</v>
      </c>
      <c r="K30" s="43">
        <f t="shared" si="4"/>
        <v>-2182248.8260332788</v>
      </c>
      <c r="L30" s="43">
        <f t="shared" si="4"/>
        <v>-2678420.5164906462</v>
      </c>
      <c r="M30" s="43">
        <f t="shared" si="4"/>
        <v>-2862901.676727083</v>
      </c>
      <c r="N30" s="43">
        <f t="shared" si="4"/>
        <v>-3142079.7728796834</v>
      </c>
      <c r="O30" s="43">
        <f t="shared" si="4"/>
        <v>-3523511.9194296342</v>
      </c>
      <c r="P30" s="43">
        <f>SUM(P24:P28)</f>
        <v>-3523511.9194296338</v>
      </c>
      <c r="Q30" s="45">
        <f>AVERAGE(C30:O30)</f>
        <v>-1630152.4599487323</v>
      </c>
    </row>
    <row r="32" spans="2:17" x14ac:dyDescent="0.35">
      <c r="B32" s="81" t="s">
        <v>139</v>
      </c>
    </row>
    <row r="33" spans="2:17" x14ac:dyDescent="0.35">
      <c r="B33" s="8" t="s">
        <v>133</v>
      </c>
      <c r="C33" s="83">
        <f>+C15+C24</f>
        <v>0</v>
      </c>
      <c r="D33" s="83">
        <f t="shared" ref="D33:O33" si="5">+D15+D24</f>
        <v>79805.64</v>
      </c>
      <c r="E33" s="83">
        <f t="shared" si="5"/>
        <v>859141.8</v>
      </c>
      <c r="F33" s="83">
        <f t="shared" si="5"/>
        <v>3925560.5700000008</v>
      </c>
      <c r="G33" s="83">
        <f t="shared" si="5"/>
        <v>805780.17999999993</v>
      </c>
      <c r="H33" s="83">
        <f t="shared" si="5"/>
        <v>2990850.8300000005</v>
      </c>
      <c r="I33" s="83">
        <f t="shared" si="5"/>
        <v>3854246.0500000007</v>
      </c>
      <c r="J33" s="83">
        <f t="shared" si="5"/>
        <v>3123982.37</v>
      </c>
      <c r="K33" s="83">
        <f t="shared" si="5"/>
        <v>1345342.6300000004</v>
      </c>
      <c r="L33" s="83">
        <f t="shared" si="5"/>
        <v>4754163.93</v>
      </c>
      <c r="M33" s="83">
        <f t="shared" si="5"/>
        <v>1282024.8200000003</v>
      </c>
      <c r="N33" s="83">
        <f t="shared" si="5"/>
        <v>3498689.6999999997</v>
      </c>
      <c r="O33" s="83">
        <f t="shared" si="5"/>
        <v>4168855.9299999997</v>
      </c>
      <c r="P33" s="45">
        <f>SUM(C33:O33)</f>
        <v>30688444.449999999</v>
      </c>
    </row>
    <row r="34" spans="2:17" x14ac:dyDescent="0.35">
      <c r="B34" s="8" t="s">
        <v>134</v>
      </c>
      <c r="C34" s="83">
        <f>+C16+C25</f>
        <v>0</v>
      </c>
      <c r="D34" s="83">
        <f t="shared" ref="D34:O34" si="6">+D16+D25</f>
        <v>-7576.5300000000007</v>
      </c>
      <c r="E34" s="83">
        <f t="shared" si="6"/>
        <v>-6092.8</v>
      </c>
      <c r="F34" s="83">
        <f t="shared" si="6"/>
        <v>-17244.22</v>
      </c>
      <c r="G34" s="83">
        <f t="shared" si="6"/>
        <v>-1679.98</v>
      </c>
      <c r="H34" s="83">
        <f t="shared" si="6"/>
        <v>-9507.9599999999991</v>
      </c>
      <c r="I34" s="83">
        <f t="shared" si="6"/>
        <v>-98607.48000000001</v>
      </c>
      <c r="J34" s="83">
        <f t="shared" si="6"/>
        <v>-90900.479999999996</v>
      </c>
      <c r="K34" s="83">
        <f t="shared" si="6"/>
        <v>-73755.900000000009</v>
      </c>
      <c r="L34" s="83">
        <f t="shared" si="6"/>
        <v>-42418.09</v>
      </c>
      <c r="M34" s="83">
        <f t="shared" si="6"/>
        <v>0</v>
      </c>
      <c r="N34" s="83">
        <f t="shared" si="6"/>
        <v>-507.39</v>
      </c>
      <c r="O34" s="83">
        <f t="shared" si="6"/>
        <v>-42121.18</v>
      </c>
      <c r="P34" s="45">
        <f>SUM(C34:O34)</f>
        <v>-390412.01000000007</v>
      </c>
    </row>
    <row r="35" spans="2:17" x14ac:dyDescent="0.35">
      <c r="B35" s="8" t="s">
        <v>135</v>
      </c>
      <c r="C35" s="83">
        <f>+C17+C26</f>
        <v>0</v>
      </c>
      <c r="D35" s="83">
        <f t="shared" ref="D35:O35" si="7">+D17+D26</f>
        <v>572254.09315623599</v>
      </c>
      <c r="E35" s="83">
        <f t="shared" si="7"/>
        <v>910912.80897306371</v>
      </c>
      <c r="F35" s="83">
        <f t="shared" si="7"/>
        <v>903870.20651746797</v>
      </c>
      <c r="G35" s="83">
        <f t="shared" si="7"/>
        <v>885012.2580375704</v>
      </c>
      <c r="H35" s="83">
        <f t="shared" si="7"/>
        <v>968984.30182255665</v>
      </c>
      <c r="I35" s="83">
        <f t="shared" si="7"/>
        <v>765939.33567733946</v>
      </c>
      <c r="J35" s="83">
        <f t="shared" si="7"/>
        <v>715111.89473480044</v>
      </c>
      <c r="K35" s="83">
        <f t="shared" si="7"/>
        <v>1093880.8150476867</v>
      </c>
      <c r="L35" s="83">
        <f t="shared" si="7"/>
        <v>805059.40954263299</v>
      </c>
      <c r="M35" s="83">
        <f t="shared" si="7"/>
        <v>1345145.5097635633</v>
      </c>
      <c r="N35" s="83">
        <f t="shared" si="7"/>
        <v>587363.64384739986</v>
      </c>
      <c r="O35" s="83">
        <f t="shared" si="7"/>
        <v>542103.37345004897</v>
      </c>
      <c r="P35" s="45">
        <f>SUM(C35:O35)</f>
        <v>10095637.650570367</v>
      </c>
    </row>
    <row r="36" spans="2:17" x14ac:dyDescent="0.35">
      <c r="B36" s="8" t="s">
        <v>136</v>
      </c>
      <c r="C36" s="83">
        <f>+C18+C27</f>
        <v>0</v>
      </c>
      <c r="D36" s="83">
        <f t="shared" ref="D36:O36" si="8">+D18+D27</f>
        <v>1156.1599999999999</v>
      </c>
      <c r="E36" s="83">
        <f t="shared" si="8"/>
        <v>-1574.7300000000002</v>
      </c>
      <c r="F36" s="83">
        <f t="shared" si="8"/>
        <v>-826.60000000000014</v>
      </c>
      <c r="G36" s="83">
        <f t="shared" si="8"/>
        <v>-5272.5700000000006</v>
      </c>
      <c r="H36" s="83">
        <f t="shared" si="8"/>
        <v>-653.00999999999976</v>
      </c>
      <c r="I36" s="83">
        <f t="shared" si="8"/>
        <v>845.8400000000006</v>
      </c>
      <c r="J36" s="83">
        <f t="shared" si="8"/>
        <v>1832.0500000000002</v>
      </c>
      <c r="K36" s="83">
        <f t="shared" si="8"/>
        <v>10450.439999999997</v>
      </c>
      <c r="L36" s="83">
        <f t="shared" si="8"/>
        <v>932.75</v>
      </c>
      <c r="M36" s="83">
        <f t="shared" si="8"/>
        <v>13000.220000000001</v>
      </c>
      <c r="N36" s="83">
        <f t="shared" si="8"/>
        <v>10598.79</v>
      </c>
      <c r="O36" s="83">
        <f t="shared" si="8"/>
        <v>6862.27</v>
      </c>
      <c r="P36" s="45">
        <f>SUM(C36:O36)</f>
        <v>37351.61</v>
      </c>
    </row>
    <row r="37" spans="2:17" x14ac:dyDescent="0.35">
      <c r="B37" s="8" t="s">
        <v>137</v>
      </c>
      <c r="C37" s="83">
        <f>+C19+C28</f>
        <v>0</v>
      </c>
      <c r="D37" s="83">
        <f t="shared" ref="D37:O37" si="9">+D19+D28</f>
        <v>-188.66000000000003</v>
      </c>
      <c r="E37" s="83">
        <f t="shared" si="9"/>
        <v>-230.70000000000002</v>
      </c>
      <c r="F37" s="83">
        <f t="shared" si="9"/>
        <v>-156.80000000000001</v>
      </c>
      <c r="G37" s="83">
        <f t="shared" si="9"/>
        <v>-171.39000000000001</v>
      </c>
      <c r="H37" s="83">
        <f t="shared" si="9"/>
        <v>-348.81</v>
      </c>
      <c r="I37" s="83">
        <f t="shared" si="9"/>
        <v>-226.33</v>
      </c>
      <c r="J37" s="83">
        <f t="shared" si="9"/>
        <v>-3043.2999999999997</v>
      </c>
      <c r="K37" s="83">
        <f t="shared" si="9"/>
        <v>-197.14000000000001</v>
      </c>
      <c r="L37" s="83">
        <f t="shared" si="9"/>
        <v>-575.59</v>
      </c>
      <c r="M37" s="83">
        <f t="shared" si="9"/>
        <v>-562.87</v>
      </c>
      <c r="N37" s="83">
        <f t="shared" si="9"/>
        <v>-632.7299999999999</v>
      </c>
      <c r="O37" s="83">
        <f t="shared" si="9"/>
        <v>-534.66999999999996</v>
      </c>
      <c r="P37" s="45">
        <f>SUM(C37:O37)</f>
        <v>-6868.99</v>
      </c>
    </row>
    <row r="38" spans="2:17" x14ac:dyDescent="0.35">
      <c r="B38" s="8" t="s">
        <v>157</v>
      </c>
      <c r="C38" s="48">
        <f>SUM(C33:C37)</f>
        <v>0</v>
      </c>
      <c r="D38" s="48">
        <f t="shared" ref="D38:O38" si="10">SUM(D33:D37)</f>
        <v>645450.70315623598</v>
      </c>
      <c r="E38" s="48">
        <f t="shared" si="10"/>
        <v>1762156.3789730638</v>
      </c>
      <c r="F38" s="48">
        <f t="shared" si="10"/>
        <v>4811203.1565174693</v>
      </c>
      <c r="G38" s="48">
        <f t="shared" si="10"/>
        <v>1683668.4980375704</v>
      </c>
      <c r="H38" s="48">
        <f t="shared" si="10"/>
        <v>3949325.3518225574</v>
      </c>
      <c r="I38" s="48">
        <f t="shared" si="10"/>
        <v>4522197.4156773398</v>
      </c>
      <c r="J38" s="48">
        <f t="shared" si="10"/>
        <v>3746982.5347348005</v>
      </c>
      <c r="K38" s="48">
        <f t="shared" si="10"/>
        <v>2375720.8450476872</v>
      </c>
      <c r="L38" s="48">
        <f t="shared" si="10"/>
        <v>5517162.4095426332</v>
      </c>
      <c r="M38" s="48">
        <f t="shared" si="10"/>
        <v>2639607.6797635634</v>
      </c>
      <c r="N38" s="48">
        <f t="shared" si="10"/>
        <v>4095512.0138473995</v>
      </c>
      <c r="O38" s="48">
        <f t="shared" si="10"/>
        <v>4675165.7234500479</v>
      </c>
      <c r="P38" s="48"/>
    </row>
    <row r="39" spans="2:17" x14ac:dyDescent="0.35">
      <c r="B39" s="8" t="s">
        <v>215</v>
      </c>
      <c r="C39" s="43">
        <f>+C38</f>
        <v>0</v>
      </c>
      <c r="D39" s="43">
        <f t="shared" ref="D39:O39" si="11">+D38+C39</f>
        <v>645450.70315623598</v>
      </c>
      <c r="E39" s="43">
        <f t="shared" si="11"/>
        <v>2407607.0821292996</v>
      </c>
      <c r="F39" s="43">
        <f t="shared" si="11"/>
        <v>7218810.238646769</v>
      </c>
      <c r="G39" s="43">
        <f t="shared" si="11"/>
        <v>8902478.7366843391</v>
      </c>
      <c r="H39" s="43">
        <f t="shared" si="11"/>
        <v>12851804.088506896</v>
      </c>
      <c r="I39" s="43">
        <f t="shared" si="11"/>
        <v>17374001.504184235</v>
      </c>
      <c r="J39" s="43">
        <f t="shared" si="11"/>
        <v>21120984.038919035</v>
      </c>
      <c r="K39" s="43">
        <f t="shared" si="11"/>
        <v>23496704.883966722</v>
      </c>
      <c r="L39" s="43">
        <f t="shared" si="11"/>
        <v>29013867.293509357</v>
      </c>
      <c r="M39" s="43">
        <f t="shared" si="11"/>
        <v>31653474.97327292</v>
      </c>
      <c r="N39" s="43">
        <f t="shared" si="11"/>
        <v>35748986.987120315</v>
      </c>
      <c r="O39" s="43">
        <f t="shared" si="11"/>
        <v>40424152.710570365</v>
      </c>
      <c r="P39" s="43">
        <f>SUM(P33:P37)</f>
        <v>40424152.710570358</v>
      </c>
      <c r="Q39" s="45">
        <f>AVERAGE(C39:O39)</f>
        <v>17758332.556974344</v>
      </c>
    </row>
    <row r="71" spans="1:17" x14ac:dyDescent="0.35">
      <c r="Q71" s="9" t="str">
        <f>Q1</f>
        <v>Case No. 2024-00328</v>
      </c>
    </row>
    <row r="72" spans="1:17" x14ac:dyDescent="0.35">
      <c r="Q72" s="9" t="s">
        <v>195</v>
      </c>
    </row>
    <row r="73" spans="1:17" x14ac:dyDescent="0.35">
      <c r="Q73" s="9" t="s">
        <v>212</v>
      </c>
    </row>
    <row r="74" spans="1:17" x14ac:dyDescent="0.35">
      <c r="A74" s="138" t="s">
        <v>12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35">
      <c r="A75" s="138" t="s">
        <v>109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</row>
    <row r="76" spans="1:17" x14ac:dyDescent="0.35">
      <c r="A76" s="138" t="s">
        <v>275</v>
      </c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</row>
    <row r="77" spans="1:17" x14ac:dyDescent="0.3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1"/>
    </row>
    <row r="78" spans="1:17" x14ac:dyDescent="0.35">
      <c r="P78" s="79"/>
    </row>
    <row r="79" spans="1:17" x14ac:dyDescent="0.35">
      <c r="D79" s="139"/>
      <c r="E79" s="139"/>
      <c r="F79" s="139"/>
      <c r="G79" s="139"/>
      <c r="H79" s="139"/>
      <c r="I79" s="139"/>
      <c r="J79" s="139"/>
      <c r="K79" s="139"/>
      <c r="P79" s="55"/>
    </row>
    <row r="80" spans="1:17" x14ac:dyDescent="0.35">
      <c r="C80" s="10">
        <v>2023</v>
      </c>
      <c r="D80" s="10">
        <f>+C80+1</f>
        <v>2024</v>
      </c>
      <c r="E80" s="10">
        <f t="shared" ref="E80:Q80" si="12">+D80</f>
        <v>2024</v>
      </c>
      <c r="F80" s="10">
        <f t="shared" si="12"/>
        <v>2024</v>
      </c>
      <c r="G80" s="10">
        <f t="shared" si="12"/>
        <v>2024</v>
      </c>
      <c r="H80" s="10">
        <f t="shared" si="12"/>
        <v>2024</v>
      </c>
      <c r="I80" s="10">
        <f t="shared" si="12"/>
        <v>2024</v>
      </c>
      <c r="J80" s="10">
        <f t="shared" si="12"/>
        <v>2024</v>
      </c>
      <c r="K80" s="10">
        <f t="shared" si="12"/>
        <v>2024</v>
      </c>
      <c r="L80" s="10">
        <f t="shared" si="12"/>
        <v>2024</v>
      </c>
      <c r="M80" s="10">
        <f t="shared" si="12"/>
        <v>2024</v>
      </c>
      <c r="N80" s="10">
        <f t="shared" si="12"/>
        <v>2024</v>
      </c>
      <c r="O80" s="10">
        <f t="shared" si="12"/>
        <v>2024</v>
      </c>
      <c r="P80" s="10">
        <f t="shared" si="12"/>
        <v>2024</v>
      </c>
      <c r="Q80" s="10">
        <f t="shared" si="12"/>
        <v>2024</v>
      </c>
    </row>
    <row r="81" spans="2:17" x14ac:dyDescent="0.35">
      <c r="C81" s="10" t="s">
        <v>140</v>
      </c>
      <c r="D81" s="10" t="s">
        <v>141</v>
      </c>
      <c r="E81" s="10" t="s">
        <v>142</v>
      </c>
      <c r="F81" s="10" t="s">
        <v>143</v>
      </c>
      <c r="G81" s="10" t="s">
        <v>144</v>
      </c>
      <c r="H81" s="10" t="s">
        <v>81</v>
      </c>
      <c r="I81" s="10" t="s">
        <v>145</v>
      </c>
      <c r="J81" s="10" t="s">
        <v>146</v>
      </c>
      <c r="K81" s="10" t="s">
        <v>147</v>
      </c>
      <c r="L81" s="10" t="s">
        <v>148</v>
      </c>
      <c r="M81" s="10" t="s">
        <v>149</v>
      </c>
      <c r="N81" s="10" t="s">
        <v>150</v>
      </c>
      <c r="O81" s="10" t="s">
        <v>140</v>
      </c>
      <c r="P81" s="10" t="s">
        <v>151</v>
      </c>
      <c r="Q81" s="10" t="s">
        <v>152</v>
      </c>
    </row>
    <row r="82" spans="2:17" x14ac:dyDescent="0.35">
      <c r="C82" s="10" t="s">
        <v>92</v>
      </c>
      <c r="D82" s="10" t="s">
        <v>201</v>
      </c>
      <c r="E82" s="10" t="s">
        <v>201</v>
      </c>
      <c r="F82" s="10" t="s">
        <v>201</v>
      </c>
      <c r="G82" s="10" t="s">
        <v>201</v>
      </c>
      <c r="H82" s="10" t="s">
        <v>201</v>
      </c>
      <c r="I82" s="10" t="s">
        <v>201</v>
      </c>
      <c r="J82" s="10" t="s">
        <v>201</v>
      </c>
      <c r="K82" s="10" t="s">
        <v>201</v>
      </c>
      <c r="L82" s="10" t="s">
        <v>201</v>
      </c>
      <c r="M82" s="10" t="s">
        <v>201</v>
      </c>
      <c r="N82" s="10" t="s">
        <v>201</v>
      </c>
      <c r="O82" s="10" t="s">
        <v>201</v>
      </c>
      <c r="P82" s="11"/>
      <c r="Q82" s="11"/>
    </row>
    <row r="83" spans="2:17" x14ac:dyDescent="0.35">
      <c r="C83" s="11"/>
    </row>
    <row r="84" spans="2:17" x14ac:dyDescent="0.35">
      <c r="B84" s="81" t="s">
        <v>22</v>
      </c>
    </row>
    <row r="85" spans="2:17" x14ac:dyDescent="0.35">
      <c r="B85" s="8" t="s">
        <v>133</v>
      </c>
      <c r="C85" s="44">
        <f>P15</f>
        <v>30974058.16</v>
      </c>
      <c r="D85" s="44">
        <v>1294211.6466015163</v>
      </c>
      <c r="E85" s="44">
        <v>580082.2960849338</v>
      </c>
      <c r="F85" s="44">
        <v>1679819.5614238442</v>
      </c>
      <c r="G85" s="44">
        <v>1085099.0430508142</v>
      </c>
      <c r="H85" s="44">
        <v>1715794.2553764428</v>
      </c>
      <c r="I85" s="44">
        <v>1857378.4875855374</v>
      </c>
      <c r="J85" s="44">
        <v>1190107.9726593986</v>
      </c>
      <c r="K85" s="44">
        <v>1137187.6338959769</v>
      </c>
      <c r="L85" s="44">
        <v>2783904.0244020014</v>
      </c>
      <c r="M85" s="44">
        <v>3427744.7341480013</v>
      </c>
      <c r="N85" s="44">
        <v>1808638.0889471162</v>
      </c>
      <c r="O85" s="44">
        <v>3267355.6289632525</v>
      </c>
      <c r="P85" s="45">
        <f>SUM(C85:O85)</f>
        <v>52801381.533138841</v>
      </c>
    </row>
    <row r="86" spans="2:17" x14ac:dyDescent="0.35">
      <c r="B86" s="8" t="s">
        <v>134</v>
      </c>
      <c r="C86" s="44">
        <f>P16</f>
        <v>0</v>
      </c>
      <c r="D86" s="44">
        <v>42392.263430322208</v>
      </c>
      <c r="E86" s="44">
        <v>62102.423812867797</v>
      </c>
      <c r="F86" s="82">
        <v>130247.66570237011</v>
      </c>
      <c r="G86" s="44">
        <v>99194.37712408138</v>
      </c>
      <c r="H86" s="44">
        <v>372549.15617829165</v>
      </c>
      <c r="I86" s="44">
        <v>14630.75963536322</v>
      </c>
      <c r="J86" s="44">
        <v>265825.43520575226</v>
      </c>
      <c r="K86" s="44">
        <v>17290.954004861935</v>
      </c>
      <c r="L86" s="44">
        <v>57075.666214932549</v>
      </c>
      <c r="M86" s="44">
        <v>39486.911132408895</v>
      </c>
      <c r="N86" s="44">
        <v>75803.69957783568</v>
      </c>
      <c r="O86" s="44">
        <v>146303.31484207869</v>
      </c>
      <c r="P86" s="45">
        <f>SUM(C86:O86)</f>
        <v>1322902.6268611662</v>
      </c>
    </row>
    <row r="87" spans="2:17" x14ac:dyDescent="0.35">
      <c r="B87" s="8" t="s">
        <v>135</v>
      </c>
      <c r="C87" s="44">
        <f>P17</f>
        <v>12888024.09</v>
      </c>
      <c r="D87" s="44">
        <v>1097144.459369564</v>
      </c>
      <c r="E87" s="44">
        <v>1076101.5443720815</v>
      </c>
      <c r="F87" s="44">
        <v>1440237.1277296715</v>
      </c>
      <c r="G87" s="44">
        <v>1574435.5227747224</v>
      </c>
      <c r="H87" s="44">
        <v>1706521.1093863628</v>
      </c>
      <c r="I87" s="44">
        <v>1576620.4344810885</v>
      </c>
      <c r="J87" s="44">
        <v>1258019.5642696579</v>
      </c>
      <c r="K87" s="44">
        <v>1653824.3615050942</v>
      </c>
      <c r="L87" s="44">
        <v>1609212.253741326</v>
      </c>
      <c r="M87" s="44">
        <v>1258222.4812342657</v>
      </c>
      <c r="N87" s="44">
        <v>1229330.0759411473</v>
      </c>
      <c r="O87" s="44">
        <v>1237369.0651950168</v>
      </c>
      <c r="P87" s="45">
        <f>SUM(C87:O87)</f>
        <v>29605062.090000004</v>
      </c>
    </row>
    <row r="88" spans="2:17" x14ac:dyDescent="0.35">
      <c r="B88" s="8" t="s">
        <v>136</v>
      </c>
      <c r="C88" s="44">
        <f>P18</f>
        <v>85582.380000000019</v>
      </c>
      <c r="D88" s="44">
        <v>13046.317572008309</v>
      </c>
      <c r="E88" s="44">
        <v>12686.739885382571</v>
      </c>
      <c r="F88" s="44">
        <v>11627.624353835352</v>
      </c>
      <c r="G88" s="44">
        <v>9946.2110248832323</v>
      </c>
      <c r="H88" s="44">
        <v>9773.8892007433678</v>
      </c>
      <c r="I88" s="44">
        <v>12895.79332239938</v>
      </c>
      <c r="J88" s="44">
        <v>16620.85414706825</v>
      </c>
      <c r="K88" s="44">
        <v>26988.013324742355</v>
      </c>
      <c r="L88" s="44">
        <v>35131.587514631501</v>
      </c>
      <c r="M88" s="44">
        <v>31619.13048564288</v>
      </c>
      <c r="N88" s="44">
        <v>14809.990125341212</v>
      </c>
      <c r="O88" s="44">
        <v>25917.849043321596</v>
      </c>
      <c r="P88" s="45">
        <f>SUM(C88:O88)</f>
        <v>306646.38000000006</v>
      </c>
    </row>
    <row r="89" spans="2:17" x14ac:dyDescent="0.35">
      <c r="B89" s="8" t="s">
        <v>137</v>
      </c>
      <c r="C89" s="44">
        <f>P19</f>
        <v>0</v>
      </c>
      <c r="D89" s="44">
        <v>23402.952586415056</v>
      </c>
      <c r="E89" s="44">
        <v>17614.711931185499</v>
      </c>
      <c r="F89" s="44">
        <v>12915.061773726571</v>
      </c>
      <c r="G89" s="44">
        <v>10408.2463812639</v>
      </c>
      <c r="H89" s="44">
        <v>5930.7625181521398</v>
      </c>
      <c r="I89" s="44">
        <v>9872.4492643543435</v>
      </c>
      <c r="J89" s="44">
        <v>6364.1495223158836</v>
      </c>
      <c r="K89" s="44">
        <v>8509.8315316685985</v>
      </c>
      <c r="L89" s="44">
        <v>14593.285307749693</v>
      </c>
      <c r="M89" s="44">
        <v>14245.31337707861</v>
      </c>
      <c r="N89" s="44">
        <v>14051.992559498034</v>
      </c>
      <c r="O89" s="44">
        <v>16927.243246591654</v>
      </c>
      <c r="P89" s="45">
        <f>SUM(C89:O89)</f>
        <v>154836</v>
      </c>
    </row>
    <row r="90" spans="2:17" x14ac:dyDescent="0.35">
      <c r="B90" s="8" t="s">
        <v>153</v>
      </c>
      <c r="C90" s="48"/>
      <c r="D90" s="48">
        <f t="shared" ref="D90:O90" si="13">SUM(D85:D89)</f>
        <v>2470197.6395598263</v>
      </c>
      <c r="E90" s="48">
        <f t="shared" si="13"/>
        <v>1748587.7160864514</v>
      </c>
      <c r="F90" s="48">
        <f t="shared" si="13"/>
        <v>3274847.0409834478</v>
      </c>
      <c r="G90" s="48">
        <f t="shared" si="13"/>
        <v>2779083.4003557651</v>
      </c>
      <c r="H90" s="48">
        <f t="shared" si="13"/>
        <v>3810569.1726599927</v>
      </c>
      <c r="I90" s="48">
        <f t="shared" si="13"/>
        <v>3471397.9242887427</v>
      </c>
      <c r="J90" s="48">
        <f t="shared" si="13"/>
        <v>2736937.9758041929</v>
      </c>
      <c r="K90" s="48">
        <f t="shared" si="13"/>
        <v>2843800.7942623436</v>
      </c>
      <c r="L90" s="48">
        <f t="shared" si="13"/>
        <v>4499916.8171806419</v>
      </c>
      <c r="M90" s="48">
        <f t="shared" si="13"/>
        <v>4771318.5703773974</v>
      </c>
      <c r="N90" s="48">
        <f>SUM(N85:N89)</f>
        <v>3142633.8471509386</v>
      </c>
      <c r="O90" s="48">
        <f t="shared" si="13"/>
        <v>4693873.1012902614</v>
      </c>
      <c r="P90" s="48"/>
    </row>
    <row r="91" spans="2:17" x14ac:dyDescent="0.35">
      <c r="B91" s="8" t="s">
        <v>154</v>
      </c>
      <c r="C91" s="43">
        <f>SUM(C85:C89)</f>
        <v>43947664.630000003</v>
      </c>
      <c r="D91" s="43">
        <f t="shared" ref="D91:O91" si="14">+D90+C91</f>
        <v>46417862.26955983</v>
      </c>
      <c r="E91" s="43">
        <f t="shared" si="14"/>
        <v>48166449.985646285</v>
      </c>
      <c r="F91" s="43">
        <f t="shared" si="14"/>
        <v>51441297.026629731</v>
      </c>
      <c r="G91" s="43">
        <f t="shared" si="14"/>
        <v>54220380.426985495</v>
      </c>
      <c r="H91" s="43">
        <f t="shared" si="14"/>
        <v>58030949.599645488</v>
      </c>
      <c r="I91" s="43">
        <f t="shared" si="14"/>
        <v>61502347.52393423</v>
      </c>
      <c r="J91" s="43">
        <f t="shared" si="14"/>
        <v>64239285.499738425</v>
      </c>
      <c r="K91" s="43">
        <f t="shared" si="14"/>
        <v>67083086.294000767</v>
      </c>
      <c r="L91" s="43">
        <f t="shared" si="14"/>
        <v>71583003.111181408</v>
      </c>
      <c r="M91" s="43">
        <f t="shared" si="14"/>
        <v>76354321.681558803</v>
      </c>
      <c r="N91" s="43">
        <f t="shared" si="14"/>
        <v>79496955.528709739</v>
      </c>
      <c r="O91" s="43">
        <f t="shared" si="14"/>
        <v>84190828.629999995</v>
      </c>
      <c r="P91" s="43">
        <f>SUM(P85:P89)</f>
        <v>84190828.63000001</v>
      </c>
      <c r="Q91" s="45">
        <f>AVERAGE(C91:O91)</f>
        <v>62051879.400583863</v>
      </c>
    </row>
    <row r="93" spans="2:17" x14ac:dyDescent="0.35">
      <c r="B93" s="81" t="s">
        <v>62</v>
      </c>
    </row>
    <row r="94" spans="2:17" x14ac:dyDescent="0.35">
      <c r="B94" s="8" t="s">
        <v>133</v>
      </c>
      <c r="C94" s="44">
        <f>P24</f>
        <v>-285613.71000000002</v>
      </c>
      <c r="D94" s="44">
        <v>-10872.773776682474</v>
      </c>
      <c r="E94" s="44">
        <v>-464.11277508543861</v>
      </c>
      <c r="F94" s="44">
        <v>-799.82350260522298</v>
      </c>
      <c r="G94" s="44">
        <v>-5865.2104164145521</v>
      </c>
      <c r="H94" s="44">
        <v>-8774.2712834546182</v>
      </c>
      <c r="I94" s="44">
        <v>-1945.5473091633708</v>
      </c>
      <c r="J94" s="44">
        <v>-7052.2056015152011</v>
      </c>
      <c r="K94" s="44">
        <v>-1219.9458611167438</v>
      </c>
      <c r="L94" s="44">
        <v>-45568.520140757675</v>
      </c>
      <c r="M94" s="44">
        <v>-45748.70778525417</v>
      </c>
      <c r="N94" s="44">
        <v>-28291.125201744471</v>
      </c>
      <c r="O94" s="44">
        <v>-114056.75634620605</v>
      </c>
      <c r="P94" s="45">
        <f>SUM(C94:O94)</f>
        <v>-556272.71</v>
      </c>
    </row>
    <row r="95" spans="2:17" x14ac:dyDescent="0.35">
      <c r="B95" s="8" t="s">
        <v>134</v>
      </c>
      <c r="C95" s="44">
        <f>P25</f>
        <v>-390412.01000000007</v>
      </c>
      <c r="D95" s="44">
        <v>-13920.699075574954</v>
      </c>
      <c r="E95" s="44">
        <v>-9726.7310281905829</v>
      </c>
      <c r="F95" s="44">
        <v>-5995.3760908477088</v>
      </c>
      <c r="G95" s="44">
        <v>-14286.84987086611</v>
      </c>
      <c r="H95" s="44">
        <v>-21330.138679792384</v>
      </c>
      <c r="I95" s="44">
        <v>-32162.548412264143</v>
      </c>
      <c r="J95" s="44">
        <v>-56110.765664551844</v>
      </c>
      <c r="K95" s="44">
        <v>-23514.051427214676</v>
      </c>
      <c r="L95" s="44">
        <v>-42480.748564683585</v>
      </c>
      <c r="M95" s="44">
        <v>-26692.364387453785</v>
      </c>
      <c r="N95" s="44">
        <v>-47655.24780919504</v>
      </c>
      <c r="O95" s="44">
        <v>-38834.478989365198</v>
      </c>
      <c r="P95" s="45">
        <f>SUM(C95:O95)</f>
        <v>-723122.01</v>
      </c>
    </row>
    <row r="96" spans="2:17" x14ac:dyDescent="0.35">
      <c r="B96" s="8" t="s">
        <v>220</v>
      </c>
      <c r="C96" s="44">
        <f>P26</f>
        <v>-2792386.4394296333</v>
      </c>
      <c r="D96" s="44">
        <v>-261131.07673132105</v>
      </c>
      <c r="E96" s="44">
        <v>-272770.63943737978</v>
      </c>
      <c r="F96" s="44">
        <v>-277541.40632934205</v>
      </c>
      <c r="G96" s="44">
        <v>-437686.54688831879</v>
      </c>
      <c r="H96" s="44">
        <v>-444461.42472238117</v>
      </c>
      <c r="I96" s="44">
        <v>-507119.27730182611</v>
      </c>
      <c r="J96" s="44">
        <v>-397350.93850979803</v>
      </c>
      <c r="K96" s="44">
        <v>-290648.80179505283</v>
      </c>
      <c r="L96" s="44">
        <v>-433456.48261251091</v>
      </c>
      <c r="M96" s="44">
        <v>-452192.31972346077</v>
      </c>
      <c r="N96" s="44">
        <v>-524944.83527071134</v>
      </c>
      <c r="O96" s="44">
        <v>-546965.25067789725</v>
      </c>
      <c r="P96" s="45">
        <f>SUM(C96:O96)</f>
        <v>-7638655.4394296333</v>
      </c>
    </row>
    <row r="97" spans="2:17" x14ac:dyDescent="0.35">
      <c r="B97" s="8" t="s">
        <v>136</v>
      </c>
      <c r="C97" s="44">
        <f>P27</f>
        <v>-48230.770000000004</v>
      </c>
      <c r="D97" s="44">
        <v>-1083.0268822244816</v>
      </c>
      <c r="E97" s="44">
        <v>-1407.8098737096441</v>
      </c>
      <c r="F97" s="44">
        <v>-1895.6328350574754</v>
      </c>
      <c r="G97" s="44">
        <v>-3106.098602378177</v>
      </c>
      <c r="H97" s="44">
        <v>-2789.4988054685391</v>
      </c>
      <c r="I97" s="44">
        <v>-3262.1136766504192</v>
      </c>
      <c r="J97" s="44">
        <v>-3153.1324736359516</v>
      </c>
      <c r="K97" s="44">
        <v>-4519.7548530101176</v>
      </c>
      <c r="L97" s="44">
        <v>-2821.4321866759965</v>
      </c>
      <c r="M97" s="44">
        <v>-2426.5231699966289</v>
      </c>
      <c r="N97" s="44">
        <v>-3076.4472412953423</v>
      </c>
      <c r="O97" s="44">
        <v>-368.52939989722609</v>
      </c>
      <c r="P97" s="45">
        <f>SUM(C97:O97)</f>
        <v>-78140.77</v>
      </c>
    </row>
    <row r="98" spans="2:17" x14ac:dyDescent="0.35">
      <c r="B98" s="8" t="s">
        <v>137</v>
      </c>
      <c r="C98" s="44">
        <f>P28</f>
        <v>-6868.99</v>
      </c>
      <c r="D98" s="44">
        <v>-180.82716869608441</v>
      </c>
      <c r="E98" s="44">
        <v>-111.87649079163305</v>
      </c>
      <c r="F98" s="44">
        <v>-135.42223561193455</v>
      </c>
      <c r="G98" s="44">
        <v>-150.10353352433253</v>
      </c>
      <c r="H98" s="44">
        <v>-252.63437805489215</v>
      </c>
      <c r="I98" s="44">
        <v>-245.63339923034246</v>
      </c>
      <c r="J98" s="44">
        <v>-857.52791201334753</v>
      </c>
      <c r="K98" s="44">
        <v>-244.94698250596784</v>
      </c>
      <c r="L98" s="44">
        <v>-309.5274216469432</v>
      </c>
      <c r="M98" s="44">
        <v>-273.35892377927576</v>
      </c>
      <c r="N98" s="44">
        <v>-428.96557714444043</v>
      </c>
      <c r="O98" s="44">
        <v>-61.175977000806</v>
      </c>
      <c r="P98" s="45">
        <f>SUM(C98:O98)</f>
        <v>-10120.990000000002</v>
      </c>
    </row>
    <row r="99" spans="2:17" x14ac:dyDescent="0.35">
      <c r="B99" s="8" t="s">
        <v>155</v>
      </c>
      <c r="C99" s="48"/>
      <c r="D99" s="48">
        <f t="shared" ref="D99:O99" si="15">SUM(D94:D98)</f>
        <v>-287188.40363449906</v>
      </c>
      <c r="E99" s="48">
        <f t="shared" si="15"/>
        <v>-284481.16960515705</v>
      </c>
      <c r="F99" s="48">
        <f t="shared" si="15"/>
        <v>-286367.66099346435</v>
      </c>
      <c r="G99" s="48">
        <f t="shared" si="15"/>
        <v>-461094.80931150191</v>
      </c>
      <c r="H99" s="48">
        <f t="shared" si="15"/>
        <v>-477607.96786915162</v>
      </c>
      <c r="I99" s="48">
        <f t="shared" si="15"/>
        <v>-544735.12009913439</v>
      </c>
      <c r="J99" s="48">
        <f t="shared" si="15"/>
        <v>-464524.57016151439</v>
      </c>
      <c r="K99" s="48">
        <f t="shared" si="15"/>
        <v>-320147.5009189003</v>
      </c>
      <c r="L99" s="48">
        <f t="shared" si="15"/>
        <v>-524636.71092627512</v>
      </c>
      <c r="M99" s="48">
        <f t="shared" si="15"/>
        <v>-527333.2739899446</v>
      </c>
      <c r="N99" s="48">
        <f t="shared" si="15"/>
        <v>-604396.62110009068</v>
      </c>
      <c r="O99" s="48">
        <f t="shared" si="15"/>
        <v>-700286.19139036653</v>
      </c>
      <c r="P99" s="48"/>
    </row>
    <row r="100" spans="2:17" x14ac:dyDescent="0.35">
      <c r="B100" s="8" t="s">
        <v>156</v>
      </c>
      <c r="C100" s="43">
        <f>SUM(C94:C98)</f>
        <v>-3523511.9194296338</v>
      </c>
      <c r="D100" s="43">
        <f t="shared" ref="D100:O100" si="16">+D99+C100</f>
        <v>-3810700.3230641326</v>
      </c>
      <c r="E100" s="43">
        <f t="shared" si="16"/>
        <v>-4095181.4926692895</v>
      </c>
      <c r="F100" s="43">
        <f t="shared" si="16"/>
        <v>-4381549.1536627542</v>
      </c>
      <c r="G100" s="43">
        <f t="shared" si="16"/>
        <v>-4842643.9629742559</v>
      </c>
      <c r="H100" s="43">
        <f t="shared" si="16"/>
        <v>-5320251.9308434073</v>
      </c>
      <c r="I100" s="43">
        <f t="shared" si="16"/>
        <v>-5864987.050942542</v>
      </c>
      <c r="J100" s="43">
        <f t="shared" si="16"/>
        <v>-6329511.621104056</v>
      </c>
      <c r="K100" s="43">
        <f t="shared" si="16"/>
        <v>-6649659.1220229566</v>
      </c>
      <c r="L100" s="43">
        <f t="shared" si="16"/>
        <v>-7174295.8329492314</v>
      </c>
      <c r="M100" s="43">
        <f t="shared" si="16"/>
        <v>-7701629.1069391761</v>
      </c>
      <c r="N100" s="43">
        <f t="shared" si="16"/>
        <v>-8306025.7280392665</v>
      </c>
      <c r="O100" s="43">
        <f t="shared" si="16"/>
        <v>-9006311.9194296338</v>
      </c>
      <c r="P100" s="43">
        <f>SUM(P94:P98)</f>
        <v>-9006311.9194296338</v>
      </c>
      <c r="Q100" s="45">
        <f>AVERAGE(C100:O100)</f>
        <v>-5923558.3972361786</v>
      </c>
    </row>
    <row r="102" spans="2:17" x14ac:dyDescent="0.35">
      <c r="B102" s="81" t="s">
        <v>139</v>
      </c>
    </row>
    <row r="103" spans="2:17" x14ac:dyDescent="0.35">
      <c r="B103" s="8" t="s">
        <v>133</v>
      </c>
      <c r="C103" s="83">
        <f>+C85+C94</f>
        <v>30688444.449999999</v>
      </c>
      <c r="D103" s="83">
        <f t="shared" ref="D103:O103" si="17">+D85+D94</f>
        <v>1283338.8728248337</v>
      </c>
      <c r="E103" s="83">
        <f t="shared" si="17"/>
        <v>579618.1833098483</v>
      </c>
      <c r="F103" s="83">
        <f t="shared" si="17"/>
        <v>1679019.7379212389</v>
      </c>
      <c r="G103" s="83">
        <f t="shared" si="17"/>
        <v>1079233.8326343996</v>
      </c>
      <c r="H103" s="83">
        <f t="shared" si="17"/>
        <v>1707019.9840929881</v>
      </c>
      <c r="I103" s="83">
        <f t="shared" si="17"/>
        <v>1855432.9402763741</v>
      </c>
      <c r="J103" s="83">
        <f t="shared" si="17"/>
        <v>1183055.7670578833</v>
      </c>
      <c r="K103" s="83">
        <f t="shared" si="17"/>
        <v>1135967.6880348602</v>
      </c>
      <c r="L103" s="83">
        <f t="shared" si="17"/>
        <v>2738335.5042612436</v>
      </c>
      <c r="M103" s="83">
        <f t="shared" si="17"/>
        <v>3381996.026362747</v>
      </c>
      <c r="N103" s="83">
        <f t="shared" si="17"/>
        <v>1780346.9637453717</v>
      </c>
      <c r="O103" s="83">
        <f t="shared" si="17"/>
        <v>3153298.8726170463</v>
      </c>
      <c r="P103" s="45">
        <f>SUM(C103:O103)</f>
        <v>52245108.823138826</v>
      </c>
    </row>
    <row r="104" spans="2:17" x14ac:dyDescent="0.35">
      <c r="B104" s="8" t="s">
        <v>134</v>
      </c>
      <c r="C104" s="83">
        <f>+C86+C95</f>
        <v>-390412.01000000007</v>
      </c>
      <c r="D104" s="83">
        <f t="shared" ref="D104:O104" si="18">+D86+D95</f>
        <v>28471.564354747254</v>
      </c>
      <c r="E104" s="83">
        <f t="shared" si="18"/>
        <v>52375.692784677216</v>
      </c>
      <c r="F104" s="83">
        <f t="shared" si="18"/>
        <v>124252.2896115224</v>
      </c>
      <c r="G104" s="83">
        <f t="shared" si="18"/>
        <v>84907.527253215274</v>
      </c>
      <c r="H104" s="83">
        <f t="shared" si="18"/>
        <v>351219.01749849925</v>
      </c>
      <c r="I104" s="83">
        <f t="shared" si="18"/>
        <v>-17531.788776900925</v>
      </c>
      <c r="J104" s="83">
        <f t="shared" si="18"/>
        <v>209714.66954120042</v>
      </c>
      <c r="K104" s="83">
        <f t="shared" si="18"/>
        <v>-6223.097422352741</v>
      </c>
      <c r="L104" s="83">
        <f t="shared" si="18"/>
        <v>14594.917650248964</v>
      </c>
      <c r="M104" s="83">
        <f t="shared" si="18"/>
        <v>12794.546744955111</v>
      </c>
      <c r="N104" s="83">
        <f t="shared" si="18"/>
        <v>28148.45176864064</v>
      </c>
      <c r="O104" s="83">
        <f t="shared" si="18"/>
        <v>107468.8358527135</v>
      </c>
      <c r="P104" s="45">
        <f>SUM(C104:O104)</f>
        <v>599780.6168611662</v>
      </c>
    </row>
    <row r="105" spans="2:17" x14ac:dyDescent="0.35">
      <c r="B105" s="8" t="s">
        <v>135</v>
      </c>
      <c r="C105" s="83">
        <f>+C87+C96</f>
        <v>10095637.650570367</v>
      </c>
      <c r="D105" s="83">
        <f t="shared" ref="D105:O105" si="19">+D87+D96</f>
        <v>836013.38263824291</v>
      </c>
      <c r="E105" s="83">
        <f t="shared" si="19"/>
        <v>803330.90493470174</v>
      </c>
      <c r="F105" s="83">
        <f t="shared" si="19"/>
        <v>1162695.7214003294</v>
      </c>
      <c r="G105" s="83">
        <f t="shared" si="19"/>
        <v>1136748.9758864036</v>
      </c>
      <c r="H105" s="83">
        <f t="shared" si="19"/>
        <v>1262059.6846639817</v>
      </c>
      <c r="I105" s="83">
        <f t="shared" si="19"/>
        <v>1069501.1571792625</v>
      </c>
      <c r="J105" s="83">
        <f t="shared" si="19"/>
        <v>860668.62575985992</v>
      </c>
      <c r="K105" s="83">
        <f t="shared" si="19"/>
        <v>1363175.5597100414</v>
      </c>
      <c r="L105" s="83">
        <f t="shared" si="19"/>
        <v>1175755.7711288151</v>
      </c>
      <c r="M105" s="83">
        <f t="shared" si="19"/>
        <v>806030.1615108049</v>
      </c>
      <c r="N105" s="83">
        <f t="shared" si="19"/>
        <v>704385.24067043595</v>
      </c>
      <c r="O105" s="83">
        <f t="shared" si="19"/>
        <v>690403.81451711955</v>
      </c>
      <c r="P105" s="45">
        <f>SUM(C105:O105)</f>
        <v>21966406.650570363</v>
      </c>
    </row>
    <row r="106" spans="2:17" x14ac:dyDescent="0.35">
      <c r="B106" s="8" t="s">
        <v>136</v>
      </c>
      <c r="C106" s="83">
        <f>+C88+C97</f>
        <v>37351.610000000015</v>
      </c>
      <c r="D106" s="83">
        <f t="shared" ref="D106:O106" si="20">+D88+D97</f>
        <v>11963.290689783827</v>
      </c>
      <c r="E106" s="83">
        <f t="shared" si="20"/>
        <v>11278.930011672926</v>
      </c>
      <c r="F106" s="83">
        <f t="shared" si="20"/>
        <v>9731.991518777877</v>
      </c>
      <c r="G106" s="83">
        <f t="shared" si="20"/>
        <v>6840.1124225050553</v>
      </c>
      <c r="H106" s="83">
        <f t="shared" si="20"/>
        <v>6984.3903952748287</v>
      </c>
      <c r="I106" s="83">
        <f t="shared" si="20"/>
        <v>9633.6796457489618</v>
      </c>
      <c r="J106" s="83">
        <f t="shared" si="20"/>
        <v>13467.721673432299</v>
      </c>
      <c r="K106" s="83">
        <f t="shared" si="20"/>
        <v>22468.258471732239</v>
      </c>
      <c r="L106" s="83">
        <f t="shared" si="20"/>
        <v>32310.155327955505</v>
      </c>
      <c r="M106" s="83">
        <f t="shared" si="20"/>
        <v>29192.607315646252</v>
      </c>
      <c r="N106" s="83">
        <f t="shared" si="20"/>
        <v>11733.54288404587</v>
      </c>
      <c r="O106" s="83">
        <f t="shared" si="20"/>
        <v>25549.319643424369</v>
      </c>
      <c r="P106" s="45">
        <f>SUM(C106:O106)</f>
        <v>228505.61</v>
      </c>
    </row>
    <row r="107" spans="2:17" x14ac:dyDescent="0.35">
      <c r="B107" s="8" t="s">
        <v>137</v>
      </c>
      <c r="C107" s="83">
        <f>+C89+C98</f>
        <v>-6868.99</v>
      </c>
      <c r="D107" s="83">
        <f t="shared" ref="D107:O107" si="21">+D89+D98</f>
        <v>23222.125417718973</v>
      </c>
      <c r="E107" s="83">
        <f t="shared" si="21"/>
        <v>17502.835440393865</v>
      </c>
      <c r="F107" s="83">
        <f t="shared" si="21"/>
        <v>12779.639538114636</v>
      </c>
      <c r="G107" s="83">
        <f t="shared" si="21"/>
        <v>10258.142847739568</v>
      </c>
      <c r="H107" s="83">
        <f t="shared" si="21"/>
        <v>5678.1281400972475</v>
      </c>
      <c r="I107" s="83">
        <f t="shared" si="21"/>
        <v>9626.815865124001</v>
      </c>
      <c r="J107" s="83">
        <f t="shared" si="21"/>
        <v>5506.6216103025363</v>
      </c>
      <c r="K107" s="83">
        <f t="shared" si="21"/>
        <v>8264.8845491626307</v>
      </c>
      <c r="L107" s="83">
        <f t="shared" si="21"/>
        <v>14283.75788610275</v>
      </c>
      <c r="M107" s="83">
        <f t="shared" si="21"/>
        <v>13971.954453299335</v>
      </c>
      <c r="N107" s="83">
        <f t="shared" si="21"/>
        <v>13623.026982353593</v>
      </c>
      <c r="O107" s="83">
        <f t="shared" si="21"/>
        <v>16866.067269590847</v>
      </c>
      <c r="P107" s="45">
        <f>SUM(C107:O107)</f>
        <v>144715.00999999998</v>
      </c>
    </row>
    <row r="108" spans="2:17" x14ac:dyDescent="0.35">
      <c r="B108" s="8" t="s">
        <v>157</v>
      </c>
      <c r="C108" s="48"/>
      <c r="D108" s="48">
        <f t="shared" ref="D108:O108" si="22">SUM(D103:D107)</f>
        <v>2183009.2359253266</v>
      </c>
      <c r="E108" s="48">
        <f t="shared" si="22"/>
        <v>1464106.5464812939</v>
      </c>
      <c r="F108" s="48">
        <f t="shared" si="22"/>
        <v>2988479.379989983</v>
      </c>
      <c r="G108" s="48">
        <f t="shared" si="22"/>
        <v>2317988.591044263</v>
      </c>
      <c r="H108" s="48">
        <f t="shared" si="22"/>
        <v>3332961.2047908409</v>
      </c>
      <c r="I108" s="48">
        <f t="shared" si="22"/>
        <v>2926662.8041896089</v>
      </c>
      <c r="J108" s="48">
        <f t="shared" si="22"/>
        <v>2272413.4056426785</v>
      </c>
      <c r="K108" s="48">
        <f t="shared" si="22"/>
        <v>2523653.2933434439</v>
      </c>
      <c r="L108" s="48">
        <f t="shared" si="22"/>
        <v>3975280.1062543662</v>
      </c>
      <c r="M108" s="48">
        <f t="shared" si="22"/>
        <v>4243985.2963874536</v>
      </c>
      <c r="N108" s="48">
        <f t="shared" si="22"/>
        <v>2538237.2260508477</v>
      </c>
      <c r="O108" s="48">
        <f t="shared" si="22"/>
        <v>3993586.9098998941</v>
      </c>
      <c r="P108" s="48"/>
    </row>
    <row r="109" spans="2:17" x14ac:dyDescent="0.35">
      <c r="B109" s="8" t="s">
        <v>215</v>
      </c>
      <c r="C109" s="43">
        <f>SUM(C103:C107)</f>
        <v>40424152.710570358</v>
      </c>
      <c r="D109" s="43">
        <f t="shared" ref="D109:O109" si="23">+D108+C109</f>
        <v>42607161.946495682</v>
      </c>
      <c r="E109" s="43">
        <f t="shared" si="23"/>
        <v>44071268.492976978</v>
      </c>
      <c r="F109" s="43">
        <f t="shared" si="23"/>
        <v>47059747.87296696</v>
      </c>
      <c r="G109" s="43">
        <f t="shared" si="23"/>
        <v>49377736.464011222</v>
      </c>
      <c r="H109" s="43">
        <f t="shared" si="23"/>
        <v>52710697.66880206</v>
      </c>
      <c r="I109" s="43">
        <f t="shared" si="23"/>
        <v>55637360.472991668</v>
      </c>
      <c r="J109" s="43">
        <f t="shared" si="23"/>
        <v>57909773.878634349</v>
      </c>
      <c r="K109" s="43">
        <f t="shared" si="23"/>
        <v>60433427.171977796</v>
      </c>
      <c r="L109" s="43">
        <f t="shared" si="23"/>
        <v>64408707.278232165</v>
      </c>
      <c r="M109" s="43">
        <f t="shared" si="23"/>
        <v>68652692.574619621</v>
      </c>
      <c r="N109" s="43">
        <f t="shared" si="23"/>
        <v>71190929.800670475</v>
      </c>
      <c r="O109" s="43">
        <f t="shared" si="23"/>
        <v>75184516.710570365</v>
      </c>
      <c r="P109" s="43">
        <f>SUM(P103:P107)</f>
        <v>75184516.710570365</v>
      </c>
      <c r="Q109" s="45">
        <f>AVERAGE(C109:O109)</f>
        <v>56128321.003347673</v>
      </c>
    </row>
    <row r="144" spans="17:17" x14ac:dyDescent="0.35">
      <c r="Q144" s="9" t="str">
        <f>Q71</f>
        <v>Case No. 2024-00328</v>
      </c>
    </row>
    <row r="145" spans="1:17" x14ac:dyDescent="0.35">
      <c r="Q145" s="9" t="s">
        <v>195</v>
      </c>
    </row>
    <row r="146" spans="1:17" x14ac:dyDescent="0.35">
      <c r="Q146" s="9" t="s">
        <v>211</v>
      </c>
    </row>
    <row r="147" spans="1:17" x14ac:dyDescent="0.35">
      <c r="A147" s="138" t="s">
        <v>12</v>
      </c>
      <c r="B147" s="138"/>
      <c r="C147" s="138"/>
      <c r="D147" s="138"/>
      <c r="E147" s="138"/>
      <c r="F147" s="138"/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</row>
    <row r="148" spans="1:17" x14ac:dyDescent="0.35">
      <c r="A148" s="138" t="s">
        <v>109</v>
      </c>
      <c r="B148" s="138"/>
      <c r="C148" s="138"/>
      <c r="D148" s="138"/>
      <c r="E148" s="138"/>
      <c r="F148" s="138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</row>
    <row r="149" spans="1:17" x14ac:dyDescent="0.35">
      <c r="A149" s="138" t="s">
        <v>276</v>
      </c>
      <c r="B149" s="138"/>
      <c r="C149" s="138"/>
      <c r="D149" s="138"/>
      <c r="E149" s="138"/>
      <c r="F149" s="138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</row>
    <row r="153" spans="1:17" x14ac:dyDescent="0.35">
      <c r="C153" s="10">
        <f>+Q80</f>
        <v>2024</v>
      </c>
      <c r="D153" s="10">
        <f>+C153+1</f>
        <v>2025</v>
      </c>
      <c r="E153" s="10">
        <f>+D153</f>
        <v>2025</v>
      </c>
      <c r="F153" s="10">
        <f t="shared" ref="F153:Q153" si="24">+E153</f>
        <v>2025</v>
      </c>
      <c r="G153" s="10">
        <f t="shared" si="24"/>
        <v>2025</v>
      </c>
      <c r="H153" s="10">
        <f t="shared" si="24"/>
        <v>2025</v>
      </c>
      <c r="I153" s="10">
        <f t="shared" si="24"/>
        <v>2025</v>
      </c>
      <c r="J153" s="10">
        <f t="shared" si="24"/>
        <v>2025</v>
      </c>
      <c r="K153" s="10">
        <f t="shared" si="24"/>
        <v>2025</v>
      </c>
      <c r="L153" s="10">
        <f t="shared" si="24"/>
        <v>2025</v>
      </c>
      <c r="M153" s="10">
        <f t="shared" si="24"/>
        <v>2025</v>
      </c>
      <c r="N153" s="10">
        <f t="shared" si="24"/>
        <v>2025</v>
      </c>
      <c r="O153" s="10">
        <f t="shared" si="24"/>
        <v>2025</v>
      </c>
      <c r="P153" s="10">
        <f t="shared" si="24"/>
        <v>2025</v>
      </c>
      <c r="Q153" s="10">
        <f t="shared" si="24"/>
        <v>2025</v>
      </c>
    </row>
    <row r="154" spans="1:17" x14ac:dyDescent="0.35">
      <c r="C154" s="10" t="s">
        <v>140</v>
      </c>
      <c r="D154" s="10" t="s">
        <v>141</v>
      </c>
      <c r="E154" s="10" t="s">
        <v>142</v>
      </c>
      <c r="F154" s="10" t="s">
        <v>143</v>
      </c>
      <c r="G154" s="10" t="s">
        <v>144</v>
      </c>
      <c r="H154" s="10" t="s">
        <v>81</v>
      </c>
      <c r="I154" s="10" t="s">
        <v>145</v>
      </c>
      <c r="J154" s="10" t="s">
        <v>146</v>
      </c>
      <c r="K154" s="10" t="s">
        <v>147</v>
      </c>
      <c r="L154" s="10" t="s">
        <v>148</v>
      </c>
      <c r="M154" s="10" t="s">
        <v>149</v>
      </c>
      <c r="N154" s="10" t="s">
        <v>150</v>
      </c>
      <c r="O154" s="10" t="s">
        <v>140</v>
      </c>
      <c r="P154" s="10" t="s">
        <v>151</v>
      </c>
      <c r="Q154" s="10" t="s">
        <v>152</v>
      </c>
    </row>
    <row r="155" spans="1:17" x14ac:dyDescent="0.35">
      <c r="C155" s="10" t="s">
        <v>92</v>
      </c>
      <c r="D155" s="10" t="s">
        <v>201</v>
      </c>
      <c r="E155" s="10" t="s">
        <v>201</v>
      </c>
      <c r="F155" s="10" t="s">
        <v>201</v>
      </c>
      <c r="G155" s="10" t="s">
        <v>201</v>
      </c>
      <c r="H155" s="10" t="s">
        <v>201</v>
      </c>
      <c r="I155" s="10" t="s">
        <v>201</v>
      </c>
      <c r="J155" s="10" t="s">
        <v>201</v>
      </c>
      <c r="K155" s="10" t="s">
        <v>201</v>
      </c>
      <c r="L155" s="10" t="s">
        <v>201</v>
      </c>
      <c r="M155" s="10" t="s">
        <v>201</v>
      </c>
      <c r="N155" s="10" t="s">
        <v>201</v>
      </c>
      <c r="O155" s="10" t="s">
        <v>201</v>
      </c>
      <c r="P155" s="11"/>
      <c r="Q155" s="11"/>
    </row>
    <row r="157" spans="1:17" x14ac:dyDescent="0.35">
      <c r="B157" s="81" t="s">
        <v>22</v>
      </c>
    </row>
    <row r="158" spans="1:17" x14ac:dyDescent="0.35">
      <c r="B158" s="8" t="s">
        <v>133</v>
      </c>
      <c r="C158" s="44">
        <f>+P85</f>
        <v>52801381.533138841</v>
      </c>
      <c r="D158" s="44">
        <v>72154.476950667668</v>
      </c>
      <c r="E158" s="44">
        <v>776773.76192278066</v>
      </c>
      <c r="F158" s="44">
        <v>3549207.4202589551</v>
      </c>
      <c r="G158" s="44">
        <v>728528.05171557853</v>
      </c>
      <c r="H158" s="44">
        <v>2717211.9351054905</v>
      </c>
      <c r="I158" s="44">
        <v>3484917.1531442609</v>
      </c>
      <c r="J158" s="44">
        <v>2824536.6659487244</v>
      </c>
      <c r="K158" s="44">
        <v>1216548.476571511</v>
      </c>
      <c r="L158" s="44">
        <v>4456853.309032077</v>
      </c>
      <c r="M158" s="44">
        <v>1159617.8528366867</v>
      </c>
      <c r="N158" s="44">
        <v>3163261.7107786913</v>
      </c>
      <c r="O158" s="44">
        <v>3854888.1857345775</v>
      </c>
      <c r="P158" s="45">
        <f>SUM(C158:O158)</f>
        <v>80805880.533138841</v>
      </c>
    </row>
    <row r="159" spans="1:17" x14ac:dyDescent="0.35">
      <c r="B159" s="8" t="s">
        <v>134</v>
      </c>
      <c r="C159" s="44">
        <f>+P86</f>
        <v>1322902.6268611662</v>
      </c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5">
        <f>SUM(C159:O159)</f>
        <v>1322902.6268611662</v>
      </c>
    </row>
    <row r="160" spans="1:17" x14ac:dyDescent="0.35">
      <c r="B160" s="8" t="s">
        <v>135</v>
      </c>
      <c r="C160" s="44">
        <f>+P87</f>
        <v>29605062.090000004</v>
      </c>
      <c r="D160" s="44">
        <v>1047024.3312188098</v>
      </c>
      <c r="E160" s="44">
        <v>1266251.9777979155</v>
      </c>
      <c r="F160" s="44">
        <v>1350583.1486379444</v>
      </c>
      <c r="G160" s="44">
        <v>1323675.9183738274</v>
      </c>
      <c r="H160" s="44">
        <v>1554248.102845385</v>
      </c>
      <c r="I160" s="44">
        <v>1385943.2387768992</v>
      </c>
      <c r="J160" s="44">
        <v>1166127.0795676347</v>
      </c>
      <c r="K160" s="44">
        <v>1556194.3205463656</v>
      </c>
      <c r="L160" s="44">
        <v>1328810.8925667414</v>
      </c>
      <c r="M160" s="44">
        <v>1877910.4175566221</v>
      </c>
      <c r="N160" s="44">
        <v>1062021.5935116475</v>
      </c>
      <c r="O160" s="44">
        <v>964202.9786002083</v>
      </c>
      <c r="P160" s="45">
        <f>SUM(C160:O160)</f>
        <v>45488056.090000004</v>
      </c>
    </row>
    <row r="161" spans="2:17" x14ac:dyDescent="0.35">
      <c r="B161" s="8" t="s">
        <v>136</v>
      </c>
      <c r="C161" s="44">
        <f>+P88</f>
        <v>306646.38000000006</v>
      </c>
      <c r="D161" s="44">
        <v>4810.3504675845643</v>
      </c>
      <c r="E161" s="44">
        <v>0</v>
      </c>
      <c r="F161" s="44">
        <v>3564.5143994593273</v>
      </c>
      <c r="G161" s="44">
        <v>1096.0269999502232</v>
      </c>
      <c r="H161" s="44">
        <v>8187.5450583402799</v>
      </c>
      <c r="I161" s="44">
        <v>13306.664762653245</v>
      </c>
      <c r="J161" s="44">
        <v>20712.507038832053</v>
      </c>
      <c r="K161" s="44">
        <v>57809.109111010919</v>
      </c>
      <c r="L161" s="44">
        <v>16483.26606364534</v>
      </c>
      <c r="M161" s="44">
        <v>51759.647026058396</v>
      </c>
      <c r="N161" s="44">
        <v>41628.618751897287</v>
      </c>
      <c r="O161" s="44">
        <v>30856.750320568317</v>
      </c>
      <c r="P161" s="45">
        <f>SUM(C161:O161)</f>
        <v>556861.38000000012</v>
      </c>
    </row>
    <row r="162" spans="2:17" x14ac:dyDescent="0.35">
      <c r="B162" s="8" t="s">
        <v>137</v>
      </c>
      <c r="C162" s="44">
        <f>+P89</f>
        <v>154836</v>
      </c>
      <c r="D162" s="44">
        <v>3369.1966514602645</v>
      </c>
      <c r="E162" s="44">
        <v>0</v>
      </c>
      <c r="F162" s="44">
        <v>2496.6060289512861</v>
      </c>
      <c r="G162" s="44">
        <v>767.66350456717828</v>
      </c>
      <c r="H162" s="44">
        <v>5734.6028278250733</v>
      </c>
      <c r="I162" s="44">
        <v>9320.0631975881006</v>
      </c>
      <c r="J162" s="44">
        <v>14507.156979275404</v>
      </c>
      <c r="K162" s="44">
        <v>40489.826708722045</v>
      </c>
      <c r="L162" s="44">
        <v>11544.972700221702</v>
      </c>
      <c r="M162" s="44">
        <v>36252.74927806401</v>
      </c>
      <c r="N162" s="44">
        <v>29156.91982298225</v>
      </c>
      <c r="O162" s="44">
        <v>21612.242300342659</v>
      </c>
      <c r="P162" s="45">
        <f>SUM(C162:O162)</f>
        <v>330088</v>
      </c>
    </row>
    <row r="163" spans="2:17" x14ac:dyDescent="0.35">
      <c r="B163" s="8" t="s">
        <v>153</v>
      </c>
      <c r="C163" s="48"/>
      <c r="D163" s="48">
        <f t="shared" ref="D163:O163" si="25">SUM(D158:D162)</f>
        <v>1127358.3552885223</v>
      </c>
      <c r="E163" s="48">
        <f t="shared" si="25"/>
        <v>2043025.7397206961</v>
      </c>
      <c r="F163" s="48">
        <f t="shared" si="25"/>
        <v>4905851.6893253103</v>
      </c>
      <c r="G163" s="48">
        <f t="shared" si="25"/>
        <v>2054067.6605939232</v>
      </c>
      <c r="H163" s="48">
        <f t="shared" si="25"/>
        <v>4285382.1858370397</v>
      </c>
      <c r="I163" s="48">
        <f t="shared" si="25"/>
        <v>4893487.1198814018</v>
      </c>
      <c r="J163" s="48">
        <f t="shared" si="25"/>
        <v>4025883.4095344665</v>
      </c>
      <c r="K163" s="48">
        <f t="shared" si="25"/>
        <v>2871041.7329376098</v>
      </c>
      <c r="L163" s="48">
        <f t="shared" si="25"/>
        <v>5813692.4403626854</v>
      </c>
      <c r="M163" s="48">
        <f t="shared" si="25"/>
        <v>3125540.6666974309</v>
      </c>
      <c r="N163" s="48">
        <f t="shared" si="25"/>
        <v>4296068.8428652193</v>
      </c>
      <c r="O163" s="48">
        <f t="shared" si="25"/>
        <v>4871560.1569556976</v>
      </c>
      <c r="P163" s="48"/>
    </row>
    <row r="164" spans="2:17" x14ac:dyDescent="0.35">
      <c r="B164" s="8" t="s">
        <v>154</v>
      </c>
      <c r="C164" s="43">
        <f>SUM(C158:C162)</f>
        <v>84190828.63000001</v>
      </c>
      <c r="D164" s="43">
        <f t="shared" ref="D164:O164" si="26">+D163+C164</f>
        <v>85318186.985288531</v>
      </c>
      <c r="E164" s="43">
        <f t="shared" si="26"/>
        <v>87361212.725009233</v>
      </c>
      <c r="F164" s="43">
        <f t="shared" si="26"/>
        <v>92267064.414334536</v>
      </c>
      <c r="G164" s="43">
        <f t="shared" si="26"/>
        <v>94321132.074928463</v>
      </c>
      <c r="H164" s="43">
        <f t="shared" si="26"/>
        <v>98606514.260765508</v>
      </c>
      <c r="I164" s="43">
        <f t="shared" si="26"/>
        <v>103500001.38064691</v>
      </c>
      <c r="J164" s="43">
        <f t="shared" si="26"/>
        <v>107525884.79018138</v>
      </c>
      <c r="K164" s="43">
        <f t="shared" si="26"/>
        <v>110396926.52311899</v>
      </c>
      <c r="L164" s="43">
        <f t="shared" si="26"/>
        <v>116210618.96348168</v>
      </c>
      <c r="M164" s="43">
        <f t="shared" si="26"/>
        <v>119336159.63017911</v>
      </c>
      <c r="N164" s="43">
        <f t="shared" si="26"/>
        <v>123632228.47304432</v>
      </c>
      <c r="O164" s="43">
        <f t="shared" si="26"/>
        <v>128503788.63000003</v>
      </c>
      <c r="P164" s="43">
        <f>SUM(P158:P162)</f>
        <v>128503788.63000001</v>
      </c>
      <c r="Q164" s="45">
        <f>AVERAGE(C164:O164)</f>
        <v>103936195.9600753</v>
      </c>
    </row>
    <row r="166" spans="2:17" x14ac:dyDescent="0.35">
      <c r="B166" s="81" t="s">
        <v>62</v>
      </c>
    </row>
    <row r="167" spans="2:17" x14ac:dyDescent="0.35">
      <c r="B167" s="8" t="s">
        <v>133</v>
      </c>
      <c r="C167" s="44">
        <f>+P94</f>
        <v>-556272.71</v>
      </c>
      <c r="D167" s="44">
        <v>0</v>
      </c>
      <c r="E167" s="44">
        <v>0</v>
      </c>
      <c r="F167" s="44">
        <v>0</v>
      </c>
      <c r="G167" s="44">
        <v>0</v>
      </c>
      <c r="H167" s="44">
        <v>-14490.58</v>
      </c>
      <c r="I167" s="44">
        <v>-207</v>
      </c>
      <c r="J167" s="44">
        <v>-64.34</v>
      </c>
      <c r="K167" s="44">
        <v>-207</v>
      </c>
      <c r="L167" s="44">
        <v>-175288.07</v>
      </c>
      <c r="M167" s="44">
        <v>-557.34</v>
      </c>
      <c r="N167" s="44">
        <v>0</v>
      </c>
      <c r="O167" s="44">
        <v>-94799.38</v>
      </c>
      <c r="P167" s="45">
        <f>SUM(C167:O167)</f>
        <v>-841886.41999999993</v>
      </c>
    </row>
    <row r="168" spans="2:17" x14ac:dyDescent="0.35">
      <c r="B168" s="8" t="s">
        <v>134</v>
      </c>
      <c r="C168" s="44">
        <f>+P95</f>
        <v>-723122.01</v>
      </c>
      <c r="D168" s="44">
        <v>-7576.5300000000007</v>
      </c>
      <c r="E168" s="44">
        <v>-6092.8</v>
      </c>
      <c r="F168" s="44">
        <v>-17244.22</v>
      </c>
      <c r="G168" s="44">
        <v>-1679.98</v>
      </c>
      <c r="H168" s="44">
        <v>-9507.9599999999991</v>
      </c>
      <c r="I168" s="44">
        <v>-98607.48000000001</v>
      </c>
      <c r="J168" s="44">
        <v>-90900.479999999996</v>
      </c>
      <c r="K168" s="44">
        <v>-73755.900000000009</v>
      </c>
      <c r="L168" s="44">
        <v>-42418.09</v>
      </c>
      <c r="M168" s="44">
        <v>0</v>
      </c>
      <c r="N168" s="44">
        <v>-507.39</v>
      </c>
      <c r="O168" s="44">
        <v>-42121.18</v>
      </c>
      <c r="P168" s="45">
        <f>SUM(C168:O168)</f>
        <v>-1113534.0199999998</v>
      </c>
    </row>
    <row r="169" spans="2:17" x14ac:dyDescent="0.35">
      <c r="B169" s="8" t="s">
        <v>135</v>
      </c>
      <c r="C169" s="44">
        <f>+P96</f>
        <v>-7638655.4394296333</v>
      </c>
      <c r="D169" s="44">
        <v>-341787.57307771471</v>
      </c>
      <c r="E169" s="44">
        <v>-143657.65469541136</v>
      </c>
      <c r="F169" s="44">
        <v>-236668.01574842297</v>
      </c>
      <c r="G169" s="44">
        <v>-233001.01846857875</v>
      </c>
      <c r="H169" s="44">
        <v>-360087.40416361706</v>
      </c>
      <c r="I169" s="44">
        <v>-442011.89693789068</v>
      </c>
      <c r="J169" s="44">
        <v>-284834.66002487543</v>
      </c>
      <c r="K169" s="44">
        <v>-208113.1639012341</v>
      </c>
      <c r="L169" s="44">
        <v>-336668.59968178259</v>
      </c>
      <c r="M169" s="44">
        <v>-220174.68463857341</v>
      </c>
      <c r="N169" s="44">
        <v>-338164.0676489388</v>
      </c>
      <c r="O169" s="44">
        <v>-296123.48342238023</v>
      </c>
      <c r="P169" s="45">
        <f>SUM(C169:O169)</f>
        <v>-11079947.661839053</v>
      </c>
    </row>
    <row r="170" spans="2:17" x14ac:dyDescent="0.35">
      <c r="B170" s="8" t="s">
        <v>136</v>
      </c>
      <c r="C170" s="44">
        <f>+P97</f>
        <v>-78140.77</v>
      </c>
      <c r="D170" s="44">
        <v>-489.15000000000003</v>
      </c>
      <c r="E170" s="44">
        <v>-1574.7300000000002</v>
      </c>
      <c r="F170" s="44">
        <v>-2045.7900000000002</v>
      </c>
      <c r="G170" s="44">
        <v>-5647.4500000000007</v>
      </c>
      <c r="H170" s="44">
        <v>-3453.44</v>
      </c>
      <c r="I170" s="44">
        <v>-3705.5099999999998</v>
      </c>
      <c r="J170" s="44">
        <v>-5252.36</v>
      </c>
      <c r="K170" s="44">
        <v>-9322.3200000000015</v>
      </c>
      <c r="L170" s="44">
        <v>-4705.1100000000006</v>
      </c>
      <c r="M170" s="44">
        <v>-4703.41</v>
      </c>
      <c r="N170" s="44">
        <v>-3639.67</v>
      </c>
      <c r="O170" s="44">
        <v>-3691.8300000000004</v>
      </c>
      <c r="P170" s="45">
        <f>SUM(C170:O170)</f>
        <v>-126371.54</v>
      </c>
    </row>
    <row r="171" spans="2:17" x14ac:dyDescent="0.35">
      <c r="B171" s="8" t="s">
        <v>137</v>
      </c>
      <c r="C171" s="44">
        <f>+P98</f>
        <v>-10120.990000000002</v>
      </c>
      <c r="D171" s="44">
        <v>-188.66000000000003</v>
      </c>
      <c r="E171" s="44">
        <v>-230.70000000000002</v>
      </c>
      <c r="F171" s="44">
        <v>-156.80000000000001</v>
      </c>
      <c r="G171" s="44">
        <v>-171.39000000000001</v>
      </c>
      <c r="H171" s="44">
        <v>-348.81</v>
      </c>
      <c r="I171" s="44">
        <v>-226.33</v>
      </c>
      <c r="J171" s="44">
        <v>-3043.2999999999997</v>
      </c>
      <c r="K171" s="44">
        <v>-197.14000000000001</v>
      </c>
      <c r="L171" s="44">
        <v>-575.59</v>
      </c>
      <c r="M171" s="44">
        <v>-562.87</v>
      </c>
      <c r="N171" s="44">
        <v>-632.7299999999999</v>
      </c>
      <c r="O171" s="44">
        <v>-534.66999999999996</v>
      </c>
      <c r="P171" s="45">
        <f>SUM(C171:O171)</f>
        <v>-16989.98</v>
      </c>
    </row>
    <row r="172" spans="2:17" x14ac:dyDescent="0.35">
      <c r="B172" s="8" t="s">
        <v>155</v>
      </c>
      <c r="C172" s="48"/>
      <c r="D172" s="48">
        <f t="shared" ref="D172:O172" si="27">SUM(D167:D171)</f>
        <v>-350041.91307771474</v>
      </c>
      <c r="E172" s="48">
        <f t="shared" si="27"/>
        <v>-151555.88469541137</v>
      </c>
      <c r="F172" s="48">
        <f t="shared" si="27"/>
        <v>-256114.82574842297</v>
      </c>
      <c r="G172" s="48">
        <f t="shared" si="27"/>
        <v>-240499.83846857879</v>
      </c>
      <c r="H172" s="48">
        <f t="shared" si="27"/>
        <v>-387888.19416361704</v>
      </c>
      <c r="I172" s="48">
        <f t="shared" si="27"/>
        <v>-544758.21693789063</v>
      </c>
      <c r="J172" s="48">
        <f t="shared" si="27"/>
        <v>-384095.14002487541</v>
      </c>
      <c r="K172" s="48">
        <f t="shared" si="27"/>
        <v>-291595.52390123415</v>
      </c>
      <c r="L172" s="48">
        <f t="shared" si="27"/>
        <v>-559655.45968178252</v>
      </c>
      <c r="M172" s="48">
        <f t="shared" si="27"/>
        <v>-225998.30463857341</v>
      </c>
      <c r="N172" s="48">
        <f t="shared" si="27"/>
        <v>-342943.85764893878</v>
      </c>
      <c r="O172" s="48">
        <f t="shared" si="27"/>
        <v>-437270.54342238023</v>
      </c>
      <c r="P172" s="48"/>
    </row>
    <row r="173" spans="2:17" x14ac:dyDescent="0.35">
      <c r="B173" s="8" t="s">
        <v>156</v>
      </c>
      <c r="C173" s="43">
        <f>SUM(C167:C171)</f>
        <v>-9006311.9194296338</v>
      </c>
      <c r="D173" s="43">
        <f t="shared" ref="D173:O173" si="28">+D172+C173</f>
        <v>-9356353.8325073477</v>
      </c>
      <c r="E173" s="43">
        <f t="shared" si="28"/>
        <v>-9507909.7172027584</v>
      </c>
      <c r="F173" s="43">
        <f t="shared" si="28"/>
        <v>-9764024.5429511815</v>
      </c>
      <c r="G173" s="43">
        <f t="shared" si="28"/>
        <v>-10004524.381419761</v>
      </c>
      <c r="H173" s="43">
        <f t="shared" si="28"/>
        <v>-10392412.575583378</v>
      </c>
      <c r="I173" s="43">
        <f t="shared" si="28"/>
        <v>-10937170.792521268</v>
      </c>
      <c r="J173" s="43">
        <f t="shared" si="28"/>
        <v>-11321265.932546144</v>
      </c>
      <c r="K173" s="43">
        <f t="shared" si="28"/>
        <v>-11612861.456447378</v>
      </c>
      <c r="L173" s="43">
        <f t="shared" si="28"/>
        <v>-12172516.916129161</v>
      </c>
      <c r="M173" s="43">
        <f t="shared" si="28"/>
        <v>-12398515.220767735</v>
      </c>
      <c r="N173" s="43">
        <f t="shared" si="28"/>
        <v>-12741459.078416673</v>
      </c>
      <c r="O173" s="43">
        <f t="shared" si="28"/>
        <v>-13178729.621839054</v>
      </c>
      <c r="P173" s="43">
        <f>SUM(P167:P171)</f>
        <v>-13178729.621839052</v>
      </c>
      <c r="Q173" s="45">
        <f>AVERAGE(C173:O173)</f>
        <v>-10953388.922135498</v>
      </c>
    </row>
    <row r="175" spans="2:17" x14ac:dyDescent="0.35">
      <c r="B175" s="81" t="s">
        <v>139</v>
      </c>
    </row>
    <row r="176" spans="2:17" x14ac:dyDescent="0.35">
      <c r="B176" s="8" t="s">
        <v>133</v>
      </c>
      <c r="C176" s="44">
        <f>+P103</f>
        <v>52245108.823138826</v>
      </c>
      <c r="D176" s="83">
        <f t="shared" ref="D176:O176" si="29">+D158+D167</f>
        <v>72154.476950667668</v>
      </c>
      <c r="E176" s="83">
        <f t="shared" si="29"/>
        <v>776773.76192278066</v>
      </c>
      <c r="F176" s="83">
        <f t="shared" si="29"/>
        <v>3549207.4202589551</v>
      </c>
      <c r="G176" s="83">
        <f t="shared" si="29"/>
        <v>728528.05171557853</v>
      </c>
      <c r="H176" s="83">
        <f t="shared" si="29"/>
        <v>2702721.3551054904</v>
      </c>
      <c r="I176" s="83">
        <f t="shared" si="29"/>
        <v>3484710.1531442609</v>
      </c>
      <c r="J176" s="83">
        <f t="shared" si="29"/>
        <v>2824472.3259487245</v>
      </c>
      <c r="K176" s="83">
        <f t="shared" si="29"/>
        <v>1216341.476571511</v>
      </c>
      <c r="L176" s="83">
        <f t="shared" si="29"/>
        <v>4281565.2390320767</v>
      </c>
      <c r="M176" s="83">
        <f t="shared" si="29"/>
        <v>1159060.5128366866</v>
      </c>
      <c r="N176" s="83">
        <f t="shared" si="29"/>
        <v>3163261.7107786913</v>
      </c>
      <c r="O176" s="83">
        <f t="shared" si="29"/>
        <v>3760088.8057345776</v>
      </c>
      <c r="P176" s="45">
        <f>SUM(C176:O176)</f>
        <v>79963994.113138825</v>
      </c>
    </row>
    <row r="177" spans="2:17" x14ac:dyDescent="0.35">
      <c r="B177" s="8" t="s">
        <v>134</v>
      </c>
      <c r="C177" s="44">
        <f>+P104</f>
        <v>599780.6168611662</v>
      </c>
      <c r="D177" s="83">
        <f t="shared" ref="D177:O177" si="30">+D159+D168</f>
        <v>-7576.5300000000007</v>
      </c>
      <c r="E177" s="83">
        <f t="shared" si="30"/>
        <v>-6092.8</v>
      </c>
      <c r="F177" s="83">
        <f t="shared" si="30"/>
        <v>-17244.22</v>
      </c>
      <c r="G177" s="83">
        <f t="shared" si="30"/>
        <v>-1679.98</v>
      </c>
      <c r="H177" s="83">
        <f t="shared" si="30"/>
        <v>-9507.9599999999991</v>
      </c>
      <c r="I177" s="83">
        <f t="shared" si="30"/>
        <v>-98607.48000000001</v>
      </c>
      <c r="J177" s="83">
        <f t="shared" si="30"/>
        <v>-90900.479999999996</v>
      </c>
      <c r="K177" s="83">
        <f t="shared" si="30"/>
        <v>-73755.900000000009</v>
      </c>
      <c r="L177" s="83">
        <f t="shared" si="30"/>
        <v>-42418.09</v>
      </c>
      <c r="M177" s="83">
        <f t="shared" si="30"/>
        <v>0</v>
      </c>
      <c r="N177" s="83">
        <f t="shared" si="30"/>
        <v>-507.39</v>
      </c>
      <c r="O177" s="83">
        <f t="shared" si="30"/>
        <v>-42121.18</v>
      </c>
      <c r="P177" s="45">
        <f>SUM(C177:O177)</f>
        <v>209368.60686116622</v>
      </c>
    </row>
    <row r="178" spans="2:17" x14ac:dyDescent="0.35">
      <c r="B178" s="8" t="s">
        <v>135</v>
      </c>
      <c r="C178" s="44">
        <f>+P105</f>
        <v>21966406.650570363</v>
      </c>
      <c r="D178" s="83">
        <f t="shared" ref="D178:O178" si="31">+D160+D169</f>
        <v>705236.75814109505</v>
      </c>
      <c r="E178" s="83">
        <f t="shared" si="31"/>
        <v>1122594.323102504</v>
      </c>
      <c r="F178" s="83">
        <f t="shared" si="31"/>
        <v>1113915.1328895213</v>
      </c>
      <c r="G178" s="83">
        <f t="shared" si="31"/>
        <v>1090674.8999052485</v>
      </c>
      <c r="H178" s="83">
        <f t="shared" si="31"/>
        <v>1194160.698681768</v>
      </c>
      <c r="I178" s="83">
        <f t="shared" si="31"/>
        <v>943931.3418390085</v>
      </c>
      <c r="J178" s="83">
        <f t="shared" si="31"/>
        <v>881292.41954275931</v>
      </c>
      <c r="K178" s="83">
        <f t="shared" si="31"/>
        <v>1348081.1566451315</v>
      </c>
      <c r="L178" s="83">
        <f t="shared" si="31"/>
        <v>992142.29288495891</v>
      </c>
      <c r="M178" s="83">
        <f t="shared" si="31"/>
        <v>1657735.7329180487</v>
      </c>
      <c r="N178" s="83">
        <f t="shared" si="31"/>
        <v>723857.52586270869</v>
      </c>
      <c r="O178" s="83">
        <f t="shared" si="31"/>
        <v>668079.49517782801</v>
      </c>
      <c r="P178" s="45">
        <f>SUM(C178:O178)</f>
        <v>34408108.428160943</v>
      </c>
    </row>
    <row r="179" spans="2:17" x14ac:dyDescent="0.35">
      <c r="B179" s="8" t="s">
        <v>136</v>
      </c>
      <c r="C179" s="44">
        <f>+P106</f>
        <v>228505.61</v>
      </c>
      <c r="D179" s="83">
        <f t="shared" ref="D179:O179" si="32">+D161+D170</f>
        <v>4321.2004675845646</v>
      </c>
      <c r="E179" s="83">
        <f t="shared" si="32"/>
        <v>-1574.7300000000002</v>
      </c>
      <c r="F179" s="83">
        <f t="shared" si="32"/>
        <v>1518.7243994593271</v>
      </c>
      <c r="G179" s="83">
        <f t="shared" si="32"/>
        <v>-4551.4230000497773</v>
      </c>
      <c r="H179" s="83">
        <f t="shared" si="32"/>
        <v>4734.1050583402794</v>
      </c>
      <c r="I179" s="83">
        <f t="shared" si="32"/>
        <v>9601.1547626532447</v>
      </c>
      <c r="J179" s="83">
        <f t="shared" si="32"/>
        <v>15460.147038832052</v>
      </c>
      <c r="K179" s="83">
        <f t="shared" si="32"/>
        <v>48486.789111010919</v>
      </c>
      <c r="L179" s="83">
        <f t="shared" si="32"/>
        <v>11778.15606364534</v>
      </c>
      <c r="M179" s="83">
        <f t="shared" si="32"/>
        <v>47056.237026058399</v>
      </c>
      <c r="N179" s="83">
        <f t="shared" si="32"/>
        <v>37988.948751897289</v>
      </c>
      <c r="O179" s="83">
        <f t="shared" si="32"/>
        <v>27164.920320568315</v>
      </c>
      <c r="P179" s="45">
        <f>SUM(C179:O179)</f>
        <v>430489.83999999991</v>
      </c>
    </row>
    <row r="180" spans="2:17" x14ac:dyDescent="0.35">
      <c r="B180" s="8" t="s">
        <v>137</v>
      </c>
      <c r="C180" s="44">
        <f>+P107</f>
        <v>144715.00999999998</v>
      </c>
      <c r="D180" s="83">
        <f t="shared" ref="D180:O180" si="33">+D162+D171</f>
        <v>3180.5366514602647</v>
      </c>
      <c r="E180" s="83">
        <f t="shared" si="33"/>
        <v>-230.70000000000002</v>
      </c>
      <c r="F180" s="83">
        <f t="shared" si="33"/>
        <v>2339.806028951286</v>
      </c>
      <c r="G180" s="83">
        <f t="shared" si="33"/>
        <v>596.27350456717829</v>
      </c>
      <c r="H180" s="83">
        <f t="shared" si="33"/>
        <v>5385.7928278250729</v>
      </c>
      <c r="I180" s="83">
        <f t="shared" si="33"/>
        <v>9093.7331975881007</v>
      </c>
      <c r="J180" s="83">
        <f t="shared" si="33"/>
        <v>11463.856979275404</v>
      </c>
      <c r="K180" s="83">
        <f t="shared" si="33"/>
        <v>40292.686708722045</v>
      </c>
      <c r="L180" s="83">
        <f t="shared" si="33"/>
        <v>10969.382700221702</v>
      </c>
      <c r="M180" s="83">
        <f t="shared" si="33"/>
        <v>35689.879278064007</v>
      </c>
      <c r="N180" s="83">
        <f t="shared" si="33"/>
        <v>28524.189822982251</v>
      </c>
      <c r="O180" s="83">
        <f t="shared" si="33"/>
        <v>21077.572300342661</v>
      </c>
      <c r="P180" s="45">
        <f>SUM(C180:O180)</f>
        <v>313098.0199999999</v>
      </c>
    </row>
    <row r="181" spans="2:17" x14ac:dyDescent="0.35">
      <c r="B181" s="8" t="s">
        <v>157</v>
      </c>
      <c r="C181" s="48"/>
      <c r="D181" s="48">
        <f>SUM(D176:D180)</f>
        <v>777316.44221080747</v>
      </c>
      <c r="E181" s="48">
        <f t="shared" ref="E181:O181" si="34">SUM(E176:E180)</f>
        <v>1891469.8550252847</v>
      </c>
      <c r="F181" s="48">
        <f t="shared" si="34"/>
        <v>4649736.8635768862</v>
      </c>
      <c r="G181" s="48">
        <f t="shared" si="34"/>
        <v>1813567.8221253443</v>
      </c>
      <c r="H181" s="48">
        <f t="shared" si="34"/>
        <v>3897493.9916734239</v>
      </c>
      <c r="I181" s="48">
        <f t="shared" si="34"/>
        <v>4348728.9029435115</v>
      </c>
      <c r="J181" s="48">
        <f t="shared" si="34"/>
        <v>3641788.2695095912</v>
      </c>
      <c r="K181" s="48">
        <f t="shared" si="34"/>
        <v>2579446.2090363754</v>
      </c>
      <c r="L181" s="48">
        <f t="shared" si="34"/>
        <v>5254036.9806809025</v>
      </c>
      <c r="M181" s="48">
        <f t="shared" si="34"/>
        <v>2899542.3620588584</v>
      </c>
      <c r="N181" s="48">
        <f t="shared" si="34"/>
        <v>3953124.985216279</v>
      </c>
      <c r="O181" s="48">
        <f t="shared" si="34"/>
        <v>4434289.6135333171</v>
      </c>
      <c r="P181" s="48"/>
    </row>
    <row r="182" spans="2:17" x14ac:dyDescent="0.35">
      <c r="B182" s="8" t="s">
        <v>215</v>
      </c>
      <c r="C182" s="43">
        <f>SUM(C176:C180)</f>
        <v>75184516.710570365</v>
      </c>
      <c r="D182" s="43">
        <f t="shared" ref="D182:O182" si="35">+D181+C182</f>
        <v>75961833.152781174</v>
      </c>
      <c r="E182" s="43">
        <f t="shared" si="35"/>
        <v>77853303.007806465</v>
      </c>
      <c r="F182" s="43">
        <f t="shared" si="35"/>
        <v>82503039.871383354</v>
      </c>
      <c r="G182" s="43">
        <f t="shared" si="35"/>
        <v>84316607.6935087</v>
      </c>
      <c r="H182" s="43">
        <f t="shared" si="35"/>
        <v>88214101.685182124</v>
      </c>
      <c r="I182" s="43">
        <f t="shared" si="35"/>
        <v>92562830.588125631</v>
      </c>
      <c r="J182" s="43">
        <f t="shared" si="35"/>
        <v>96204618.85763523</v>
      </c>
      <c r="K182" s="43">
        <f t="shared" si="35"/>
        <v>98784065.06667161</v>
      </c>
      <c r="L182" s="43">
        <f t="shared" si="35"/>
        <v>104038102.04735251</v>
      </c>
      <c r="M182" s="43">
        <f t="shared" si="35"/>
        <v>106937644.40941137</v>
      </c>
      <c r="N182" s="43">
        <f t="shared" si="35"/>
        <v>110890769.39462765</v>
      </c>
      <c r="O182" s="43">
        <f t="shared" si="35"/>
        <v>115325059.00816096</v>
      </c>
      <c r="P182" s="43">
        <f>SUM(P176:P180)</f>
        <v>115325059.00816093</v>
      </c>
      <c r="Q182" s="45">
        <f>AVERAGE(C182:O182)</f>
        <v>92982807.037939787</v>
      </c>
    </row>
  </sheetData>
  <mergeCells count="11">
    <mergeCell ref="A4:Q4"/>
    <mergeCell ref="A5:Q5"/>
    <mergeCell ref="A6:Q6"/>
    <mergeCell ref="D9:K9"/>
    <mergeCell ref="A148:Q148"/>
    <mergeCell ref="A149:Q149"/>
    <mergeCell ref="A74:Q74"/>
    <mergeCell ref="A75:Q75"/>
    <mergeCell ref="A76:Q76"/>
    <mergeCell ref="A147:Q147"/>
    <mergeCell ref="D79:K79"/>
  </mergeCells>
  <phoneticPr fontId="3" type="noConversion"/>
  <pageMargins left="0.25" right="0.25" top="0.75" bottom="0.75" header="0.3" footer="0.3"/>
  <pageSetup scale="44" fitToHeight="3" orientation="landscape" horizontalDpi="1200" verticalDpi="1200" r:id="rId1"/>
  <rowBreaks count="2" manualBreakCount="2">
    <brk id="70" max="17" man="1"/>
    <brk id="143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8DB58-7681-41E1-8AF1-CCE6E620E558}">
  <sheetPr>
    <pageSetUpPr fitToPage="1"/>
  </sheetPr>
  <dimension ref="A1:Q195"/>
  <sheetViews>
    <sheetView topLeftCell="A102" zoomScaleNormal="100" workbookViewId="0">
      <selection activeCell="G136" sqref="G136"/>
    </sheetView>
  </sheetViews>
  <sheetFormatPr defaultColWidth="8.81640625" defaultRowHeight="15.5" x14ac:dyDescent="0.35"/>
  <cols>
    <col min="1" max="1" width="2" style="8" customWidth="1"/>
    <col min="2" max="2" width="46.1796875" style="8" bestFit="1" customWidth="1"/>
    <col min="3" max="8" width="14.26953125" style="8" bestFit="1" customWidth="1"/>
    <col min="9" max="9" width="13.81640625" style="8" bestFit="1" customWidth="1"/>
    <col min="10" max="11" width="14" style="8" bestFit="1" customWidth="1"/>
    <col min="12" max="12" width="13.81640625" style="8" bestFit="1" customWidth="1"/>
    <col min="13" max="15" width="14.1796875" style="8" bestFit="1" customWidth="1"/>
    <col min="16" max="16" width="19.81640625" style="8" bestFit="1" customWidth="1"/>
    <col min="17" max="17" width="23.1796875" style="8" bestFit="1" customWidth="1"/>
    <col min="18" max="16384" width="8.81640625" style="8"/>
  </cols>
  <sheetData>
    <row r="1" spans="1:17" x14ac:dyDescent="0.35">
      <c r="Q1" s="9" t="str">
        <f>'3.0 Plant in Service'!Q1</f>
        <v>Case No. 2024-00328</v>
      </c>
    </row>
    <row r="2" spans="1:17" x14ac:dyDescent="0.35">
      <c r="N2" s="9"/>
      <c r="Q2" s="9" t="s">
        <v>202</v>
      </c>
    </row>
    <row r="3" spans="1:17" x14ac:dyDescent="0.35">
      <c r="N3" s="9"/>
      <c r="Q3" s="9" t="s">
        <v>213</v>
      </c>
    </row>
    <row r="4" spans="1:17" x14ac:dyDescent="0.35">
      <c r="A4" s="138" t="s">
        <v>12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</row>
    <row r="5" spans="1:17" x14ac:dyDescent="0.35">
      <c r="A5" s="138" t="s">
        <v>109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</row>
    <row r="6" spans="1:17" x14ac:dyDescent="0.35">
      <c r="A6" s="138" t="s">
        <v>288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</row>
    <row r="7" spans="1:17" x14ac:dyDescent="0.3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x14ac:dyDescent="0.3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 x14ac:dyDescent="0.35">
      <c r="I10" s="10"/>
      <c r="J10" s="10"/>
      <c r="K10" s="10"/>
      <c r="Q10" s="45"/>
    </row>
    <row r="11" spans="1:17" x14ac:dyDescent="0.35">
      <c r="C11" s="10">
        <v>2022</v>
      </c>
      <c r="D11" s="10">
        <f>+C11+1</f>
        <v>2023</v>
      </c>
      <c r="E11" s="10">
        <f t="shared" ref="E11:Q11" si="0">+D11</f>
        <v>2023</v>
      </c>
      <c r="F11" s="10">
        <f t="shared" si="0"/>
        <v>2023</v>
      </c>
      <c r="G11" s="10">
        <f t="shared" si="0"/>
        <v>2023</v>
      </c>
      <c r="H11" s="10">
        <f t="shared" si="0"/>
        <v>2023</v>
      </c>
      <c r="I11" s="10">
        <f t="shared" si="0"/>
        <v>2023</v>
      </c>
      <c r="J11" s="10">
        <f t="shared" si="0"/>
        <v>2023</v>
      </c>
      <c r="K11" s="10">
        <f t="shared" si="0"/>
        <v>2023</v>
      </c>
      <c r="L11" s="10">
        <f t="shared" si="0"/>
        <v>2023</v>
      </c>
      <c r="M11" s="10">
        <f t="shared" si="0"/>
        <v>2023</v>
      </c>
      <c r="N11" s="10">
        <f t="shared" si="0"/>
        <v>2023</v>
      </c>
      <c r="O11" s="10">
        <f t="shared" si="0"/>
        <v>2023</v>
      </c>
      <c r="P11" s="10">
        <f t="shared" si="0"/>
        <v>2023</v>
      </c>
      <c r="Q11" s="10">
        <f t="shared" si="0"/>
        <v>2023</v>
      </c>
    </row>
    <row r="12" spans="1:17" x14ac:dyDescent="0.35">
      <c r="C12" s="10" t="s">
        <v>140</v>
      </c>
      <c r="D12" s="10" t="s">
        <v>141</v>
      </c>
      <c r="E12" s="10" t="s">
        <v>142</v>
      </c>
      <c r="F12" s="10" t="s">
        <v>143</v>
      </c>
      <c r="G12" s="10" t="s">
        <v>144</v>
      </c>
      <c r="H12" s="10" t="s">
        <v>81</v>
      </c>
      <c r="I12" s="10" t="s">
        <v>145</v>
      </c>
      <c r="J12" s="10" t="s">
        <v>146</v>
      </c>
      <c r="K12" s="10" t="s">
        <v>147</v>
      </c>
      <c r="L12" s="10" t="s">
        <v>148</v>
      </c>
      <c r="M12" s="10" t="s">
        <v>149</v>
      </c>
      <c r="N12" s="10" t="s">
        <v>150</v>
      </c>
      <c r="O12" s="10" t="s">
        <v>140</v>
      </c>
      <c r="P12" s="10" t="s">
        <v>151</v>
      </c>
      <c r="Q12" s="10" t="s">
        <v>152</v>
      </c>
    </row>
    <row r="13" spans="1:17" x14ac:dyDescent="0.35">
      <c r="C13" s="10" t="s">
        <v>92</v>
      </c>
      <c r="D13" s="10" t="s">
        <v>258</v>
      </c>
      <c r="E13" s="10" t="s">
        <v>258</v>
      </c>
      <c r="F13" s="10" t="s">
        <v>258</v>
      </c>
      <c r="G13" s="10" t="s">
        <v>258</v>
      </c>
      <c r="H13" s="10" t="s">
        <v>258</v>
      </c>
      <c r="I13" s="10" t="s">
        <v>258</v>
      </c>
      <c r="J13" s="10" t="s">
        <v>258</v>
      </c>
      <c r="K13" s="10" t="s">
        <v>258</v>
      </c>
      <c r="L13" s="10" t="s">
        <v>258</v>
      </c>
      <c r="M13" s="10" t="s">
        <v>258</v>
      </c>
      <c r="N13" s="10" t="s">
        <v>258</v>
      </c>
      <c r="O13" s="10" t="s">
        <v>258</v>
      </c>
      <c r="P13" s="11"/>
      <c r="Q13" s="11"/>
    </row>
    <row r="15" spans="1:17" x14ac:dyDescent="0.35">
      <c r="B15" s="81" t="s">
        <v>118</v>
      </c>
    </row>
    <row r="16" spans="1:17" x14ac:dyDescent="0.35">
      <c r="B16" s="8" t="s">
        <v>133</v>
      </c>
      <c r="C16" s="44">
        <v>0</v>
      </c>
      <c r="D16" s="44">
        <f>+'5.0 Depr Expense'!E20*-1</f>
        <v>-57.859000000000002</v>
      </c>
      <c r="E16" s="44">
        <f>+'5.0 Depr Expense'!F20*-1</f>
        <v>-738.87800000000004</v>
      </c>
      <c r="F16" s="44">
        <f>+'5.0 Depr Expense'!G20*-1</f>
        <v>-4207.0309999999999</v>
      </c>
      <c r="G16" s="44">
        <f>+'5.0 Depr Expense'!H20*-1</f>
        <v>-7638.1909999999998</v>
      </c>
      <c r="H16" s="44">
        <f>+'5.0 Depr Expense'!I20*-1</f>
        <v>-10390.367</v>
      </c>
      <c r="I16" s="44">
        <f>+'5.0 Depr Expense'!J20*-1</f>
        <v>-15353.328</v>
      </c>
      <c r="J16" s="44">
        <f>+'5.0 Depr Expense'!K20*-1</f>
        <v>-20411.886999999999</v>
      </c>
      <c r="K16" s="44">
        <f>+'5.0 Depr Expense'!L20*-1</f>
        <v>-23652.373</v>
      </c>
      <c r="L16" s="44">
        <f>+'5.0 Depr Expense'!M20*-1</f>
        <v>-28074.769</v>
      </c>
      <c r="M16" s="44">
        <f>+'5.0 Depr Expense'!N20*-1</f>
        <v>-32450.468000000001</v>
      </c>
      <c r="N16" s="44">
        <f>+'5.0 Depr Expense'!O20*-1</f>
        <v>-35916.550000000003</v>
      </c>
      <c r="O16" s="44">
        <f>+'5.0 Depr Expense'!P20*-1</f>
        <v>-41475.421000000002</v>
      </c>
      <c r="P16" s="45">
        <f>SUM(C16:O16)</f>
        <v>-220367.122</v>
      </c>
    </row>
    <row r="17" spans="2:16" x14ac:dyDescent="0.35">
      <c r="B17" s="8" t="s">
        <v>134</v>
      </c>
      <c r="C17" s="44">
        <v>0</v>
      </c>
      <c r="D17" s="44">
        <f>+'5.0 Depr Expense'!E30*-1</f>
        <v>7.9550000000000001</v>
      </c>
      <c r="E17" s="44">
        <f>+'5.0 Depr Expense'!F30*-1</f>
        <v>22.396999999999998</v>
      </c>
      <c r="F17" s="44">
        <f>+'5.0 Depr Expense'!G30*-1</f>
        <v>47.106000000000002</v>
      </c>
      <c r="G17" s="44">
        <f>+'5.0 Depr Expense'!H30*-1</f>
        <v>66.763999999999996</v>
      </c>
      <c r="H17" s="44">
        <f>+'5.0 Depr Expense'!I30*-1</f>
        <v>77.983000000000004</v>
      </c>
      <c r="I17" s="44">
        <f>+'5.0 Depr Expense'!J30*-1</f>
        <v>191.53800000000001</v>
      </c>
      <c r="J17" s="44">
        <f>+'5.0 Depr Expense'!K30*-1</f>
        <v>390.44600000000003</v>
      </c>
      <c r="K17" s="44">
        <f>+'5.0 Depr Expense'!L30*-1</f>
        <v>563.44399999999996</v>
      </c>
      <c r="L17" s="44">
        <f>+'5.0 Depr Expense'!M30*-1</f>
        <v>685.53899999999999</v>
      </c>
      <c r="M17" s="44">
        <f>+'5.0 Depr Expense'!N30*-1</f>
        <v>730</v>
      </c>
      <c r="N17" s="44">
        <f>+'5.0 Depr Expense'!O30*-1</f>
        <v>730.53300000000002</v>
      </c>
      <c r="O17" s="44">
        <f>+'5.0 Depr Expense'!P30*-1</f>
        <v>775.22699999999998</v>
      </c>
      <c r="P17" s="45">
        <f>SUM(C17:O17)</f>
        <v>4288.9319999999998</v>
      </c>
    </row>
    <row r="18" spans="2:16" x14ac:dyDescent="0.35">
      <c r="B18" s="8" t="s">
        <v>135</v>
      </c>
      <c r="C18" s="44">
        <v>0</v>
      </c>
      <c r="D18" s="44">
        <f>+'5.0 Depr Expense'!E40*-1</f>
        <v>-948.98800000000006</v>
      </c>
      <c r="E18" s="44">
        <f>+'5.0 Depr Expense'!F40*-1</f>
        <v>-3408.5969999999998</v>
      </c>
      <c r="F18" s="44">
        <f>+'5.0 Depr Expense'!G40*-1</f>
        <v>-6417.9179999999997</v>
      </c>
      <c r="G18" s="44">
        <f>+'5.0 Depr Expense'!H40*-1</f>
        <v>-9384.6450000000004</v>
      </c>
      <c r="H18" s="44">
        <f>+'5.0 Depr Expense'!I40*-1</f>
        <v>-12458.898999999999</v>
      </c>
      <c r="I18" s="44">
        <f>+'5.0 Depr Expense'!J40*-1</f>
        <v>-15336.183000000001</v>
      </c>
      <c r="J18" s="44">
        <f>+'5.0 Depr Expense'!K40*-1</f>
        <v>-17791.894</v>
      </c>
      <c r="K18" s="44">
        <f>+'5.0 Depr Expense'!L40*-1</f>
        <v>-20792.019</v>
      </c>
      <c r="L18" s="44">
        <f>+'5.0 Depr Expense'!M40*-1</f>
        <v>-23941.057000000001</v>
      </c>
      <c r="M18" s="44">
        <f>+'5.0 Depr Expense'!N40*-1</f>
        <v>-27506.7</v>
      </c>
      <c r="N18" s="44">
        <f>+'5.0 Depr Expense'!O40*-1</f>
        <v>-30712.044999999998</v>
      </c>
      <c r="O18" s="44">
        <f>+'5.0 Depr Expense'!P40*-1</f>
        <v>-32584.988000000001</v>
      </c>
      <c r="P18" s="45">
        <f>SUM(C18:O18)</f>
        <v>-201283.93300000002</v>
      </c>
    </row>
    <row r="19" spans="2:16" x14ac:dyDescent="0.35">
      <c r="B19" s="8" t="s">
        <v>136</v>
      </c>
      <c r="C19" s="44">
        <v>0</v>
      </c>
      <c r="D19" s="44">
        <f>+'5.0 Depr Expense'!E50*-1</f>
        <v>-0.85299999999999998</v>
      </c>
      <c r="E19" s="44">
        <f>+'5.0 Depr Expense'!F50*-1</f>
        <v>-0.83899999999999997</v>
      </c>
      <c r="F19" s="44">
        <f>+'5.0 Depr Expense'!G50*-1</f>
        <v>1.6099999999999999</v>
      </c>
      <c r="G19" s="44">
        <f>+'5.0 Depr Expense'!H50*-1</f>
        <v>5.8889999999999993</v>
      </c>
      <c r="H19" s="44">
        <f>+'5.0 Depr Expense'!I50*-1</f>
        <v>10.481999999999999</v>
      </c>
      <c r="I19" s="44">
        <f>+'5.0 Depr Expense'!J50*-1</f>
        <v>10.375999999999999</v>
      </c>
      <c r="J19" s="44">
        <f>+'5.0 Depr Expense'!K50*-1</f>
        <v>7.649</v>
      </c>
      <c r="K19" s="44">
        <f>+'5.0 Depr Expense'!L50*-1</f>
        <v>-0.70699999999999985</v>
      </c>
      <c r="L19" s="44">
        <f>+'5.0 Depr Expense'!M50*-1</f>
        <v>-9.6880000000000006</v>
      </c>
      <c r="M19" s="44">
        <f>+'5.0 Depr Expense'!N50*-1</f>
        <v>-19.588000000000001</v>
      </c>
      <c r="N19" s="44">
        <f>+'5.0 Depr Expense'!O50*-1</f>
        <v>-36.817</v>
      </c>
      <c r="O19" s="44">
        <f>+'5.0 Depr Expense'!P50*-1</f>
        <v>-50.061</v>
      </c>
      <c r="P19" s="45">
        <f>SUM(C19:O19)</f>
        <v>-82.546999999999997</v>
      </c>
    </row>
    <row r="20" spans="2:16" x14ac:dyDescent="0.35">
      <c r="B20" s="8" t="s">
        <v>137</v>
      </c>
      <c r="C20" s="44">
        <v>0</v>
      </c>
      <c r="D20" s="44">
        <f>+'5.0 Depr Expense'!E60*-1</f>
        <v>0.153</v>
      </c>
      <c r="E20" s="44">
        <f>+'5.0 Depr Expense'!F60*-1</f>
        <v>0.186</v>
      </c>
      <c r="F20" s="44">
        <f>+'5.0 Depr Expense'!G60*-1</f>
        <v>1.127</v>
      </c>
      <c r="G20" s="44">
        <f>+'5.0 Depr Expense'!H60*-1</f>
        <v>1.139</v>
      </c>
      <c r="H20" s="44">
        <f>+'5.0 Depr Expense'!I60*-1</f>
        <v>1.282</v>
      </c>
      <c r="I20" s="44">
        <f>+'5.0 Depr Expense'!J60*-1</f>
        <v>2.1829999999999998</v>
      </c>
      <c r="J20" s="44">
        <f>+'5.0 Depr Expense'!K60*-1</f>
        <v>4.46</v>
      </c>
      <c r="K20" s="44">
        <f>+'5.0 Depr Expense'!L60*-1</f>
        <v>7.1589999999999998</v>
      </c>
      <c r="L20" s="44">
        <f>+'5.0 Depr Expense'!M60*-1</f>
        <v>7.4649999999999999</v>
      </c>
      <c r="M20" s="44">
        <f>+'5.0 Depr Expense'!N60*-1</f>
        <v>8.4550000000000001</v>
      </c>
      <c r="N20" s="44">
        <f>+'5.0 Depr Expense'!O60*-1</f>
        <v>9.5109999999999992</v>
      </c>
      <c r="O20" s="44">
        <f>+'5.0 Depr Expense'!P60*-1</f>
        <v>10.432</v>
      </c>
      <c r="P20" s="45">
        <f>SUM(C20:O20)</f>
        <v>53.552000000000007</v>
      </c>
    </row>
    <row r="21" spans="2:16" x14ac:dyDescent="0.35">
      <c r="B21" s="8" t="s">
        <v>158</v>
      </c>
      <c r="C21" s="48"/>
      <c r="D21" s="48">
        <f>SUM(D16:D20)</f>
        <v>-999.59199999999998</v>
      </c>
      <c r="E21" s="48">
        <f t="shared" ref="E21:P21" si="1">SUM(E16:E20)</f>
        <v>-4125.7309999999998</v>
      </c>
      <c r="F21" s="48">
        <f t="shared" si="1"/>
        <v>-10575.106</v>
      </c>
      <c r="G21" s="48">
        <f t="shared" si="1"/>
        <v>-16949.044000000002</v>
      </c>
      <c r="H21" s="48">
        <f t="shared" si="1"/>
        <v>-22759.519</v>
      </c>
      <c r="I21" s="48">
        <f t="shared" si="1"/>
        <v>-30485.413999999997</v>
      </c>
      <c r="J21" s="48">
        <f t="shared" si="1"/>
        <v>-37801.226000000002</v>
      </c>
      <c r="K21" s="48">
        <f t="shared" si="1"/>
        <v>-43874.496000000006</v>
      </c>
      <c r="L21" s="48">
        <f t="shared" si="1"/>
        <v>-51332.51</v>
      </c>
      <c r="M21" s="48">
        <f t="shared" si="1"/>
        <v>-59238.301000000007</v>
      </c>
      <c r="N21" s="48">
        <f t="shared" si="1"/>
        <v>-65925.368000000002</v>
      </c>
      <c r="O21" s="48">
        <f t="shared" si="1"/>
        <v>-73324.811000000002</v>
      </c>
      <c r="P21" s="48">
        <f t="shared" si="1"/>
        <v>-417391.11800000002</v>
      </c>
    </row>
    <row r="22" spans="2:16" x14ac:dyDescent="0.35">
      <c r="B22" s="8" t="s">
        <v>159</v>
      </c>
      <c r="C22" s="43">
        <f>SUM(C16:C21)</f>
        <v>0</v>
      </c>
      <c r="D22" s="43">
        <f t="shared" ref="D22:O22" si="2">+D21+C22</f>
        <v>-999.59199999999998</v>
      </c>
      <c r="E22" s="43">
        <f t="shared" si="2"/>
        <v>-5125.3229999999994</v>
      </c>
      <c r="F22" s="43">
        <f t="shared" si="2"/>
        <v>-15700.429</v>
      </c>
      <c r="G22" s="43">
        <f t="shared" si="2"/>
        <v>-32649.473000000002</v>
      </c>
      <c r="H22" s="43">
        <f t="shared" si="2"/>
        <v>-55408.991999999998</v>
      </c>
      <c r="I22" s="43">
        <f t="shared" si="2"/>
        <v>-85894.405999999988</v>
      </c>
      <c r="J22" s="43">
        <f t="shared" si="2"/>
        <v>-123695.63199999998</v>
      </c>
      <c r="K22" s="43">
        <f t="shared" si="2"/>
        <v>-167570.128</v>
      </c>
      <c r="L22" s="43">
        <f t="shared" si="2"/>
        <v>-218902.63800000001</v>
      </c>
      <c r="M22" s="43">
        <f t="shared" si="2"/>
        <v>-278140.93900000001</v>
      </c>
      <c r="N22" s="43">
        <f t="shared" si="2"/>
        <v>-344066.30700000003</v>
      </c>
      <c r="O22" s="43">
        <f t="shared" si="2"/>
        <v>-417391.11800000002</v>
      </c>
      <c r="P22" s="43"/>
    </row>
    <row r="23" spans="2:16" x14ac:dyDescent="0.35"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</row>
    <row r="24" spans="2:16" x14ac:dyDescent="0.35">
      <c r="B24" s="81" t="s">
        <v>62</v>
      </c>
    </row>
    <row r="25" spans="2:16" x14ac:dyDescent="0.35">
      <c r="B25" s="8" t="s">
        <v>133</v>
      </c>
      <c r="C25" s="44">
        <v>0</v>
      </c>
      <c r="D25" s="44">
        <f>-'3.0 Plant in Service'!D24</f>
        <v>0</v>
      </c>
      <c r="E25" s="44">
        <f>-'3.0 Plant in Service'!E24</f>
        <v>0</v>
      </c>
      <c r="F25" s="44">
        <f>-'3.0 Plant in Service'!F24</f>
        <v>0</v>
      </c>
      <c r="G25" s="44">
        <f>-'3.0 Plant in Service'!G24</f>
        <v>0</v>
      </c>
      <c r="H25" s="44">
        <f>-'3.0 Plant in Service'!H24</f>
        <v>14490.58</v>
      </c>
      <c r="I25" s="44">
        <f>-'3.0 Plant in Service'!I24</f>
        <v>207</v>
      </c>
      <c r="J25" s="44">
        <f>-'3.0 Plant in Service'!J24</f>
        <v>64.34</v>
      </c>
      <c r="K25" s="44">
        <f>-'3.0 Plant in Service'!K24</f>
        <v>207</v>
      </c>
      <c r="L25" s="44">
        <f>-'3.0 Plant in Service'!L24</f>
        <v>175288.07</v>
      </c>
      <c r="M25" s="44">
        <f>-'3.0 Plant in Service'!M24</f>
        <v>557.34</v>
      </c>
      <c r="N25" s="44">
        <f>-'3.0 Plant in Service'!N24</f>
        <v>0</v>
      </c>
      <c r="O25" s="44">
        <f>-'3.0 Plant in Service'!O24</f>
        <v>94799.38</v>
      </c>
      <c r="P25" s="45">
        <f>SUM(C25:O25)</f>
        <v>285613.71000000002</v>
      </c>
    </row>
    <row r="26" spans="2:16" x14ac:dyDescent="0.35">
      <c r="B26" s="8" t="s">
        <v>134</v>
      </c>
      <c r="C26" s="44">
        <v>0</v>
      </c>
      <c r="D26" s="44">
        <f>-'3.0 Plant in Service'!D25</f>
        <v>7576.5300000000007</v>
      </c>
      <c r="E26" s="44">
        <f>-'3.0 Plant in Service'!E25</f>
        <v>6092.8</v>
      </c>
      <c r="F26" s="44">
        <f>-'3.0 Plant in Service'!F25</f>
        <v>17244.22</v>
      </c>
      <c r="G26" s="44">
        <f>-'3.0 Plant in Service'!G25</f>
        <v>1679.98</v>
      </c>
      <c r="H26" s="44">
        <f>-'3.0 Plant in Service'!H25</f>
        <v>9507.9599999999991</v>
      </c>
      <c r="I26" s="44">
        <f>-'3.0 Plant in Service'!I25</f>
        <v>98607.48000000001</v>
      </c>
      <c r="J26" s="44">
        <f>-'3.0 Plant in Service'!J25</f>
        <v>90900.479999999996</v>
      </c>
      <c r="K26" s="44">
        <f>-'3.0 Plant in Service'!K25</f>
        <v>73755.900000000009</v>
      </c>
      <c r="L26" s="44">
        <f>-'3.0 Plant in Service'!L25</f>
        <v>42418.09</v>
      </c>
      <c r="M26" s="44">
        <f>-'3.0 Plant in Service'!M25</f>
        <v>0</v>
      </c>
      <c r="N26" s="44">
        <f>-'3.0 Plant in Service'!N25</f>
        <v>507.39</v>
      </c>
      <c r="O26" s="44">
        <f>-'3.0 Plant in Service'!O25</f>
        <v>42121.18</v>
      </c>
      <c r="P26" s="45">
        <f>SUM(C26:O26)</f>
        <v>390412.01000000007</v>
      </c>
    </row>
    <row r="27" spans="2:16" x14ac:dyDescent="0.35">
      <c r="B27" s="8" t="s">
        <v>135</v>
      </c>
      <c r="C27" s="44">
        <v>0</v>
      </c>
      <c r="D27" s="44">
        <f>-'3.0 Plant in Service'!D26</f>
        <v>277338.54684376396</v>
      </c>
      <c r="E27" s="44">
        <f>-'3.0 Plant in Service'!E26</f>
        <v>116568.9110269363</v>
      </c>
      <c r="F27" s="44">
        <f>-'3.0 Plant in Service'!F26</f>
        <v>192040.81348253199</v>
      </c>
      <c r="G27" s="44">
        <f>-'3.0 Plant in Service'!G26</f>
        <v>189065.28196242961</v>
      </c>
      <c r="H27" s="44">
        <f>-'3.0 Plant in Service'!H26</f>
        <v>292187.67817744327</v>
      </c>
      <c r="I27" s="44">
        <f>-'3.0 Plant in Service'!I26</f>
        <v>358664.11432266055</v>
      </c>
      <c r="J27" s="44">
        <f>-'3.0 Plant in Service'!J26</f>
        <v>231124.9352651996</v>
      </c>
      <c r="K27" s="44">
        <f>-'3.0 Plant in Service'!K26</f>
        <v>168870.39495231336</v>
      </c>
      <c r="L27" s="44">
        <f>-'3.0 Plant in Service'!L26</f>
        <v>273184.83045736718</v>
      </c>
      <c r="M27" s="44">
        <f>-'3.0 Plant in Service'!M26</f>
        <v>178657.54023643697</v>
      </c>
      <c r="N27" s="44">
        <f>-'3.0 Plant in Service'!N26</f>
        <v>274398.30615260021</v>
      </c>
      <c r="O27" s="44">
        <f>-'3.0 Plant in Service'!O26</f>
        <v>240285.08654995094</v>
      </c>
      <c r="P27" s="45">
        <f>SUM(C27:O27)</f>
        <v>2792386.4394296333</v>
      </c>
    </row>
    <row r="28" spans="2:16" x14ac:dyDescent="0.35">
      <c r="B28" s="8" t="s">
        <v>136</v>
      </c>
      <c r="C28" s="44">
        <v>0</v>
      </c>
      <c r="D28" s="44">
        <f>-'3.0 Plant in Service'!D27</f>
        <v>489.15000000000003</v>
      </c>
      <c r="E28" s="44">
        <f>-'3.0 Plant in Service'!E27</f>
        <v>1574.7300000000002</v>
      </c>
      <c r="F28" s="44">
        <f>-'3.0 Plant in Service'!F27</f>
        <v>2045.7900000000002</v>
      </c>
      <c r="G28" s="44">
        <f>-'3.0 Plant in Service'!G27</f>
        <v>5647.4500000000007</v>
      </c>
      <c r="H28" s="44">
        <f>-'3.0 Plant in Service'!H27</f>
        <v>3453.44</v>
      </c>
      <c r="I28" s="44">
        <f>-'3.0 Plant in Service'!I27</f>
        <v>3705.5099999999998</v>
      </c>
      <c r="J28" s="44">
        <f>-'3.0 Plant in Service'!J27</f>
        <v>5252.36</v>
      </c>
      <c r="K28" s="44">
        <f>-'3.0 Plant in Service'!K27</f>
        <v>9322.3200000000015</v>
      </c>
      <c r="L28" s="44">
        <f>-'3.0 Plant in Service'!L27</f>
        <v>4705.1100000000006</v>
      </c>
      <c r="M28" s="44">
        <f>-'3.0 Plant in Service'!M27</f>
        <v>4703.41</v>
      </c>
      <c r="N28" s="44">
        <f>-'3.0 Plant in Service'!N27</f>
        <v>3639.67</v>
      </c>
      <c r="O28" s="44">
        <f>-'3.0 Plant in Service'!O27</f>
        <v>3691.8300000000004</v>
      </c>
      <c r="P28" s="45">
        <f>SUM(C28:O28)</f>
        <v>48230.770000000004</v>
      </c>
    </row>
    <row r="29" spans="2:16" x14ac:dyDescent="0.35">
      <c r="B29" s="8" t="s">
        <v>137</v>
      </c>
      <c r="C29" s="44">
        <v>0</v>
      </c>
      <c r="D29" s="44">
        <f>-'3.0 Plant in Service'!D28</f>
        <v>188.66000000000003</v>
      </c>
      <c r="E29" s="44">
        <f>-'3.0 Plant in Service'!E28</f>
        <v>230.70000000000002</v>
      </c>
      <c r="F29" s="44">
        <f>-'3.0 Plant in Service'!F28</f>
        <v>156.80000000000001</v>
      </c>
      <c r="G29" s="44">
        <f>-'3.0 Plant in Service'!G28</f>
        <v>171.39000000000001</v>
      </c>
      <c r="H29" s="44">
        <f>-'3.0 Plant in Service'!H28</f>
        <v>348.81</v>
      </c>
      <c r="I29" s="44">
        <f>-'3.0 Plant in Service'!I28</f>
        <v>226.33</v>
      </c>
      <c r="J29" s="44">
        <f>-'3.0 Plant in Service'!J28</f>
        <v>3043.2999999999997</v>
      </c>
      <c r="K29" s="44">
        <f>-'3.0 Plant in Service'!K28</f>
        <v>197.14000000000001</v>
      </c>
      <c r="L29" s="44">
        <f>-'3.0 Plant in Service'!L28</f>
        <v>575.59</v>
      </c>
      <c r="M29" s="44">
        <f>-'3.0 Plant in Service'!M28</f>
        <v>562.87</v>
      </c>
      <c r="N29" s="44">
        <f>-'3.0 Plant in Service'!N28</f>
        <v>632.7299999999999</v>
      </c>
      <c r="O29" s="44">
        <f>-'3.0 Plant in Service'!O28</f>
        <v>534.66999999999996</v>
      </c>
      <c r="P29" s="45">
        <f>SUM(C29:O29)</f>
        <v>6868.99</v>
      </c>
    </row>
    <row r="30" spans="2:16" x14ac:dyDescent="0.35">
      <c r="B30" s="8" t="s">
        <v>155</v>
      </c>
      <c r="C30" s="48"/>
      <c r="D30" s="48">
        <f t="shared" ref="D30:P30" si="3">SUM(D25:D29)</f>
        <v>285592.88684376399</v>
      </c>
      <c r="E30" s="48">
        <f t="shared" si="3"/>
        <v>124467.1410269363</v>
      </c>
      <c r="F30" s="48">
        <f t="shared" si="3"/>
        <v>211487.62348253198</v>
      </c>
      <c r="G30" s="48">
        <f t="shared" si="3"/>
        <v>196564.10196242965</v>
      </c>
      <c r="H30" s="48">
        <f t="shared" si="3"/>
        <v>319988.46817744325</v>
      </c>
      <c r="I30" s="48">
        <f t="shared" si="3"/>
        <v>461410.43432266061</v>
      </c>
      <c r="J30" s="48">
        <f t="shared" si="3"/>
        <v>330385.41526519955</v>
      </c>
      <c r="K30" s="48">
        <f t="shared" si="3"/>
        <v>252352.75495231338</v>
      </c>
      <c r="L30" s="48">
        <f t="shared" si="3"/>
        <v>496171.69045736716</v>
      </c>
      <c r="M30" s="48">
        <f t="shared" si="3"/>
        <v>184481.16023643696</v>
      </c>
      <c r="N30" s="48">
        <f t="shared" si="3"/>
        <v>279178.09615260019</v>
      </c>
      <c r="O30" s="48">
        <f t="shared" si="3"/>
        <v>381432.14654995094</v>
      </c>
      <c r="P30" s="48">
        <f t="shared" si="3"/>
        <v>3523511.9194296338</v>
      </c>
    </row>
    <row r="31" spans="2:16" x14ac:dyDescent="0.35">
      <c r="B31" s="8" t="s">
        <v>156</v>
      </c>
      <c r="C31" s="43">
        <f>SUM(C25:C30)</f>
        <v>0</v>
      </c>
      <c r="D31" s="43">
        <f t="shared" ref="D31:O31" si="4">+D30+C31</f>
        <v>285592.88684376399</v>
      </c>
      <c r="E31" s="43">
        <f t="shared" si="4"/>
        <v>410060.02787070029</v>
      </c>
      <c r="F31" s="43">
        <f t="shared" si="4"/>
        <v>621547.65135323233</v>
      </c>
      <c r="G31" s="43">
        <f t="shared" si="4"/>
        <v>818111.75331566203</v>
      </c>
      <c r="H31" s="43">
        <f t="shared" si="4"/>
        <v>1138100.2214931054</v>
      </c>
      <c r="I31" s="43">
        <f t="shared" si="4"/>
        <v>1599510.655815766</v>
      </c>
      <c r="J31" s="43">
        <f t="shared" si="4"/>
        <v>1929896.0710809655</v>
      </c>
      <c r="K31" s="43">
        <f t="shared" si="4"/>
        <v>2182248.8260332788</v>
      </c>
      <c r="L31" s="43">
        <f t="shared" si="4"/>
        <v>2678420.5164906462</v>
      </c>
      <c r="M31" s="43">
        <f t="shared" si="4"/>
        <v>2862901.676727083</v>
      </c>
      <c r="N31" s="43">
        <f t="shared" si="4"/>
        <v>3142079.7728796834</v>
      </c>
      <c r="O31" s="43">
        <f t="shared" si="4"/>
        <v>3523511.9194296342</v>
      </c>
      <c r="P31" s="43"/>
    </row>
    <row r="33" spans="2:16" x14ac:dyDescent="0.35">
      <c r="B33" s="81" t="s">
        <v>52</v>
      </c>
    </row>
    <row r="34" spans="2:16" x14ac:dyDescent="0.35">
      <c r="B34" s="8" t="s">
        <v>243</v>
      </c>
      <c r="C34" s="44">
        <v>0</v>
      </c>
      <c r="D34" s="44">
        <v>0</v>
      </c>
      <c r="E34" s="44">
        <v>9794.68</v>
      </c>
      <c r="F34" s="44">
        <v>0</v>
      </c>
      <c r="G34" s="44">
        <v>2568.83</v>
      </c>
      <c r="H34" s="44">
        <v>939.63</v>
      </c>
      <c r="I34" s="44">
        <v>0</v>
      </c>
      <c r="J34" s="44">
        <v>8203.5400000000009</v>
      </c>
      <c r="K34" s="44">
        <v>0</v>
      </c>
      <c r="L34" s="44">
        <v>0</v>
      </c>
      <c r="M34" s="44">
        <v>65.73</v>
      </c>
      <c r="N34" s="44">
        <v>0</v>
      </c>
      <c r="O34" s="44">
        <v>0</v>
      </c>
      <c r="P34" s="45">
        <f>SUM(C34:O34)</f>
        <v>21572.41</v>
      </c>
    </row>
    <row r="35" spans="2:16" x14ac:dyDescent="0.35">
      <c r="B35" s="8" t="s">
        <v>244</v>
      </c>
      <c r="C35" s="44">
        <v>0</v>
      </c>
      <c r="D35" s="44">
        <v>685.86</v>
      </c>
      <c r="E35" s="44">
        <v>0</v>
      </c>
      <c r="F35" s="44">
        <v>970.13</v>
      </c>
      <c r="G35" s="44">
        <v>5246.21</v>
      </c>
      <c r="H35" s="44">
        <v>4099.3599999999997</v>
      </c>
      <c r="I35" s="44">
        <v>9703.0300000000007</v>
      </c>
      <c r="J35" s="44">
        <v>3350.24</v>
      </c>
      <c r="K35" s="44">
        <v>14666.38</v>
      </c>
      <c r="L35" s="44">
        <v>1626.68</v>
      </c>
      <c r="M35" s="44">
        <v>0</v>
      </c>
      <c r="N35" s="44">
        <v>945.06</v>
      </c>
      <c r="O35" s="44">
        <v>12469.08</v>
      </c>
      <c r="P35" s="45">
        <f>SUM(C35:O35)</f>
        <v>53762.03</v>
      </c>
    </row>
    <row r="36" spans="2:16" x14ac:dyDescent="0.35">
      <c r="B36" s="8" t="s">
        <v>220</v>
      </c>
      <c r="C36" s="44">
        <v>0</v>
      </c>
      <c r="D36" s="44">
        <v>467104.37436399999</v>
      </c>
      <c r="E36" s="44">
        <v>83958.337339999998</v>
      </c>
      <c r="F36" s="44">
        <v>92751.653088000006</v>
      </c>
      <c r="G36" s="44">
        <v>125279.384428</v>
      </c>
      <c r="H36" s="44">
        <v>136891.883107</v>
      </c>
      <c r="I36" s="44">
        <v>133263.05598800001</v>
      </c>
      <c r="J36" s="44">
        <v>147739.33692500001</v>
      </c>
      <c r="K36" s="44">
        <v>166411.49952499999</v>
      </c>
      <c r="L36" s="44">
        <v>141814.28255199999</v>
      </c>
      <c r="M36" s="44">
        <v>171317.10853699999</v>
      </c>
      <c r="N36" s="44">
        <v>176170.76146000001</v>
      </c>
      <c r="O36" s="44">
        <v>133360.562278</v>
      </c>
      <c r="P36" s="45">
        <f>SUM(C36:O36)</f>
        <v>1976062.2395919999</v>
      </c>
    </row>
    <row r="37" spans="2:16" x14ac:dyDescent="0.35">
      <c r="B37" s="8" t="s">
        <v>136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5">
        <f>SUM(C37:O37)</f>
        <v>0</v>
      </c>
    </row>
    <row r="38" spans="2:16" x14ac:dyDescent="0.35">
      <c r="B38" s="8" t="s">
        <v>137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5">
        <f>SUM(C38:O38)</f>
        <v>0</v>
      </c>
    </row>
    <row r="39" spans="2:16" x14ac:dyDescent="0.35">
      <c r="B39" s="8" t="s">
        <v>160</v>
      </c>
      <c r="C39" s="48"/>
      <c r="D39" s="48">
        <f t="shared" ref="D39:P39" si="5">SUM(D34:D38)</f>
        <v>467790.23436399997</v>
      </c>
      <c r="E39" s="48">
        <f t="shared" si="5"/>
        <v>93753.017339999991</v>
      </c>
      <c r="F39" s="48">
        <f t="shared" si="5"/>
        <v>93721.783088000011</v>
      </c>
      <c r="G39" s="48">
        <f t="shared" si="5"/>
        <v>133094.424428</v>
      </c>
      <c r="H39" s="48">
        <f t="shared" si="5"/>
        <v>141930.87310699999</v>
      </c>
      <c r="I39" s="48">
        <f t="shared" si="5"/>
        <v>142966.08598800001</v>
      </c>
      <c r="J39" s="48">
        <f t="shared" si="5"/>
        <v>159293.11692500001</v>
      </c>
      <c r="K39" s="48">
        <f t="shared" si="5"/>
        <v>181077.879525</v>
      </c>
      <c r="L39" s="48">
        <f t="shared" si="5"/>
        <v>143440.96255199998</v>
      </c>
      <c r="M39" s="48">
        <f t="shared" si="5"/>
        <v>171382.838537</v>
      </c>
      <c r="N39" s="48">
        <f t="shared" si="5"/>
        <v>177115.82146000001</v>
      </c>
      <c r="O39" s="48">
        <f t="shared" si="5"/>
        <v>145829.64227799998</v>
      </c>
      <c r="P39" s="48">
        <f t="shared" si="5"/>
        <v>2051396.6795919999</v>
      </c>
    </row>
    <row r="40" spans="2:16" x14ac:dyDescent="0.35">
      <c r="B40" s="8" t="s">
        <v>161</v>
      </c>
      <c r="C40" s="43">
        <f>SUM(C34:C39)</f>
        <v>0</v>
      </c>
      <c r="D40" s="43">
        <f t="shared" ref="D40:O40" si="6">+D39+C40</f>
        <v>467790.23436399997</v>
      </c>
      <c r="E40" s="43">
        <f t="shared" si="6"/>
        <v>561543.25170399994</v>
      </c>
      <c r="F40" s="43">
        <f t="shared" si="6"/>
        <v>655265.03479199996</v>
      </c>
      <c r="G40" s="43">
        <f t="shared" si="6"/>
        <v>788359.45921999996</v>
      </c>
      <c r="H40" s="43">
        <f t="shared" si="6"/>
        <v>930290.33232699998</v>
      </c>
      <c r="I40" s="43">
        <f t="shared" si="6"/>
        <v>1073256.4183149999</v>
      </c>
      <c r="J40" s="43">
        <f t="shared" si="6"/>
        <v>1232549.5352399999</v>
      </c>
      <c r="K40" s="43">
        <f t="shared" si="6"/>
        <v>1413627.4147649999</v>
      </c>
      <c r="L40" s="43">
        <f t="shared" si="6"/>
        <v>1557068.3773169999</v>
      </c>
      <c r="M40" s="43">
        <f t="shared" si="6"/>
        <v>1728451.2158539998</v>
      </c>
      <c r="N40" s="43">
        <f t="shared" si="6"/>
        <v>1905567.0373139998</v>
      </c>
      <c r="O40" s="43">
        <f t="shared" si="6"/>
        <v>2051396.6795919999</v>
      </c>
      <c r="P40" s="43"/>
    </row>
    <row r="42" spans="2:16" x14ac:dyDescent="0.35">
      <c r="B42" s="81" t="s">
        <v>170</v>
      </c>
    </row>
    <row r="43" spans="2:16" x14ac:dyDescent="0.35">
      <c r="B43" s="8" t="s">
        <v>133</v>
      </c>
      <c r="C43" s="83">
        <f>+C16+C25+C34</f>
        <v>0</v>
      </c>
      <c r="D43" s="83">
        <f>+D16+D25+D34</f>
        <v>-57.859000000000002</v>
      </c>
      <c r="E43" s="83">
        <f t="shared" ref="E43:O43" si="7">+E16+E25+E34</f>
        <v>9055.8019999999997</v>
      </c>
      <c r="F43" s="83">
        <f t="shared" si="7"/>
        <v>-4207.0309999999999</v>
      </c>
      <c r="G43" s="83">
        <f t="shared" si="7"/>
        <v>-5069.3609999999999</v>
      </c>
      <c r="H43" s="83">
        <f t="shared" si="7"/>
        <v>5039.8429999999998</v>
      </c>
      <c r="I43" s="83">
        <f t="shared" si="7"/>
        <v>-15146.328</v>
      </c>
      <c r="J43" s="83">
        <f t="shared" si="7"/>
        <v>-12144.006999999998</v>
      </c>
      <c r="K43" s="83">
        <f t="shared" si="7"/>
        <v>-23445.373</v>
      </c>
      <c r="L43" s="83">
        <f t="shared" si="7"/>
        <v>147213.30100000001</v>
      </c>
      <c r="M43" s="83">
        <f t="shared" si="7"/>
        <v>-31827.398000000001</v>
      </c>
      <c r="N43" s="83">
        <f t="shared" si="7"/>
        <v>-35916.550000000003</v>
      </c>
      <c r="O43" s="83">
        <f t="shared" si="7"/>
        <v>53323.959000000003</v>
      </c>
      <c r="P43" s="45">
        <f>SUM(C43:O43)</f>
        <v>86818.998000000007</v>
      </c>
    </row>
    <row r="44" spans="2:16" x14ac:dyDescent="0.35">
      <c r="B44" s="8" t="s">
        <v>134</v>
      </c>
      <c r="C44" s="83">
        <f>+C17+C26+C35</f>
        <v>0</v>
      </c>
      <c r="D44" s="83">
        <f t="shared" ref="D44:O44" si="8">+D17+D26+D35</f>
        <v>8270.3450000000012</v>
      </c>
      <c r="E44" s="83">
        <f t="shared" si="8"/>
        <v>6115.1970000000001</v>
      </c>
      <c r="F44" s="83">
        <f t="shared" si="8"/>
        <v>18261.456000000002</v>
      </c>
      <c r="G44" s="83">
        <f t="shared" si="8"/>
        <v>6992.9539999999997</v>
      </c>
      <c r="H44" s="83">
        <f t="shared" si="8"/>
        <v>13685.303</v>
      </c>
      <c r="I44" s="83">
        <f t="shared" si="8"/>
        <v>108502.04800000001</v>
      </c>
      <c r="J44" s="83">
        <f t="shared" si="8"/>
        <v>94641.165999999997</v>
      </c>
      <c r="K44" s="83">
        <f t="shared" si="8"/>
        <v>88985.724000000017</v>
      </c>
      <c r="L44" s="83">
        <f t="shared" si="8"/>
        <v>44730.308999999994</v>
      </c>
      <c r="M44" s="83">
        <f t="shared" si="8"/>
        <v>730</v>
      </c>
      <c r="N44" s="83">
        <f t="shared" si="8"/>
        <v>2182.9830000000002</v>
      </c>
      <c r="O44" s="83">
        <f t="shared" si="8"/>
        <v>55365.487000000001</v>
      </c>
      <c r="P44" s="45">
        <f>SUM(C44:O44)</f>
        <v>448462.97200000007</v>
      </c>
    </row>
    <row r="45" spans="2:16" x14ac:dyDescent="0.35">
      <c r="B45" s="8" t="s">
        <v>135</v>
      </c>
      <c r="C45" s="83">
        <f>+C18+C27+C36</f>
        <v>0</v>
      </c>
      <c r="D45" s="83">
        <f t="shared" ref="D45:O45" si="9">+D18+D27+D36</f>
        <v>743493.93320776394</v>
      </c>
      <c r="E45" s="83">
        <f t="shared" si="9"/>
        <v>197118.6513669363</v>
      </c>
      <c r="F45" s="83">
        <f t="shared" si="9"/>
        <v>278374.548570532</v>
      </c>
      <c r="G45" s="83">
        <f t="shared" si="9"/>
        <v>304960.02139042964</v>
      </c>
      <c r="H45" s="83">
        <f t="shared" si="9"/>
        <v>416620.66228444327</v>
      </c>
      <c r="I45" s="83">
        <f t="shared" si="9"/>
        <v>476590.98731066054</v>
      </c>
      <c r="J45" s="83">
        <f t="shared" si="9"/>
        <v>361072.37819019961</v>
      </c>
      <c r="K45" s="83">
        <f t="shared" si="9"/>
        <v>314489.87547731336</v>
      </c>
      <c r="L45" s="83">
        <f t="shared" si="9"/>
        <v>391058.05600936717</v>
      </c>
      <c r="M45" s="83">
        <f t="shared" si="9"/>
        <v>322467.94877343695</v>
      </c>
      <c r="N45" s="83">
        <f t="shared" si="9"/>
        <v>419857.02261260024</v>
      </c>
      <c r="O45" s="83">
        <f t="shared" si="9"/>
        <v>341060.66082795092</v>
      </c>
      <c r="P45" s="45">
        <f>SUM(C45:O45)</f>
        <v>4567164.746021634</v>
      </c>
    </row>
    <row r="46" spans="2:16" x14ac:dyDescent="0.35">
      <c r="B46" s="8" t="s">
        <v>136</v>
      </c>
      <c r="C46" s="83">
        <f>+C19+C28+C37</f>
        <v>0</v>
      </c>
      <c r="D46" s="83">
        <f t="shared" ref="D46:O46" si="10">+D19+D28+D37</f>
        <v>488.29700000000003</v>
      </c>
      <c r="E46" s="83">
        <f t="shared" si="10"/>
        <v>1573.8910000000003</v>
      </c>
      <c r="F46" s="83">
        <f t="shared" si="10"/>
        <v>2047.4</v>
      </c>
      <c r="G46" s="83">
        <f t="shared" si="10"/>
        <v>5653.3390000000009</v>
      </c>
      <c r="H46" s="83">
        <f t="shared" si="10"/>
        <v>3463.922</v>
      </c>
      <c r="I46" s="83">
        <f t="shared" si="10"/>
        <v>3715.886</v>
      </c>
      <c r="J46" s="83">
        <f t="shared" si="10"/>
        <v>5260.009</v>
      </c>
      <c r="K46" s="83">
        <f t="shared" si="10"/>
        <v>9321.6130000000012</v>
      </c>
      <c r="L46" s="83">
        <f t="shared" si="10"/>
        <v>4695.4220000000005</v>
      </c>
      <c r="M46" s="83">
        <f t="shared" si="10"/>
        <v>4683.8220000000001</v>
      </c>
      <c r="N46" s="83">
        <f t="shared" si="10"/>
        <v>3602.8530000000001</v>
      </c>
      <c r="O46" s="83">
        <f t="shared" si="10"/>
        <v>3641.7690000000002</v>
      </c>
      <c r="P46" s="45">
        <f>SUM(C46:O46)</f>
        <v>48148.223000000005</v>
      </c>
    </row>
    <row r="47" spans="2:16" x14ac:dyDescent="0.35">
      <c r="B47" s="8" t="s">
        <v>137</v>
      </c>
      <c r="C47" s="83">
        <f>+C20+C29+C38</f>
        <v>0</v>
      </c>
      <c r="D47" s="83">
        <f t="shared" ref="D47:O47" si="11">+D20+D29+D38</f>
        <v>188.81300000000002</v>
      </c>
      <c r="E47" s="83">
        <f t="shared" si="11"/>
        <v>230.88600000000002</v>
      </c>
      <c r="F47" s="83">
        <f t="shared" si="11"/>
        <v>157.92700000000002</v>
      </c>
      <c r="G47" s="83">
        <f t="shared" si="11"/>
        <v>172.52900000000002</v>
      </c>
      <c r="H47" s="83">
        <f t="shared" si="11"/>
        <v>350.09199999999998</v>
      </c>
      <c r="I47" s="83">
        <f t="shared" si="11"/>
        <v>228.51300000000001</v>
      </c>
      <c r="J47" s="83">
        <f t="shared" si="11"/>
        <v>3047.7599999999998</v>
      </c>
      <c r="K47" s="83">
        <f t="shared" si="11"/>
        <v>204.29900000000001</v>
      </c>
      <c r="L47" s="83">
        <f t="shared" si="11"/>
        <v>583.05500000000006</v>
      </c>
      <c r="M47" s="83">
        <f t="shared" si="11"/>
        <v>571.32500000000005</v>
      </c>
      <c r="N47" s="83">
        <f t="shared" si="11"/>
        <v>642.24099999999987</v>
      </c>
      <c r="O47" s="83">
        <f t="shared" si="11"/>
        <v>545.10199999999998</v>
      </c>
      <c r="P47" s="45">
        <f>SUM(C47:O47)</f>
        <v>6922.5419999999995</v>
      </c>
    </row>
    <row r="48" spans="2:16" x14ac:dyDescent="0.35">
      <c r="B48" s="8" t="s">
        <v>171</v>
      </c>
      <c r="C48" s="48"/>
      <c r="D48" s="48">
        <f t="shared" ref="D48:P48" si="12">SUM(D43:D47)</f>
        <v>752383.52920776396</v>
      </c>
      <c r="E48" s="48">
        <f t="shared" si="12"/>
        <v>214094.42736693632</v>
      </c>
      <c r="F48" s="48">
        <f t="shared" si="12"/>
        <v>294634.30057053204</v>
      </c>
      <c r="G48" s="48">
        <f t="shared" si="12"/>
        <v>312709.48239042959</v>
      </c>
      <c r="H48" s="48">
        <f t="shared" si="12"/>
        <v>439159.8222844433</v>
      </c>
      <c r="I48" s="48">
        <f t="shared" si="12"/>
        <v>573891.1063106606</v>
      </c>
      <c r="J48" s="48">
        <f t="shared" si="12"/>
        <v>451877.30619019963</v>
      </c>
      <c r="K48" s="48">
        <f t="shared" si="12"/>
        <v>389556.13847731339</v>
      </c>
      <c r="L48" s="48">
        <f t="shared" si="12"/>
        <v>588280.14300936728</v>
      </c>
      <c r="M48" s="48">
        <f t="shared" si="12"/>
        <v>296625.69777343696</v>
      </c>
      <c r="N48" s="48">
        <f t="shared" si="12"/>
        <v>390368.54961260024</v>
      </c>
      <c r="O48" s="48">
        <f t="shared" si="12"/>
        <v>453936.9778279509</v>
      </c>
      <c r="P48" s="48">
        <f t="shared" si="12"/>
        <v>5157517.4810216343</v>
      </c>
    </row>
    <row r="49" spans="2:17" x14ac:dyDescent="0.35">
      <c r="B49" s="8" t="s">
        <v>172</v>
      </c>
      <c r="C49" s="43">
        <f>SUM(C43:C48)</f>
        <v>0</v>
      </c>
      <c r="D49" s="43">
        <f t="shared" ref="D49:O49" si="13">+D48+C49</f>
        <v>752383.52920776396</v>
      </c>
      <c r="E49" s="43">
        <f t="shared" si="13"/>
        <v>966477.95657470031</v>
      </c>
      <c r="F49" s="43">
        <f t="shared" si="13"/>
        <v>1261112.2571452323</v>
      </c>
      <c r="G49" s="43">
        <f t="shared" si="13"/>
        <v>1573821.7395356619</v>
      </c>
      <c r="H49" s="43">
        <f t="shared" si="13"/>
        <v>2012981.5618201052</v>
      </c>
      <c r="I49" s="43">
        <f t="shared" si="13"/>
        <v>2586872.6681307657</v>
      </c>
      <c r="J49" s="43">
        <f t="shared" si="13"/>
        <v>3038749.9743209654</v>
      </c>
      <c r="K49" s="43">
        <f t="shared" si="13"/>
        <v>3428306.1127982787</v>
      </c>
      <c r="L49" s="43">
        <f t="shared" si="13"/>
        <v>4016586.2558076461</v>
      </c>
      <c r="M49" s="43">
        <f t="shared" si="13"/>
        <v>4313211.9535810826</v>
      </c>
      <c r="N49" s="43">
        <f t="shared" si="13"/>
        <v>4703580.503193683</v>
      </c>
      <c r="O49" s="43">
        <f t="shared" si="13"/>
        <v>5157517.4810216343</v>
      </c>
      <c r="P49" s="43"/>
      <c r="Q49" s="45">
        <f>AVERAGE(C49:O49)</f>
        <v>2600892.4610105781</v>
      </c>
    </row>
    <row r="74" spans="1:17" x14ac:dyDescent="0.35">
      <c r="Q74" s="9" t="str">
        <f>Q1</f>
        <v>Case No. 2024-00328</v>
      </c>
    </row>
    <row r="75" spans="1:17" x14ac:dyDescent="0.35">
      <c r="N75" s="9"/>
      <c r="Q75" s="9" t="s">
        <v>202</v>
      </c>
    </row>
    <row r="76" spans="1:17" x14ac:dyDescent="0.35">
      <c r="N76" s="9"/>
      <c r="Q76" s="9" t="s">
        <v>212</v>
      </c>
    </row>
    <row r="77" spans="1:17" x14ac:dyDescent="0.35">
      <c r="A77" s="138" t="s">
        <v>12</v>
      </c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</row>
    <row r="78" spans="1:17" x14ac:dyDescent="0.35">
      <c r="A78" s="138" t="s">
        <v>109</v>
      </c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</row>
    <row r="79" spans="1:17" x14ac:dyDescent="0.35">
      <c r="A79" s="138" t="s">
        <v>252</v>
      </c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</row>
    <row r="80" spans="1:17" x14ac:dyDescent="0.3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1:17" x14ac:dyDescent="0.3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1:17" x14ac:dyDescent="0.3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1:17" x14ac:dyDescent="0.35">
      <c r="I83" s="10"/>
      <c r="J83" s="10"/>
      <c r="K83" s="10"/>
      <c r="Q83" s="45"/>
    </row>
    <row r="84" spans="1:17" x14ac:dyDescent="0.35">
      <c r="C84" s="10">
        <v>2023</v>
      </c>
      <c r="D84" s="10">
        <f>+C84+1</f>
        <v>2024</v>
      </c>
      <c r="E84" s="10">
        <f>+D84</f>
        <v>2024</v>
      </c>
      <c r="F84" s="10">
        <f t="shared" ref="F84:P84" si="14">+E84</f>
        <v>2024</v>
      </c>
      <c r="G84" s="10">
        <f t="shared" si="14"/>
        <v>2024</v>
      </c>
      <c r="H84" s="10">
        <f t="shared" si="14"/>
        <v>2024</v>
      </c>
      <c r="I84" s="10">
        <f t="shared" si="14"/>
        <v>2024</v>
      </c>
      <c r="J84" s="10">
        <f t="shared" si="14"/>
        <v>2024</v>
      </c>
      <c r="K84" s="10">
        <f t="shared" si="14"/>
        <v>2024</v>
      </c>
      <c r="L84" s="10">
        <f t="shared" si="14"/>
        <v>2024</v>
      </c>
      <c r="M84" s="10">
        <f t="shared" si="14"/>
        <v>2024</v>
      </c>
      <c r="N84" s="10">
        <f t="shared" si="14"/>
        <v>2024</v>
      </c>
      <c r="O84" s="10">
        <f t="shared" si="14"/>
        <v>2024</v>
      </c>
      <c r="P84" s="10">
        <f t="shared" si="14"/>
        <v>2024</v>
      </c>
      <c r="Q84" s="10">
        <f>+P84</f>
        <v>2024</v>
      </c>
    </row>
    <row r="85" spans="1:17" x14ac:dyDescent="0.35">
      <c r="C85" s="10" t="s">
        <v>140</v>
      </c>
      <c r="D85" s="10" t="s">
        <v>141</v>
      </c>
      <c r="E85" s="10" t="s">
        <v>142</v>
      </c>
      <c r="F85" s="10" t="s">
        <v>143</v>
      </c>
      <c r="G85" s="10" t="s">
        <v>144</v>
      </c>
      <c r="H85" s="10" t="s">
        <v>81</v>
      </c>
      <c r="I85" s="10" t="s">
        <v>145</v>
      </c>
      <c r="J85" s="10" t="s">
        <v>146</v>
      </c>
      <c r="K85" s="10" t="s">
        <v>147</v>
      </c>
      <c r="L85" s="10" t="s">
        <v>148</v>
      </c>
      <c r="M85" s="10" t="s">
        <v>149</v>
      </c>
      <c r="N85" s="10" t="s">
        <v>150</v>
      </c>
      <c r="O85" s="10" t="s">
        <v>140</v>
      </c>
      <c r="P85" s="10" t="s">
        <v>151</v>
      </c>
      <c r="Q85" s="10" t="s">
        <v>152</v>
      </c>
    </row>
    <row r="86" spans="1:17" x14ac:dyDescent="0.35">
      <c r="C86" s="10" t="s">
        <v>92</v>
      </c>
      <c r="D86" s="10" t="s">
        <v>201</v>
      </c>
      <c r="E86" s="10" t="s">
        <v>201</v>
      </c>
      <c r="F86" s="10" t="s">
        <v>201</v>
      </c>
      <c r="G86" s="10" t="s">
        <v>201</v>
      </c>
      <c r="H86" s="10" t="s">
        <v>201</v>
      </c>
      <c r="I86" s="10" t="s">
        <v>201</v>
      </c>
      <c r="J86" s="10" t="s">
        <v>201</v>
      </c>
      <c r="K86" s="10" t="s">
        <v>201</v>
      </c>
      <c r="L86" s="10" t="s">
        <v>201</v>
      </c>
      <c r="M86" s="10" t="s">
        <v>201</v>
      </c>
      <c r="N86" s="10" t="s">
        <v>201</v>
      </c>
      <c r="O86" s="10" t="s">
        <v>201</v>
      </c>
      <c r="P86" s="11"/>
      <c r="Q86" s="11"/>
    </row>
    <row r="88" spans="1:17" x14ac:dyDescent="0.35">
      <c r="B88" s="81" t="s">
        <v>118</v>
      </c>
    </row>
    <row r="89" spans="1:17" x14ac:dyDescent="0.35">
      <c r="B89" s="8" t="s">
        <v>133</v>
      </c>
      <c r="C89" s="44">
        <f>P16</f>
        <v>-220367.122</v>
      </c>
      <c r="D89" s="44">
        <f>+'5.0 Depr Expense'!E93*-1</f>
        <v>-45428.421000000002</v>
      </c>
      <c r="E89" s="44">
        <f>+'5.0 Depr Expense'!F93*-1</f>
        <v>-46779.222999999998</v>
      </c>
      <c r="F89" s="44">
        <f>+'5.0 Depr Expense'!G93*-1</f>
        <v>-48417.288999999997</v>
      </c>
      <c r="G89" s="44">
        <f>+'5.0 Depr Expense'!H93*-1</f>
        <v>-50416.445</v>
      </c>
      <c r="H89" s="44">
        <f>+'5.0 Depr Expense'!I93*-1</f>
        <v>-52436.589</v>
      </c>
      <c r="I89" s="44">
        <f>+'5.0 Depr Expense'!J93*-1</f>
        <v>-55019.188999999998</v>
      </c>
      <c r="J89" s="44">
        <f>+'5.0 Depr Expense'!K93*-1</f>
        <v>-57222.714999999997</v>
      </c>
      <c r="K89" s="44">
        <f>+'5.0 Depr Expense'!L93*-1</f>
        <v>-58903.576999999997</v>
      </c>
      <c r="L89" s="44">
        <f>+'5.0 Depr Expense'!M93*-1</f>
        <v>-61712.292999999998</v>
      </c>
      <c r="M89" s="44">
        <f>+'5.0 Depr Expense'!N93*-1</f>
        <v>-66149.947</v>
      </c>
      <c r="N89" s="44">
        <f>+'5.0 Depr Expense'!O93*-1</f>
        <v>-69892.751999999993</v>
      </c>
      <c r="O89" s="44">
        <f>+'5.0 Depr Expense'!P93*-1</f>
        <v>-73469.141999999993</v>
      </c>
      <c r="P89" s="45">
        <f>SUM(C89:O89)</f>
        <v>-906214.70400000003</v>
      </c>
    </row>
    <row r="90" spans="1:17" x14ac:dyDescent="0.35">
      <c r="B90" s="8" t="s">
        <v>134</v>
      </c>
      <c r="C90" s="44">
        <f>P17</f>
        <v>4288.9319999999998</v>
      </c>
      <c r="D90" s="44">
        <f>+'5.0 Depr Expense'!E103*-1</f>
        <v>790.10500000000002</v>
      </c>
      <c r="E90" s="44">
        <f>+'5.0 Depr Expense'!F103*-1</f>
        <v>705.00599999999997</v>
      </c>
      <c r="F90" s="44">
        <f>+'5.0 Depr Expense'!G103*-1</f>
        <v>519.53499999999997</v>
      </c>
      <c r="G90" s="44">
        <f>+'5.0 Depr Expense'!H103*-1</f>
        <v>299.84699999999998</v>
      </c>
      <c r="H90" s="44">
        <f>+'5.0 Depr Expense'!I103*-1</f>
        <v>-157.77999999999997</v>
      </c>
      <c r="I90" s="44">
        <f>+'5.0 Depr Expense'!J103*-1</f>
        <v>-508.59199999999998</v>
      </c>
      <c r="J90" s="44">
        <f>+'5.0 Depr Expense'!K103*-1</f>
        <v>-710.2</v>
      </c>
      <c r="K90" s="44">
        <f>+'5.0 Depr Expense'!L103*-1</f>
        <v>-923.46600000000001</v>
      </c>
      <c r="L90" s="44">
        <f>+'5.0 Depr Expense'!M103*-1</f>
        <v>-932.32500000000005</v>
      </c>
      <c r="M90" s="44">
        <f>+'5.0 Depr Expense'!N103*-1</f>
        <v>-961.43399999999997</v>
      </c>
      <c r="N90" s="44">
        <f>+'5.0 Depr Expense'!O103*-1</f>
        <v>-1004.556</v>
      </c>
      <c r="O90" s="44">
        <f>+'5.0 Depr Expense'!P103*-1</f>
        <v>-1146.8420000000001</v>
      </c>
      <c r="P90" s="45">
        <f>SUM(C90:O90)</f>
        <v>258.23000000000047</v>
      </c>
    </row>
    <row r="91" spans="1:17" x14ac:dyDescent="0.35">
      <c r="B91" s="8" t="s">
        <v>135</v>
      </c>
      <c r="C91" s="44">
        <f>P18</f>
        <v>-201283.93300000002</v>
      </c>
      <c r="D91" s="44">
        <f>+'5.0 Depr Expense'!E113*-1</f>
        <v>-34870.389000000003</v>
      </c>
      <c r="E91" s="44">
        <f>+'5.0 Depr Expense'!F113*-1</f>
        <v>-37589.19</v>
      </c>
      <c r="F91" s="44">
        <f>+'5.0 Depr Expense'!G113*-1</f>
        <v>-40849.137000000002</v>
      </c>
      <c r="G91" s="44">
        <f>+'5.0 Depr Expense'!H113*-1</f>
        <v>-44662.108999999997</v>
      </c>
      <c r="H91" s="44">
        <f>+'5.0 Depr Expense'!I113*-1</f>
        <v>-48640.915999999997</v>
      </c>
      <c r="I91" s="44">
        <f>+'5.0 Depr Expense'!J113*-1</f>
        <v>-52506.589</v>
      </c>
      <c r="J91" s="44">
        <f>+'5.0 Depr Expense'!K113*-1</f>
        <v>-55708.275000000001</v>
      </c>
      <c r="K91" s="44">
        <f>+'5.0 Depr Expense'!L113*-1</f>
        <v>-59395.599000000002</v>
      </c>
      <c r="L91" s="44">
        <f>+'5.0 Depr Expense'!M113*-1</f>
        <v>-63605.794999999998</v>
      </c>
      <c r="M91" s="44">
        <f>+'5.0 Depr Expense'!N113*-1</f>
        <v>-66892.667000000001</v>
      </c>
      <c r="N91" s="44">
        <f>+'5.0 Depr Expense'!O113*-1</f>
        <v>-69397.106</v>
      </c>
      <c r="O91" s="44">
        <f>+'5.0 Depr Expense'!P113*-1</f>
        <v>-71709.919999999998</v>
      </c>
      <c r="P91" s="45">
        <f>SUM(C91:O91)</f>
        <v>-847111.62500000012</v>
      </c>
    </row>
    <row r="92" spans="1:17" x14ac:dyDescent="0.35">
      <c r="B92" s="8" t="s">
        <v>136</v>
      </c>
      <c r="C92" s="44">
        <f>P19</f>
        <v>-82.546999999999997</v>
      </c>
      <c r="D92" s="44">
        <f>+'5.0 Depr Expense'!E123*-1</f>
        <v>-63.823</v>
      </c>
      <c r="E92" s="44">
        <f>+'5.0 Depr Expense'!F123*-1</f>
        <v>-81.317999999999998</v>
      </c>
      <c r="F92" s="44">
        <f>+'5.0 Depr Expense'!G123*-1</f>
        <v>-96.176999999999992</v>
      </c>
      <c r="G92" s="44">
        <f>+'5.0 Depr Expense'!H123*-1</f>
        <v>-109.045</v>
      </c>
      <c r="H92" s="44">
        <f>+'5.0 Depr Expense'!I123*-1</f>
        <v>-119.151</v>
      </c>
      <c r="I92" s="44">
        <f>+'5.0 Depr Expense'!J123*-1</f>
        <v>-131.10499999999999</v>
      </c>
      <c r="J92" s="44">
        <f>+'5.0 Depr Expense'!K123*-1</f>
        <v>-147.93199999999999</v>
      </c>
      <c r="K92" s="44">
        <f>+'5.0 Depr Expense'!L123*-1</f>
        <v>-174.57</v>
      </c>
      <c r="L92" s="44">
        <f>+'5.0 Depr Expense'!M123*-1</f>
        <v>-214.82900000000001</v>
      </c>
      <c r="M92" s="44">
        <f>+'5.0 Depr Expense'!N123*-1</f>
        <v>-260.52999999999997</v>
      </c>
      <c r="N92" s="44">
        <f>+'5.0 Depr Expense'!O123*-1</f>
        <v>-290.65300000000002</v>
      </c>
      <c r="O92" s="44">
        <f>+'5.0 Depr Expense'!P123*-1</f>
        <v>-317.84300000000002</v>
      </c>
      <c r="P92" s="45">
        <f>SUM(C92:O92)</f>
        <v>-2089.5230000000001</v>
      </c>
    </row>
    <row r="93" spans="1:17" x14ac:dyDescent="0.35">
      <c r="B93" s="8" t="s">
        <v>137</v>
      </c>
      <c r="C93" s="44">
        <f>P20</f>
        <v>53.552000000000007</v>
      </c>
      <c r="D93" s="44">
        <f>+'5.0 Depr Expense'!E133*-1</f>
        <v>-7.7710000000000008</v>
      </c>
      <c r="E93" s="44">
        <f>+'5.0 Depr Expense'!F133*-1</f>
        <v>-40.147999999999996</v>
      </c>
      <c r="F93" s="44">
        <f>+'5.0 Depr Expense'!G133*-1</f>
        <v>-65.33</v>
      </c>
      <c r="G93" s="44">
        <f>+'5.0 Depr Expense'!H133*-1</f>
        <v>-83.292000000000002</v>
      </c>
      <c r="H93" s="44">
        <f>+'5.0 Depr Expense'!I133*-1</f>
        <v>-96.59</v>
      </c>
      <c r="I93" s="44">
        <f>+'5.0 Depr Expense'!J133*-1</f>
        <v>-108.782</v>
      </c>
      <c r="J93" s="44">
        <f>+'5.0 Depr Expense'!K133*-1</f>
        <v>-121.45099999999999</v>
      </c>
      <c r="K93" s="44">
        <f>+'5.0 Depr Expense'!L133*-1</f>
        <v>-132.68100000000001</v>
      </c>
      <c r="L93" s="44">
        <f>+'5.0 Depr Expense'!M133*-1</f>
        <v>-150.54599999999999</v>
      </c>
      <c r="M93" s="44">
        <f>+'5.0 Depr Expense'!N133*-1</f>
        <v>-173.29400000000001</v>
      </c>
      <c r="N93" s="44">
        <f>+'5.0 Depr Expense'!O133*-1</f>
        <v>-196.012</v>
      </c>
      <c r="O93" s="44">
        <f>+'5.0 Depr Expense'!P133*-1</f>
        <v>-220.63300000000001</v>
      </c>
      <c r="P93" s="45">
        <f>SUM(C93:O93)</f>
        <v>-1342.9780000000001</v>
      </c>
    </row>
    <row r="94" spans="1:17" x14ac:dyDescent="0.35">
      <c r="B94" s="8" t="s">
        <v>158</v>
      </c>
      <c r="C94" s="48"/>
      <c r="D94" s="48">
        <f>SUM(D89:D93)</f>
        <v>-79580.298999999999</v>
      </c>
      <c r="E94" s="48">
        <f t="shared" ref="E94:P94" si="15">SUM(E89:E93)</f>
        <v>-83784.873000000007</v>
      </c>
      <c r="F94" s="48">
        <f t="shared" si="15"/>
        <v>-88908.398000000001</v>
      </c>
      <c r="G94" s="48">
        <f t="shared" si="15"/>
        <v>-94971.043999999994</v>
      </c>
      <c r="H94" s="48">
        <f t="shared" si="15"/>
        <v>-101451.026</v>
      </c>
      <c r="I94" s="48">
        <f t="shared" si="15"/>
        <v>-108274.257</v>
      </c>
      <c r="J94" s="48">
        <f t="shared" si="15"/>
        <v>-113910.573</v>
      </c>
      <c r="K94" s="48">
        <f t="shared" si="15"/>
        <v>-119529.893</v>
      </c>
      <c r="L94" s="48">
        <f t="shared" si="15"/>
        <v>-126615.788</v>
      </c>
      <c r="M94" s="48">
        <f t="shared" si="15"/>
        <v>-134437.872</v>
      </c>
      <c r="N94" s="48">
        <f t="shared" si="15"/>
        <v>-140781.07899999997</v>
      </c>
      <c r="O94" s="48">
        <f t="shared" si="15"/>
        <v>-146864.37999999998</v>
      </c>
      <c r="P94" s="48">
        <f t="shared" si="15"/>
        <v>-1756500.6</v>
      </c>
    </row>
    <row r="95" spans="1:17" x14ac:dyDescent="0.35">
      <c r="B95" s="8" t="s">
        <v>159</v>
      </c>
      <c r="C95" s="43">
        <f>SUM(C89:C94)</f>
        <v>-417391.11800000002</v>
      </c>
      <c r="D95" s="43">
        <f>+D94+C95</f>
        <v>-496971.41700000002</v>
      </c>
      <c r="E95" s="43">
        <f t="shared" ref="E95:O95" si="16">+E94+D95</f>
        <v>-580756.29</v>
      </c>
      <c r="F95" s="43">
        <f t="shared" si="16"/>
        <v>-669664.68800000008</v>
      </c>
      <c r="G95" s="43">
        <f t="shared" si="16"/>
        <v>-764635.73200000008</v>
      </c>
      <c r="H95" s="43">
        <f t="shared" si="16"/>
        <v>-866086.75800000003</v>
      </c>
      <c r="I95" s="43">
        <f t="shared" si="16"/>
        <v>-974361.01500000001</v>
      </c>
      <c r="J95" s="43">
        <f t="shared" si="16"/>
        <v>-1088271.588</v>
      </c>
      <c r="K95" s="43">
        <f t="shared" si="16"/>
        <v>-1207801.4809999999</v>
      </c>
      <c r="L95" s="43">
        <f t="shared" si="16"/>
        <v>-1334417.2689999999</v>
      </c>
      <c r="M95" s="43">
        <f t="shared" si="16"/>
        <v>-1468855.1409999998</v>
      </c>
      <c r="N95" s="43">
        <f t="shared" si="16"/>
        <v>-1609636.2199999997</v>
      </c>
      <c r="O95" s="43">
        <f t="shared" si="16"/>
        <v>-1756500.5999999996</v>
      </c>
      <c r="P95" s="43"/>
    </row>
    <row r="96" spans="1:17" x14ac:dyDescent="0.35"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</row>
    <row r="97" spans="2:16" x14ac:dyDescent="0.35">
      <c r="B97" s="81" t="s">
        <v>62</v>
      </c>
    </row>
    <row r="98" spans="2:16" x14ac:dyDescent="0.35">
      <c r="B98" s="8" t="s">
        <v>133</v>
      </c>
      <c r="C98" s="44">
        <f>P25</f>
        <v>285613.71000000002</v>
      </c>
      <c r="D98" s="44">
        <f>-'3.0 Plant in Service'!D94</f>
        <v>10872.773776682474</v>
      </c>
      <c r="E98" s="44">
        <f>-'3.0 Plant in Service'!E94</f>
        <v>464.11277508543861</v>
      </c>
      <c r="F98" s="44">
        <f>-'3.0 Plant in Service'!F94</f>
        <v>799.82350260522298</v>
      </c>
      <c r="G98" s="44">
        <f>-'3.0 Plant in Service'!G94</f>
        <v>5865.2104164145521</v>
      </c>
      <c r="H98" s="44">
        <f>-'3.0 Plant in Service'!H94</f>
        <v>8774.2712834546182</v>
      </c>
      <c r="I98" s="44">
        <f>-'3.0 Plant in Service'!I94</f>
        <v>1945.5473091633708</v>
      </c>
      <c r="J98" s="44">
        <f>-'3.0 Plant in Service'!J94</f>
        <v>7052.2056015152011</v>
      </c>
      <c r="K98" s="44">
        <f>-'3.0 Plant in Service'!K94</f>
        <v>1219.9458611167438</v>
      </c>
      <c r="L98" s="44">
        <f>-'3.0 Plant in Service'!L94</f>
        <v>45568.520140757675</v>
      </c>
      <c r="M98" s="44">
        <f>-'3.0 Plant in Service'!M94</f>
        <v>45748.70778525417</v>
      </c>
      <c r="N98" s="44">
        <f>-'3.0 Plant in Service'!N94</f>
        <v>28291.125201744471</v>
      </c>
      <c r="O98" s="44">
        <f>-'3.0 Plant in Service'!O94</f>
        <v>114056.75634620605</v>
      </c>
      <c r="P98" s="45">
        <f>SUM(C98:O98)</f>
        <v>556272.71</v>
      </c>
    </row>
    <row r="99" spans="2:16" x14ac:dyDescent="0.35">
      <c r="B99" s="8" t="s">
        <v>134</v>
      </c>
      <c r="C99" s="44">
        <f>P26</f>
        <v>390412.01000000007</v>
      </c>
      <c r="D99" s="44">
        <f>-'3.0 Plant in Service'!D95</f>
        <v>13920.699075574954</v>
      </c>
      <c r="E99" s="44">
        <f>-'3.0 Plant in Service'!E95</f>
        <v>9726.7310281905829</v>
      </c>
      <c r="F99" s="44">
        <f>-'3.0 Plant in Service'!F95</f>
        <v>5995.3760908477088</v>
      </c>
      <c r="G99" s="44">
        <f>-'3.0 Plant in Service'!G95</f>
        <v>14286.84987086611</v>
      </c>
      <c r="H99" s="44">
        <f>-'3.0 Plant in Service'!H95</f>
        <v>21330.138679792384</v>
      </c>
      <c r="I99" s="44">
        <f>-'3.0 Plant in Service'!I95</f>
        <v>32162.548412264143</v>
      </c>
      <c r="J99" s="44">
        <f>-'3.0 Plant in Service'!J95</f>
        <v>56110.765664551844</v>
      </c>
      <c r="K99" s="44">
        <f>-'3.0 Plant in Service'!K95</f>
        <v>23514.051427214676</v>
      </c>
      <c r="L99" s="44">
        <f>-'3.0 Plant in Service'!L95</f>
        <v>42480.748564683585</v>
      </c>
      <c r="M99" s="44">
        <f>-'3.0 Plant in Service'!M95</f>
        <v>26692.364387453785</v>
      </c>
      <c r="N99" s="44">
        <f>-'3.0 Plant in Service'!N95</f>
        <v>47655.24780919504</v>
      </c>
      <c r="O99" s="44">
        <f>-'3.0 Plant in Service'!O95</f>
        <v>38834.478989365198</v>
      </c>
      <c r="P99" s="45">
        <f>SUM(C99:O99)</f>
        <v>723122.01</v>
      </c>
    </row>
    <row r="100" spans="2:16" x14ac:dyDescent="0.35">
      <c r="B100" s="8" t="s">
        <v>135</v>
      </c>
      <c r="C100" s="44">
        <f>P27</f>
        <v>2792386.4394296333</v>
      </c>
      <c r="D100" s="44">
        <f>-'3.0 Plant in Service'!D96</f>
        <v>261131.07673132105</v>
      </c>
      <c r="E100" s="44">
        <f>-'3.0 Plant in Service'!E96</f>
        <v>272770.63943737978</v>
      </c>
      <c r="F100" s="44">
        <f>-'3.0 Plant in Service'!F96</f>
        <v>277541.40632934205</v>
      </c>
      <c r="G100" s="44">
        <f>-'3.0 Plant in Service'!G96</f>
        <v>437686.54688831879</v>
      </c>
      <c r="H100" s="44">
        <f>-'3.0 Plant in Service'!H96</f>
        <v>444461.42472238117</v>
      </c>
      <c r="I100" s="44">
        <f>-'3.0 Plant in Service'!I96</f>
        <v>507119.27730182611</v>
      </c>
      <c r="J100" s="44">
        <f>-'3.0 Plant in Service'!J96</f>
        <v>397350.93850979803</v>
      </c>
      <c r="K100" s="44">
        <f>-'3.0 Plant in Service'!K96</f>
        <v>290648.80179505283</v>
      </c>
      <c r="L100" s="44">
        <f>-'3.0 Plant in Service'!L96</f>
        <v>433456.48261251091</v>
      </c>
      <c r="M100" s="44">
        <f>-'3.0 Plant in Service'!M96</f>
        <v>452192.31972346077</v>
      </c>
      <c r="N100" s="44">
        <f>-'3.0 Plant in Service'!N96</f>
        <v>524944.83527071134</v>
      </c>
      <c r="O100" s="44">
        <f>-'3.0 Plant in Service'!O96</f>
        <v>546965.25067789725</v>
      </c>
      <c r="P100" s="45">
        <f>SUM(C100:O100)</f>
        <v>7638655.4394296333</v>
      </c>
    </row>
    <row r="101" spans="2:16" x14ac:dyDescent="0.35">
      <c r="B101" s="8" t="s">
        <v>136</v>
      </c>
      <c r="C101" s="44">
        <f>P28</f>
        <v>48230.770000000004</v>
      </c>
      <c r="D101" s="44">
        <f>-'3.0 Plant in Service'!D97</f>
        <v>1083.0268822244816</v>
      </c>
      <c r="E101" s="44">
        <f>-'3.0 Plant in Service'!E97</f>
        <v>1407.8098737096441</v>
      </c>
      <c r="F101" s="44">
        <f>-'3.0 Plant in Service'!F97</f>
        <v>1895.6328350574754</v>
      </c>
      <c r="G101" s="44">
        <f>-'3.0 Plant in Service'!G97</f>
        <v>3106.098602378177</v>
      </c>
      <c r="H101" s="44">
        <f>-'3.0 Plant in Service'!H97</f>
        <v>2789.4988054685391</v>
      </c>
      <c r="I101" s="44">
        <f>-'3.0 Plant in Service'!I97</f>
        <v>3262.1136766504192</v>
      </c>
      <c r="J101" s="44">
        <f>-'3.0 Plant in Service'!J97</f>
        <v>3153.1324736359516</v>
      </c>
      <c r="K101" s="44">
        <f>-'3.0 Plant in Service'!K97</f>
        <v>4519.7548530101176</v>
      </c>
      <c r="L101" s="44">
        <f>-'3.0 Plant in Service'!L97</f>
        <v>2821.4321866759965</v>
      </c>
      <c r="M101" s="44">
        <f>-'3.0 Plant in Service'!M97</f>
        <v>2426.5231699966289</v>
      </c>
      <c r="N101" s="44">
        <f>-'3.0 Plant in Service'!N97</f>
        <v>3076.4472412953423</v>
      </c>
      <c r="O101" s="44">
        <f>-'3.0 Plant in Service'!O97</f>
        <v>368.52939989722609</v>
      </c>
      <c r="P101" s="45">
        <f>SUM(C101:O101)</f>
        <v>78140.77</v>
      </c>
    </row>
    <row r="102" spans="2:16" x14ac:dyDescent="0.35">
      <c r="B102" s="8" t="s">
        <v>137</v>
      </c>
      <c r="C102" s="44">
        <f>P29</f>
        <v>6868.99</v>
      </c>
      <c r="D102" s="44">
        <f>-'3.0 Plant in Service'!D98</f>
        <v>180.82716869608441</v>
      </c>
      <c r="E102" s="44">
        <f>-'3.0 Plant in Service'!E98</f>
        <v>111.87649079163305</v>
      </c>
      <c r="F102" s="44">
        <f>-'3.0 Plant in Service'!F98</f>
        <v>135.42223561193455</v>
      </c>
      <c r="G102" s="44">
        <f>-'3.0 Plant in Service'!G98</f>
        <v>150.10353352433253</v>
      </c>
      <c r="H102" s="44">
        <f>-'3.0 Plant in Service'!H98</f>
        <v>252.63437805489215</v>
      </c>
      <c r="I102" s="44">
        <f>-'3.0 Plant in Service'!I98</f>
        <v>245.63339923034246</v>
      </c>
      <c r="J102" s="44">
        <f>-'3.0 Plant in Service'!J98</f>
        <v>857.52791201334753</v>
      </c>
      <c r="K102" s="44">
        <f>-'3.0 Plant in Service'!K98</f>
        <v>244.94698250596784</v>
      </c>
      <c r="L102" s="44">
        <f>-'3.0 Plant in Service'!L98</f>
        <v>309.5274216469432</v>
      </c>
      <c r="M102" s="44">
        <f>-'3.0 Plant in Service'!M98</f>
        <v>273.35892377927576</v>
      </c>
      <c r="N102" s="44">
        <f>-'3.0 Plant in Service'!N98</f>
        <v>428.96557714444043</v>
      </c>
      <c r="O102" s="44">
        <f>-'3.0 Plant in Service'!O98</f>
        <v>61.175977000806</v>
      </c>
      <c r="P102" s="45">
        <f>SUM(C102:O102)</f>
        <v>10120.990000000002</v>
      </c>
    </row>
    <row r="103" spans="2:16" x14ac:dyDescent="0.35">
      <c r="B103" s="8" t="s">
        <v>155</v>
      </c>
      <c r="C103" s="48"/>
      <c r="D103" s="48">
        <f t="shared" ref="D103:P103" si="17">SUM(D98:D102)</f>
        <v>287188.40363449906</v>
      </c>
      <c r="E103" s="48">
        <f t="shared" si="17"/>
        <v>284481.16960515705</v>
      </c>
      <c r="F103" s="48">
        <f t="shared" si="17"/>
        <v>286367.66099346435</v>
      </c>
      <c r="G103" s="48">
        <f t="shared" si="17"/>
        <v>461094.80931150191</v>
      </c>
      <c r="H103" s="48">
        <f t="shared" si="17"/>
        <v>477607.96786915162</v>
      </c>
      <c r="I103" s="48">
        <f t="shared" si="17"/>
        <v>544735.12009913439</v>
      </c>
      <c r="J103" s="48">
        <f t="shared" si="17"/>
        <v>464524.57016151439</v>
      </c>
      <c r="K103" s="48">
        <f t="shared" si="17"/>
        <v>320147.5009189003</v>
      </c>
      <c r="L103" s="48">
        <f t="shared" si="17"/>
        <v>524636.71092627512</v>
      </c>
      <c r="M103" s="48">
        <f t="shared" si="17"/>
        <v>527333.2739899446</v>
      </c>
      <c r="N103" s="48">
        <f t="shared" si="17"/>
        <v>604396.62110009068</v>
      </c>
      <c r="O103" s="48">
        <f t="shared" si="17"/>
        <v>700286.19139036653</v>
      </c>
      <c r="P103" s="48">
        <f t="shared" si="17"/>
        <v>9006311.9194296338</v>
      </c>
    </row>
    <row r="104" spans="2:16" x14ac:dyDescent="0.35">
      <c r="B104" s="8" t="s">
        <v>156</v>
      </c>
      <c r="C104" s="43">
        <f>SUM(C98:C103)</f>
        <v>3523511.9194296338</v>
      </c>
      <c r="D104" s="43">
        <f t="shared" ref="D104:O104" si="18">+D103+C104</f>
        <v>3810700.3230641326</v>
      </c>
      <c r="E104" s="43">
        <f t="shared" si="18"/>
        <v>4095181.4926692895</v>
      </c>
      <c r="F104" s="43">
        <f t="shared" si="18"/>
        <v>4381549.1536627542</v>
      </c>
      <c r="G104" s="43">
        <f t="shared" si="18"/>
        <v>4842643.9629742559</v>
      </c>
      <c r="H104" s="43">
        <f t="shared" si="18"/>
        <v>5320251.9308434073</v>
      </c>
      <c r="I104" s="43">
        <f t="shared" si="18"/>
        <v>5864987.050942542</v>
      </c>
      <c r="J104" s="43">
        <f t="shared" si="18"/>
        <v>6329511.621104056</v>
      </c>
      <c r="K104" s="43">
        <f t="shared" si="18"/>
        <v>6649659.1220229566</v>
      </c>
      <c r="L104" s="43">
        <f t="shared" si="18"/>
        <v>7174295.8329492314</v>
      </c>
      <c r="M104" s="43">
        <f t="shared" si="18"/>
        <v>7701629.1069391761</v>
      </c>
      <c r="N104" s="43">
        <f t="shared" si="18"/>
        <v>8306025.7280392665</v>
      </c>
      <c r="O104" s="43">
        <f t="shared" si="18"/>
        <v>9006311.9194296338</v>
      </c>
      <c r="P104" s="43"/>
    </row>
    <row r="106" spans="2:16" x14ac:dyDescent="0.35">
      <c r="B106" s="81" t="s">
        <v>52</v>
      </c>
    </row>
    <row r="107" spans="2:16" x14ac:dyDescent="0.35">
      <c r="B107" s="8" t="s">
        <v>243</v>
      </c>
      <c r="C107" s="44">
        <f>P34</f>
        <v>21572.41</v>
      </c>
      <c r="D107" s="44">
        <v>0</v>
      </c>
      <c r="E107" s="44">
        <v>4252.699619212679</v>
      </c>
      <c r="F107" s="44">
        <v>9.5400636083071486</v>
      </c>
      <c r="G107" s="44">
        <v>3069.406825401722</v>
      </c>
      <c r="H107" s="44">
        <v>381.61472832156863</v>
      </c>
      <c r="I107" s="44">
        <v>1257.6313737541047</v>
      </c>
      <c r="J107" s="44">
        <v>3331.7281146569626</v>
      </c>
      <c r="K107" s="44">
        <v>27.694207639440808</v>
      </c>
      <c r="L107" s="44">
        <v>11780.012318825358</v>
      </c>
      <c r="M107" s="44">
        <v>13082.236393615205</v>
      </c>
      <c r="N107" s="44">
        <v>11800.739304786455</v>
      </c>
      <c r="O107" s="44">
        <v>7757.6970501782007</v>
      </c>
      <c r="P107" s="45">
        <f>SUM(C107:O107)</f>
        <v>78323.41</v>
      </c>
    </row>
    <row r="108" spans="2:16" x14ac:dyDescent="0.35">
      <c r="B108" s="8" t="s">
        <v>244</v>
      </c>
      <c r="C108" s="44">
        <f>P35</f>
        <v>53762.03</v>
      </c>
      <c r="D108" s="44">
        <v>1880.905165198925</v>
      </c>
      <c r="E108" s="44">
        <v>328.36116507061615</v>
      </c>
      <c r="F108" s="44">
        <v>2508.239933957017</v>
      </c>
      <c r="G108" s="44">
        <v>7484.3552921169467</v>
      </c>
      <c r="H108" s="44">
        <v>2964.3256306984981</v>
      </c>
      <c r="I108" s="44">
        <v>9306.3479419151718</v>
      </c>
      <c r="J108" s="44">
        <v>2422.6226291399967</v>
      </c>
      <c r="K108" s="44">
        <v>11474.302476372244</v>
      </c>
      <c r="L108" s="44">
        <v>120367.16440580857</v>
      </c>
      <c r="M108" s="44">
        <v>2335.4079322651901</v>
      </c>
      <c r="N108" s="44">
        <v>3436.1354401492945</v>
      </c>
      <c r="O108" s="44">
        <v>2970.8319873074929</v>
      </c>
      <c r="P108" s="45">
        <f>SUM(C108:O108)</f>
        <v>221241.02999999994</v>
      </c>
    </row>
    <row r="109" spans="2:16" x14ac:dyDescent="0.35">
      <c r="B109" s="8" t="s">
        <v>220</v>
      </c>
      <c r="C109" s="44">
        <f>P36</f>
        <v>1976062.2395919999</v>
      </c>
      <c r="D109" s="44">
        <v>458078.02094274305</v>
      </c>
      <c r="E109" s="44">
        <v>112045.92518846538</v>
      </c>
      <c r="F109" s="44">
        <v>148463.57338592375</v>
      </c>
      <c r="G109" s="44">
        <v>153311.55268959142</v>
      </c>
      <c r="H109" s="44">
        <v>205134.47447921877</v>
      </c>
      <c r="I109" s="44">
        <v>198956.40412902832</v>
      </c>
      <c r="J109" s="44">
        <v>175243.06639599765</v>
      </c>
      <c r="K109" s="44">
        <v>221185.27436054777</v>
      </c>
      <c r="L109" s="44">
        <v>215452.50898139496</v>
      </c>
      <c r="M109" s="44">
        <v>289256.14786730788</v>
      </c>
      <c r="N109" s="44">
        <v>264217.21450967807</v>
      </c>
      <c r="O109" s="44">
        <v>194932.83707010309</v>
      </c>
      <c r="P109" s="45">
        <f>SUM(C109:O109)</f>
        <v>4612339.2395919999</v>
      </c>
    </row>
    <row r="110" spans="2:16" x14ac:dyDescent="0.35">
      <c r="B110" s="8" t="s">
        <v>136</v>
      </c>
      <c r="C110" s="44">
        <f>P37</f>
        <v>0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5">
        <f>SUM(C110:O110)</f>
        <v>0</v>
      </c>
    </row>
    <row r="111" spans="2:16" x14ac:dyDescent="0.35">
      <c r="B111" s="8" t="s">
        <v>137</v>
      </c>
      <c r="C111" s="44">
        <f>P38</f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5">
        <f>SUM(C111:O111)</f>
        <v>0</v>
      </c>
    </row>
    <row r="112" spans="2:16" x14ac:dyDescent="0.35">
      <c r="B112" s="8" t="s">
        <v>160</v>
      </c>
      <c r="C112" s="48"/>
      <c r="D112" s="48">
        <f t="shared" ref="D112:P112" si="19">SUM(D107:D111)</f>
        <v>459958.92610794195</v>
      </c>
      <c r="E112" s="48">
        <f t="shared" si="19"/>
        <v>116626.98597274868</v>
      </c>
      <c r="F112" s="48">
        <f t="shared" si="19"/>
        <v>150981.35338348907</v>
      </c>
      <c r="G112" s="48">
        <f t="shared" si="19"/>
        <v>163865.31480711009</v>
      </c>
      <c r="H112" s="48">
        <f t="shared" si="19"/>
        <v>208480.41483823882</v>
      </c>
      <c r="I112" s="48">
        <f t="shared" si="19"/>
        <v>209520.3834446976</v>
      </c>
      <c r="J112" s="48">
        <f t="shared" si="19"/>
        <v>180997.41713979462</v>
      </c>
      <c r="K112" s="48">
        <f t="shared" si="19"/>
        <v>232687.27104455946</v>
      </c>
      <c r="L112" s="48">
        <f t="shared" si="19"/>
        <v>347599.68570602889</v>
      </c>
      <c r="M112" s="48">
        <f t="shared" si="19"/>
        <v>304673.79219318827</v>
      </c>
      <c r="N112" s="48">
        <f t="shared" si="19"/>
        <v>279454.08925461385</v>
      </c>
      <c r="O112" s="48">
        <f t="shared" si="19"/>
        <v>205661.36610758878</v>
      </c>
      <c r="P112" s="48">
        <f t="shared" si="19"/>
        <v>4911903.6795920003</v>
      </c>
    </row>
    <row r="113" spans="2:17" x14ac:dyDescent="0.35">
      <c r="B113" s="8" t="s">
        <v>161</v>
      </c>
      <c r="C113" s="43">
        <f>SUM(C107:C112)</f>
        <v>2051396.6795919999</v>
      </c>
      <c r="D113" s="43">
        <f t="shared" ref="D113:O113" si="20">+D112+C113</f>
        <v>2511355.605699942</v>
      </c>
      <c r="E113" s="43">
        <f t="shared" si="20"/>
        <v>2627982.5916726906</v>
      </c>
      <c r="F113" s="43">
        <f t="shared" si="20"/>
        <v>2778963.9450561795</v>
      </c>
      <c r="G113" s="43">
        <f t="shared" si="20"/>
        <v>2942829.2598632895</v>
      </c>
      <c r="H113" s="43">
        <f t="shared" si="20"/>
        <v>3151309.6747015282</v>
      </c>
      <c r="I113" s="43">
        <f t="shared" si="20"/>
        <v>3360830.0581462258</v>
      </c>
      <c r="J113" s="43">
        <f t="shared" si="20"/>
        <v>3541827.4752860204</v>
      </c>
      <c r="K113" s="43">
        <f t="shared" si="20"/>
        <v>3774514.7463305797</v>
      </c>
      <c r="L113" s="43">
        <f t="shared" si="20"/>
        <v>4122114.4320366085</v>
      </c>
      <c r="M113" s="43">
        <f t="shared" si="20"/>
        <v>4426788.2242297968</v>
      </c>
      <c r="N113" s="43">
        <f t="shared" si="20"/>
        <v>4706242.3134844108</v>
      </c>
      <c r="O113" s="43">
        <f t="shared" si="20"/>
        <v>4911903.6795919994</v>
      </c>
      <c r="P113" s="43"/>
    </row>
    <row r="115" spans="2:17" x14ac:dyDescent="0.35">
      <c r="B115" s="81" t="s">
        <v>170</v>
      </c>
    </row>
    <row r="116" spans="2:17" x14ac:dyDescent="0.35">
      <c r="B116" s="8" t="s">
        <v>133</v>
      </c>
      <c r="C116" s="83">
        <f>P43</f>
        <v>86818.998000000007</v>
      </c>
      <c r="D116" s="83">
        <f>+D89+D98+D107</f>
        <v>-34555.64722331753</v>
      </c>
      <c r="E116" s="83">
        <f t="shared" ref="E116:O116" si="21">+E89+E98+E107</f>
        <v>-42062.41060570188</v>
      </c>
      <c r="F116" s="83">
        <f t="shared" si="21"/>
        <v>-47607.92543378647</v>
      </c>
      <c r="G116" s="83">
        <f t="shared" si="21"/>
        <v>-41481.827758183732</v>
      </c>
      <c r="H116" s="83">
        <f t="shared" si="21"/>
        <v>-43280.702988223813</v>
      </c>
      <c r="I116" s="83">
        <f t="shared" si="21"/>
        <v>-51816.010317082524</v>
      </c>
      <c r="J116" s="83">
        <f t="shared" si="21"/>
        <v>-46838.781283827826</v>
      </c>
      <c r="K116" s="83">
        <f t="shared" si="21"/>
        <v>-57655.936931243814</v>
      </c>
      <c r="L116" s="83">
        <f t="shared" si="21"/>
        <v>-4363.7605404169644</v>
      </c>
      <c r="M116" s="83">
        <f t="shared" si="21"/>
        <v>-7319.0028211306253</v>
      </c>
      <c r="N116" s="83">
        <f t="shared" si="21"/>
        <v>-29800.887493469068</v>
      </c>
      <c r="O116" s="83">
        <f t="shared" si="21"/>
        <v>48345.311396384255</v>
      </c>
      <c r="P116" s="45">
        <f>SUM(C116:O116)</f>
        <v>-271618.58399999997</v>
      </c>
    </row>
    <row r="117" spans="2:17" x14ac:dyDescent="0.35">
      <c r="B117" s="8" t="s">
        <v>134</v>
      </c>
      <c r="C117" s="83">
        <f>P44</f>
        <v>448462.97200000007</v>
      </c>
      <c r="D117" s="83">
        <f t="shared" ref="D117:O117" si="22">+D90+D99+D108</f>
        <v>16591.709240773878</v>
      </c>
      <c r="E117" s="83">
        <f t="shared" si="22"/>
        <v>10760.098193261198</v>
      </c>
      <c r="F117" s="83">
        <f t="shared" si="22"/>
        <v>9023.1510248047252</v>
      </c>
      <c r="G117" s="83">
        <f t="shared" si="22"/>
        <v>22071.052162983055</v>
      </c>
      <c r="H117" s="83">
        <f t="shared" si="22"/>
        <v>24136.684310490884</v>
      </c>
      <c r="I117" s="83">
        <f t="shared" si="22"/>
        <v>40960.304354179316</v>
      </c>
      <c r="J117" s="83">
        <f t="shared" si="22"/>
        <v>57823.188293691841</v>
      </c>
      <c r="K117" s="83">
        <f t="shared" si="22"/>
        <v>34064.887903586918</v>
      </c>
      <c r="L117" s="83">
        <f t="shared" si="22"/>
        <v>161915.58797049214</v>
      </c>
      <c r="M117" s="83">
        <f t="shared" si="22"/>
        <v>28066.338319718972</v>
      </c>
      <c r="N117" s="83">
        <f t="shared" si="22"/>
        <v>50086.827249344336</v>
      </c>
      <c r="O117" s="83">
        <f t="shared" si="22"/>
        <v>40658.468976672695</v>
      </c>
      <c r="P117" s="45">
        <f>SUM(C117:O117)</f>
        <v>944621.27</v>
      </c>
    </row>
    <row r="118" spans="2:17" x14ac:dyDescent="0.35">
      <c r="B118" s="8" t="s">
        <v>135</v>
      </c>
      <c r="C118" s="83">
        <f>P45</f>
        <v>4567164.746021634</v>
      </c>
      <c r="D118" s="83">
        <f t="shared" ref="D118:O118" si="23">+D91+D100+D109</f>
        <v>684338.70867406414</v>
      </c>
      <c r="E118" s="83">
        <f t="shared" si="23"/>
        <v>347227.37462584517</v>
      </c>
      <c r="F118" s="83">
        <f t="shared" si="23"/>
        <v>385155.84271526581</v>
      </c>
      <c r="G118" s="83">
        <f t="shared" si="23"/>
        <v>546335.99057791021</v>
      </c>
      <c r="H118" s="83">
        <f t="shared" si="23"/>
        <v>600954.98320159991</v>
      </c>
      <c r="I118" s="83">
        <f t="shared" si="23"/>
        <v>653569.09243085445</v>
      </c>
      <c r="J118" s="83">
        <f t="shared" si="23"/>
        <v>516885.72990579566</v>
      </c>
      <c r="K118" s="83">
        <f t="shared" si="23"/>
        <v>452438.47715560062</v>
      </c>
      <c r="L118" s="83">
        <f t="shared" si="23"/>
        <v>585303.19659390592</v>
      </c>
      <c r="M118" s="83">
        <f t="shared" si="23"/>
        <v>674555.80059076869</v>
      </c>
      <c r="N118" s="83">
        <f t="shared" si="23"/>
        <v>719764.94378038938</v>
      </c>
      <c r="O118" s="83">
        <f t="shared" si="23"/>
        <v>670188.16774800036</v>
      </c>
      <c r="P118" s="45">
        <f>SUM(C118:O118)</f>
        <v>11403883.054021632</v>
      </c>
    </row>
    <row r="119" spans="2:17" x14ac:dyDescent="0.35">
      <c r="B119" s="8" t="s">
        <v>136</v>
      </c>
      <c r="C119" s="83">
        <f>P46</f>
        <v>48148.223000000005</v>
      </c>
      <c r="D119" s="83">
        <f t="shared" ref="D119:O119" si="24">+D92+D101+D110</f>
        <v>1019.2038822244816</v>
      </c>
      <c r="E119" s="83">
        <f t="shared" si="24"/>
        <v>1326.4918737096441</v>
      </c>
      <c r="F119" s="83">
        <f t="shared" si="24"/>
        <v>1799.4558350574755</v>
      </c>
      <c r="G119" s="83">
        <f t="shared" si="24"/>
        <v>2997.0536023781769</v>
      </c>
      <c r="H119" s="83">
        <f t="shared" si="24"/>
        <v>2670.3478054685393</v>
      </c>
      <c r="I119" s="83">
        <f t="shared" si="24"/>
        <v>3131.0086766504191</v>
      </c>
      <c r="J119" s="83">
        <f t="shared" si="24"/>
        <v>3005.2004736359518</v>
      </c>
      <c r="K119" s="83">
        <f t="shared" si="24"/>
        <v>4345.1848530101179</v>
      </c>
      <c r="L119" s="83">
        <f t="shared" si="24"/>
        <v>2606.6031866759963</v>
      </c>
      <c r="M119" s="83">
        <f t="shared" si="24"/>
        <v>2165.9931699966291</v>
      </c>
      <c r="N119" s="83">
        <f t="shared" si="24"/>
        <v>2785.7942412953425</v>
      </c>
      <c r="O119" s="83">
        <f t="shared" si="24"/>
        <v>50.686399897226067</v>
      </c>
      <c r="P119" s="45">
        <f>SUM(C119:O119)</f>
        <v>76051.247000000003</v>
      </c>
    </row>
    <row r="120" spans="2:17" x14ac:dyDescent="0.35">
      <c r="B120" s="8" t="s">
        <v>137</v>
      </c>
      <c r="C120" s="83">
        <f>P47</f>
        <v>6922.5419999999995</v>
      </c>
      <c r="D120" s="83">
        <f t="shared" ref="D120:O120" si="25">+D93+D102+D111</f>
        <v>173.0561686960844</v>
      </c>
      <c r="E120" s="83">
        <f t="shared" si="25"/>
        <v>71.72849079163305</v>
      </c>
      <c r="F120" s="83">
        <f t="shared" si="25"/>
        <v>70.092235611934555</v>
      </c>
      <c r="G120" s="83">
        <f t="shared" si="25"/>
        <v>66.811533524332532</v>
      </c>
      <c r="H120" s="83">
        <f t="shared" si="25"/>
        <v>156.04437805489215</v>
      </c>
      <c r="I120" s="83">
        <f t="shared" si="25"/>
        <v>136.85139923034245</v>
      </c>
      <c r="J120" s="83">
        <f t="shared" si="25"/>
        <v>736.07691201334751</v>
      </c>
      <c r="K120" s="83">
        <f t="shared" si="25"/>
        <v>112.26598250596783</v>
      </c>
      <c r="L120" s="83">
        <f t="shared" si="25"/>
        <v>158.9814216469432</v>
      </c>
      <c r="M120" s="83">
        <f t="shared" si="25"/>
        <v>100.06492377927574</v>
      </c>
      <c r="N120" s="83">
        <f t="shared" si="25"/>
        <v>232.95357714444043</v>
      </c>
      <c r="O120" s="83">
        <f t="shared" si="25"/>
        <v>-159.45702299919401</v>
      </c>
      <c r="P120" s="45">
        <f>SUM(C120:O120)</f>
        <v>8778.0120000000006</v>
      </c>
    </row>
    <row r="121" spans="2:17" x14ac:dyDescent="0.35">
      <c r="B121" s="8" t="s">
        <v>171</v>
      </c>
      <c r="C121" s="48"/>
      <c r="D121" s="48">
        <f t="shared" ref="D121:P121" si="26">SUM(D116:D120)</f>
        <v>667567.03074244107</v>
      </c>
      <c r="E121" s="48">
        <f t="shared" si="26"/>
        <v>317323.2825779058</v>
      </c>
      <c r="F121" s="48">
        <f t="shared" si="26"/>
        <v>348440.61637695349</v>
      </c>
      <c r="G121" s="48">
        <f t="shared" si="26"/>
        <v>529989.08011861204</v>
      </c>
      <c r="H121" s="48">
        <f t="shared" si="26"/>
        <v>584637.3567073904</v>
      </c>
      <c r="I121" s="48">
        <f t="shared" si="26"/>
        <v>645981.24654383201</v>
      </c>
      <c r="J121" s="48">
        <f t="shared" si="26"/>
        <v>531611.41430130892</v>
      </c>
      <c r="K121" s="48">
        <f t="shared" si="26"/>
        <v>433304.87896345981</v>
      </c>
      <c r="L121" s="48">
        <f t="shared" si="26"/>
        <v>745620.60863230401</v>
      </c>
      <c r="M121" s="48">
        <f t="shared" si="26"/>
        <v>697569.19418313296</v>
      </c>
      <c r="N121" s="48">
        <f t="shared" si="26"/>
        <v>743069.63135470438</v>
      </c>
      <c r="O121" s="48">
        <f t="shared" si="26"/>
        <v>759083.17749795539</v>
      </c>
      <c r="P121" s="48">
        <f t="shared" si="26"/>
        <v>12161714.999021633</v>
      </c>
    </row>
    <row r="122" spans="2:17" x14ac:dyDescent="0.35">
      <c r="B122" s="8" t="s">
        <v>172</v>
      </c>
      <c r="C122" s="43">
        <f>SUM(C116:C121)</f>
        <v>5157517.4810216343</v>
      </c>
      <c r="D122" s="43">
        <f t="shared" ref="D122:O122" si="27">+D121+C122</f>
        <v>5825084.5117640756</v>
      </c>
      <c r="E122" s="43">
        <f t="shared" si="27"/>
        <v>6142407.7943419814</v>
      </c>
      <c r="F122" s="43">
        <f t="shared" si="27"/>
        <v>6490848.4107189346</v>
      </c>
      <c r="G122" s="43">
        <f t="shared" si="27"/>
        <v>7020837.490837547</v>
      </c>
      <c r="H122" s="43">
        <f t="shared" si="27"/>
        <v>7605474.8475449374</v>
      </c>
      <c r="I122" s="43">
        <f t="shared" si="27"/>
        <v>8251456.0940887695</v>
      </c>
      <c r="J122" s="43">
        <f t="shared" si="27"/>
        <v>8783067.5083900783</v>
      </c>
      <c r="K122" s="43">
        <f t="shared" si="27"/>
        <v>9216372.3873535376</v>
      </c>
      <c r="L122" s="43">
        <f t="shared" si="27"/>
        <v>9961992.9959858414</v>
      </c>
      <c r="M122" s="43">
        <f t="shared" si="27"/>
        <v>10659562.190168975</v>
      </c>
      <c r="N122" s="43">
        <f t="shared" si="27"/>
        <v>11402631.821523679</v>
      </c>
      <c r="O122" s="43">
        <f t="shared" si="27"/>
        <v>12161714.999021634</v>
      </c>
      <c r="P122" s="43"/>
      <c r="Q122" s="45">
        <f>AVERAGE(C122:O122)</f>
        <v>8359920.6563662793</v>
      </c>
    </row>
    <row r="147" spans="1:17" x14ac:dyDescent="0.35">
      <c r="Q147" s="9" t="str">
        <f>Q74</f>
        <v>Case No. 2024-00328</v>
      </c>
    </row>
    <row r="148" spans="1:17" x14ac:dyDescent="0.35">
      <c r="N148" s="9"/>
      <c r="Q148" s="9" t="str">
        <f>+Q75</f>
        <v>SMRP Form 4.0</v>
      </c>
    </row>
    <row r="149" spans="1:17" x14ac:dyDescent="0.35">
      <c r="N149" s="9"/>
      <c r="Q149" s="9" t="s">
        <v>211</v>
      </c>
    </row>
    <row r="150" spans="1:17" x14ac:dyDescent="0.35">
      <c r="A150" s="138" t="s">
        <v>12</v>
      </c>
      <c r="B150" s="138"/>
      <c r="C150" s="138"/>
      <c r="D150" s="138"/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</row>
    <row r="151" spans="1:17" x14ac:dyDescent="0.35">
      <c r="A151" s="138" t="s">
        <v>109</v>
      </c>
      <c r="B151" s="138"/>
      <c r="C151" s="138"/>
      <c r="D151" s="138"/>
      <c r="E151" s="138"/>
      <c r="F151" s="138"/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</row>
    <row r="152" spans="1:17" x14ac:dyDescent="0.35">
      <c r="A152" s="138" t="s">
        <v>277</v>
      </c>
      <c r="B152" s="138"/>
      <c r="C152" s="138"/>
      <c r="D152" s="138"/>
      <c r="E152" s="138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</row>
    <row r="157" spans="1:17" x14ac:dyDescent="0.35">
      <c r="C157" s="10">
        <f>+P84</f>
        <v>2024</v>
      </c>
      <c r="D157" s="10">
        <f>+C157+1</f>
        <v>2025</v>
      </c>
      <c r="E157" s="10">
        <f>+D157</f>
        <v>2025</v>
      </c>
      <c r="F157" s="10">
        <f t="shared" ref="F157:P157" si="28">+E157</f>
        <v>2025</v>
      </c>
      <c r="G157" s="10">
        <f t="shared" si="28"/>
        <v>2025</v>
      </c>
      <c r="H157" s="10">
        <f t="shared" si="28"/>
        <v>2025</v>
      </c>
      <c r="I157" s="10">
        <f t="shared" si="28"/>
        <v>2025</v>
      </c>
      <c r="J157" s="10">
        <f t="shared" si="28"/>
        <v>2025</v>
      </c>
      <c r="K157" s="10">
        <f t="shared" si="28"/>
        <v>2025</v>
      </c>
      <c r="L157" s="10">
        <f t="shared" si="28"/>
        <v>2025</v>
      </c>
      <c r="M157" s="10">
        <f t="shared" si="28"/>
        <v>2025</v>
      </c>
      <c r="N157" s="10">
        <f t="shared" si="28"/>
        <v>2025</v>
      </c>
      <c r="O157" s="10">
        <f t="shared" si="28"/>
        <v>2025</v>
      </c>
      <c r="P157" s="10">
        <f t="shared" si="28"/>
        <v>2025</v>
      </c>
      <c r="Q157" s="10">
        <f>+P157</f>
        <v>2025</v>
      </c>
    </row>
    <row r="158" spans="1:17" x14ac:dyDescent="0.35">
      <c r="C158" s="10" t="s">
        <v>140</v>
      </c>
      <c r="D158" s="10" t="s">
        <v>141</v>
      </c>
      <c r="E158" s="10" t="s">
        <v>142</v>
      </c>
      <c r="F158" s="10" t="s">
        <v>143</v>
      </c>
      <c r="G158" s="10" t="s">
        <v>144</v>
      </c>
      <c r="H158" s="10" t="s">
        <v>81</v>
      </c>
      <c r="I158" s="10" t="s">
        <v>145</v>
      </c>
      <c r="J158" s="10" t="s">
        <v>146</v>
      </c>
      <c r="K158" s="10" t="s">
        <v>147</v>
      </c>
      <c r="L158" s="10" t="s">
        <v>148</v>
      </c>
      <c r="M158" s="10" t="s">
        <v>149</v>
      </c>
      <c r="N158" s="10" t="s">
        <v>150</v>
      </c>
      <c r="O158" s="10" t="s">
        <v>140</v>
      </c>
      <c r="P158" s="10" t="s">
        <v>151</v>
      </c>
      <c r="Q158" s="10" t="s">
        <v>152</v>
      </c>
    </row>
    <row r="159" spans="1:17" x14ac:dyDescent="0.35">
      <c r="C159" s="10" t="s">
        <v>92</v>
      </c>
      <c r="D159" s="10" t="s">
        <v>201</v>
      </c>
      <c r="E159" s="10" t="s">
        <v>201</v>
      </c>
      <c r="F159" s="10" t="s">
        <v>201</v>
      </c>
      <c r="G159" s="10" t="s">
        <v>201</v>
      </c>
      <c r="H159" s="10" t="s">
        <v>201</v>
      </c>
      <c r="I159" s="10" t="s">
        <v>201</v>
      </c>
      <c r="J159" s="10" t="s">
        <v>201</v>
      </c>
      <c r="K159" s="10" t="s">
        <v>201</v>
      </c>
      <c r="L159" s="10" t="s">
        <v>201</v>
      </c>
      <c r="M159" s="10" t="s">
        <v>201</v>
      </c>
      <c r="N159" s="10" t="s">
        <v>201</v>
      </c>
      <c r="O159" s="10" t="s">
        <v>201</v>
      </c>
      <c r="P159" s="11"/>
      <c r="Q159" s="11"/>
    </row>
    <row r="161" spans="2:16" x14ac:dyDescent="0.35">
      <c r="B161" s="81" t="s">
        <v>118</v>
      </c>
    </row>
    <row r="162" spans="2:16" x14ac:dyDescent="0.35">
      <c r="B162" s="8" t="s">
        <v>133</v>
      </c>
      <c r="C162" s="44">
        <f>+P89</f>
        <v>-906214.70400000003</v>
      </c>
      <c r="D162" s="44">
        <f>'5.0 Depr Expense'!E166*-1</f>
        <v>-78422.115999999995</v>
      </c>
      <c r="E162" s="44">
        <f>'5.0 Depr Expense'!F166*-1</f>
        <v>-79058.58</v>
      </c>
      <c r="F162" s="44">
        <f>'5.0 Depr Expense'!G166*-1</f>
        <v>-82302.906000000003</v>
      </c>
      <c r="G162" s="44">
        <f>'5.0 Depr Expense'!H166*-1</f>
        <v>-85511.395999999993</v>
      </c>
      <c r="H162" s="44">
        <f>'5.0 Depr Expense'!I166*-1</f>
        <v>-88085.040999999997</v>
      </c>
      <c r="I162" s="44">
        <f>'5.0 Depr Expense'!J166*-1</f>
        <v>-92725.532999999996</v>
      </c>
      <c r="J162" s="44">
        <f>'5.0 Depr Expense'!K166*-1</f>
        <v>-97457.354000000007</v>
      </c>
      <c r="K162" s="44">
        <f>'5.0 Depr Expense'!L166*-1</f>
        <v>-100488.25599999999</v>
      </c>
      <c r="L162" s="44">
        <f>'5.0 Depr Expense'!M166*-1</f>
        <v>-104611.174</v>
      </c>
      <c r="M162" s="44">
        <f>'5.0 Depr Expense'!N166*-1</f>
        <v>-108691.295</v>
      </c>
      <c r="N162" s="44">
        <f>'5.0 Depr Expense'!O166*-1</f>
        <v>-111933.446</v>
      </c>
      <c r="O162" s="44">
        <f>'5.0 Depr Expense'!P166*-1</f>
        <v>-117126.067</v>
      </c>
      <c r="P162" s="45">
        <f>SUM(C162:O162)</f>
        <v>-2052627.868</v>
      </c>
    </row>
    <row r="163" spans="2:16" x14ac:dyDescent="0.35">
      <c r="B163" s="8" t="s">
        <v>134</v>
      </c>
      <c r="C163" s="44">
        <f>+P90</f>
        <v>258.23000000000047</v>
      </c>
      <c r="D163" s="44">
        <f>'5.0 Depr Expense'!E176*-1</f>
        <v>-1643.5509999999999</v>
      </c>
      <c r="E163" s="44">
        <f>'5.0 Depr Expense'!F176*-1</f>
        <v>-1624.597</v>
      </c>
      <c r="F163" s="44">
        <f>'5.0 Depr Expense'!G176*-1</f>
        <v>-1593.2170000000001</v>
      </c>
      <c r="G163" s="44">
        <f>'5.0 Depr Expense'!H176*-1</f>
        <v>-1566.683</v>
      </c>
      <c r="H163" s="44">
        <f>'5.0 Depr Expense'!I176*-1</f>
        <v>-1550.8869999999999</v>
      </c>
      <c r="I163" s="44">
        <f>'5.0 Depr Expense'!J176*-1</f>
        <v>-1402.0039999999999</v>
      </c>
      <c r="J163" s="44">
        <f>'5.0 Depr Expense'!K176*-1</f>
        <v>-1140.633</v>
      </c>
      <c r="K163" s="44">
        <f>'5.0 Depr Expense'!L176*-1</f>
        <v>-914.27800000000002</v>
      </c>
      <c r="L163" s="44">
        <f>'5.0 Depr Expense'!M176*-1</f>
        <v>-753.49800000000005</v>
      </c>
      <c r="M163" s="44">
        <f>'5.0 Depr Expense'!N176*-1</f>
        <v>-695</v>
      </c>
      <c r="N163" s="44">
        <f>'5.0 Depr Expense'!O176*-1</f>
        <v>-694.3</v>
      </c>
      <c r="O163" s="44">
        <f>'5.0 Depr Expense'!P176*-1</f>
        <v>-635.90800000000002</v>
      </c>
      <c r="P163" s="45">
        <f>SUM(C163:O163)</f>
        <v>-13956.325999999997</v>
      </c>
    </row>
    <row r="164" spans="2:16" x14ac:dyDescent="0.35">
      <c r="B164" s="8" t="s">
        <v>135</v>
      </c>
      <c r="C164" s="44">
        <f>+P91</f>
        <v>-847111.62500000012</v>
      </c>
      <c r="D164" s="44">
        <f>'5.0 Depr Expense'!E186*-1</f>
        <v>-96344.135999999999</v>
      </c>
      <c r="E164" s="44">
        <f>'5.0 Depr Expense'!F186*-1</f>
        <v>-100288.933</v>
      </c>
      <c r="F164" s="44">
        <f>'5.0 Depr Expense'!G186*-1</f>
        <v>-105116.2</v>
      </c>
      <c r="G164" s="44">
        <f>'5.0 Depr Expense'!H186*-1</f>
        <v>-109874.04</v>
      </c>
      <c r="H164" s="44">
        <f>'5.0 Depr Expense'!I186*-1</f>
        <v>-114805.397</v>
      </c>
      <c r="I164" s="44">
        <f>'5.0 Depr Expense'!J186*-1</f>
        <v>-119420.318</v>
      </c>
      <c r="J164" s="44">
        <f>'5.0 Depr Expense'!K186*-1</f>
        <v>-123360.12300000001</v>
      </c>
      <c r="K164" s="44">
        <f>'5.0 Depr Expense'!L186*-1</f>
        <v>-128171.60800000001</v>
      </c>
      <c r="L164" s="44">
        <f>'5.0 Depr Expense'!M186*-1</f>
        <v>-133222.37400000001</v>
      </c>
      <c r="M164" s="44">
        <f>'5.0 Depr Expense'!N186*-1</f>
        <v>-138941.946</v>
      </c>
      <c r="N164" s="44">
        <f>'5.0 Depr Expense'!O186*-1</f>
        <v>-144082.326</v>
      </c>
      <c r="O164" s="44">
        <f>'5.0 Depr Expense'!P186*-1</f>
        <v>-147085.93799999999</v>
      </c>
      <c r="P164" s="45">
        <f>SUM(C164:O164)</f>
        <v>-2307824.9640000002</v>
      </c>
    </row>
    <row r="165" spans="2:16" x14ac:dyDescent="0.35">
      <c r="B165" s="8" t="s">
        <v>136</v>
      </c>
      <c r="C165" s="44">
        <f>+P92</f>
        <v>-2089.5230000000001</v>
      </c>
      <c r="D165" s="44">
        <f>'5.0 Depr Expense'!E196*-1</f>
        <v>-438.10500000000002</v>
      </c>
      <c r="E165" s="44">
        <f>'5.0 Depr Expense'!F196*-1</f>
        <v>-440.50400000000002</v>
      </c>
      <c r="F165" s="44">
        <f>'5.0 Depr Expense'!G196*-1</f>
        <v>-440.44299999999998</v>
      </c>
      <c r="G165" s="44">
        <f>'5.0 Depr Expense'!H196*-1</f>
        <v>-437.67599999999999</v>
      </c>
      <c r="H165" s="44">
        <f>'5.0 Depr Expense'!I196*-1</f>
        <v>-438.49700000000001</v>
      </c>
      <c r="I165" s="44">
        <f>'5.0 Depr Expense'!J196*-1</f>
        <v>-452.12099999999998</v>
      </c>
      <c r="J165" s="44">
        <f>'5.0 Depr Expense'!K196*-1</f>
        <v>-475.68700000000001</v>
      </c>
      <c r="K165" s="44">
        <f>'5.0 Depr Expense'!L196*-1</f>
        <v>-536.06200000000001</v>
      </c>
      <c r="L165" s="44">
        <f>'5.0 Depr Expense'!M196*-1</f>
        <v>-593.18899999999996</v>
      </c>
      <c r="M165" s="44">
        <f>'5.0 Depr Expense'!N196*-1</f>
        <v>-649.70299999999997</v>
      </c>
      <c r="N165" s="44">
        <f>'5.0 Depr Expense'!O196*-1</f>
        <v>-730.09</v>
      </c>
      <c r="O165" s="44">
        <f>'5.0 Depr Expense'!P196*-1</f>
        <v>-791.80700000000002</v>
      </c>
      <c r="P165" s="45">
        <f>SUM(C165:O165)</f>
        <v>-8513.4070000000011</v>
      </c>
    </row>
    <row r="166" spans="2:16" x14ac:dyDescent="0.35">
      <c r="B166" s="8" t="s">
        <v>137</v>
      </c>
      <c r="C166" s="44">
        <f>+P93</f>
        <v>-1342.9780000000001</v>
      </c>
      <c r="D166" s="44">
        <f>'5.0 Depr Expense'!E206*-1</f>
        <v>-270.94200000000001</v>
      </c>
      <c r="E166" s="44">
        <f>'5.0 Depr Expense'!F206*-1</f>
        <v>-273.78699999999998</v>
      </c>
      <c r="F166" s="44">
        <f>'5.0 Depr Expense'!G206*-1</f>
        <v>-275.16399999999999</v>
      </c>
      <c r="G166" s="44">
        <f>'5.0 Depr Expense'!H206*-1</f>
        <v>-278.55200000000002</v>
      </c>
      <c r="H166" s="44">
        <f>'5.0 Depr Expense'!I206*-1</f>
        <v>-283.98200000000003</v>
      </c>
      <c r="I166" s="44">
        <f>'5.0 Depr Expense'!J206*-1</f>
        <v>-297.41199999999998</v>
      </c>
      <c r="J166" s="44">
        <f>'5.0 Depr Expense'!K206*-1</f>
        <v>-315.60399999999998</v>
      </c>
      <c r="K166" s="44">
        <f>'5.0 Depr Expense'!L206*-1</f>
        <v>-364.27100000000002</v>
      </c>
      <c r="L166" s="44">
        <f>'5.0 Depr Expense'!M206*-1</f>
        <v>-411.14699999999999</v>
      </c>
      <c r="M166" s="44">
        <f>'5.0 Depr Expense'!N206*-1</f>
        <v>-454.01299999999998</v>
      </c>
      <c r="N166" s="44">
        <f>'5.0 Depr Expense'!O206*-1</f>
        <v>-513.38499999999999</v>
      </c>
      <c r="O166" s="44">
        <f>'5.0 Depr Expense'!P206*-1</f>
        <v>-559.49699999999996</v>
      </c>
      <c r="P166" s="45">
        <f>SUM(C166:O166)</f>
        <v>-5640.7340000000004</v>
      </c>
    </row>
    <row r="167" spans="2:16" x14ac:dyDescent="0.35">
      <c r="B167" s="8" t="s">
        <v>158</v>
      </c>
      <c r="C167" s="48"/>
      <c r="D167" s="48">
        <f t="shared" ref="D167:P167" si="29">SUM(D162:D166)</f>
        <v>-177118.85000000003</v>
      </c>
      <c r="E167" s="48">
        <f t="shared" si="29"/>
        <v>-181686.40099999998</v>
      </c>
      <c r="F167" s="48">
        <f t="shared" si="29"/>
        <v>-189727.93</v>
      </c>
      <c r="G167" s="48">
        <f t="shared" si="29"/>
        <v>-197668.34700000001</v>
      </c>
      <c r="H167" s="48">
        <f t="shared" si="29"/>
        <v>-205163.804</v>
      </c>
      <c r="I167" s="48">
        <f t="shared" si="29"/>
        <v>-214297.38800000001</v>
      </c>
      <c r="J167" s="48">
        <f t="shared" si="29"/>
        <v>-222749.40100000001</v>
      </c>
      <c r="K167" s="48">
        <f t="shared" si="29"/>
        <v>-230474.47500000001</v>
      </c>
      <c r="L167" s="48">
        <f t="shared" si="29"/>
        <v>-239591.38200000004</v>
      </c>
      <c r="M167" s="48">
        <f t="shared" si="29"/>
        <v>-249431.95699999999</v>
      </c>
      <c r="N167" s="48">
        <f t="shared" si="29"/>
        <v>-257953.54699999999</v>
      </c>
      <c r="O167" s="48">
        <f t="shared" si="29"/>
        <v>-266199.21699999995</v>
      </c>
      <c r="P167" s="48">
        <f t="shared" si="29"/>
        <v>-4388563.2989999996</v>
      </c>
    </row>
    <row r="168" spans="2:16" x14ac:dyDescent="0.35">
      <c r="B168" s="8" t="s">
        <v>159</v>
      </c>
      <c r="C168" s="43">
        <f>SUM(C162:C167)</f>
        <v>-1756500.6</v>
      </c>
      <c r="D168" s="43">
        <f t="shared" ref="D168:O168" si="30">+D167+C168</f>
        <v>-1933619.4500000002</v>
      </c>
      <c r="E168" s="43">
        <f t="shared" si="30"/>
        <v>-2115305.8510000003</v>
      </c>
      <c r="F168" s="43">
        <f t="shared" si="30"/>
        <v>-2305033.7810000004</v>
      </c>
      <c r="G168" s="43">
        <f t="shared" si="30"/>
        <v>-2502702.1280000005</v>
      </c>
      <c r="H168" s="43">
        <f t="shared" si="30"/>
        <v>-2707865.9320000005</v>
      </c>
      <c r="I168" s="43">
        <f t="shared" si="30"/>
        <v>-2922163.3200000003</v>
      </c>
      <c r="J168" s="43">
        <f t="shared" si="30"/>
        <v>-3144912.7210000004</v>
      </c>
      <c r="K168" s="43">
        <f t="shared" si="30"/>
        <v>-3375387.1960000005</v>
      </c>
      <c r="L168" s="43">
        <f t="shared" si="30"/>
        <v>-3614978.5780000007</v>
      </c>
      <c r="M168" s="43">
        <f t="shared" si="30"/>
        <v>-3864410.5350000006</v>
      </c>
      <c r="N168" s="43">
        <f t="shared" si="30"/>
        <v>-4122364.0820000004</v>
      </c>
      <c r="O168" s="43">
        <f t="shared" si="30"/>
        <v>-4388563.2990000006</v>
      </c>
      <c r="P168" s="43"/>
    </row>
    <row r="169" spans="2:16" x14ac:dyDescent="0.35"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</row>
    <row r="170" spans="2:16" x14ac:dyDescent="0.35">
      <c r="B170" s="81" t="s">
        <v>62</v>
      </c>
    </row>
    <row r="171" spans="2:16" x14ac:dyDescent="0.35">
      <c r="B171" s="8" t="s">
        <v>133</v>
      </c>
      <c r="C171" s="44">
        <f>+P98</f>
        <v>556272.71</v>
      </c>
      <c r="D171" s="44">
        <f>-'3.0 Plant in Service'!D167</f>
        <v>0</v>
      </c>
      <c r="E171" s="44">
        <f>-'3.0 Plant in Service'!E167</f>
        <v>0</v>
      </c>
      <c r="F171" s="44">
        <f>-'3.0 Plant in Service'!F167</f>
        <v>0</v>
      </c>
      <c r="G171" s="44">
        <f>-'3.0 Plant in Service'!G167</f>
        <v>0</v>
      </c>
      <c r="H171" s="44">
        <f>-'3.0 Plant in Service'!H167</f>
        <v>14490.58</v>
      </c>
      <c r="I171" s="44">
        <f>-'3.0 Plant in Service'!I167</f>
        <v>207</v>
      </c>
      <c r="J171" s="44">
        <f>-'3.0 Plant in Service'!J167</f>
        <v>64.34</v>
      </c>
      <c r="K171" s="44">
        <f>-'3.0 Plant in Service'!K167</f>
        <v>207</v>
      </c>
      <c r="L171" s="44">
        <f>-'3.0 Plant in Service'!L167</f>
        <v>175288.07</v>
      </c>
      <c r="M171" s="44">
        <f>-'3.0 Plant in Service'!M167</f>
        <v>557.34</v>
      </c>
      <c r="N171" s="44">
        <f>-'3.0 Plant in Service'!N167</f>
        <v>0</v>
      </c>
      <c r="O171" s="44">
        <f>-'3.0 Plant in Service'!O167</f>
        <v>94799.38</v>
      </c>
      <c r="P171" s="45">
        <f>SUM(C171:O171)</f>
        <v>841886.41999999993</v>
      </c>
    </row>
    <row r="172" spans="2:16" x14ac:dyDescent="0.35">
      <c r="B172" s="8" t="s">
        <v>134</v>
      </c>
      <c r="C172" s="44">
        <f>+P99</f>
        <v>723122.01</v>
      </c>
      <c r="D172" s="44">
        <f>-'3.0 Plant in Service'!D168</f>
        <v>7576.5300000000007</v>
      </c>
      <c r="E172" s="44">
        <f>-'3.0 Plant in Service'!E168</f>
        <v>6092.8</v>
      </c>
      <c r="F172" s="44">
        <f>-'3.0 Plant in Service'!F168</f>
        <v>17244.22</v>
      </c>
      <c r="G172" s="44">
        <f>-'3.0 Plant in Service'!G168</f>
        <v>1679.98</v>
      </c>
      <c r="H172" s="44">
        <f>-'3.0 Plant in Service'!H168</f>
        <v>9507.9599999999991</v>
      </c>
      <c r="I172" s="44">
        <f>-'3.0 Plant in Service'!I168</f>
        <v>98607.48000000001</v>
      </c>
      <c r="J172" s="44">
        <f>-'3.0 Plant in Service'!J168</f>
        <v>90900.479999999996</v>
      </c>
      <c r="K172" s="44">
        <f>-'3.0 Plant in Service'!K168</f>
        <v>73755.900000000009</v>
      </c>
      <c r="L172" s="44">
        <f>-'3.0 Plant in Service'!L168</f>
        <v>42418.09</v>
      </c>
      <c r="M172" s="44">
        <f>-'3.0 Plant in Service'!M168</f>
        <v>0</v>
      </c>
      <c r="N172" s="44">
        <f>-'3.0 Plant in Service'!N168</f>
        <v>507.39</v>
      </c>
      <c r="O172" s="44">
        <f>-'3.0 Plant in Service'!O168</f>
        <v>42121.18</v>
      </c>
      <c r="P172" s="45">
        <f>SUM(C172:O172)</f>
        <v>1113534.0199999998</v>
      </c>
    </row>
    <row r="173" spans="2:16" x14ac:dyDescent="0.35">
      <c r="B173" s="8" t="s">
        <v>135</v>
      </c>
      <c r="C173" s="44">
        <f>+P100</f>
        <v>7638655.4394296333</v>
      </c>
      <c r="D173" s="44">
        <f>-'3.0 Plant in Service'!D169</f>
        <v>341787.57307771471</v>
      </c>
      <c r="E173" s="44">
        <f>-'3.0 Plant in Service'!E169</f>
        <v>143657.65469541136</v>
      </c>
      <c r="F173" s="44">
        <f>-'3.0 Plant in Service'!F169</f>
        <v>236668.01574842297</v>
      </c>
      <c r="G173" s="44">
        <f>-'3.0 Plant in Service'!G169</f>
        <v>233001.01846857875</v>
      </c>
      <c r="H173" s="44">
        <f>-'3.0 Plant in Service'!H169</f>
        <v>360087.40416361706</v>
      </c>
      <c r="I173" s="44">
        <f>-'3.0 Plant in Service'!I169</f>
        <v>442011.89693789068</v>
      </c>
      <c r="J173" s="44">
        <f>-'3.0 Plant in Service'!J169</f>
        <v>284834.66002487543</v>
      </c>
      <c r="K173" s="44">
        <f>-'3.0 Plant in Service'!K169</f>
        <v>208113.1639012341</v>
      </c>
      <c r="L173" s="44">
        <f>-'3.0 Plant in Service'!L169</f>
        <v>336668.59968178259</v>
      </c>
      <c r="M173" s="44">
        <f>-'3.0 Plant in Service'!M169</f>
        <v>220174.68463857341</v>
      </c>
      <c r="N173" s="44">
        <f>-'3.0 Plant in Service'!N169</f>
        <v>338164.0676489388</v>
      </c>
      <c r="O173" s="44">
        <f>-'3.0 Plant in Service'!O169</f>
        <v>296123.48342238023</v>
      </c>
      <c r="P173" s="45">
        <f>SUM(C173:O173)</f>
        <v>11079947.661839053</v>
      </c>
    </row>
    <row r="174" spans="2:16" x14ac:dyDescent="0.35">
      <c r="B174" s="8" t="s">
        <v>136</v>
      </c>
      <c r="C174" s="44">
        <f>+P101</f>
        <v>78140.77</v>
      </c>
      <c r="D174" s="44">
        <f>-'3.0 Plant in Service'!D170</f>
        <v>489.15000000000003</v>
      </c>
      <c r="E174" s="44">
        <f>-'3.0 Plant in Service'!E170</f>
        <v>1574.7300000000002</v>
      </c>
      <c r="F174" s="44">
        <f>-'3.0 Plant in Service'!F170</f>
        <v>2045.7900000000002</v>
      </c>
      <c r="G174" s="44">
        <f>-'3.0 Plant in Service'!G170</f>
        <v>5647.4500000000007</v>
      </c>
      <c r="H174" s="44">
        <f>-'3.0 Plant in Service'!H170</f>
        <v>3453.44</v>
      </c>
      <c r="I174" s="44">
        <f>-'3.0 Plant in Service'!I170</f>
        <v>3705.5099999999998</v>
      </c>
      <c r="J174" s="44">
        <f>-'3.0 Plant in Service'!J170</f>
        <v>5252.36</v>
      </c>
      <c r="K174" s="44">
        <f>-'3.0 Plant in Service'!K170</f>
        <v>9322.3200000000015</v>
      </c>
      <c r="L174" s="44">
        <f>-'3.0 Plant in Service'!L170</f>
        <v>4705.1100000000006</v>
      </c>
      <c r="M174" s="44">
        <f>-'3.0 Plant in Service'!M170</f>
        <v>4703.41</v>
      </c>
      <c r="N174" s="44">
        <f>-'3.0 Plant in Service'!N170</f>
        <v>3639.67</v>
      </c>
      <c r="O174" s="44">
        <f>-'3.0 Plant in Service'!O170</f>
        <v>3691.8300000000004</v>
      </c>
      <c r="P174" s="45">
        <f>SUM(C174:O174)</f>
        <v>126371.54</v>
      </c>
    </row>
    <row r="175" spans="2:16" x14ac:dyDescent="0.35">
      <c r="B175" s="8" t="s">
        <v>137</v>
      </c>
      <c r="C175" s="44">
        <f>+P102</f>
        <v>10120.990000000002</v>
      </c>
      <c r="D175" s="44">
        <f>-'3.0 Plant in Service'!D171</f>
        <v>188.66000000000003</v>
      </c>
      <c r="E175" s="44">
        <f>-'3.0 Plant in Service'!E171</f>
        <v>230.70000000000002</v>
      </c>
      <c r="F175" s="44">
        <f>-'3.0 Plant in Service'!F171</f>
        <v>156.80000000000001</v>
      </c>
      <c r="G175" s="44">
        <f>-'3.0 Plant in Service'!G171</f>
        <v>171.39000000000001</v>
      </c>
      <c r="H175" s="44">
        <f>-'3.0 Plant in Service'!H171</f>
        <v>348.81</v>
      </c>
      <c r="I175" s="44">
        <f>-'3.0 Plant in Service'!I171</f>
        <v>226.33</v>
      </c>
      <c r="J175" s="44">
        <f>-'3.0 Plant in Service'!J171</f>
        <v>3043.2999999999997</v>
      </c>
      <c r="K175" s="44">
        <f>-'3.0 Plant in Service'!K171</f>
        <v>197.14000000000001</v>
      </c>
      <c r="L175" s="44">
        <f>-'3.0 Plant in Service'!L171</f>
        <v>575.59</v>
      </c>
      <c r="M175" s="44">
        <f>-'3.0 Plant in Service'!M171</f>
        <v>562.87</v>
      </c>
      <c r="N175" s="44">
        <f>-'3.0 Plant in Service'!N171</f>
        <v>632.7299999999999</v>
      </c>
      <c r="O175" s="44">
        <f>-'3.0 Plant in Service'!O171</f>
        <v>534.66999999999996</v>
      </c>
      <c r="P175" s="45">
        <f>SUM(C175:O175)</f>
        <v>16989.98</v>
      </c>
    </row>
    <row r="176" spans="2:16" x14ac:dyDescent="0.35">
      <c r="B176" s="8" t="s">
        <v>155</v>
      </c>
      <c r="C176" s="48"/>
      <c r="D176" s="48">
        <f t="shared" ref="D176:P176" si="31">SUM(D171:D175)</f>
        <v>350041.91307771474</v>
      </c>
      <c r="E176" s="48">
        <f t="shared" si="31"/>
        <v>151555.88469541137</v>
      </c>
      <c r="F176" s="48">
        <f t="shared" si="31"/>
        <v>256114.82574842297</v>
      </c>
      <c r="G176" s="48">
        <f t="shared" si="31"/>
        <v>240499.83846857879</v>
      </c>
      <c r="H176" s="48">
        <f t="shared" si="31"/>
        <v>387888.19416361704</v>
      </c>
      <c r="I176" s="48">
        <f t="shared" si="31"/>
        <v>544758.21693789063</v>
      </c>
      <c r="J176" s="48">
        <f t="shared" si="31"/>
        <v>384095.14002487541</v>
      </c>
      <c r="K176" s="48">
        <f t="shared" si="31"/>
        <v>291595.52390123415</v>
      </c>
      <c r="L176" s="48">
        <f t="shared" si="31"/>
        <v>559655.45968178252</v>
      </c>
      <c r="M176" s="48">
        <f t="shared" si="31"/>
        <v>225998.30463857341</v>
      </c>
      <c r="N176" s="48">
        <f t="shared" si="31"/>
        <v>342943.85764893878</v>
      </c>
      <c r="O176" s="48">
        <f t="shared" si="31"/>
        <v>437270.54342238023</v>
      </c>
      <c r="P176" s="48">
        <f t="shared" si="31"/>
        <v>13178729.621839052</v>
      </c>
    </row>
    <row r="177" spans="2:16" x14ac:dyDescent="0.35">
      <c r="B177" s="8" t="s">
        <v>156</v>
      </c>
      <c r="C177" s="43">
        <f>SUM(C171:C176)</f>
        <v>9006311.9194296338</v>
      </c>
      <c r="D177" s="43">
        <f t="shared" ref="D177:O177" si="32">+D176+C177</f>
        <v>9356353.8325073477</v>
      </c>
      <c r="E177" s="43">
        <f t="shared" si="32"/>
        <v>9507909.7172027584</v>
      </c>
      <c r="F177" s="43">
        <f t="shared" si="32"/>
        <v>9764024.5429511815</v>
      </c>
      <c r="G177" s="43">
        <f t="shared" si="32"/>
        <v>10004524.381419761</v>
      </c>
      <c r="H177" s="43">
        <f t="shared" si="32"/>
        <v>10392412.575583378</v>
      </c>
      <c r="I177" s="43">
        <f t="shared" si="32"/>
        <v>10937170.792521268</v>
      </c>
      <c r="J177" s="43">
        <f t="shared" si="32"/>
        <v>11321265.932546144</v>
      </c>
      <c r="K177" s="43">
        <f t="shared" si="32"/>
        <v>11612861.456447378</v>
      </c>
      <c r="L177" s="43">
        <f t="shared" si="32"/>
        <v>12172516.916129161</v>
      </c>
      <c r="M177" s="43">
        <f t="shared" si="32"/>
        <v>12398515.220767735</v>
      </c>
      <c r="N177" s="43">
        <f t="shared" si="32"/>
        <v>12741459.078416673</v>
      </c>
      <c r="O177" s="43">
        <f t="shared" si="32"/>
        <v>13178729.621839054</v>
      </c>
      <c r="P177" s="43"/>
    </row>
    <row r="179" spans="2:16" x14ac:dyDescent="0.35">
      <c r="B179" s="81" t="s">
        <v>52</v>
      </c>
    </row>
    <row r="180" spans="2:16" x14ac:dyDescent="0.35">
      <c r="B180" s="8" t="s">
        <v>133</v>
      </c>
      <c r="C180" s="44">
        <f>+P107</f>
        <v>78323.41</v>
      </c>
      <c r="D180" s="44">
        <v>0</v>
      </c>
      <c r="E180" s="44">
        <v>9794.68</v>
      </c>
      <c r="F180" s="44">
        <v>0</v>
      </c>
      <c r="G180" s="44">
        <v>2568.83</v>
      </c>
      <c r="H180" s="44">
        <v>939.63</v>
      </c>
      <c r="I180" s="44">
        <v>0</v>
      </c>
      <c r="J180" s="44">
        <v>8203.5400000000009</v>
      </c>
      <c r="K180" s="44">
        <v>0</v>
      </c>
      <c r="L180" s="44">
        <v>0</v>
      </c>
      <c r="M180" s="44">
        <v>65.73</v>
      </c>
      <c r="N180" s="44">
        <v>0</v>
      </c>
      <c r="O180" s="44">
        <v>0</v>
      </c>
      <c r="P180" s="45">
        <f>SUM(C180:O180)</f>
        <v>99895.819999999992</v>
      </c>
    </row>
    <row r="181" spans="2:16" x14ac:dyDescent="0.35">
      <c r="B181" s="8" t="s">
        <v>134</v>
      </c>
      <c r="C181" s="44">
        <f>+P108</f>
        <v>221241.02999999994</v>
      </c>
      <c r="D181" s="44">
        <v>685.86</v>
      </c>
      <c r="E181" s="44">
        <v>0</v>
      </c>
      <c r="F181" s="44">
        <v>970.13</v>
      </c>
      <c r="G181" s="44">
        <v>5246.21</v>
      </c>
      <c r="H181" s="44">
        <v>4099.3599999999997</v>
      </c>
      <c r="I181" s="44">
        <v>9703.0300000000007</v>
      </c>
      <c r="J181" s="44">
        <v>3350.24</v>
      </c>
      <c r="K181" s="44">
        <v>14666.38</v>
      </c>
      <c r="L181" s="44">
        <v>1626.68</v>
      </c>
      <c r="M181" s="44">
        <v>0</v>
      </c>
      <c r="N181" s="44">
        <v>945.06</v>
      </c>
      <c r="O181" s="44">
        <v>12469.08</v>
      </c>
      <c r="P181" s="45">
        <f>SUM(C181:O181)</f>
        <v>275003.05999999994</v>
      </c>
    </row>
    <row r="182" spans="2:16" x14ac:dyDescent="0.35">
      <c r="B182" s="8" t="s">
        <v>135</v>
      </c>
      <c r="C182" s="44">
        <f>+P109</f>
        <v>4612339.2395919999</v>
      </c>
      <c r="D182" s="44">
        <v>467104.37436399999</v>
      </c>
      <c r="E182" s="44">
        <v>83958.337339999998</v>
      </c>
      <c r="F182" s="44">
        <v>92751.653088000006</v>
      </c>
      <c r="G182" s="44">
        <v>125279.384428</v>
      </c>
      <c r="H182" s="44">
        <v>136891.883107</v>
      </c>
      <c r="I182" s="44">
        <v>133263.05598800001</v>
      </c>
      <c r="J182" s="44">
        <v>147739.33692500001</v>
      </c>
      <c r="K182" s="44">
        <v>166411.49952499999</v>
      </c>
      <c r="L182" s="44">
        <v>141814.28255199999</v>
      </c>
      <c r="M182" s="44">
        <v>171317.10853699999</v>
      </c>
      <c r="N182" s="44">
        <v>176170.76146000001</v>
      </c>
      <c r="O182" s="44">
        <v>133360.562278</v>
      </c>
      <c r="P182" s="45">
        <f>SUM(C182:O182)</f>
        <v>6588401.4791839989</v>
      </c>
    </row>
    <row r="183" spans="2:16" x14ac:dyDescent="0.35">
      <c r="B183" s="8" t="s">
        <v>136</v>
      </c>
      <c r="C183" s="44">
        <f>+P110</f>
        <v>0</v>
      </c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5">
        <f>SUM(C183:O183)</f>
        <v>0</v>
      </c>
    </row>
    <row r="184" spans="2:16" x14ac:dyDescent="0.35">
      <c r="B184" s="8" t="s">
        <v>137</v>
      </c>
      <c r="C184" s="44">
        <f>+P111</f>
        <v>0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5">
        <f>SUM(C184:O184)</f>
        <v>0</v>
      </c>
    </row>
    <row r="185" spans="2:16" x14ac:dyDescent="0.35">
      <c r="B185" s="8" t="s">
        <v>160</v>
      </c>
      <c r="C185" s="48"/>
      <c r="D185" s="48">
        <f>SUM(D180:D184)</f>
        <v>467790.23436399997</v>
      </c>
      <c r="E185" s="48">
        <f t="shared" ref="E185:O185" si="33">SUM(E180:E184)</f>
        <v>93753.017339999991</v>
      </c>
      <c r="F185" s="48">
        <f t="shared" si="33"/>
        <v>93721.783088000011</v>
      </c>
      <c r="G185" s="48">
        <f t="shared" si="33"/>
        <v>133094.424428</v>
      </c>
      <c r="H185" s="48">
        <f t="shared" si="33"/>
        <v>141930.87310699999</v>
      </c>
      <c r="I185" s="48">
        <f t="shared" si="33"/>
        <v>142966.08598800001</v>
      </c>
      <c r="J185" s="48">
        <f t="shared" si="33"/>
        <v>159293.11692500001</v>
      </c>
      <c r="K185" s="48">
        <f t="shared" si="33"/>
        <v>181077.879525</v>
      </c>
      <c r="L185" s="48">
        <f t="shared" si="33"/>
        <v>143440.96255199998</v>
      </c>
      <c r="M185" s="48">
        <f t="shared" si="33"/>
        <v>171382.838537</v>
      </c>
      <c r="N185" s="48">
        <f t="shared" si="33"/>
        <v>177115.82146000001</v>
      </c>
      <c r="O185" s="48">
        <f t="shared" si="33"/>
        <v>145829.64227799998</v>
      </c>
      <c r="P185" s="48">
        <f>SUM(P180:P184)</f>
        <v>6963300.3591839988</v>
      </c>
    </row>
    <row r="186" spans="2:16" x14ac:dyDescent="0.35">
      <c r="B186" s="8" t="s">
        <v>161</v>
      </c>
      <c r="C186" s="43">
        <f>SUM(C180:C185)</f>
        <v>4911903.6795920003</v>
      </c>
      <c r="D186" s="43">
        <f t="shared" ref="D186:O186" si="34">+D185+C186</f>
        <v>5379693.9139560005</v>
      </c>
      <c r="E186" s="43">
        <f t="shared" si="34"/>
        <v>5473446.9312960003</v>
      </c>
      <c r="F186" s="43">
        <f t="shared" si="34"/>
        <v>5567168.7143839998</v>
      </c>
      <c r="G186" s="43">
        <f t="shared" si="34"/>
        <v>5700263.1388119999</v>
      </c>
      <c r="H186" s="43">
        <f t="shared" si="34"/>
        <v>5842194.0119190002</v>
      </c>
      <c r="I186" s="43">
        <f t="shared" si="34"/>
        <v>5985160.0979070002</v>
      </c>
      <c r="J186" s="43">
        <f t="shared" si="34"/>
        <v>6144453.2148320004</v>
      </c>
      <c r="K186" s="43">
        <f t="shared" si="34"/>
        <v>6325531.0943570007</v>
      </c>
      <c r="L186" s="43">
        <f t="shared" si="34"/>
        <v>6468972.0569090005</v>
      </c>
      <c r="M186" s="43">
        <f t="shared" si="34"/>
        <v>6640354.8954460006</v>
      </c>
      <c r="N186" s="43">
        <f t="shared" si="34"/>
        <v>6817470.7169060009</v>
      </c>
      <c r="O186" s="43">
        <f t="shared" si="34"/>
        <v>6963300.3591840006</v>
      </c>
      <c r="P186" s="43"/>
    </row>
    <row r="188" spans="2:16" x14ac:dyDescent="0.35">
      <c r="B188" s="81" t="s">
        <v>170</v>
      </c>
    </row>
    <row r="189" spans="2:16" x14ac:dyDescent="0.35">
      <c r="B189" s="8" t="s">
        <v>133</v>
      </c>
      <c r="C189" s="83">
        <f>+C162+C171+C180</f>
        <v>-271618.58400000003</v>
      </c>
      <c r="D189" s="83">
        <f>+D162+D171+D180</f>
        <v>-78422.115999999995</v>
      </c>
      <c r="E189" s="83">
        <f t="shared" ref="E189:O189" si="35">+E162+E171+E180</f>
        <v>-69263.899999999994</v>
      </c>
      <c r="F189" s="83">
        <f t="shared" si="35"/>
        <v>-82302.906000000003</v>
      </c>
      <c r="G189" s="83">
        <f t="shared" si="35"/>
        <v>-82942.565999999992</v>
      </c>
      <c r="H189" s="83">
        <f t="shared" si="35"/>
        <v>-72654.830999999991</v>
      </c>
      <c r="I189" s="83">
        <f t="shared" si="35"/>
        <v>-92518.532999999996</v>
      </c>
      <c r="J189" s="83">
        <f t="shared" si="35"/>
        <v>-89189.474000000017</v>
      </c>
      <c r="K189" s="83">
        <f t="shared" si="35"/>
        <v>-100281.25599999999</v>
      </c>
      <c r="L189" s="83">
        <f t="shared" si="35"/>
        <v>70676.896000000008</v>
      </c>
      <c r="M189" s="83">
        <f t="shared" si="35"/>
        <v>-108068.22500000001</v>
      </c>
      <c r="N189" s="83">
        <f t="shared" si="35"/>
        <v>-111933.446</v>
      </c>
      <c r="O189" s="83">
        <f t="shared" si="35"/>
        <v>-22326.686999999991</v>
      </c>
      <c r="P189" s="45">
        <f>SUM(C189:O189)</f>
        <v>-1110845.628</v>
      </c>
    </row>
    <row r="190" spans="2:16" x14ac:dyDescent="0.35">
      <c r="B190" s="8" t="s">
        <v>134</v>
      </c>
      <c r="C190" s="83">
        <f>+C163+C172+C181</f>
        <v>944621.2699999999</v>
      </c>
      <c r="D190" s="83">
        <f t="shared" ref="D190:O190" si="36">+D163+D172+D181</f>
        <v>6618.8390000000009</v>
      </c>
      <c r="E190" s="83">
        <f t="shared" si="36"/>
        <v>4468.2030000000004</v>
      </c>
      <c r="F190" s="83">
        <f t="shared" si="36"/>
        <v>16621.133000000002</v>
      </c>
      <c r="G190" s="83">
        <f t="shared" si="36"/>
        <v>5359.5069999999996</v>
      </c>
      <c r="H190" s="83">
        <f t="shared" si="36"/>
        <v>12056.432999999999</v>
      </c>
      <c r="I190" s="83">
        <f t="shared" si="36"/>
        <v>106908.50600000001</v>
      </c>
      <c r="J190" s="83">
        <f t="shared" si="36"/>
        <v>93110.087</v>
      </c>
      <c r="K190" s="83">
        <f t="shared" si="36"/>
        <v>87508.002000000008</v>
      </c>
      <c r="L190" s="83">
        <f t="shared" si="36"/>
        <v>43291.271999999997</v>
      </c>
      <c r="M190" s="83">
        <f t="shared" si="36"/>
        <v>-695</v>
      </c>
      <c r="N190" s="83">
        <f t="shared" si="36"/>
        <v>758.15</v>
      </c>
      <c r="O190" s="83">
        <f t="shared" si="36"/>
        <v>53954.351999999999</v>
      </c>
      <c r="P190" s="45">
        <f>SUM(C190:O190)</f>
        <v>1374580.7539999997</v>
      </c>
    </row>
    <row r="191" spans="2:16" x14ac:dyDescent="0.35">
      <c r="B191" s="8" t="s">
        <v>135</v>
      </c>
      <c r="C191" s="83">
        <f>+C164+C173+C182</f>
        <v>11403883.054021634</v>
      </c>
      <c r="D191" s="83">
        <f t="shared" ref="D191:O191" si="37">+D164+D173+D182</f>
        <v>712547.81144171464</v>
      </c>
      <c r="E191" s="83">
        <f t="shared" si="37"/>
        <v>127327.05903541135</v>
      </c>
      <c r="F191" s="83">
        <f t="shared" si="37"/>
        <v>224303.46883642301</v>
      </c>
      <c r="G191" s="83">
        <f t="shared" si="37"/>
        <v>248406.36289657876</v>
      </c>
      <c r="H191" s="83">
        <f t="shared" si="37"/>
        <v>382173.89027061709</v>
      </c>
      <c r="I191" s="83">
        <f t="shared" si="37"/>
        <v>455854.63492589071</v>
      </c>
      <c r="J191" s="83">
        <f t="shared" si="37"/>
        <v>309213.87394987541</v>
      </c>
      <c r="K191" s="83">
        <f t="shared" si="37"/>
        <v>246353.05542623409</v>
      </c>
      <c r="L191" s="83">
        <f t="shared" si="37"/>
        <v>345260.5082337826</v>
      </c>
      <c r="M191" s="83">
        <f t="shared" si="37"/>
        <v>252549.84717557341</v>
      </c>
      <c r="N191" s="83">
        <f t="shared" si="37"/>
        <v>370252.50310893881</v>
      </c>
      <c r="O191" s="83">
        <f t="shared" si="37"/>
        <v>282398.10770038026</v>
      </c>
      <c r="P191" s="45">
        <f>SUM(C191:O191)</f>
        <v>15360524.177023053</v>
      </c>
    </row>
    <row r="192" spans="2:16" x14ac:dyDescent="0.35">
      <c r="B192" s="8" t="s">
        <v>136</v>
      </c>
      <c r="C192" s="83">
        <f>+C165+C174+C183</f>
        <v>76051.247000000003</v>
      </c>
      <c r="D192" s="83">
        <f t="shared" ref="D192:O192" si="38">+D165+D174+D183</f>
        <v>51.045000000000016</v>
      </c>
      <c r="E192" s="83">
        <f t="shared" si="38"/>
        <v>1134.2260000000001</v>
      </c>
      <c r="F192" s="83">
        <f t="shared" si="38"/>
        <v>1605.3470000000002</v>
      </c>
      <c r="G192" s="83">
        <f t="shared" si="38"/>
        <v>5209.7740000000003</v>
      </c>
      <c r="H192" s="83">
        <f t="shared" si="38"/>
        <v>3014.9430000000002</v>
      </c>
      <c r="I192" s="83">
        <f t="shared" si="38"/>
        <v>3253.3889999999997</v>
      </c>
      <c r="J192" s="83">
        <f t="shared" si="38"/>
        <v>4776.6729999999998</v>
      </c>
      <c r="K192" s="83">
        <f t="shared" si="38"/>
        <v>8786.2580000000016</v>
      </c>
      <c r="L192" s="83">
        <f t="shared" si="38"/>
        <v>4111.9210000000003</v>
      </c>
      <c r="M192" s="83">
        <f t="shared" si="38"/>
        <v>4053.7069999999999</v>
      </c>
      <c r="N192" s="83">
        <f t="shared" si="38"/>
        <v>2909.58</v>
      </c>
      <c r="O192" s="83">
        <f t="shared" si="38"/>
        <v>2900.0230000000001</v>
      </c>
      <c r="P192" s="45">
        <f>SUM(C192:O192)</f>
        <v>117858.13299999999</v>
      </c>
    </row>
    <row r="193" spans="2:17" x14ac:dyDescent="0.35">
      <c r="B193" s="8" t="s">
        <v>137</v>
      </c>
      <c r="C193" s="83">
        <f>+C166+C175+C184</f>
        <v>8778.0120000000024</v>
      </c>
      <c r="D193" s="83">
        <f t="shared" ref="D193:O193" si="39">+D166+D175+D184</f>
        <v>-82.281999999999982</v>
      </c>
      <c r="E193" s="83">
        <f t="shared" si="39"/>
        <v>-43.086999999999961</v>
      </c>
      <c r="F193" s="83">
        <f t="shared" si="39"/>
        <v>-118.36399999999998</v>
      </c>
      <c r="G193" s="83">
        <f t="shared" si="39"/>
        <v>-107.16200000000001</v>
      </c>
      <c r="H193" s="83">
        <f t="shared" si="39"/>
        <v>64.827999999999975</v>
      </c>
      <c r="I193" s="83">
        <f t="shared" si="39"/>
        <v>-71.081999999999965</v>
      </c>
      <c r="J193" s="83">
        <f t="shared" si="39"/>
        <v>2727.6959999999999</v>
      </c>
      <c r="K193" s="83">
        <f t="shared" si="39"/>
        <v>-167.131</v>
      </c>
      <c r="L193" s="83">
        <f t="shared" si="39"/>
        <v>164.44300000000004</v>
      </c>
      <c r="M193" s="83">
        <f t="shared" si="39"/>
        <v>108.85700000000003</v>
      </c>
      <c r="N193" s="83">
        <f t="shared" si="39"/>
        <v>119.34499999999991</v>
      </c>
      <c r="O193" s="83">
        <f t="shared" si="39"/>
        <v>-24.826999999999998</v>
      </c>
      <c r="P193" s="45">
        <f>SUM(C193:O193)</f>
        <v>11349.246000000003</v>
      </c>
    </row>
    <row r="194" spans="2:17" x14ac:dyDescent="0.35">
      <c r="B194" s="8" t="s">
        <v>171</v>
      </c>
      <c r="C194" s="48"/>
      <c r="D194" s="48">
        <f t="shared" ref="D194:P194" si="40">SUM(D189:D193)</f>
        <v>640713.29744171468</v>
      </c>
      <c r="E194" s="48">
        <f t="shared" si="40"/>
        <v>63622.501035411362</v>
      </c>
      <c r="F194" s="48">
        <f t="shared" si="40"/>
        <v>160108.67883642303</v>
      </c>
      <c r="G194" s="48">
        <f t="shared" si="40"/>
        <v>175925.91589657878</v>
      </c>
      <c r="H194" s="48">
        <f t="shared" si="40"/>
        <v>324655.26327061711</v>
      </c>
      <c r="I194" s="48">
        <f t="shared" si="40"/>
        <v>473426.91492589074</v>
      </c>
      <c r="J194" s="48">
        <f t="shared" si="40"/>
        <v>320638.85594987537</v>
      </c>
      <c r="K194" s="48">
        <f t="shared" si="40"/>
        <v>242198.92842623411</v>
      </c>
      <c r="L194" s="48">
        <f t="shared" si="40"/>
        <v>463505.04023378261</v>
      </c>
      <c r="M194" s="48">
        <f t="shared" si="40"/>
        <v>147949.18617557338</v>
      </c>
      <c r="N194" s="48">
        <f t="shared" si="40"/>
        <v>262106.13210893879</v>
      </c>
      <c r="O194" s="48">
        <f t="shared" si="40"/>
        <v>316900.9687003803</v>
      </c>
      <c r="P194" s="48">
        <f t="shared" si="40"/>
        <v>15753466.682023052</v>
      </c>
    </row>
    <row r="195" spans="2:17" x14ac:dyDescent="0.35">
      <c r="B195" s="8" t="s">
        <v>172</v>
      </c>
      <c r="C195" s="43">
        <f>SUM(C189:C194)</f>
        <v>12161714.999021634</v>
      </c>
      <c r="D195" s="43">
        <f t="shared" ref="D195:O195" si="41">+D194+C195</f>
        <v>12802428.29646335</v>
      </c>
      <c r="E195" s="43">
        <f t="shared" si="41"/>
        <v>12866050.797498761</v>
      </c>
      <c r="F195" s="43">
        <f t="shared" si="41"/>
        <v>13026159.476335185</v>
      </c>
      <c r="G195" s="43">
        <f t="shared" si="41"/>
        <v>13202085.392231764</v>
      </c>
      <c r="H195" s="43">
        <f t="shared" si="41"/>
        <v>13526740.655502381</v>
      </c>
      <c r="I195" s="43">
        <f t="shared" si="41"/>
        <v>14000167.570428271</v>
      </c>
      <c r="J195" s="43">
        <f t="shared" si="41"/>
        <v>14320806.426378146</v>
      </c>
      <c r="K195" s="43">
        <f t="shared" si="41"/>
        <v>14563005.35480438</v>
      </c>
      <c r="L195" s="43">
        <f t="shared" si="41"/>
        <v>15026510.395038163</v>
      </c>
      <c r="M195" s="43">
        <f t="shared" si="41"/>
        <v>15174459.581213737</v>
      </c>
      <c r="N195" s="43">
        <f t="shared" si="41"/>
        <v>15436565.713322675</v>
      </c>
      <c r="O195" s="43">
        <f t="shared" si="41"/>
        <v>15753466.682023056</v>
      </c>
      <c r="P195" s="43"/>
      <c r="Q195" s="45">
        <f>AVERAGE(C195:O195)</f>
        <v>13989243.180020114</v>
      </c>
    </row>
  </sheetData>
  <mergeCells count="9">
    <mergeCell ref="A151:Q151"/>
    <mergeCell ref="A152:Q152"/>
    <mergeCell ref="A77:Q77"/>
    <mergeCell ref="A4:Q4"/>
    <mergeCell ref="A5:Q5"/>
    <mergeCell ref="A6:Q6"/>
    <mergeCell ref="A78:Q78"/>
    <mergeCell ref="A79:Q79"/>
    <mergeCell ref="A150:Q150"/>
  </mergeCells>
  <pageMargins left="0.7" right="0.7" top="0.75" bottom="0.75" header="0.3" footer="0.3"/>
  <pageSetup scale="45" fitToHeight="3" orientation="landscape" horizontalDpi="1200" verticalDpi="1200" r:id="rId1"/>
  <rowBreaks count="2" manualBreakCount="2">
    <brk id="73" max="16" man="1"/>
    <brk id="146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77D90-0014-4513-9839-B70ED87347F7}">
  <sheetPr>
    <pageSetUpPr fitToPage="1"/>
  </sheetPr>
  <dimension ref="A1:Q210"/>
  <sheetViews>
    <sheetView topLeftCell="A105" zoomScaleNormal="100" workbookViewId="0">
      <selection activeCell="H139" sqref="H139"/>
    </sheetView>
  </sheetViews>
  <sheetFormatPr defaultColWidth="8.81640625" defaultRowHeight="15.5" x14ac:dyDescent="0.35"/>
  <cols>
    <col min="1" max="1" width="2" style="8" customWidth="1"/>
    <col min="2" max="2" width="50.81640625" style="8" bestFit="1" customWidth="1"/>
    <col min="3" max="3" width="15.1796875" style="8" bestFit="1" customWidth="1"/>
    <col min="4" max="16" width="14.1796875" style="8" bestFit="1" customWidth="1"/>
    <col min="17" max="17" width="23.1796875" style="8" bestFit="1" customWidth="1"/>
    <col min="18" max="16384" width="8.81640625" style="8"/>
  </cols>
  <sheetData>
    <row r="1" spans="1:17" x14ac:dyDescent="0.35">
      <c r="Q1" s="9" t="str">
        <f>'3.0 Plant in Service'!Q1</f>
        <v>Case No. 2024-00328</v>
      </c>
    </row>
    <row r="2" spans="1:17" x14ac:dyDescent="0.35">
      <c r="Q2" s="9" t="s">
        <v>203</v>
      </c>
    </row>
    <row r="3" spans="1:17" x14ac:dyDescent="0.35">
      <c r="Q3" s="9" t="s">
        <v>213</v>
      </c>
    </row>
    <row r="4" spans="1:17" x14ac:dyDescent="0.35">
      <c r="A4" s="138" t="s">
        <v>12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</row>
    <row r="5" spans="1:17" x14ac:dyDescent="0.35">
      <c r="A5" s="138" t="s">
        <v>109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</row>
    <row r="6" spans="1:17" x14ac:dyDescent="0.35">
      <c r="A6" s="138" t="s">
        <v>289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</row>
    <row r="8" spans="1:17" x14ac:dyDescent="0.35">
      <c r="C8" s="11" t="s">
        <v>60</v>
      </c>
      <c r="D8" s="10">
        <v>2022</v>
      </c>
      <c r="E8" s="10">
        <f>+D8+1</f>
        <v>2023</v>
      </c>
      <c r="F8" s="10">
        <f t="shared" ref="F8:Q8" si="0">+E8</f>
        <v>2023</v>
      </c>
      <c r="G8" s="10">
        <f t="shared" si="0"/>
        <v>2023</v>
      </c>
      <c r="H8" s="10">
        <f t="shared" si="0"/>
        <v>2023</v>
      </c>
      <c r="I8" s="10">
        <f t="shared" si="0"/>
        <v>2023</v>
      </c>
      <c r="J8" s="10">
        <f t="shared" si="0"/>
        <v>2023</v>
      </c>
      <c r="K8" s="10">
        <f t="shared" si="0"/>
        <v>2023</v>
      </c>
      <c r="L8" s="10">
        <f t="shared" si="0"/>
        <v>2023</v>
      </c>
      <c r="M8" s="10">
        <f t="shared" si="0"/>
        <v>2023</v>
      </c>
      <c r="N8" s="10">
        <f t="shared" si="0"/>
        <v>2023</v>
      </c>
      <c r="O8" s="10">
        <f t="shared" si="0"/>
        <v>2023</v>
      </c>
      <c r="P8" s="10">
        <f t="shared" si="0"/>
        <v>2023</v>
      </c>
      <c r="Q8" s="10">
        <f t="shared" si="0"/>
        <v>2023</v>
      </c>
    </row>
    <row r="9" spans="1:17" x14ac:dyDescent="0.35">
      <c r="C9" s="11" t="s">
        <v>23</v>
      </c>
      <c r="D9" s="10" t="s">
        <v>140</v>
      </c>
      <c r="E9" s="10" t="s">
        <v>141</v>
      </c>
      <c r="F9" s="10" t="s">
        <v>142</v>
      </c>
      <c r="G9" s="10" t="s">
        <v>143</v>
      </c>
      <c r="H9" s="10" t="s">
        <v>144</v>
      </c>
      <c r="I9" s="10" t="s">
        <v>81</v>
      </c>
      <c r="J9" s="10" t="s">
        <v>145</v>
      </c>
      <c r="K9" s="10" t="s">
        <v>146</v>
      </c>
      <c r="L9" s="10" t="s">
        <v>147</v>
      </c>
      <c r="M9" s="10" t="s">
        <v>148</v>
      </c>
      <c r="N9" s="10" t="s">
        <v>149</v>
      </c>
      <c r="O9" s="10" t="s">
        <v>150</v>
      </c>
      <c r="P9" s="10" t="s">
        <v>140</v>
      </c>
      <c r="Q9" s="10" t="s">
        <v>151</v>
      </c>
    </row>
    <row r="10" spans="1:17" x14ac:dyDescent="0.35">
      <c r="C10" s="11" t="s">
        <v>162</v>
      </c>
      <c r="D10" s="10" t="s">
        <v>92</v>
      </c>
      <c r="E10" s="10" t="s">
        <v>258</v>
      </c>
      <c r="F10" s="10" t="s">
        <v>258</v>
      </c>
      <c r="G10" s="10" t="s">
        <v>258</v>
      </c>
      <c r="H10" s="10" t="s">
        <v>258</v>
      </c>
      <c r="I10" s="10" t="s">
        <v>258</v>
      </c>
      <c r="J10" s="10" t="s">
        <v>258</v>
      </c>
      <c r="K10" s="10" t="s">
        <v>258</v>
      </c>
      <c r="L10" s="10" t="s">
        <v>258</v>
      </c>
      <c r="M10" s="10" t="s">
        <v>258</v>
      </c>
      <c r="N10" s="10" t="s">
        <v>258</v>
      </c>
      <c r="O10" s="10" t="s">
        <v>258</v>
      </c>
      <c r="P10" s="10" t="s">
        <v>258</v>
      </c>
      <c r="Q10" s="11"/>
    </row>
    <row r="11" spans="1:17" x14ac:dyDescent="0.35">
      <c r="B11" s="81"/>
      <c r="C11" s="81"/>
    </row>
    <row r="12" spans="1:17" x14ac:dyDescent="0.35">
      <c r="A12" s="84"/>
      <c r="B12" s="85" t="s">
        <v>133</v>
      </c>
      <c r="C12" s="86">
        <f>1.74%/12</f>
        <v>1.4499999999999999E-3</v>
      </c>
      <c r="D12" s="48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8"/>
    </row>
    <row r="13" spans="1:17" x14ac:dyDescent="0.35">
      <c r="A13" s="89"/>
      <c r="B13" s="8" t="s">
        <v>166</v>
      </c>
      <c r="C13" s="90"/>
      <c r="D13" s="43">
        <v>0</v>
      </c>
      <c r="E13" s="43">
        <f>'3.0 Plant in Service'!D15</f>
        <v>79805.64</v>
      </c>
      <c r="F13" s="43">
        <f>'3.0 Plant in Service'!E15</f>
        <v>859141.8</v>
      </c>
      <c r="G13" s="43">
        <f>'3.0 Plant in Service'!F15</f>
        <v>3925560.5700000008</v>
      </c>
      <c r="H13" s="43">
        <f>'3.0 Plant in Service'!G15</f>
        <v>805780.17999999993</v>
      </c>
      <c r="I13" s="43">
        <f>'3.0 Plant in Service'!H15</f>
        <v>3005341.4100000006</v>
      </c>
      <c r="J13" s="43">
        <f>'3.0 Plant in Service'!I15</f>
        <v>3854453.0500000007</v>
      </c>
      <c r="K13" s="43">
        <f>'3.0 Plant in Service'!J15</f>
        <v>3124046.71</v>
      </c>
      <c r="L13" s="43">
        <f>'3.0 Plant in Service'!K15</f>
        <v>1345549.6300000004</v>
      </c>
      <c r="M13" s="43">
        <f>'3.0 Plant in Service'!L15</f>
        <v>4929452</v>
      </c>
      <c r="N13" s="43">
        <f>'3.0 Plant in Service'!M15</f>
        <v>1282582.1600000004</v>
      </c>
      <c r="O13" s="43">
        <f>'3.0 Plant in Service'!N15</f>
        <v>3498689.6999999997</v>
      </c>
      <c r="P13" s="43">
        <f>'3.0 Plant in Service'!O15</f>
        <v>4263655.3099999996</v>
      </c>
      <c r="Q13" s="91">
        <f>SUM(D13:P13)</f>
        <v>30974058.16</v>
      </c>
    </row>
    <row r="14" spans="1:17" x14ac:dyDescent="0.35">
      <c r="A14" s="89"/>
      <c r="B14" s="8" t="s">
        <v>167</v>
      </c>
      <c r="C14" s="90"/>
      <c r="D14" s="43">
        <v>0</v>
      </c>
      <c r="E14" s="46">
        <f>'3.0 Plant in Service'!D24</f>
        <v>0</v>
      </c>
      <c r="F14" s="46">
        <f>'3.0 Plant in Service'!E24</f>
        <v>0</v>
      </c>
      <c r="G14" s="46">
        <f>'3.0 Plant in Service'!F24</f>
        <v>0</v>
      </c>
      <c r="H14" s="46">
        <f>'3.0 Plant in Service'!G24</f>
        <v>0</v>
      </c>
      <c r="I14" s="46">
        <f>'3.0 Plant in Service'!H24</f>
        <v>-14490.58</v>
      </c>
      <c r="J14" s="46">
        <f>'3.0 Plant in Service'!I24</f>
        <v>-207</v>
      </c>
      <c r="K14" s="46">
        <f>'3.0 Plant in Service'!J24</f>
        <v>-64.34</v>
      </c>
      <c r="L14" s="46">
        <f>'3.0 Plant in Service'!K24</f>
        <v>-207</v>
      </c>
      <c r="M14" s="46">
        <f>'3.0 Plant in Service'!L24</f>
        <v>-175288.07</v>
      </c>
      <c r="N14" s="46">
        <f>'3.0 Plant in Service'!M24</f>
        <v>-557.34</v>
      </c>
      <c r="O14" s="46">
        <f>'3.0 Plant in Service'!N24</f>
        <v>0</v>
      </c>
      <c r="P14" s="46">
        <f>'3.0 Plant in Service'!O24</f>
        <v>-94799.38</v>
      </c>
      <c r="Q14" s="91"/>
    </row>
    <row r="15" spans="1:17" x14ac:dyDescent="0.35">
      <c r="A15" s="89"/>
      <c r="B15" s="8" t="s">
        <v>214</v>
      </c>
      <c r="C15" s="90"/>
      <c r="D15" s="43">
        <f>SUM(D13:D14)</f>
        <v>0</v>
      </c>
      <c r="E15" s="43">
        <f>SUM(E13:E14)</f>
        <v>79805.64</v>
      </c>
      <c r="F15" s="43">
        <f t="shared" ref="F15:P15" si="1">SUM(F13:F14)</f>
        <v>859141.8</v>
      </c>
      <c r="G15" s="43">
        <f t="shared" si="1"/>
        <v>3925560.5700000008</v>
      </c>
      <c r="H15" s="43">
        <f t="shared" si="1"/>
        <v>805780.17999999993</v>
      </c>
      <c r="I15" s="43">
        <f t="shared" si="1"/>
        <v>2990850.8300000005</v>
      </c>
      <c r="J15" s="43">
        <f t="shared" si="1"/>
        <v>3854246.0500000007</v>
      </c>
      <c r="K15" s="43">
        <f t="shared" si="1"/>
        <v>3123982.37</v>
      </c>
      <c r="L15" s="43">
        <f t="shared" si="1"/>
        <v>1345342.6300000004</v>
      </c>
      <c r="M15" s="43">
        <f t="shared" si="1"/>
        <v>4754163.93</v>
      </c>
      <c r="N15" s="43">
        <f t="shared" si="1"/>
        <v>1282024.8200000003</v>
      </c>
      <c r="O15" s="43">
        <f t="shared" si="1"/>
        <v>3498689.6999999997</v>
      </c>
      <c r="P15" s="43">
        <f t="shared" si="1"/>
        <v>4168855.9299999997</v>
      </c>
      <c r="Q15" s="91">
        <f>SUM(D15:P15)</f>
        <v>30688444.449999999</v>
      </c>
    </row>
    <row r="16" spans="1:17" x14ac:dyDescent="0.35">
      <c r="A16" s="89"/>
      <c r="B16" s="8" t="s">
        <v>163</v>
      </c>
      <c r="C16" s="90"/>
      <c r="D16" s="136">
        <v>0</v>
      </c>
      <c r="E16" s="43">
        <f t="shared" ref="E16:P16" si="2">+E15+D16</f>
        <v>79805.64</v>
      </c>
      <c r="F16" s="43">
        <f t="shared" si="2"/>
        <v>938947.44000000006</v>
      </c>
      <c r="G16" s="43">
        <f t="shared" si="2"/>
        <v>4864508.0100000007</v>
      </c>
      <c r="H16" s="43">
        <f t="shared" si="2"/>
        <v>5670288.1900000004</v>
      </c>
      <c r="I16" s="43">
        <f t="shared" si="2"/>
        <v>8661139.0200000014</v>
      </c>
      <c r="J16" s="43">
        <f t="shared" si="2"/>
        <v>12515385.070000002</v>
      </c>
      <c r="K16" s="43">
        <f t="shared" si="2"/>
        <v>15639367.440000001</v>
      </c>
      <c r="L16" s="43">
        <f t="shared" si="2"/>
        <v>16984710.07</v>
      </c>
      <c r="M16" s="43">
        <f t="shared" si="2"/>
        <v>21738874</v>
      </c>
      <c r="N16" s="43">
        <f t="shared" si="2"/>
        <v>23020898.82</v>
      </c>
      <c r="O16" s="43">
        <f t="shared" si="2"/>
        <v>26519588.52</v>
      </c>
      <c r="P16" s="43">
        <f t="shared" si="2"/>
        <v>30688444.449999999</v>
      </c>
      <c r="Q16" s="91"/>
    </row>
    <row r="17" spans="1:17" x14ac:dyDescent="0.35">
      <c r="A17" s="89"/>
      <c r="C17" s="90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91"/>
    </row>
    <row r="18" spans="1:17" x14ac:dyDescent="0.35">
      <c r="A18" s="89"/>
      <c r="B18" s="8" t="s">
        <v>164</v>
      </c>
      <c r="C18" s="90"/>
      <c r="D18" s="43"/>
      <c r="E18" s="43">
        <f t="shared" ref="E18:P18" si="3">ROUND($C12*D16,0)</f>
        <v>0</v>
      </c>
      <c r="F18" s="43">
        <f t="shared" si="3"/>
        <v>116</v>
      </c>
      <c r="G18" s="43">
        <f t="shared" si="3"/>
        <v>1361</v>
      </c>
      <c r="H18" s="43">
        <f t="shared" si="3"/>
        <v>7054</v>
      </c>
      <c r="I18" s="43">
        <f t="shared" si="3"/>
        <v>8222</v>
      </c>
      <c r="J18" s="43">
        <f t="shared" si="3"/>
        <v>12559</v>
      </c>
      <c r="K18" s="43">
        <f t="shared" si="3"/>
        <v>18147</v>
      </c>
      <c r="L18" s="43">
        <f t="shared" si="3"/>
        <v>22677</v>
      </c>
      <c r="M18" s="43">
        <f t="shared" si="3"/>
        <v>24628</v>
      </c>
      <c r="N18" s="43">
        <f t="shared" si="3"/>
        <v>31521</v>
      </c>
      <c r="O18" s="43">
        <f t="shared" si="3"/>
        <v>33380</v>
      </c>
      <c r="P18" s="43">
        <f t="shared" si="3"/>
        <v>38453</v>
      </c>
      <c r="Q18" s="91"/>
    </row>
    <row r="19" spans="1:17" x14ac:dyDescent="0.35">
      <c r="A19" s="89"/>
      <c r="B19" s="8" t="s">
        <v>165</v>
      </c>
      <c r="C19" s="90"/>
      <c r="D19" s="43"/>
      <c r="E19" s="46">
        <f>ROUND($C12*E15*0.5,3)</f>
        <v>57.859000000000002</v>
      </c>
      <c r="F19" s="46">
        <f t="shared" ref="F19:P19" si="4">ROUND($C12*F15*0.5,3)</f>
        <v>622.87800000000004</v>
      </c>
      <c r="G19" s="46">
        <f t="shared" si="4"/>
        <v>2846.0309999999999</v>
      </c>
      <c r="H19" s="46">
        <f t="shared" si="4"/>
        <v>584.19100000000003</v>
      </c>
      <c r="I19" s="46">
        <f t="shared" si="4"/>
        <v>2168.3670000000002</v>
      </c>
      <c r="J19" s="46">
        <f t="shared" si="4"/>
        <v>2794.328</v>
      </c>
      <c r="K19" s="46">
        <f t="shared" si="4"/>
        <v>2264.8870000000002</v>
      </c>
      <c r="L19" s="46">
        <f t="shared" si="4"/>
        <v>975.37300000000005</v>
      </c>
      <c r="M19" s="46">
        <f t="shared" si="4"/>
        <v>3446.7689999999998</v>
      </c>
      <c r="N19" s="46">
        <f t="shared" si="4"/>
        <v>929.46799999999996</v>
      </c>
      <c r="O19" s="46">
        <f t="shared" si="4"/>
        <v>2536.5500000000002</v>
      </c>
      <c r="P19" s="46">
        <f t="shared" si="4"/>
        <v>3022.4209999999998</v>
      </c>
      <c r="Q19" s="91"/>
    </row>
    <row r="20" spans="1:17" x14ac:dyDescent="0.35">
      <c r="A20" s="89"/>
      <c r="B20" s="8" t="s">
        <v>262</v>
      </c>
      <c r="C20" s="90"/>
      <c r="D20" s="43">
        <v>0</v>
      </c>
      <c r="E20" s="43">
        <f>SUM(E18:E19)</f>
        <v>57.859000000000002</v>
      </c>
      <c r="F20" s="43">
        <f t="shared" ref="F20:P20" si="5">SUM(F18:F19)</f>
        <v>738.87800000000004</v>
      </c>
      <c r="G20" s="43">
        <f t="shared" si="5"/>
        <v>4207.0309999999999</v>
      </c>
      <c r="H20" s="43">
        <f t="shared" si="5"/>
        <v>7638.1909999999998</v>
      </c>
      <c r="I20" s="43">
        <f t="shared" si="5"/>
        <v>10390.367</v>
      </c>
      <c r="J20" s="43">
        <f t="shared" si="5"/>
        <v>15353.328</v>
      </c>
      <c r="K20" s="43">
        <f t="shared" si="5"/>
        <v>20411.886999999999</v>
      </c>
      <c r="L20" s="43">
        <f t="shared" si="5"/>
        <v>23652.373</v>
      </c>
      <c r="M20" s="43">
        <f t="shared" si="5"/>
        <v>28074.769</v>
      </c>
      <c r="N20" s="43">
        <f t="shared" si="5"/>
        <v>32450.468000000001</v>
      </c>
      <c r="O20" s="43">
        <f t="shared" si="5"/>
        <v>35916.550000000003</v>
      </c>
      <c r="P20" s="43">
        <f t="shared" si="5"/>
        <v>41475.421000000002</v>
      </c>
      <c r="Q20" s="91">
        <f>SUM(D20:P20)</f>
        <v>220367.122</v>
      </c>
    </row>
    <row r="21" spans="1:17" x14ac:dyDescent="0.35">
      <c r="A21" s="92"/>
      <c r="B21" s="93"/>
      <c r="C21" s="94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95"/>
    </row>
    <row r="22" spans="1:17" x14ac:dyDescent="0.35">
      <c r="A22" s="84"/>
      <c r="B22" s="85" t="s">
        <v>134</v>
      </c>
      <c r="C22" s="86">
        <f>2.52%/12</f>
        <v>2.0999999999999999E-3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88"/>
    </row>
    <row r="23" spans="1:17" x14ac:dyDescent="0.35">
      <c r="A23" s="89"/>
      <c r="B23" s="8" t="s">
        <v>166</v>
      </c>
      <c r="C23" s="90"/>
      <c r="D23" s="43">
        <v>0</v>
      </c>
      <c r="E23" s="43">
        <f>'3.0 Plant in Service'!D16</f>
        <v>0</v>
      </c>
      <c r="F23" s="43">
        <f>'3.0 Plant in Service'!E16</f>
        <v>0</v>
      </c>
      <c r="G23" s="43">
        <f>'3.0 Plant in Service'!F16</f>
        <v>0</v>
      </c>
      <c r="H23" s="43">
        <f>'3.0 Plant in Service'!G16</f>
        <v>0</v>
      </c>
      <c r="I23" s="43">
        <f>'3.0 Plant in Service'!H16</f>
        <v>0</v>
      </c>
      <c r="J23" s="43">
        <f>'3.0 Plant in Service'!I16</f>
        <v>0</v>
      </c>
      <c r="K23" s="43">
        <f>'3.0 Plant in Service'!J16</f>
        <v>0</v>
      </c>
      <c r="L23" s="43">
        <f>'3.0 Plant in Service'!K16</f>
        <v>0</v>
      </c>
      <c r="M23" s="43">
        <f>'3.0 Plant in Service'!L16</f>
        <v>0</v>
      </c>
      <c r="N23" s="43">
        <f>'3.0 Plant in Service'!M16</f>
        <v>0</v>
      </c>
      <c r="O23" s="43">
        <f>'3.0 Plant in Service'!N16</f>
        <v>0</v>
      </c>
      <c r="P23" s="43">
        <f>'3.0 Plant in Service'!O16</f>
        <v>0</v>
      </c>
      <c r="Q23" s="91">
        <f>SUM(D23:P23)</f>
        <v>0</v>
      </c>
    </row>
    <row r="24" spans="1:17" x14ac:dyDescent="0.35">
      <c r="A24" s="89"/>
      <c r="B24" s="8" t="s">
        <v>167</v>
      </c>
      <c r="C24" s="90"/>
      <c r="D24" s="43">
        <v>0</v>
      </c>
      <c r="E24" s="46">
        <f>'3.0 Plant in Service'!D25</f>
        <v>-7576.5300000000007</v>
      </c>
      <c r="F24" s="46">
        <f>'3.0 Plant in Service'!E25</f>
        <v>-6092.8</v>
      </c>
      <c r="G24" s="46">
        <f>'3.0 Plant in Service'!F25</f>
        <v>-17244.22</v>
      </c>
      <c r="H24" s="46">
        <f>'3.0 Plant in Service'!G25</f>
        <v>-1679.98</v>
      </c>
      <c r="I24" s="46">
        <f>'3.0 Plant in Service'!H25</f>
        <v>-9507.9599999999991</v>
      </c>
      <c r="J24" s="46">
        <f>'3.0 Plant in Service'!I25</f>
        <v>-98607.48000000001</v>
      </c>
      <c r="K24" s="46">
        <f>'3.0 Plant in Service'!J25</f>
        <v>-90900.479999999996</v>
      </c>
      <c r="L24" s="46">
        <f>'3.0 Plant in Service'!K25</f>
        <v>-73755.900000000009</v>
      </c>
      <c r="M24" s="46">
        <f>'3.0 Plant in Service'!L25</f>
        <v>-42418.09</v>
      </c>
      <c r="N24" s="46">
        <f>'3.0 Plant in Service'!M25</f>
        <v>0</v>
      </c>
      <c r="O24" s="46">
        <f>'3.0 Plant in Service'!N25</f>
        <v>-507.39</v>
      </c>
      <c r="P24" s="46">
        <f>'3.0 Plant in Service'!O25</f>
        <v>-42121.18</v>
      </c>
      <c r="Q24" s="91"/>
    </row>
    <row r="25" spans="1:17" x14ac:dyDescent="0.35">
      <c r="A25" s="89"/>
      <c r="B25" s="8" t="s">
        <v>214</v>
      </c>
      <c r="C25" s="90"/>
      <c r="D25" s="43">
        <f>SUM(D23:D24)</f>
        <v>0</v>
      </c>
      <c r="E25" s="43">
        <f t="shared" ref="E25:P25" si="6">SUM(E23:E24)</f>
        <v>-7576.5300000000007</v>
      </c>
      <c r="F25" s="43">
        <f t="shared" si="6"/>
        <v>-6092.8</v>
      </c>
      <c r="G25" s="43">
        <f t="shared" si="6"/>
        <v>-17244.22</v>
      </c>
      <c r="H25" s="43">
        <f t="shared" si="6"/>
        <v>-1679.98</v>
      </c>
      <c r="I25" s="43">
        <f t="shared" si="6"/>
        <v>-9507.9599999999991</v>
      </c>
      <c r="J25" s="43">
        <f t="shared" si="6"/>
        <v>-98607.48000000001</v>
      </c>
      <c r="K25" s="43">
        <f t="shared" si="6"/>
        <v>-90900.479999999996</v>
      </c>
      <c r="L25" s="43">
        <f t="shared" si="6"/>
        <v>-73755.900000000009</v>
      </c>
      <c r="M25" s="43">
        <f t="shared" si="6"/>
        <v>-42418.09</v>
      </c>
      <c r="N25" s="43">
        <f t="shared" si="6"/>
        <v>0</v>
      </c>
      <c r="O25" s="43">
        <f t="shared" si="6"/>
        <v>-507.39</v>
      </c>
      <c r="P25" s="43">
        <f t="shared" si="6"/>
        <v>-42121.18</v>
      </c>
      <c r="Q25" s="91">
        <f>SUM(D25:P25)</f>
        <v>-390412.01000000007</v>
      </c>
    </row>
    <row r="26" spans="1:17" x14ac:dyDescent="0.35">
      <c r="A26" s="89"/>
      <c r="B26" s="8" t="s">
        <v>163</v>
      </c>
      <c r="C26" s="90"/>
      <c r="D26" s="43">
        <v>0</v>
      </c>
      <c r="E26" s="43">
        <f t="shared" ref="E26:P26" si="7">+E25+D26</f>
        <v>-7576.5300000000007</v>
      </c>
      <c r="F26" s="43">
        <f t="shared" si="7"/>
        <v>-13669.330000000002</v>
      </c>
      <c r="G26" s="43">
        <f t="shared" si="7"/>
        <v>-30913.550000000003</v>
      </c>
      <c r="H26" s="43">
        <f t="shared" si="7"/>
        <v>-32593.530000000002</v>
      </c>
      <c r="I26" s="43">
        <f t="shared" si="7"/>
        <v>-42101.490000000005</v>
      </c>
      <c r="J26" s="43">
        <f t="shared" si="7"/>
        <v>-140708.97000000003</v>
      </c>
      <c r="K26" s="43">
        <f t="shared" si="7"/>
        <v>-231609.45</v>
      </c>
      <c r="L26" s="43">
        <f t="shared" si="7"/>
        <v>-305365.35000000003</v>
      </c>
      <c r="M26" s="43">
        <f t="shared" si="7"/>
        <v>-347783.44000000006</v>
      </c>
      <c r="N26" s="43">
        <f t="shared" si="7"/>
        <v>-347783.44000000006</v>
      </c>
      <c r="O26" s="43">
        <f t="shared" si="7"/>
        <v>-348290.83000000007</v>
      </c>
      <c r="P26" s="43">
        <f t="shared" si="7"/>
        <v>-390412.01000000007</v>
      </c>
      <c r="Q26" s="91"/>
    </row>
    <row r="27" spans="1:17" x14ac:dyDescent="0.35">
      <c r="A27" s="89"/>
      <c r="C27" s="90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91"/>
    </row>
    <row r="28" spans="1:17" x14ac:dyDescent="0.35">
      <c r="A28" s="89"/>
      <c r="B28" s="8" t="s">
        <v>164</v>
      </c>
      <c r="C28" s="90"/>
      <c r="D28" s="43"/>
      <c r="E28" s="43">
        <f t="shared" ref="E28:P28" si="8">ROUND($C22*D26,0)</f>
        <v>0</v>
      </c>
      <c r="F28" s="43">
        <f t="shared" si="8"/>
        <v>-16</v>
      </c>
      <c r="G28" s="43">
        <f t="shared" si="8"/>
        <v>-29</v>
      </c>
      <c r="H28" s="43">
        <f t="shared" si="8"/>
        <v>-65</v>
      </c>
      <c r="I28" s="43">
        <f t="shared" si="8"/>
        <v>-68</v>
      </c>
      <c r="J28" s="43">
        <f t="shared" si="8"/>
        <v>-88</v>
      </c>
      <c r="K28" s="43">
        <f t="shared" si="8"/>
        <v>-295</v>
      </c>
      <c r="L28" s="43">
        <f t="shared" si="8"/>
        <v>-486</v>
      </c>
      <c r="M28" s="43">
        <f t="shared" si="8"/>
        <v>-641</v>
      </c>
      <c r="N28" s="43">
        <f t="shared" si="8"/>
        <v>-730</v>
      </c>
      <c r="O28" s="43">
        <f t="shared" si="8"/>
        <v>-730</v>
      </c>
      <c r="P28" s="43">
        <f t="shared" si="8"/>
        <v>-731</v>
      </c>
      <c r="Q28" s="91"/>
    </row>
    <row r="29" spans="1:17" x14ac:dyDescent="0.35">
      <c r="A29" s="89"/>
      <c r="B29" s="8" t="s">
        <v>165</v>
      </c>
      <c r="C29" s="90"/>
      <c r="D29" s="43"/>
      <c r="E29" s="46">
        <f>ROUND($C22*E25*0.5,3)</f>
        <v>-7.9550000000000001</v>
      </c>
      <c r="F29" s="46">
        <f t="shared" ref="F29:P29" si="9">ROUND($C22*F25*0.5,3)</f>
        <v>-6.3970000000000002</v>
      </c>
      <c r="G29" s="46">
        <f t="shared" si="9"/>
        <v>-18.106000000000002</v>
      </c>
      <c r="H29" s="46">
        <f t="shared" si="9"/>
        <v>-1.764</v>
      </c>
      <c r="I29" s="46">
        <f t="shared" si="9"/>
        <v>-9.9830000000000005</v>
      </c>
      <c r="J29" s="46">
        <f t="shared" si="9"/>
        <v>-103.538</v>
      </c>
      <c r="K29" s="46">
        <f t="shared" si="9"/>
        <v>-95.445999999999998</v>
      </c>
      <c r="L29" s="46">
        <f t="shared" si="9"/>
        <v>-77.444000000000003</v>
      </c>
      <c r="M29" s="46">
        <f t="shared" si="9"/>
        <v>-44.539000000000001</v>
      </c>
      <c r="N29" s="46">
        <f t="shared" si="9"/>
        <v>0</v>
      </c>
      <c r="O29" s="46">
        <f t="shared" si="9"/>
        <v>-0.53300000000000003</v>
      </c>
      <c r="P29" s="46">
        <f t="shared" si="9"/>
        <v>-44.226999999999997</v>
      </c>
      <c r="Q29" s="91"/>
    </row>
    <row r="30" spans="1:17" x14ac:dyDescent="0.35">
      <c r="A30" s="89"/>
      <c r="B30" s="8" t="s">
        <v>263</v>
      </c>
      <c r="C30" s="90"/>
      <c r="D30" s="43">
        <v>0</v>
      </c>
      <c r="E30" s="43">
        <f t="shared" ref="E30:P30" si="10">SUM(E28:E29)</f>
        <v>-7.9550000000000001</v>
      </c>
      <c r="F30" s="43">
        <f t="shared" si="10"/>
        <v>-22.396999999999998</v>
      </c>
      <c r="G30" s="43">
        <f t="shared" si="10"/>
        <v>-47.106000000000002</v>
      </c>
      <c r="H30" s="43">
        <f t="shared" si="10"/>
        <v>-66.763999999999996</v>
      </c>
      <c r="I30" s="43">
        <f t="shared" si="10"/>
        <v>-77.983000000000004</v>
      </c>
      <c r="J30" s="43">
        <f t="shared" si="10"/>
        <v>-191.53800000000001</v>
      </c>
      <c r="K30" s="43">
        <f t="shared" si="10"/>
        <v>-390.44600000000003</v>
      </c>
      <c r="L30" s="43">
        <f t="shared" si="10"/>
        <v>-563.44399999999996</v>
      </c>
      <c r="M30" s="43">
        <f t="shared" si="10"/>
        <v>-685.53899999999999</v>
      </c>
      <c r="N30" s="43">
        <f t="shared" si="10"/>
        <v>-730</v>
      </c>
      <c r="O30" s="43">
        <f t="shared" si="10"/>
        <v>-730.53300000000002</v>
      </c>
      <c r="P30" s="43">
        <f t="shared" si="10"/>
        <v>-775.22699999999998</v>
      </c>
      <c r="Q30" s="91">
        <f>SUM(D30:P30)</f>
        <v>-4288.9319999999998</v>
      </c>
    </row>
    <row r="31" spans="1:17" x14ac:dyDescent="0.35">
      <c r="A31" s="92"/>
      <c r="B31" s="93"/>
      <c r="C31" s="94"/>
      <c r="D31" s="4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5"/>
    </row>
    <row r="32" spans="1:17" x14ac:dyDescent="0.35">
      <c r="A32" s="84"/>
      <c r="B32" s="85" t="s">
        <v>135</v>
      </c>
      <c r="C32" s="86">
        <f>3.98%/12</f>
        <v>3.316666666666667E-3</v>
      </c>
      <c r="D32" s="48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</row>
    <row r="33" spans="1:17" x14ac:dyDescent="0.35">
      <c r="A33" s="89"/>
      <c r="B33" s="8" t="s">
        <v>166</v>
      </c>
      <c r="C33" s="90"/>
      <c r="D33" s="43">
        <v>0</v>
      </c>
      <c r="E33" s="43">
        <f>'3.0 Plant in Service'!D17</f>
        <v>849592.64</v>
      </c>
      <c r="F33" s="43">
        <f>'3.0 Plant in Service'!E17</f>
        <v>1027481.72</v>
      </c>
      <c r="G33" s="43">
        <f>'3.0 Plant in Service'!F17</f>
        <v>1095911.02</v>
      </c>
      <c r="H33" s="43">
        <f>'3.0 Plant in Service'!G17</f>
        <v>1074077.54</v>
      </c>
      <c r="I33" s="43">
        <f>'3.0 Plant in Service'!H17</f>
        <v>1261171.98</v>
      </c>
      <c r="J33" s="43">
        <f>'3.0 Plant in Service'!I17</f>
        <v>1124603.45</v>
      </c>
      <c r="K33" s="43">
        <f>'3.0 Plant in Service'!J17</f>
        <v>946236.83000000007</v>
      </c>
      <c r="L33" s="43">
        <f>'3.0 Plant in Service'!K17</f>
        <v>1262751.21</v>
      </c>
      <c r="M33" s="43">
        <f>'3.0 Plant in Service'!L17</f>
        <v>1078244.2400000002</v>
      </c>
      <c r="N33" s="43">
        <f>'3.0 Plant in Service'!M17</f>
        <v>1523803.0500000003</v>
      </c>
      <c r="O33" s="43">
        <f>'3.0 Plant in Service'!N17</f>
        <v>861761.95000000007</v>
      </c>
      <c r="P33" s="43">
        <f>'3.0 Plant in Service'!O17</f>
        <v>782388.46</v>
      </c>
      <c r="Q33" s="91">
        <f>SUM(D33:P33)</f>
        <v>12888024.09</v>
      </c>
    </row>
    <row r="34" spans="1:17" x14ac:dyDescent="0.35">
      <c r="A34" s="89"/>
      <c r="B34" s="8" t="s">
        <v>167</v>
      </c>
      <c r="C34" s="90"/>
      <c r="D34" s="43">
        <v>0</v>
      </c>
      <c r="E34" s="46">
        <f>'3.0 Plant in Service'!D26</f>
        <v>-277338.54684376396</v>
      </c>
      <c r="F34" s="46">
        <f>'3.0 Plant in Service'!E26</f>
        <v>-116568.9110269363</v>
      </c>
      <c r="G34" s="46">
        <f>'3.0 Plant in Service'!F26</f>
        <v>-192040.81348253199</v>
      </c>
      <c r="H34" s="46">
        <f>'3.0 Plant in Service'!G26</f>
        <v>-189065.28196242961</v>
      </c>
      <c r="I34" s="46">
        <f>'3.0 Plant in Service'!H26</f>
        <v>-292187.67817744327</v>
      </c>
      <c r="J34" s="46">
        <f>'3.0 Plant in Service'!I26</f>
        <v>-358664.11432266055</v>
      </c>
      <c r="K34" s="46">
        <f>'3.0 Plant in Service'!J26</f>
        <v>-231124.9352651996</v>
      </c>
      <c r="L34" s="46">
        <f>'3.0 Plant in Service'!K26</f>
        <v>-168870.39495231336</v>
      </c>
      <c r="M34" s="46">
        <f>'3.0 Plant in Service'!L26</f>
        <v>-273184.83045736718</v>
      </c>
      <c r="N34" s="46">
        <f>'3.0 Plant in Service'!M26</f>
        <v>-178657.54023643697</v>
      </c>
      <c r="O34" s="46">
        <f>'3.0 Plant in Service'!N26</f>
        <v>-274398.30615260021</v>
      </c>
      <c r="P34" s="46">
        <f>'3.0 Plant in Service'!O26</f>
        <v>-240285.08654995094</v>
      </c>
      <c r="Q34" s="91"/>
    </row>
    <row r="35" spans="1:17" x14ac:dyDescent="0.35">
      <c r="A35" s="89"/>
      <c r="B35" s="8" t="s">
        <v>214</v>
      </c>
      <c r="C35" s="90"/>
      <c r="D35" s="43">
        <f>SUM(D33:D34)</f>
        <v>0</v>
      </c>
      <c r="E35" s="43">
        <f t="shared" ref="E35:P35" si="11">SUM(E33:E34)</f>
        <v>572254.09315623599</v>
      </c>
      <c r="F35" s="43">
        <f t="shared" si="11"/>
        <v>910912.80897306371</v>
      </c>
      <c r="G35" s="43">
        <f t="shared" si="11"/>
        <v>903870.20651746797</v>
      </c>
      <c r="H35" s="43">
        <f t="shared" si="11"/>
        <v>885012.2580375704</v>
      </c>
      <c r="I35" s="43">
        <f t="shared" si="11"/>
        <v>968984.30182255665</v>
      </c>
      <c r="J35" s="43">
        <f t="shared" si="11"/>
        <v>765939.33567733946</v>
      </c>
      <c r="K35" s="43">
        <f t="shared" si="11"/>
        <v>715111.89473480044</v>
      </c>
      <c r="L35" s="43">
        <f t="shared" si="11"/>
        <v>1093880.8150476867</v>
      </c>
      <c r="M35" s="43">
        <f t="shared" si="11"/>
        <v>805059.40954263299</v>
      </c>
      <c r="N35" s="43">
        <f t="shared" si="11"/>
        <v>1345145.5097635633</v>
      </c>
      <c r="O35" s="43">
        <f t="shared" si="11"/>
        <v>587363.64384739986</v>
      </c>
      <c r="P35" s="43">
        <f t="shared" si="11"/>
        <v>542103.37345004897</v>
      </c>
      <c r="Q35" s="91">
        <f>SUM(D35:P35)</f>
        <v>10095637.650570367</v>
      </c>
    </row>
    <row r="36" spans="1:17" x14ac:dyDescent="0.35">
      <c r="A36" s="89"/>
      <c r="B36" s="8" t="s">
        <v>163</v>
      </c>
      <c r="C36" s="90"/>
      <c r="D36" s="43">
        <v>0</v>
      </c>
      <c r="E36" s="43">
        <f t="shared" ref="E36:P36" si="12">+E35+D36</f>
        <v>572254.09315623599</v>
      </c>
      <c r="F36" s="43">
        <f t="shared" si="12"/>
        <v>1483166.9021292997</v>
      </c>
      <c r="G36" s="43">
        <f t="shared" si="12"/>
        <v>2387037.1086467677</v>
      </c>
      <c r="H36" s="43">
        <f t="shared" si="12"/>
        <v>3272049.3666843381</v>
      </c>
      <c r="I36" s="43">
        <f t="shared" si="12"/>
        <v>4241033.6685068943</v>
      </c>
      <c r="J36" s="43">
        <f t="shared" si="12"/>
        <v>5006973.004184234</v>
      </c>
      <c r="K36" s="43">
        <f t="shared" si="12"/>
        <v>5722084.8989190347</v>
      </c>
      <c r="L36" s="43">
        <f t="shared" si="12"/>
        <v>6815965.7139667217</v>
      </c>
      <c r="M36" s="43">
        <f t="shared" si="12"/>
        <v>7621025.1235093549</v>
      </c>
      <c r="N36" s="43">
        <f t="shared" si="12"/>
        <v>8966170.6332729179</v>
      </c>
      <c r="O36" s="43">
        <f t="shared" si="12"/>
        <v>9553534.2771203183</v>
      </c>
      <c r="P36" s="43">
        <f t="shared" si="12"/>
        <v>10095637.650570367</v>
      </c>
      <c r="Q36" s="91"/>
    </row>
    <row r="37" spans="1:17" x14ac:dyDescent="0.35">
      <c r="A37" s="89"/>
      <c r="C37" s="90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91"/>
    </row>
    <row r="38" spans="1:17" x14ac:dyDescent="0.35">
      <c r="A38" s="89"/>
      <c r="B38" s="8" t="s">
        <v>164</v>
      </c>
      <c r="C38" s="90"/>
      <c r="D38" s="43"/>
      <c r="E38" s="43">
        <f t="shared" ref="E38:P38" si="13">ROUND($C32*D36,0)</f>
        <v>0</v>
      </c>
      <c r="F38" s="43">
        <f t="shared" si="13"/>
        <v>1898</v>
      </c>
      <c r="G38" s="43">
        <f t="shared" si="13"/>
        <v>4919</v>
      </c>
      <c r="H38" s="43">
        <f t="shared" si="13"/>
        <v>7917</v>
      </c>
      <c r="I38" s="43">
        <f t="shared" si="13"/>
        <v>10852</v>
      </c>
      <c r="J38" s="43">
        <f t="shared" si="13"/>
        <v>14066</v>
      </c>
      <c r="K38" s="43">
        <f t="shared" si="13"/>
        <v>16606</v>
      </c>
      <c r="L38" s="43">
        <f t="shared" si="13"/>
        <v>18978</v>
      </c>
      <c r="M38" s="43">
        <f t="shared" si="13"/>
        <v>22606</v>
      </c>
      <c r="N38" s="43">
        <f t="shared" si="13"/>
        <v>25276</v>
      </c>
      <c r="O38" s="43">
        <f t="shared" si="13"/>
        <v>29738</v>
      </c>
      <c r="P38" s="43">
        <f t="shared" si="13"/>
        <v>31686</v>
      </c>
      <c r="Q38" s="91"/>
    </row>
    <row r="39" spans="1:17" x14ac:dyDescent="0.35">
      <c r="A39" s="89"/>
      <c r="B39" s="8" t="s">
        <v>165</v>
      </c>
      <c r="C39" s="90"/>
      <c r="D39" s="43"/>
      <c r="E39" s="46">
        <f>ROUND($C32*E35*0.5,3)</f>
        <v>948.98800000000006</v>
      </c>
      <c r="F39" s="46">
        <f t="shared" ref="F39:P39" si="14">ROUND($C32*F35*0.5,3)</f>
        <v>1510.597</v>
      </c>
      <c r="G39" s="46">
        <f t="shared" si="14"/>
        <v>1498.9179999999999</v>
      </c>
      <c r="H39" s="46">
        <f t="shared" si="14"/>
        <v>1467.645</v>
      </c>
      <c r="I39" s="46">
        <f t="shared" si="14"/>
        <v>1606.8989999999999</v>
      </c>
      <c r="J39" s="46">
        <f t="shared" si="14"/>
        <v>1270.183</v>
      </c>
      <c r="K39" s="46">
        <f t="shared" si="14"/>
        <v>1185.894</v>
      </c>
      <c r="L39" s="46">
        <f t="shared" si="14"/>
        <v>1814.019</v>
      </c>
      <c r="M39" s="46">
        <f t="shared" si="14"/>
        <v>1335.057</v>
      </c>
      <c r="N39" s="46">
        <f t="shared" si="14"/>
        <v>2230.6999999999998</v>
      </c>
      <c r="O39" s="46">
        <f t="shared" si="14"/>
        <v>974.04499999999996</v>
      </c>
      <c r="P39" s="46">
        <f t="shared" si="14"/>
        <v>898.98800000000006</v>
      </c>
      <c r="Q39" s="91"/>
    </row>
    <row r="40" spans="1:17" x14ac:dyDescent="0.35">
      <c r="A40" s="89"/>
      <c r="B40" s="8" t="s">
        <v>264</v>
      </c>
      <c r="C40" s="90"/>
      <c r="D40" s="43">
        <v>0</v>
      </c>
      <c r="E40" s="43">
        <f t="shared" ref="E40:P40" si="15">SUM(E38:E39)</f>
        <v>948.98800000000006</v>
      </c>
      <c r="F40" s="43">
        <f t="shared" si="15"/>
        <v>3408.5969999999998</v>
      </c>
      <c r="G40" s="43">
        <f t="shared" si="15"/>
        <v>6417.9179999999997</v>
      </c>
      <c r="H40" s="43">
        <f t="shared" si="15"/>
        <v>9384.6450000000004</v>
      </c>
      <c r="I40" s="43">
        <f t="shared" si="15"/>
        <v>12458.898999999999</v>
      </c>
      <c r="J40" s="43">
        <f t="shared" si="15"/>
        <v>15336.183000000001</v>
      </c>
      <c r="K40" s="43">
        <f t="shared" si="15"/>
        <v>17791.894</v>
      </c>
      <c r="L40" s="43">
        <f t="shared" si="15"/>
        <v>20792.019</v>
      </c>
      <c r="M40" s="43">
        <f t="shared" si="15"/>
        <v>23941.057000000001</v>
      </c>
      <c r="N40" s="43">
        <f t="shared" si="15"/>
        <v>27506.7</v>
      </c>
      <c r="O40" s="43">
        <f t="shared" si="15"/>
        <v>30712.044999999998</v>
      </c>
      <c r="P40" s="43">
        <f t="shared" si="15"/>
        <v>32584.988000000001</v>
      </c>
      <c r="Q40" s="91">
        <f>SUM(D40:P40)</f>
        <v>201283.93300000002</v>
      </c>
    </row>
    <row r="41" spans="1:17" x14ac:dyDescent="0.35">
      <c r="A41" s="92"/>
      <c r="B41" s="93"/>
      <c r="C41" s="94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95"/>
    </row>
    <row r="42" spans="1:17" x14ac:dyDescent="0.35">
      <c r="A42" s="84"/>
      <c r="B42" s="85" t="s">
        <v>136</v>
      </c>
      <c r="C42" s="86">
        <f>1.77%/12</f>
        <v>1.475E-3</v>
      </c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88"/>
    </row>
    <row r="43" spans="1:17" x14ac:dyDescent="0.35">
      <c r="A43" s="89"/>
      <c r="B43" s="8" t="s">
        <v>166</v>
      </c>
      <c r="C43" s="90"/>
      <c r="D43" s="43">
        <v>0</v>
      </c>
      <c r="E43" s="43">
        <f>'3.0 Plant in Service'!D18</f>
        <v>1645.31</v>
      </c>
      <c r="F43" s="43">
        <f>'3.0 Plant in Service'!E18</f>
        <v>0</v>
      </c>
      <c r="G43" s="43">
        <f>'3.0 Plant in Service'!F18</f>
        <v>1219.19</v>
      </c>
      <c r="H43" s="43">
        <f>'3.0 Plant in Service'!G18</f>
        <v>374.88</v>
      </c>
      <c r="I43" s="43">
        <f>'3.0 Plant in Service'!H18</f>
        <v>2800.4300000000003</v>
      </c>
      <c r="J43" s="43">
        <f>'3.0 Plant in Service'!I18</f>
        <v>4551.3500000000004</v>
      </c>
      <c r="K43" s="43">
        <f>'3.0 Plant in Service'!J18</f>
        <v>7084.41</v>
      </c>
      <c r="L43" s="43">
        <f>'3.0 Plant in Service'!K18</f>
        <v>19772.759999999998</v>
      </c>
      <c r="M43" s="43">
        <f>'3.0 Plant in Service'!L18</f>
        <v>5637.8600000000006</v>
      </c>
      <c r="N43" s="43">
        <f>'3.0 Plant in Service'!M18</f>
        <v>17703.63</v>
      </c>
      <c r="O43" s="43">
        <f>'3.0 Plant in Service'!N18</f>
        <v>14238.460000000001</v>
      </c>
      <c r="P43" s="43">
        <f>'3.0 Plant in Service'!O18</f>
        <v>10554.1</v>
      </c>
      <c r="Q43" s="91">
        <f>SUM(D43:P43)</f>
        <v>85582.380000000019</v>
      </c>
    </row>
    <row r="44" spans="1:17" x14ac:dyDescent="0.35">
      <c r="A44" s="89"/>
      <c r="B44" s="8" t="s">
        <v>167</v>
      </c>
      <c r="C44" s="90"/>
      <c r="D44" s="43">
        <v>0</v>
      </c>
      <c r="E44" s="46">
        <f>'3.0 Plant in Service'!D27</f>
        <v>-489.15000000000003</v>
      </c>
      <c r="F44" s="46">
        <f>'3.0 Plant in Service'!E27</f>
        <v>-1574.7300000000002</v>
      </c>
      <c r="G44" s="46">
        <f>'3.0 Plant in Service'!F27</f>
        <v>-2045.7900000000002</v>
      </c>
      <c r="H44" s="46">
        <f>'3.0 Plant in Service'!G27</f>
        <v>-5647.4500000000007</v>
      </c>
      <c r="I44" s="46">
        <f>'3.0 Plant in Service'!H27</f>
        <v>-3453.44</v>
      </c>
      <c r="J44" s="46">
        <f>'3.0 Plant in Service'!I27</f>
        <v>-3705.5099999999998</v>
      </c>
      <c r="K44" s="46">
        <f>'3.0 Plant in Service'!J27</f>
        <v>-5252.36</v>
      </c>
      <c r="L44" s="46">
        <f>'3.0 Plant in Service'!K27</f>
        <v>-9322.3200000000015</v>
      </c>
      <c r="M44" s="46">
        <f>'3.0 Plant in Service'!L27</f>
        <v>-4705.1100000000006</v>
      </c>
      <c r="N44" s="46">
        <f>'3.0 Plant in Service'!M27</f>
        <v>-4703.41</v>
      </c>
      <c r="O44" s="46">
        <f>'3.0 Plant in Service'!N27</f>
        <v>-3639.67</v>
      </c>
      <c r="P44" s="46">
        <f>'3.0 Plant in Service'!O27</f>
        <v>-3691.8300000000004</v>
      </c>
      <c r="Q44" s="91"/>
    </row>
    <row r="45" spans="1:17" x14ac:dyDescent="0.35">
      <c r="A45" s="89"/>
      <c r="B45" s="8" t="s">
        <v>214</v>
      </c>
      <c r="C45" s="90"/>
      <c r="D45" s="43">
        <f t="shared" ref="D45:P45" si="16">SUM(D43:D44)</f>
        <v>0</v>
      </c>
      <c r="E45" s="43">
        <f t="shared" si="16"/>
        <v>1156.1599999999999</v>
      </c>
      <c r="F45" s="43">
        <f t="shared" si="16"/>
        <v>-1574.7300000000002</v>
      </c>
      <c r="G45" s="43">
        <f t="shared" si="16"/>
        <v>-826.60000000000014</v>
      </c>
      <c r="H45" s="43">
        <f t="shared" si="16"/>
        <v>-5272.5700000000006</v>
      </c>
      <c r="I45" s="43">
        <f t="shared" si="16"/>
        <v>-653.00999999999976</v>
      </c>
      <c r="J45" s="43">
        <f t="shared" si="16"/>
        <v>845.8400000000006</v>
      </c>
      <c r="K45" s="43">
        <f t="shared" si="16"/>
        <v>1832.0500000000002</v>
      </c>
      <c r="L45" s="43">
        <f t="shared" si="16"/>
        <v>10450.439999999997</v>
      </c>
      <c r="M45" s="43">
        <f t="shared" si="16"/>
        <v>932.75</v>
      </c>
      <c r="N45" s="43">
        <f t="shared" si="16"/>
        <v>13000.220000000001</v>
      </c>
      <c r="O45" s="43">
        <f t="shared" si="16"/>
        <v>10598.79</v>
      </c>
      <c r="P45" s="43">
        <f t="shared" si="16"/>
        <v>6862.27</v>
      </c>
      <c r="Q45" s="91">
        <f>SUM(D45:P45)</f>
        <v>37351.61</v>
      </c>
    </row>
    <row r="46" spans="1:17" x14ac:dyDescent="0.35">
      <c r="A46" s="89"/>
      <c r="B46" s="8" t="s">
        <v>163</v>
      </c>
      <c r="C46" s="90"/>
      <c r="D46" s="43">
        <v>0</v>
      </c>
      <c r="E46" s="43">
        <f t="shared" ref="E46:P46" si="17">+E45+D46</f>
        <v>1156.1599999999999</v>
      </c>
      <c r="F46" s="43">
        <f t="shared" si="17"/>
        <v>-418.57000000000039</v>
      </c>
      <c r="G46" s="43">
        <f t="shared" si="17"/>
        <v>-1245.1700000000005</v>
      </c>
      <c r="H46" s="43">
        <f t="shared" si="17"/>
        <v>-6517.7400000000016</v>
      </c>
      <c r="I46" s="43">
        <f t="shared" si="17"/>
        <v>-7170.7500000000018</v>
      </c>
      <c r="J46" s="43">
        <f t="shared" si="17"/>
        <v>-6324.9100000000017</v>
      </c>
      <c r="K46" s="43">
        <f t="shared" si="17"/>
        <v>-4492.8600000000015</v>
      </c>
      <c r="L46" s="43">
        <f t="shared" si="17"/>
        <v>5957.5799999999954</v>
      </c>
      <c r="M46" s="43">
        <f t="shared" si="17"/>
        <v>6890.3299999999954</v>
      </c>
      <c r="N46" s="43">
        <f t="shared" si="17"/>
        <v>19890.549999999996</v>
      </c>
      <c r="O46" s="43">
        <f t="shared" si="17"/>
        <v>30489.339999999997</v>
      </c>
      <c r="P46" s="43">
        <f t="shared" si="17"/>
        <v>37351.61</v>
      </c>
      <c r="Q46" s="91"/>
    </row>
    <row r="47" spans="1:17" x14ac:dyDescent="0.35">
      <c r="A47" s="89"/>
      <c r="C47" s="90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91"/>
    </row>
    <row r="48" spans="1:17" x14ac:dyDescent="0.35">
      <c r="A48" s="89"/>
      <c r="B48" s="8" t="s">
        <v>164</v>
      </c>
      <c r="C48" s="90"/>
      <c r="D48" s="43"/>
      <c r="E48" s="43">
        <f t="shared" ref="E48:P48" si="18">ROUND($C42*D46,0)</f>
        <v>0</v>
      </c>
      <c r="F48" s="43">
        <f t="shared" si="18"/>
        <v>2</v>
      </c>
      <c r="G48" s="43">
        <f t="shared" si="18"/>
        <v>-1</v>
      </c>
      <c r="H48" s="43">
        <f t="shared" si="18"/>
        <v>-2</v>
      </c>
      <c r="I48" s="43">
        <f t="shared" si="18"/>
        <v>-10</v>
      </c>
      <c r="J48" s="43">
        <f t="shared" si="18"/>
        <v>-11</v>
      </c>
      <c r="K48" s="43">
        <f t="shared" si="18"/>
        <v>-9</v>
      </c>
      <c r="L48" s="43">
        <f t="shared" si="18"/>
        <v>-7</v>
      </c>
      <c r="M48" s="43">
        <f t="shared" si="18"/>
        <v>9</v>
      </c>
      <c r="N48" s="43">
        <f t="shared" si="18"/>
        <v>10</v>
      </c>
      <c r="O48" s="43">
        <f t="shared" si="18"/>
        <v>29</v>
      </c>
      <c r="P48" s="43">
        <f t="shared" si="18"/>
        <v>45</v>
      </c>
      <c r="Q48" s="91"/>
    </row>
    <row r="49" spans="1:17" x14ac:dyDescent="0.35">
      <c r="A49" s="89"/>
      <c r="B49" s="8" t="s">
        <v>165</v>
      </c>
      <c r="C49" s="90"/>
      <c r="D49" s="43"/>
      <c r="E49" s="46">
        <f>ROUND($C42*E45*0.5,3)</f>
        <v>0.85299999999999998</v>
      </c>
      <c r="F49" s="46">
        <f t="shared" ref="F49:P49" si="19">ROUND($C42*F45*0.5,3)</f>
        <v>-1.161</v>
      </c>
      <c r="G49" s="46">
        <f t="shared" si="19"/>
        <v>-0.61</v>
      </c>
      <c r="H49" s="46">
        <f t="shared" si="19"/>
        <v>-3.8889999999999998</v>
      </c>
      <c r="I49" s="46">
        <f t="shared" si="19"/>
        <v>-0.48199999999999998</v>
      </c>
      <c r="J49" s="46">
        <f t="shared" si="19"/>
        <v>0.624</v>
      </c>
      <c r="K49" s="46">
        <f t="shared" si="19"/>
        <v>1.351</v>
      </c>
      <c r="L49" s="46">
        <f t="shared" si="19"/>
        <v>7.7069999999999999</v>
      </c>
      <c r="M49" s="46">
        <f t="shared" si="19"/>
        <v>0.68799999999999994</v>
      </c>
      <c r="N49" s="46">
        <f t="shared" si="19"/>
        <v>9.5879999999999992</v>
      </c>
      <c r="O49" s="46">
        <f t="shared" si="19"/>
        <v>7.8170000000000002</v>
      </c>
      <c r="P49" s="46">
        <f t="shared" si="19"/>
        <v>5.0609999999999999</v>
      </c>
      <c r="Q49" s="91"/>
    </row>
    <row r="50" spans="1:17" x14ac:dyDescent="0.35">
      <c r="A50" s="89"/>
      <c r="B50" s="8" t="s">
        <v>265</v>
      </c>
      <c r="C50" s="90"/>
      <c r="D50" s="43">
        <v>0</v>
      </c>
      <c r="E50" s="43">
        <f t="shared" ref="E50:P50" si="20">SUM(E48:E49)</f>
        <v>0.85299999999999998</v>
      </c>
      <c r="F50" s="43">
        <f t="shared" si="20"/>
        <v>0.83899999999999997</v>
      </c>
      <c r="G50" s="43">
        <f t="shared" si="20"/>
        <v>-1.6099999999999999</v>
      </c>
      <c r="H50" s="43">
        <f t="shared" si="20"/>
        <v>-5.8889999999999993</v>
      </c>
      <c r="I50" s="43">
        <f t="shared" si="20"/>
        <v>-10.481999999999999</v>
      </c>
      <c r="J50" s="43">
        <f t="shared" si="20"/>
        <v>-10.375999999999999</v>
      </c>
      <c r="K50" s="43">
        <f t="shared" si="20"/>
        <v>-7.649</v>
      </c>
      <c r="L50" s="43">
        <f t="shared" si="20"/>
        <v>0.70699999999999985</v>
      </c>
      <c r="M50" s="43">
        <f t="shared" si="20"/>
        <v>9.6880000000000006</v>
      </c>
      <c r="N50" s="43">
        <f t="shared" si="20"/>
        <v>19.588000000000001</v>
      </c>
      <c r="O50" s="43">
        <f t="shared" si="20"/>
        <v>36.817</v>
      </c>
      <c r="P50" s="43">
        <f t="shared" si="20"/>
        <v>50.061</v>
      </c>
      <c r="Q50" s="91">
        <f>SUM(D50:P50)</f>
        <v>82.546999999999997</v>
      </c>
    </row>
    <row r="51" spans="1:17" x14ac:dyDescent="0.35">
      <c r="A51" s="92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7"/>
    </row>
    <row r="52" spans="1:17" x14ac:dyDescent="0.35">
      <c r="A52" s="84"/>
      <c r="B52" s="85" t="s">
        <v>137</v>
      </c>
      <c r="C52" s="86">
        <f>1.94%/12</f>
        <v>1.6166666666666666E-3</v>
      </c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88"/>
    </row>
    <row r="53" spans="1:17" x14ac:dyDescent="0.35">
      <c r="A53" s="89"/>
      <c r="B53" s="8" t="s">
        <v>166</v>
      </c>
      <c r="C53" s="90"/>
      <c r="D53" s="43">
        <v>0</v>
      </c>
      <c r="E53" s="43">
        <f>'3.0 Plant in Service'!D19</f>
        <v>0</v>
      </c>
      <c r="F53" s="43">
        <f>'3.0 Plant in Service'!E19</f>
        <v>0</v>
      </c>
      <c r="G53" s="43">
        <f>'3.0 Plant in Service'!F19</f>
        <v>0</v>
      </c>
      <c r="H53" s="43">
        <f>'3.0 Plant in Service'!G19</f>
        <v>0</v>
      </c>
      <c r="I53" s="43">
        <f>'3.0 Plant in Service'!H19</f>
        <v>0</v>
      </c>
      <c r="J53" s="43">
        <f>'3.0 Plant in Service'!I19</f>
        <v>0</v>
      </c>
      <c r="K53" s="43">
        <f>'3.0 Plant in Service'!J19</f>
        <v>0</v>
      </c>
      <c r="L53" s="43">
        <f>'3.0 Plant in Service'!K19</f>
        <v>0</v>
      </c>
      <c r="M53" s="43">
        <f>'3.0 Plant in Service'!L19</f>
        <v>0</v>
      </c>
      <c r="N53" s="43">
        <f>'3.0 Plant in Service'!M19</f>
        <v>0</v>
      </c>
      <c r="O53" s="43">
        <f>'3.0 Plant in Service'!N19</f>
        <v>0</v>
      </c>
      <c r="P53" s="43">
        <f>'3.0 Plant in Service'!O19</f>
        <v>0</v>
      </c>
      <c r="Q53" s="91">
        <f>SUM(D53:P53)</f>
        <v>0</v>
      </c>
    </row>
    <row r="54" spans="1:17" x14ac:dyDescent="0.35">
      <c r="A54" s="89"/>
      <c r="B54" s="8" t="s">
        <v>167</v>
      </c>
      <c r="C54" s="90"/>
      <c r="D54" s="43">
        <v>0</v>
      </c>
      <c r="E54" s="46">
        <f>'3.0 Plant in Service'!D28</f>
        <v>-188.66000000000003</v>
      </c>
      <c r="F54" s="46">
        <f>'3.0 Plant in Service'!E28</f>
        <v>-230.70000000000002</v>
      </c>
      <c r="G54" s="46">
        <f>'3.0 Plant in Service'!F28</f>
        <v>-156.80000000000001</v>
      </c>
      <c r="H54" s="46">
        <f>'3.0 Plant in Service'!G28</f>
        <v>-171.39000000000001</v>
      </c>
      <c r="I54" s="46">
        <f>'3.0 Plant in Service'!H28</f>
        <v>-348.81</v>
      </c>
      <c r="J54" s="46">
        <f>'3.0 Plant in Service'!I28</f>
        <v>-226.33</v>
      </c>
      <c r="K54" s="46">
        <f>'3.0 Plant in Service'!J28</f>
        <v>-3043.2999999999997</v>
      </c>
      <c r="L54" s="46">
        <f>'3.0 Plant in Service'!K28</f>
        <v>-197.14000000000001</v>
      </c>
      <c r="M54" s="46">
        <f>'3.0 Plant in Service'!L28</f>
        <v>-575.59</v>
      </c>
      <c r="N54" s="46">
        <f>'3.0 Plant in Service'!M28</f>
        <v>-562.87</v>
      </c>
      <c r="O54" s="46">
        <f>'3.0 Plant in Service'!N28</f>
        <v>-632.7299999999999</v>
      </c>
      <c r="P54" s="46">
        <f>'3.0 Plant in Service'!O28</f>
        <v>-534.66999999999996</v>
      </c>
      <c r="Q54" s="91"/>
    </row>
    <row r="55" spans="1:17" x14ac:dyDescent="0.35">
      <c r="A55" s="89"/>
      <c r="B55" s="8" t="s">
        <v>214</v>
      </c>
      <c r="C55" s="90"/>
      <c r="D55" s="43">
        <f t="shared" ref="D55:P55" si="21">SUM(D53:D54)</f>
        <v>0</v>
      </c>
      <c r="E55" s="43">
        <f t="shared" si="21"/>
        <v>-188.66000000000003</v>
      </c>
      <c r="F55" s="43">
        <f t="shared" si="21"/>
        <v>-230.70000000000002</v>
      </c>
      <c r="G55" s="43">
        <f t="shared" si="21"/>
        <v>-156.80000000000001</v>
      </c>
      <c r="H55" s="43">
        <f t="shared" si="21"/>
        <v>-171.39000000000001</v>
      </c>
      <c r="I55" s="43">
        <f t="shared" si="21"/>
        <v>-348.81</v>
      </c>
      <c r="J55" s="43">
        <f t="shared" si="21"/>
        <v>-226.33</v>
      </c>
      <c r="K55" s="43">
        <f t="shared" si="21"/>
        <v>-3043.2999999999997</v>
      </c>
      <c r="L55" s="43">
        <f t="shared" si="21"/>
        <v>-197.14000000000001</v>
      </c>
      <c r="M55" s="43">
        <f t="shared" si="21"/>
        <v>-575.59</v>
      </c>
      <c r="N55" s="43">
        <f t="shared" si="21"/>
        <v>-562.87</v>
      </c>
      <c r="O55" s="43">
        <f t="shared" si="21"/>
        <v>-632.7299999999999</v>
      </c>
      <c r="P55" s="43">
        <f t="shared" si="21"/>
        <v>-534.66999999999996</v>
      </c>
      <c r="Q55" s="91">
        <f>SUM(D55:P55)</f>
        <v>-6868.99</v>
      </c>
    </row>
    <row r="56" spans="1:17" x14ac:dyDescent="0.35">
      <c r="A56" s="89"/>
      <c r="B56" s="8" t="s">
        <v>163</v>
      </c>
      <c r="C56" s="90"/>
      <c r="D56" s="43">
        <v>0</v>
      </c>
      <c r="E56" s="43">
        <f t="shared" ref="E56:P56" si="22">+E55+D56</f>
        <v>-188.66000000000003</v>
      </c>
      <c r="F56" s="43">
        <f t="shared" si="22"/>
        <v>-419.36</v>
      </c>
      <c r="G56" s="43">
        <f t="shared" si="22"/>
        <v>-576.16000000000008</v>
      </c>
      <c r="H56" s="43">
        <f t="shared" si="22"/>
        <v>-747.55000000000007</v>
      </c>
      <c r="I56" s="43">
        <f t="shared" si="22"/>
        <v>-1096.3600000000001</v>
      </c>
      <c r="J56" s="43">
        <f t="shared" si="22"/>
        <v>-1322.69</v>
      </c>
      <c r="K56" s="43">
        <f t="shared" si="22"/>
        <v>-4365.99</v>
      </c>
      <c r="L56" s="43">
        <f t="shared" si="22"/>
        <v>-4563.13</v>
      </c>
      <c r="M56" s="43">
        <f t="shared" si="22"/>
        <v>-5138.72</v>
      </c>
      <c r="N56" s="43">
        <f t="shared" si="22"/>
        <v>-5701.59</v>
      </c>
      <c r="O56" s="43">
        <f t="shared" si="22"/>
        <v>-6334.32</v>
      </c>
      <c r="P56" s="43">
        <f t="shared" si="22"/>
        <v>-6868.99</v>
      </c>
      <c r="Q56" s="91"/>
    </row>
    <row r="57" spans="1:17" x14ac:dyDescent="0.35">
      <c r="A57" s="89"/>
      <c r="C57" s="90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91"/>
    </row>
    <row r="58" spans="1:17" x14ac:dyDescent="0.35">
      <c r="A58" s="89"/>
      <c r="B58" s="8" t="s">
        <v>164</v>
      </c>
      <c r="C58" s="90"/>
      <c r="D58" s="43"/>
      <c r="E58" s="43">
        <f t="shared" ref="E58:P58" si="23">ROUND($C52*D56,0)</f>
        <v>0</v>
      </c>
      <c r="F58" s="43">
        <f t="shared" si="23"/>
        <v>0</v>
      </c>
      <c r="G58" s="43">
        <f t="shared" si="23"/>
        <v>-1</v>
      </c>
      <c r="H58" s="43">
        <f t="shared" si="23"/>
        <v>-1</v>
      </c>
      <c r="I58" s="43">
        <f t="shared" si="23"/>
        <v>-1</v>
      </c>
      <c r="J58" s="43">
        <f t="shared" si="23"/>
        <v>-2</v>
      </c>
      <c r="K58" s="43">
        <f t="shared" si="23"/>
        <v>-2</v>
      </c>
      <c r="L58" s="43">
        <f t="shared" si="23"/>
        <v>-7</v>
      </c>
      <c r="M58" s="43">
        <f t="shared" si="23"/>
        <v>-7</v>
      </c>
      <c r="N58" s="43">
        <f t="shared" si="23"/>
        <v>-8</v>
      </c>
      <c r="O58" s="43">
        <f t="shared" si="23"/>
        <v>-9</v>
      </c>
      <c r="P58" s="43">
        <f t="shared" si="23"/>
        <v>-10</v>
      </c>
      <c r="Q58" s="91"/>
    </row>
    <row r="59" spans="1:17" x14ac:dyDescent="0.35">
      <c r="A59" s="89"/>
      <c r="B59" s="8" t="s">
        <v>165</v>
      </c>
      <c r="C59" s="90"/>
      <c r="D59" s="43"/>
      <c r="E59" s="46">
        <f>ROUND($C52*E55*0.5,3)</f>
        <v>-0.153</v>
      </c>
      <c r="F59" s="46">
        <f t="shared" ref="F59:P59" si="24">ROUND($C52*F55*0.5,3)</f>
        <v>-0.186</v>
      </c>
      <c r="G59" s="46">
        <f t="shared" si="24"/>
        <v>-0.127</v>
      </c>
      <c r="H59" s="46">
        <f t="shared" si="24"/>
        <v>-0.13900000000000001</v>
      </c>
      <c r="I59" s="46">
        <f t="shared" si="24"/>
        <v>-0.28199999999999997</v>
      </c>
      <c r="J59" s="46">
        <f t="shared" si="24"/>
        <v>-0.183</v>
      </c>
      <c r="K59" s="46">
        <f t="shared" si="24"/>
        <v>-2.46</v>
      </c>
      <c r="L59" s="46">
        <f t="shared" si="24"/>
        <v>-0.159</v>
      </c>
      <c r="M59" s="46">
        <f t="shared" si="24"/>
        <v>-0.46500000000000002</v>
      </c>
      <c r="N59" s="46">
        <f t="shared" si="24"/>
        <v>-0.45500000000000002</v>
      </c>
      <c r="O59" s="46">
        <f t="shared" si="24"/>
        <v>-0.51100000000000001</v>
      </c>
      <c r="P59" s="46">
        <f t="shared" si="24"/>
        <v>-0.432</v>
      </c>
      <c r="Q59" s="91"/>
    </row>
    <row r="60" spans="1:17" x14ac:dyDescent="0.35">
      <c r="A60" s="89"/>
      <c r="B60" s="8" t="s">
        <v>266</v>
      </c>
      <c r="C60" s="90"/>
      <c r="D60" s="43">
        <v>0</v>
      </c>
      <c r="E60" s="43">
        <f t="shared" ref="E60:P60" si="25">SUM(E58:E59)</f>
        <v>-0.153</v>
      </c>
      <c r="F60" s="43">
        <f t="shared" si="25"/>
        <v>-0.186</v>
      </c>
      <c r="G60" s="43">
        <f t="shared" si="25"/>
        <v>-1.127</v>
      </c>
      <c r="H60" s="43">
        <f t="shared" si="25"/>
        <v>-1.139</v>
      </c>
      <c r="I60" s="43">
        <f t="shared" si="25"/>
        <v>-1.282</v>
      </c>
      <c r="J60" s="43">
        <f t="shared" si="25"/>
        <v>-2.1829999999999998</v>
      </c>
      <c r="K60" s="43">
        <f t="shared" si="25"/>
        <v>-4.46</v>
      </c>
      <c r="L60" s="43">
        <f t="shared" si="25"/>
        <v>-7.1589999999999998</v>
      </c>
      <c r="M60" s="43">
        <f t="shared" si="25"/>
        <v>-7.4649999999999999</v>
      </c>
      <c r="N60" s="43">
        <f t="shared" si="25"/>
        <v>-8.4550000000000001</v>
      </c>
      <c r="O60" s="43">
        <f t="shared" si="25"/>
        <v>-9.5109999999999992</v>
      </c>
      <c r="P60" s="43">
        <f t="shared" si="25"/>
        <v>-10.432</v>
      </c>
      <c r="Q60" s="91">
        <f>SUM(D60:P60)</f>
        <v>-53.552000000000007</v>
      </c>
    </row>
    <row r="61" spans="1:17" x14ac:dyDescent="0.35">
      <c r="A61" s="89"/>
      <c r="Q61" s="98"/>
    </row>
    <row r="62" spans="1:17" x14ac:dyDescent="0.35">
      <c r="A62" s="84"/>
      <c r="B62" s="99" t="s">
        <v>168</v>
      </c>
      <c r="C62" s="99"/>
      <c r="D62" s="99"/>
      <c r="E62" s="48">
        <f>+E20+E30+E40+E50+E60</f>
        <v>999.59199999999998</v>
      </c>
      <c r="F62" s="48">
        <f t="shared" ref="F62:P62" si="26">+F20+F30+F40+F50+F60</f>
        <v>4125.7309999999998</v>
      </c>
      <c r="G62" s="48">
        <f t="shared" si="26"/>
        <v>10575.106</v>
      </c>
      <c r="H62" s="48">
        <f t="shared" si="26"/>
        <v>16949.044000000002</v>
      </c>
      <c r="I62" s="48">
        <f t="shared" si="26"/>
        <v>22759.519</v>
      </c>
      <c r="J62" s="48">
        <f t="shared" si="26"/>
        <v>30485.413999999997</v>
      </c>
      <c r="K62" s="48">
        <f t="shared" si="26"/>
        <v>37801.226000000002</v>
      </c>
      <c r="L62" s="48">
        <f t="shared" si="26"/>
        <v>43874.496000000006</v>
      </c>
      <c r="M62" s="48">
        <f t="shared" si="26"/>
        <v>51332.51</v>
      </c>
      <c r="N62" s="48">
        <f t="shared" si="26"/>
        <v>59238.301000000007</v>
      </c>
      <c r="O62" s="48">
        <f t="shared" si="26"/>
        <v>65925.368000000002</v>
      </c>
      <c r="P62" s="48">
        <f t="shared" si="26"/>
        <v>73324.811000000002</v>
      </c>
      <c r="Q62" s="88">
        <f>SUM(E62:P62)</f>
        <v>417391.11800000002</v>
      </c>
    </row>
    <row r="63" spans="1:17" x14ac:dyDescent="0.35">
      <c r="A63" s="89"/>
      <c r="B63" s="8" t="s">
        <v>169</v>
      </c>
      <c r="D63" s="15">
        <v>0</v>
      </c>
      <c r="E63" s="45">
        <f t="shared" ref="E63:P63" si="27">+E62+D63</f>
        <v>999.59199999999998</v>
      </c>
      <c r="F63" s="45">
        <f t="shared" si="27"/>
        <v>5125.3229999999994</v>
      </c>
      <c r="G63" s="45">
        <f t="shared" si="27"/>
        <v>15700.429</v>
      </c>
      <c r="H63" s="45">
        <f t="shared" si="27"/>
        <v>32649.473000000002</v>
      </c>
      <c r="I63" s="45">
        <f t="shared" si="27"/>
        <v>55408.991999999998</v>
      </c>
      <c r="J63" s="45">
        <f t="shared" si="27"/>
        <v>85894.405999999988</v>
      </c>
      <c r="K63" s="45">
        <f t="shared" si="27"/>
        <v>123695.63199999998</v>
      </c>
      <c r="L63" s="45">
        <f t="shared" si="27"/>
        <v>167570.128</v>
      </c>
      <c r="M63" s="45">
        <f t="shared" si="27"/>
        <v>218902.63800000001</v>
      </c>
      <c r="N63" s="45">
        <f t="shared" si="27"/>
        <v>278140.93900000001</v>
      </c>
      <c r="O63" s="45">
        <f t="shared" si="27"/>
        <v>344066.30700000003</v>
      </c>
      <c r="P63" s="45">
        <f t="shared" si="27"/>
        <v>417391.11800000002</v>
      </c>
      <c r="Q63" s="98"/>
    </row>
    <row r="64" spans="1:17" x14ac:dyDescent="0.35">
      <c r="A64" s="92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7"/>
    </row>
    <row r="73" spans="1:17" x14ac:dyDescent="0.35">
      <c r="Q73" s="9"/>
    </row>
    <row r="74" spans="1:17" x14ac:dyDescent="0.35">
      <c r="Q74" s="9" t="str">
        <f>Q1</f>
        <v>Case No. 2024-00328</v>
      </c>
    </row>
    <row r="75" spans="1:17" x14ac:dyDescent="0.35">
      <c r="Q75" s="9" t="s">
        <v>203</v>
      </c>
    </row>
    <row r="76" spans="1:17" x14ac:dyDescent="0.35">
      <c r="Q76" s="9" t="s">
        <v>212</v>
      </c>
    </row>
    <row r="77" spans="1:17" x14ac:dyDescent="0.35">
      <c r="A77" s="138" t="s">
        <v>12</v>
      </c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</row>
    <row r="78" spans="1:17" x14ac:dyDescent="0.35">
      <c r="A78" s="138" t="s">
        <v>109</v>
      </c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</row>
    <row r="79" spans="1:17" x14ac:dyDescent="0.35">
      <c r="A79" s="138" t="s">
        <v>253</v>
      </c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</row>
    <row r="81" spans="1:17" x14ac:dyDescent="0.35">
      <c r="C81" s="11" t="s">
        <v>60</v>
      </c>
      <c r="D81" s="10">
        <v>2023</v>
      </c>
      <c r="E81" s="10">
        <f>+D81+1</f>
        <v>2024</v>
      </c>
      <c r="F81" s="10">
        <f>+E81</f>
        <v>2024</v>
      </c>
      <c r="G81" s="10">
        <f t="shared" ref="G81:Q81" si="28">+F81</f>
        <v>2024</v>
      </c>
      <c r="H81" s="10">
        <f t="shared" si="28"/>
        <v>2024</v>
      </c>
      <c r="I81" s="10">
        <f t="shared" si="28"/>
        <v>2024</v>
      </c>
      <c r="J81" s="10">
        <f t="shared" si="28"/>
        <v>2024</v>
      </c>
      <c r="K81" s="10">
        <f t="shared" si="28"/>
        <v>2024</v>
      </c>
      <c r="L81" s="10">
        <f t="shared" si="28"/>
        <v>2024</v>
      </c>
      <c r="M81" s="10">
        <f t="shared" si="28"/>
        <v>2024</v>
      </c>
      <c r="N81" s="10">
        <f t="shared" si="28"/>
        <v>2024</v>
      </c>
      <c r="O81" s="10">
        <f t="shared" si="28"/>
        <v>2024</v>
      </c>
      <c r="P81" s="10">
        <f t="shared" si="28"/>
        <v>2024</v>
      </c>
      <c r="Q81" s="10">
        <f t="shared" si="28"/>
        <v>2024</v>
      </c>
    </row>
    <row r="82" spans="1:17" x14ac:dyDescent="0.35">
      <c r="C82" s="11" t="s">
        <v>23</v>
      </c>
      <c r="D82" s="10" t="s">
        <v>140</v>
      </c>
      <c r="E82" s="10" t="s">
        <v>141</v>
      </c>
      <c r="F82" s="10" t="s">
        <v>142</v>
      </c>
      <c r="G82" s="10" t="s">
        <v>143</v>
      </c>
      <c r="H82" s="10" t="s">
        <v>144</v>
      </c>
      <c r="I82" s="10" t="s">
        <v>81</v>
      </c>
      <c r="J82" s="10" t="s">
        <v>145</v>
      </c>
      <c r="K82" s="10" t="s">
        <v>146</v>
      </c>
      <c r="L82" s="10" t="s">
        <v>147</v>
      </c>
      <c r="M82" s="10" t="s">
        <v>148</v>
      </c>
      <c r="N82" s="10" t="s">
        <v>149</v>
      </c>
      <c r="O82" s="10" t="s">
        <v>150</v>
      </c>
      <c r="P82" s="10" t="s">
        <v>140</v>
      </c>
      <c r="Q82" s="10" t="s">
        <v>151</v>
      </c>
    </row>
    <row r="83" spans="1:17" x14ac:dyDescent="0.35">
      <c r="C83" s="11" t="s">
        <v>162</v>
      </c>
      <c r="D83" s="10" t="s">
        <v>92</v>
      </c>
      <c r="E83" s="10" t="s">
        <v>201</v>
      </c>
      <c r="F83" s="10" t="s">
        <v>201</v>
      </c>
      <c r="G83" s="10" t="s">
        <v>201</v>
      </c>
      <c r="H83" s="10" t="s">
        <v>201</v>
      </c>
      <c r="I83" s="10" t="s">
        <v>201</v>
      </c>
      <c r="J83" s="10" t="s">
        <v>201</v>
      </c>
      <c r="K83" s="10" t="s">
        <v>201</v>
      </c>
      <c r="L83" s="10" t="s">
        <v>201</v>
      </c>
      <c r="M83" s="10" t="s">
        <v>201</v>
      </c>
      <c r="N83" s="10" t="s">
        <v>201</v>
      </c>
      <c r="O83" s="10" t="s">
        <v>201</v>
      </c>
      <c r="P83" s="10" t="s">
        <v>201</v>
      </c>
      <c r="Q83" s="11"/>
    </row>
    <row r="84" spans="1:17" x14ac:dyDescent="0.35">
      <c r="B84" s="81"/>
      <c r="C84" s="81"/>
    </row>
    <row r="85" spans="1:17" x14ac:dyDescent="0.35">
      <c r="A85" s="84"/>
      <c r="B85" s="85" t="s">
        <v>133</v>
      </c>
      <c r="C85" s="86">
        <f>1.74%/12</f>
        <v>1.4499999999999999E-3</v>
      </c>
      <c r="D85" s="48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8"/>
    </row>
    <row r="86" spans="1:17" x14ac:dyDescent="0.35">
      <c r="A86" s="89"/>
      <c r="B86" s="8" t="s">
        <v>166</v>
      </c>
      <c r="C86" s="90"/>
      <c r="D86" s="43">
        <v>0</v>
      </c>
      <c r="E86" s="43">
        <f>+'3.0 Plant in Service'!D85</f>
        <v>1294211.6466015163</v>
      </c>
      <c r="F86" s="43">
        <f>+'3.0 Plant in Service'!E85</f>
        <v>580082.2960849338</v>
      </c>
      <c r="G86" s="43">
        <f>+'3.0 Plant in Service'!F85</f>
        <v>1679819.5614238442</v>
      </c>
      <c r="H86" s="43">
        <f>+'3.0 Plant in Service'!G85</f>
        <v>1085099.0430508142</v>
      </c>
      <c r="I86" s="43">
        <f>+'3.0 Plant in Service'!H85</f>
        <v>1715794.2553764428</v>
      </c>
      <c r="J86" s="43">
        <f>+'3.0 Plant in Service'!I85</f>
        <v>1857378.4875855374</v>
      </c>
      <c r="K86" s="43">
        <f>+'3.0 Plant in Service'!J85</f>
        <v>1190107.9726593986</v>
      </c>
      <c r="L86" s="43">
        <f>+'3.0 Plant in Service'!K85</f>
        <v>1137187.6338959769</v>
      </c>
      <c r="M86" s="43">
        <f>+'3.0 Plant in Service'!L85</f>
        <v>2783904.0244020014</v>
      </c>
      <c r="N86" s="43">
        <f>+'3.0 Plant in Service'!M85</f>
        <v>3427744.7341480013</v>
      </c>
      <c r="O86" s="43">
        <f>+'3.0 Plant in Service'!N85</f>
        <v>1808638.0889471162</v>
      </c>
      <c r="P86" s="43">
        <f>+'3.0 Plant in Service'!O85</f>
        <v>3267355.6289632525</v>
      </c>
      <c r="Q86" s="91">
        <f>SUM(D86:P86)</f>
        <v>21827323.373138838</v>
      </c>
    </row>
    <row r="87" spans="1:17" x14ac:dyDescent="0.35">
      <c r="A87" s="89"/>
      <c r="B87" s="8" t="s">
        <v>167</v>
      </c>
      <c r="C87" s="90"/>
      <c r="D87" s="43">
        <v>0</v>
      </c>
      <c r="E87" s="46">
        <f>+'3.0 Plant in Service'!D94</f>
        <v>-10872.773776682474</v>
      </c>
      <c r="F87" s="46">
        <f>+'3.0 Plant in Service'!E94</f>
        <v>-464.11277508543861</v>
      </c>
      <c r="G87" s="46">
        <f>+'3.0 Plant in Service'!F94</f>
        <v>-799.82350260522298</v>
      </c>
      <c r="H87" s="46">
        <f>+'3.0 Plant in Service'!G94</f>
        <v>-5865.2104164145521</v>
      </c>
      <c r="I87" s="46">
        <f>+'3.0 Plant in Service'!H94</f>
        <v>-8774.2712834546182</v>
      </c>
      <c r="J87" s="46">
        <f>+'3.0 Plant in Service'!I94</f>
        <v>-1945.5473091633708</v>
      </c>
      <c r="K87" s="46">
        <f>+'3.0 Plant in Service'!J94</f>
        <v>-7052.2056015152011</v>
      </c>
      <c r="L87" s="46">
        <f>+'3.0 Plant in Service'!K94</f>
        <v>-1219.9458611167438</v>
      </c>
      <c r="M87" s="46">
        <f>+'3.0 Plant in Service'!L94</f>
        <v>-45568.520140757675</v>
      </c>
      <c r="N87" s="46">
        <f>+'3.0 Plant in Service'!M94</f>
        <v>-45748.70778525417</v>
      </c>
      <c r="O87" s="46">
        <f>+'3.0 Plant in Service'!N94</f>
        <v>-28291.125201744471</v>
      </c>
      <c r="P87" s="46">
        <f>+'3.0 Plant in Service'!O94</f>
        <v>-114056.75634620605</v>
      </c>
      <c r="Q87" s="91"/>
    </row>
    <row r="88" spans="1:17" x14ac:dyDescent="0.35">
      <c r="A88" s="89"/>
      <c r="B88" s="8" t="s">
        <v>214</v>
      </c>
      <c r="C88" s="90"/>
      <c r="D88" s="43">
        <f>SUM(D86:D87)</f>
        <v>0</v>
      </c>
      <c r="E88" s="43">
        <f>SUM(E86:E87)</f>
        <v>1283338.8728248337</v>
      </c>
      <c r="F88" s="43">
        <f t="shared" ref="F88:P88" si="29">SUM(F86:F87)</f>
        <v>579618.1833098483</v>
      </c>
      <c r="G88" s="43">
        <f t="shared" si="29"/>
        <v>1679019.7379212389</v>
      </c>
      <c r="H88" s="43">
        <f t="shared" si="29"/>
        <v>1079233.8326343996</v>
      </c>
      <c r="I88" s="43">
        <f t="shared" si="29"/>
        <v>1707019.9840929881</v>
      </c>
      <c r="J88" s="43">
        <f t="shared" si="29"/>
        <v>1855432.9402763741</v>
      </c>
      <c r="K88" s="43">
        <f t="shared" si="29"/>
        <v>1183055.7670578833</v>
      </c>
      <c r="L88" s="43">
        <f t="shared" si="29"/>
        <v>1135967.6880348602</v>
      </c>
      <c r="M88" s="43">
        <f t="shared" si="29"/>
        <v>2738335.5042612436</v>
      </c>
      <c r="N88" s="43">
        <f t="shared" si="29"/>
        <v>3381996.026362747</v>
      </c>
      <c r="O88" s="43">
        <f t="shared" si="29"/>
        <v>1780346.9637453717</v>
      </c>
      <c r="P88" s="43">
        <f t="shared" si="29"/>
        <v>3153298.8726170463</v>
      </c>
      <c r="Q88" s="91">
        <f>SUM(D88:P88)</f>
        <v>21556664.373138838</v>
      </c>
    </row>
    <row r="89" spans="1:17" x14ac:dyDescent="0.35">
      <c r="A89" s="89"/>
      <c r="B89" s="8" t="s">
        <v>163</v>
      </c>
      <c r="C89" s="90"/>
      <c r="D89" s="136">
        <f>Q15</f>
        <v>30688444.449999999</v>
      </c>
      <c r="E89" s="43">
        <f>+E88+D89</f>
        <v>31971783.322824832</v>
      </c>
      <c r="F89" s="43">
        <f t="shared" ref="F89:P89" si="30">+F88+E89</f>
        <v>32551401.506134681</v>
      </c>
      <c r="G89" s="43">
        <f t="shared" si="30"/>
        <v>34230421.244055919</v>
      </c>
      <c r="H89" s="43">
        <f t="shared" si="30"/>
        <v>35309655.076690316</v>
      </c>
      <c r="I89" s="43">
        <f t="shared" si="30"/>
        <v>37016675.060783304</v>
      </c>
      <c r="J89" s="43">
        <f t="shared" si="30"/>
        <v>38872108.001059681</v>
      </c>
      <c r="K89" s="43">
        <f t="shared" si="30"/>
        <v>40055163.768117562</v>
      </c>
      <c r="L89" s="43">
        <f t="shared" si="30"/>
        <v>41191131.456152424</v>
      </c>
      <c r="M89" s="43">
        <f t="shared" si="30"/>
        <v>43929466.960413665</v>
      </c>
      <c r="N89" s="43">
        <f t="shared" si="30"/>
        <v>47311462.986776412</v>
      </c>
      <c r="O89" s="43">
        <f t="shared" si="30"/>
        <v>49091809.950521782</v>
      </c>
      <c r="P89" s="43">
        <f t="shared" si="30"/>
        <v>52245108.823138826</v>
      </c>
      <c r="Q89" s="91"/>
    </row>
    <row r="90" spans="1:17" x14ac:dyDescent="0.35">
      <c r="A90" s="89"/>
      <c r="C90" s="90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91"/>
    </row>
    <row r="91" spans="1:17" x14ac:dyDescent="0.35">
      <c r="A91" s="89"/>
      <c r="B91" s="8" t="s">
        <v>164</v>
      </c>
      <c r="C91" s="90"/>
      <c r="D91" s="43"/>
      <c r="E91" s="43">
        <f>ROUND($C85*D89,0)</f>
        <v>44498</v>
      </c>
      <c r="F91" s="43">
        <f t="shared" ref="F91:P91" si="31">ROUND($C85*E89,0)</f>
        <v>46359</v>
      </c>
      <c r="G91" s="43">
        <f t="shared" si="31"/>
        <v>47200</v>
      </c>
      <c r="H91" s="43">
        <f t="shared" si="31"/>
        <v>49634</v>
      </c>
      <c r="I91" s="43">
        <f t="shared" si="31"/>
        <v>51199</v>
      </c>
      <c r="J91" s="43">
        <f t="shared" si="31"/>
        <v>53674</v>
      </c>
      <c r="K91" s="43">
        <f t="shared" si="31"/>
        <v>56365</v>
      </c>
      <c r="L91" s="43">
        <f t="shared" si="31"/>
        <v>58080</v>
      </c>
      <c r="M91" s="43">
        <f t="shared" si="31"/>
        <v>59727</v>
      </c>
      <c r="N91" s="43">
        <f t="shared" si="31"/>
        <v>63698</v>
      </c>
      <c r="O91" s="43">
        <f t="shared" si="31"/>
        <v>68602</v>
      </c>
      <c r="P91" s="43">
        <f t="shared" si="31"/>
        <v>71183</v>
      </c>
      <c r="Q91" s="91"/>
    </row>
    <row r="92" spans="1:17" x14ac:dyDescent="0.35">
      <c r="A92" s="89"/>
      <c r="B92" s="8" t="s">
        <v>165</v>
      </c>
      <c r="C92" s="90"/>
      <c r="D92" s="43"/>
      <c r="E92" s="46">
        <f>ROUND($C85*E88*0.5,3)</f>
        <v>930.42100000000005</v>
      </c>
      <c r="F92" s="46">
        <f t="shared" ref="F92:P92" si="32">ROUND($C85*F88*0.5,3)</f>
        <v>420.22300000000001</v>
      </c>
      <c r="G92" s="46">
        <f t="shared" si="32"/>
        <v>1217.289</v>
      </c>
      <c r="H92" s="46">
        <f t="shared" si="32"/>
        <v>782.44500000000005</v>
      </c>
      <c r="I92" s="46">
        <f t="shared" si="32"/>
        <v>1237.5889999999999</v>
      </c>
      <c r="J92" s="46">
        <f t="shared" si="32"/>
        <v>1345.1890000000001</v>
      </c>
      <c r="K92" s="46">
        <f t="shared" si="32"/>
        <v>857.71500000000003</v>
      </c>
      <c r="L92" s="46">
        <f t="shared" si="32"/>
        <v>823.577</v>
      </c>
      <c r="M92" s="46">
        <f t="shared" si="32"/>
        <v>1985.2929999999999</v>
      </c>
      <c r="N92" s="46">
        <f t="shared" si="32"/>
        <v>2451.9470000000001</v>
      </c>
      <c r="O92" s="46">
        <f t="shared" si="32"/>
        <v>1290.752</v>
      </c>
      <c r="P92" s="46">
        <f t="shared" si="32"/>
        <v>2286.1419999999998</v>
      </c>
      <c r="Q92" s="91"/>
    </row>
    <row r="93" spans="1:17" x14ac:dyDescent="0.35">
      <c r="A93" s="89"/>
      <c r="B93" s="8" t="s">
        <v>262</v>
      </c>
      <c r="C93" s="90"/>
      <c r="D93" s="43">
        <v>0</v>
      </c>
      <c r="E93" s="43">
        <f>SUM(E91:E92)</f>
        <v>45428.421000000002</v>
      </c>
      <c r="F93" s="43">
        <f t="shared" ref="F93:P93" si="33">SUM(F91:F92)</f>
        <v>46779.222999999998</v>
      </c>
      <c r="G93" s="43">
        <f t="shared" si="33"/>
        <v>48417.288999999997</v>
      </c>
      <c r="H93" s="43">
        <f t="shared" si="33"/>
        <v>50416.445</v>
      </c>
      <c r="I93" s="43">
        <f t="shared" si="33"/>
        <v>52436.589</v>
      </c>
      <c r="J93" s="43">
        <f t="shared" si="33"/>
        <v>55019.188999999998</v>
      </c>
      <c r="K93" s="43">
        <f t="shared" si="33"/>
        <v>57222.714999999997</v>
      </c>
      <c r="L93" s="43">
        <f t="shared" si="33"/>
        <v>58903.576999999997</v>
      </c>
      <c r="M93" s="43">
        <f t="shared" si="33"/>
        <v>61712.292999999998</v>
      </c>
      <c r="N93" s="43">
        <f t="shared" si="33"/>
        <v>66149.947</v>
      </c>
      <c r="O93" s="43">
        <f t="shared" si="33"/>
        <v>69892.751999999993</v>
      </c>
      <c r="P93" s="43">
        <f t="shared" si="33"/>
        <v>73469.141999999993</v>
      </c>
      <c r="Q93" s="91">
        <f>SUM(D93:P93)</f>
        <v>685847.58200000005</v>
      </c>
    </row>
    <row r="94" spans="1:17" x14ac:dyDescent="0.35">
      <c r="A94" s="92"/>
      <c r="B94" s="93"/>
      <c r="C94" s="94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95"/>
    </row>
    <row r="95" spans="1:17" x14ac:dyDescent="0.35">
      <c r="A95" s="84"/>
      <c r="B95" s="85" t="s">
        <v>134</v>
      </c>
      <c r="C95" s="86">
        <f>2.52%/12</f>
        <v>2.0999999999999999E-3</v>
      </c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88"/>
    </row>
    <row r="96" spans="1:17" x14ac:dyDescent="0.35">
      <c r="A96" s="89"/>
      <c r="B96" s="8" t="s">
        <v>166</v>
      </c>
      <c r="C96" s="90"/>
      <c r="D96" s="43">
        <v>0</v>
      </c>
      <c r="E96" s="43">
        <f>+'3.0 Plant in Service'!D86</f>
        <v>42392.263430322208</v>
      </c>
      <c r="F96" s="43">
        <f>+'3.0 Plant in Service'!E86</f>
        <v>62102.423812867797</v>
      </c>
      <c r="G96" s="43">
        <f>+'3.0 Plant in Service'!F86</f>
        <v>130247.66570237011</v>
      </c>
      <c r="H96" s="43">
        <f>+'3.0 Plant in Service'!G86</f>
        <v>99194.37712408138</v>
      </c>
      <c r="I96" s="43">
        <f>+'3.0 Plant in Service'!H86</f>
        <v>372549.15617829165</v>
      </c>
      <c r="J96" s="43">
        <f>+'3.0 Plant in Service'!I86</f>
        <v>14630.75963536322</v>
      </c>
      <c r="K96" s="43">
        <f>+'3.0 Plant in Service'!J86</f>
        <v>265825.43520575226</v>
      </c>
      <c r="L96" s="43">
        <f>+'3.0 Plant in Service'!K86</f>
        <v>17290.954004861935</v>
      </c>
      <c r="M96" s="43">
        <f>+'3.0 Plant in Service'!L86</f>
        <v>57075.666214932549</v>
      </c>
      <c r="N96" s="43">
        <f>+'3.0 Plant in Service'!M86</f>
        <v>39486.911132408895</v>
      </c>
      <c r="O96" s="43">
        <f>+'3.0 Plant in Service'!N86</f>
        <v>75803.69957783568</v>
      </c>
      <c r="P96" s="43">
        <f>+'3.0 Plant in Service'!O86</f>
        <v>146303.31484207869</v>
      </c>
      <c r="Q96" s="91">
        <f>SUM(D96:P96)</f>
        <v>1322902.6268611662</v>
      </c>
    </row>
    <row r="97" spans="1:17" x14ac:dyDescent="0.35">
      <c r="A97" s="89"/>
      <c r="B97" s="8" t="s">
        <v>167</v>
      </c>
      <c r="C97" s="90"/>
      <c r="D97" s="43">
        <v>0</v>
      </c>
      <c r="E97" s="46">
        <f>+'3.0 Plant in Service'!D95</f>
        <v>-13920.699075574954</v>
      </c>
      <c r="F97" s="46">
        <f>+'3.0 Plant in Service'!E95</f>
        <v>-9726.7310281905829</v>
      </c>
      <c r="G97" s="46">
        <f>+'3.0 Plant in Service'!F95</f>
        <v>-5995.3760908477088</v>
      </c>
      <c r="H97" s="46">
        <f>+'3.0 Plant in Service'!G95</f>
        <v>-14286.84987086611</v>
      </c>
      <c r="I97" s="46">
        <f>+'3.0 Plant in Service'!H95</f>
        <v>-21330.138679792384</v>
      </c>
      <c r="J97" s="46">
        <f>+'3.0 Plant in Service'!I95</f>
        <v>-32162.548412264143</v>
      </c>
      <c r="K97" s="46">
        <f>+'3.0 Plant in Service'!J95</f>
        <v>-56110.765664551844</v>
      </c>
      <c r="L97" s="46">
        <f>+'3.0 Plant in Service'!K95</f>
        <v>-23514.051427214676</v>
      </c>
      <c r="M97" s="46">
        <f>+'3.0 Plant in Service'!L95</f>
        <v>-42480.748564683585</v>
      </c>
      <c r="N97" s="46">
        <f>+'3.0 Plant in Service'!M95</f>
        <v>-26692.364387453785</v>
      </c>
      <c r="O97" s="46">
        <f>+'3.0 Plant in Service'!N95</f>
        <v>-47655.24780919504</v>
      </c>
      <c r="P97" s="46">
        <f>+'3.0 Plant in Service'!O95</f>
        <v>-38834.478989365198</v>
      </c>
      <c r="Q97" s="91"/>
    </row>
    <row r="98" spans="1:17" x14ac:dyDescent="0.35">
      <c r="A98" s="89"/>
      <c r="B98" s="8" t="s">
        <v>214</v>
      </c>
      <c r="C98" s="90"/>
      <c r="D98" s="43">
        <f t="shared" ref="D98:P98" si="34">SUM(D96:D97)</f>
        <v>0</v>
      </c>
      <c r="E98" s="43">
        <f t="shared" si="34"/>
        <v>28471.564354747254</v>
      </c>
      <c r="F98" s="43">
        <f t="shared" si="34"/>
        <v>52375.692784677216</v>
      </c>
      <c r="G98" s="43">
        <f t="shared" si="34"/>
        <v>124252.2896115224</v>
      </c>
      <c r="H98" s="43">
        <f t="shared" si="34"/>
        <v>84907.527253215274</v>
      </c>
      <c r="I98" s="43">
        <f t="shared" si="34"/>
        <v>351219.01749849925</v>
      </c>
      <c r="J98" s="43">
        <f t="shared" si="34"/>
        <v>-17531.788776900925</v>
      </c>
      <c r="K98" s="43">
        <f t="shared" si="34"/>
        <v>209714.66954120042</v>
      </c>
      <c r="L98" s="43">
        <f t="shared" si="34"/>
        <v>-6223.097422352741</v>
      </c>
      <c r="M98" s="43">
        <f t="shared" si="34"/>
        <v>14594.917650248964</v>
      </c>
      <c r="N98" s="43">
        <f t="shared" si="34"/>
        <v>12794.546744955111</v>
      </c>
      <c r="O98" s="43">
        <f t="shared" si="34"/>
        <v>28148.45176864064</v>
      </c>
      <c r="P98" s="43">
        <f t="shared" si="34"/>
        <v>107468.8358527135</v>
      </c>
      <c r="Q98" s="91">
        <f>SUM(D98:P98)</f>
        <v>990192.62686116621</v>
      </c>
    </row>
    <row r="99" spans="1:17" x14ac:dyDescent="0.35">
      <c r="A99" s="89"/>
      <c r="B99" s="8" t="s">
        <v>163</v>
      </c>
      <c r="C99" s="90"/>
      <c r="D99" s="43">
        <f>Q25</f>
        <v>-390412.01000000007</v>
      </c>
      <c r="E99" s="43">
        <f t="shared" ref="E99:P99" si="35">+E98+D99</f>
        <v>-361940.44564525282</v>
      </c>
      <c r="F99" s="43">
        <f t="shared" si="35"/>
        <v>-309564.75286057562</v>
      </c>
      <c r="G99" s="43">
        <f t="shared" si="35"/>
        <v>-185312.46324905322</v>
      </c>
      <c r="H99" s="43">
        <f t="shared" si="35"/>
        <v>-100404.93599583795</v>
      </c>
      <c r="I99" s="43">
        <f t="shared" si="35"/>
        <v>250814.08150266128</v>
      </c>
      <c r="J99" s="43">
        <f t="shared" si="35"/>
        <v>233282.29272576037</v>
      </c>
      <c r="K99" s="43">
        <f t="shared" si="35"/>
        <v>442996.96226696076</v>
      </c>
      <c r="L99" s="43">
        <f t="shared" si="35"/>
        <v>436773.864844608</v>
      </c>
      <c r="M99" s="43">
        <f t="shared" si="35"/>
        <v>451368.78249485698</v>
      </c>
      <c r="N99" s="43">
        <f t="shared" si="35"/>
        <v>464163.3292398121</v>
      </c>
      <c r="O99" s="43">
        <f t="shared" si="35"/>
        <v>492311.78100845276</v>
      </c>
      <c r="P99" s="43">
        <f t="shared" si="35"/>
        <v>599780.6168611662</v>
      </c>
      <c r="Q99" s="91"/>
    </row>
    <row r="100" spans="1:17" x14ac:dyDescent="0.35">
      <c r="A100" s="89"/>
      <c r="C100" s="90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91"/>
    </row>
    <row r="101" spans="1:17" x14ac:dyDescent="0.35">
      <c r="A101" s="89"/>
      <c r="B101" s="8" t="s">
        <v>164</v>
      </c>
      <c r="C101" s="90"/>
      <c r="D101" s="43"/>
      <c r="E101" s="43">
        <f>ROUND($C95*D99,0)</f>
        <v>-820</v>
      </c>
      <c r="F101" s="43">
        <f t="shared" ref="F101:P101" si="36">ROUND($C95*E99,0)</f>
        <v>-760</v>
      </c>
      <c r="G101" s="43">
        <f t="shared" si="36"/>
        <v>-650</v>
      </c>
      <c r="H101" s="43">
        <f t="shared" si="36"/>
        <v>-389</v>
      </c>
      <c r="I101" s="43">
        <f t="shared" si="36"/>
        <v>-211</v>
      </c>
      <c r="J101" s="43">
        <f t="shared" si="36"/>
        <v>527</v>
      </c>
      <c r="K101" s="43">
        <f t="shared" si="36"/>
        <v>490</v>
      </c>
      <c r="L101" s="43">
        <f t="shared" si="36"/>
        <v>930</v>
      </c>
      <c r="M101" s="43">
        <f t="shared" si="36"/>
        <v>917</v>
      </c>
      <c r="N101" s="43">
        <f t="shared" si="36"/>
        <v>948</v>
      </c>
      <c r="O101" s="43">
        <f t="shared" si="36"/>
        <v>975</v>
      </c>
      <c r="P101" s="43">
        <f t="shared" si="36"/>
        <v>1034</v>
      </c>
      <c r="Q101" s="91"/>
    </row>
    <row r="102" spans="1:17" x14ac:dyDescent="0.35">
      <c r="A102" s="89"/>
      <c r="B102" s="8" t="s">
        <v>165</v>
      </c>
      <c r="C102" s="90"/>
      <c r="D102" s="43"/>
      <c r="E102" s="46">
        <f>ROUND($C95*E98*0.5,3)</f>
        <v>29.895</v>
      </c>
      <c r="F102" s="46">
        <f t="shared" ref="F102:P102" si="37">ROUND($C95*F98*0.5,3)</f>
        <v>54.994</v>
      </c>
      <c r="G102" s="46">
        <f t="shared" si="37"/>
        <v>130.465</v>
      </c>
      <c r="H102" s="46">
        <f t="shared" si="37"/>
        <v>89.153000000000006</v>
      </c>
      <c r="I102" s="46">
        <f t="shared" si="37"/>
        <v>368.78</v>
      </c>
      <c r="J102" s="46">
        <f t="shared" si="37"/>
        <v>-18.408000000000001</v>
      </c>
      <c r="K102" s="46">
        <f t="shared" si="37"/>
        <v>220.2</v>
      </c>
      <c r="L102" s="46">
        <f t="shared" si="37"/>
        <v>-6.5339999999999998</v>
      </c>
      <c r="M102" s="46">
        <f t="shared" si="37"/>
        <v>15.324999999999999</v>
      </c>
      <c r="N102" s="46">
        <f t="shared" si="37"/>
        <v>13.433999999999999</v>
      </c>
      <c r="O102" s="46">
        <f t="shared" si="37"/>
        <v>29.556000000000001</v>
      </c>
      <c r="P102" s="46">
        <f t="shared" si="37"/>
        <v>112.842</v>
      </c>
      <c r="Q102" s="91"/>
    </row>
    <row r="103" spans="1:17" x14ac:dyDescent="0.35">
      <c r="A103" s="89"/>
      <c r="B103" s="8" t="s">
        <v>263</v>
      </c>
      <c r="C103" s="90"/>
      <c r="D103" s="43">
        <v>0</v>
      </c>
      <c r="E103" s="43">
        <f t="shared" ref="E103:P103" si="38">SUM(E101:E102)</f>
        <v>-790.10500000000002</v>
      </c>
      <c r="F103" s="43">
        <f t="shared" si="38"/>
        <v>-705.00599999999997</v>
      </c>
      <c r="G103" s="43">
        <f t="shared" si="38"/>
        <v>-519.53499999999997</v>
      </c>
      <c r="H103" s="43">
        <f t="shared" si="38"/>
        <v>-299.84699999999998</v>
      </c>
      <c r="I103" s="43">
        <f t="shared" si="38"/>
        <v>157.77999999999997</v>
      </c>
      <c r="J103" s="43">
        <f t="shared" si="38"/>
        <v>508.59199999999998</v>
      </c>
      <c r="K103" s="43">
        <f t="shared" si="38"/>
        <v>710.2</v>
      </c>
      <c r="L103" s="43">
        <f t="shared" si="38"/>
        <v>923.46600000000001</v>
      </c>
      <c r="M103" s="43">
        <f t="shared" si="38"/>
        <v>932.32500000000005</v>
      </c>
      <c r="N103" s="43">
        <f t="shared" si="38"/>
        <v>961.43399999999997</v>
      </c>
      <c r="O103" s="43">
        <f t="shared" si="38"/>
        <v>1004.556</v>
      </c>
      <c r="P103" s="43">
        <f t="shared" si="38"/>
        <v>1146.8420000000001</v>
      </c>
      <c r="Q103" s="91">
        <f>SUM(D103:P103)</f>
        <v>4030.7020000000007</v>
      </c>
    </row>
    <row r="104" spans="1:17" x14ac:dyDescent="0.35">
      <c r="A104" s="92"/>
      <c r="B104" s="93"/>
      <c r="C104" s="94"/>
      <c r="D104" s="4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5"/>
    </row>
    <row r="105" spans="1:17" x14ac:dyDescent="0.35">
      <c r="A105" s="84"/>
      <c r="B105" s="85" t="s">
        <v>135</v>
      </c>
      <c r="C105" s="86">
        <f>3.98%/12</f>
        <v>3.316666666666667E-3</v>
      </c>
      <c r="D105" s="48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8"/>
    </row>
    <row r="106" spans="1:17" x14ac:dyDescent="0.35">
      <c r="A106" s="89"/>
      <c r="B106" s="8" t="s">
        <v>166</v>
      </c>
      <c r="C106" s="90"/>
      <c r="D106" s="43">
        <v>0</v>
      </c>
      <c r="E106" s="43">
        <f>+'3.0 Plant in Service'!D87</f>
        <v>1097144.459369564</v>
      </c>
      <c r="F106" s="43">
        <f>+'3.0 Plant in Service'!E87</f>
        <v>1076101.5443720815</v>
      </c>
      <c r="G106" s="43">
        <f>+'3.0 Plant in Service'!F87</f>
        <v>1440237.1277296715</v>
      </c>
      <c r="H106" s="43">
        <f>+'3.0 Plant in Service'!G87</f>
        <v>1574435.5227747224</v>
      </c>
      <c r="I106" s="43">
        <f>+'3.0 Plant in Service'!H87</f>
        <v>1706521.1093863628</v>
      </c>
      <c r="J106" s="43">
        <f>+'3.0 Plant in Service'!I87</f>
        <v>1576620.4344810885</v>
      </c>
      <c r="K106" s="43">
        <f>+'3.0 Plant in Service'!J87</f>
        <v>1258019.5642696579</v>
      </c>
      <c r="L106" s="43">
        <f>+'3.0 Plant in Service'!K87</f>
        <v>1653824.3615050942</v>
      </c>
      <c r="M106" s="43">
        <f>+'3.0 Plant in Service'!L87</f>
        <v>1609212.253741326</v>
      </c>
      <c r="N106" s="43">
        <f>+'3.0 Plant in Service'!M87</f>
        <v>1258222.4812342657</v>
      </c>
      <c r="O106" s="43">
        <f>+'3.0 Plant in Service'!N87</f>
        <v>1229330.0759411473</v>
      </c>
      <c r="P106" s="43">
        <f>+'3.0 Plant in Service'!O87</f>
        <v>1237369.0651950168</v>
      </c>
      <c r="Q106" s="91">
        <f>SUM(D106:P106)</f>
        <v>16717038</v>
      </c>
    </row>
    <row r="107" spans="1:17" x14ac:dyDescent="0.35">
      <c r="A107" s="89"/>
      <c r="B107" s="8" t="s">
        <v>167</v>
      </c>
      <c r="C107" s="90"/>
      <c r="D107" s="43">
        <v>0</v>
      </c>
      <c r="E107" s="46">
        <f>+'3.0 Plant in Service'!D96</f>
        <v>-261131.07673132105</v>
      </c>
      <c r="F107" s="46">
        <f>+'3.0 Plant in Service'!E96</f>
        <v>-272770.63943737978</v>
      </c>
      <c r="G107" s="46">
        <f>+'3.0 Plant in Service'!F96</f>
        <v>-277541.40632934205</v>
      </c>
      <c r="H107" s="46">
        <f>+'3.0 Plant in Service'!G96</f>
        <v>-437686.54688831879</v>
      </c>
      <c r="I107" s="46">
        <f>+'3.0 Plant in Service'!H96</f>
        <v>-444461.42472238117</v>
      </c>
      <c r="J107" s="46">
        <f>+'3.0 Plant in Service'!I96</f>
        <v>-507119.27730182611</v>
      </c>
      <c r="K107" s="46">
        <f>+'3.0 Plant in Service'!J96</f>
        <v>-397350.93850979803</v>
      </c>
      <c r="L107" s="46">
        <f>+'3.0 Plant in Service'!K96</f>
        <v>-290648.80179505283</v>
      </c>
      <c r="M107" s="46">
        <f>+'3.0 Plant in Service'!L96</f>
        <v>-433456.48261251091</v>
      </c>
      <c r="N107" s="46">
        <f>+'3.0 Plant in Service'!M96</f>
        <v>-452192.31972346077</v>
      </c>
      <c r="O107" s="46">
        <f>+'3.0 Plant in Service'!N96</f>
        <v>-524944.83527071134</v>
      </c>
      <c r="P107" s="46">
        <f>+'3.0 Plant in Service'!O96</f>
        <v>-546965.25067789725</v>
      </c>
      <c r="Q107" s="91"/>
    </row>
    <row r="108" spans="1:17" x14ac:dyDescent="0.35">
      <c r="A108" s="89"/>
      <c r="B108" s="8" t="s">
        <v>214</v>
      </c>
      <c r="C108" s="90"/>
      <c r="D108" s="43">
        <f t="shared" ref="D108:P108" si="39">SUM(D106:D107)</f>
        <v>0</v>
      </c>
      <c r="E108" s="43">
        <f t="shared" si="39"/>
        <v>836013.38263824291</v>
      </c>
      <c r="F108" s="43">
        <f t="shared" si="39"/>
        <v>803330.90493470174</v>
      </c>
      <c r="G108" s="43">
        <f t="shared" si="39"/>
        <v>1162695.7214003294</v>
      </c>
      <c r="H108" s="43">
        <f t="shared" si="39"/>
        <v>1136748.9758864036</v>
      </c>
      <c r="I108" s="43">
        <f t="shared" si="39"/>
        <v>1262059.6846639817</v>
      </c>
      <c r="J108" s="43">
        <f t="shared" si="39"/>
        <v>1069501.1571792625</v>
      </c>
      <c r="K108" s="43">
        <f t="shared" si="39"/>
        <v>860668.62575985992</v>
      </c>
      <c r="L108" s="43">
        <f t="shared" si="39"/>
        <v>1363175.5597100414</v>
      </c>
      <c r="M108" s="43">
        <f t="shared" si="39"/>
        <v>1175755.7711288151</v>
      </c>
      <c r="N108" s="43">
        <f t="shared" si="39"/>
        <v>806030.1615108049</v>
      </c>
      <c r="O108" s="43">
        <f t="shared" si="39"/>
        <v>704385.24067043595</v>
      </c>
      <c r="P108" s="43">
        <f t="shared" si="39"/>
        <v>690403.81451711955</v>
      </c>
      <c r="Q108" s="91">
        <f>SUM(D108:P108)</f>
        <v>11870768.999999996</v>
      </c>
    </row>
    <row r="109" spans="1:17" x14ac:dyDescent="0.35">
      <c r="A109" s="89"/>
      <c r="B109" s="8" t="s">
        <v>163</v>
      </c>
      <c r="C109" s="90"/>
      <c r="D109" s="43">
        <f>Q35</f>
        <v>10095637.650570367</v>
      </c>
      <c r="E109" s="43">
        <f t="shared" ref="E109:P109" si="40">+E108+D109</f>
        <v>10931651.033208609</v>
      </c>
      <c r="F109" s="43">
        <f t="shared" si="40"/>
        <v>11734981.938143311</v>
      </c>
      <c r="G109" s="43">
        <f t="shared" si="40"/>
        <v>12897677.659543641</v>
      </c>
      <c r="H109" s="43">
        <f t="shared" si="40"/>
        <v>14034426.635430045</v>
      </c>
      <c r="I109" s="43">
        <f t="shared" si="40"/>
        <v>15296486.320094027</v>
      </c>
      <c r="J109" s="43">
        <f t="shared" si="40"/>
        <v>16365987.477273289</v>
      </c>
      <c r="K109" s="43">
        <f t="shared" si="40"/>
        <v>17226656.103033148</v>
      </c>
      <c r="L109" s="43">
        <f t="shared" si="40"/>
        <v>18589831.662743188</v>
      </c>
      <c r="M109" s="43">
        <f t="shared" si="40"/>
        <v>19765587.433872003</v>
      </c>
      <c r="N109" s="43">
        <f t="shared" si="40"/>
        <v>20571617.59538281</v>
      </c>
      <c r="O109" s="43">
        <f t="shared" si="40"/>
        <v>21276002.836053245</v>
      </c>
      <c r="P109" s="43">
        <f t="shared" si="40"/>
        <v>21966406.650570363</v>
      </c>
      <c r="Q109" s="91"/>
    </row>
    <row r="110" spans="1:17" x14ac:dyDescent="0.35">
      <c r="A110" s="89"/>
      <c r="C110" s="90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91"/>
    </row>
    <row r="111" spans="1:17" x14ac:dyDescent="0.35">
      <c r="A111" s="89"/>
      <c r="B111" s="8" t="s">
        <v>164</v>
      </c>
      <c r="C111" s="90"/>
      <c r="D111" s="43"/>
      <c r="E111" s="43">
        <f>ROUND($C105*D109,0)</f>
        <v>33484</v>
      </c>
      <c r="F111" s="43">
        <f t="shared" ref="F111:P111" si="41">ROUND($C105*E109,0)</f>
        <v>36257</v>
      </c>
      <c r="G111" s="43">
        <f t="shared" si="41"/>
        <v>38921</v>
      </c>
      <c r="H111" s="43">
        <f t="shared" si="41"/>
        <v>42777</v>
      </c>
      <c r="I111" s="43">
        <f t="shared" si="41"/>
        <v>46548</v>
      </c>
      <c r="J111" s="43">
        <f t="shared" si="41"/>
        <v>50733</v>
      </c>
      <c r="K111" s="43">
        <f t="shared" si="41"/>
        <v>54281</v>
      </c>
      <c r="L111" s="43">
        <f t="shared" si="41"/>
        <v>57135</v>
      </c>
      <c r="M111" s="43">
        <f t="shared" si="41"/>
        <v>61656</v>
      </c>
      <c r="N111" s="43">
        <f t="shared" si="41"/>
        <v>65556</v>
      </c>
      <c r="O111" s="43">
        <f t="shared" si="41"/>
        <v>68229</v>
      </c>
      <c r="P111" s="43">
        <f t="shared" si="41"/>
        <v>70565</v>
      </c>
      <c r="Q111" s="91"/>
    </row>
    <row r="112" spans="1:17" x14ac:dyDescent="0.35">
      <c r="A112" s="89"/>
      <c r="B112" s="8" t="s">
        <v>165</v>
      </c>
      <c r="C112" s="90"/>
      <c r="D112" s="43"/>
      <c r="E112" s="46">
        <f>ROUND($C105*E108*0.5,3)</f>
        <v>1386.3889999999999</v>
      </c>
      <c r="F112" s="46">
        <f t="shared" ref="F112:P112" si="42">ROUND($C105*F108*0.5,3)</f>
        <v>1332.19</v>
      </c>
      <c r="G112" s="46">
        <f t="shared" si="42"/>
        <v>1928.1369999999999</v>
      </c>
      <c r="H112" s="46">
        <f t="shared" si="42"/>
        <v>1885.1089999999999</v>
      </c>
      <c r="I112" s="46">
        <f t="shared" si="42"/>
        <v>2092.9160000000002</v>
      </c>
      <c r="J112" s="46">
        <f t="shared" si="42"/>
        <v>1773.5889999999999</v>
      </c>
      <c r="K112" s="46">
        <f t="shared" si="42"/>
        <v>1427.2750000000001</v>
      </c>
      <c r="L112" s="46">
        <f t="shared" si="42"/>
        <v>2260.5990000000002</v>
      </c>
      <c r="M112" s="46">
        <f t="shared" si="42"/>
        <v>1949.7950000000001</v>
      </c>
      <c r="N112" s="46">
        <f t="shared" si="42"/>
        <v>1336.6669999999999</v>
      </c>
      <c r="O112" s="46">
        <f t="shared" si="42"/>
        <v>1168.106</v>
      </c>
      <c r="P112" s="46">
        <f t="shared" si="42"/>
        <v>1144.92</v>
      </c>
      <c r="Q112" s="91"/>
    </row>
    <row r="113" spans="1:17" x14ac:dyDescent="0.35">
      <c r="A113" s="89"/>
      <c r="B113" s="8" t="s">
        <v>264</v>
      </c>
      <c r="C113" s="90"/>
      <c r="D113" s="43">
        <v>0</v>
      </c>
      <c r="E113" s="43">
        <f t="shared" ref="E113:P113" si="43">SUM(E111:E112)</f>
        <v>34870.389000000003</v>
      </c>
      <c r="F113" s="43">
        <f t="shared" si="43"/>
        <v>37589.19</v>
      </c>
      <c r="G113" s="43">
        <f t="shared" si="43"/>
        <v>40849.137000000002</v>
      </c>
      <c r="H113" s="43">
        <f t="shared" si="43"/>
        <v>44662.108999999997</v>
      </c>
      <c r="I113" s="43">
        <f t="shared" si="43"/>
        <v>48640.915999999997</v>
      </c>
      <c r="J113" s="43">
        <f t="shared" si="43"/>
        <v>52506.589</v>
      </c>
      <c r="K113" s="43">
        <f t="shared" si="43"/>
        <v>55708.275000000001</v>
      </c>
      <c r="L113" s="43">
        <f t="shared" si="43"/>
        <v>59395.599000000002</v>
      </c>
      <c r="M113" s="43">
        <f t="shared" si="43"/>
        <v>63605.794999999998</v>
      </c>
      <c r="N113" s="43">
        <f t="shared" si="43"/>
        <v>66892.667000000001</v>
      </c>
      <c r="O113" s="43">
        <f t="shared" si="43"/>
        <v>69397.106</v>
      </c>
      <c r="P113" s="43">
        <f t="shared" si="43"/>
        <v>71709.919999999998</v>
      </c>
      <c r="Q113" s="91">
        <f>SUM(D113:P113)</f>
        <v>645827.69200000004</v>
      </c>
    </row>
    <row r="114" spans="1:17" x14ac:dyDescent="0.35">
      <c r="A114" s="92"/>
      <c r="B114" s="93"/>
      <c r="C114" s="94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95"/>
    </row>
    <row r="115" spans="1:17" x14ac:dyDescent="0.35">
      <c r="A115" s="84"/>
      <c r="B115" s="85" t="s">
        <v>136</v>
      </c>
      <c r="C115" s="86">
        <f>1.77%/12</f>
        <v>1.475E-3</v>
      </c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88"/>
    </row>
    <row r="116" spans="1:17" x14ac:dyDescent="0.35">
      <c r="A116" s="89"/>
      <c r="B116" s="8" t="s">
        <v>166</v>
      </c>
      <c r="C116" s="90"/>
      <c r="D116" s="43">
        <v>0</v>
      </c>
      <c r="E116" s="43">
        <f>+'3.0 Plant in Service'!D88</f>
        <v>13046.317572008309</v>
      </c>
      <c r="F116" s="43">
        <f>+'3.0 Plant in Service'!E88</f>
        <v>12686.739885382571</v>
      </c>
      <c r="G116" s="43">
        <f>+'3.0 Plant in Service'!F88</f>
        <v>11627.624353835352</v>
      </c>
      <c r="H116" s="43">
        <f>+'3.0 Plant in Service'!G88</f>
        <v>9946.2110248832323</v>
      </c>
      <c r="I116" s="43">
        <f>+'3.0 Plant in Service'!H88</f>
        <v>9773.8892007433678</v>
      </c>
      <c r="J116" s="43">
        <f>+'3.0 Plant in Service'!I88</f>
        <v>12895.79332239938</v>
      </c>
      <c r="K116" s="43">
        <f>+'3.0 Plant in Service'!J88</f>
        <v>16620.85414706825</v>
      </c>
      <c r="L116" s="43">
        <f>+'3.0 Plant in Service'!K88</f>
        <v>26988.013324742355</v>
      </c>
      <c r="M116" s="43">
        <f>+'3.0 Plant in Service'!L88</f>
        <v>35131.587514631501</v>
      </c>
      <c r="N116" s="43">
        <f>+'3.0 Plant in Service'!M88</f>
        <v>31619.13048564288</v>
      </c>
      <c r="O116" s="43">
        <f>+'3.0 Plant in Service'!N88</f>
        <v>14809.990125341212</v>
      </c>
      <c r="P116" s="43">
        <f>+'3.0 Plant in Service'!O88</f>
        <v>25917.849043321596</v>
      </c>
      <c r="Q116" s="91">
        <f>SUM(D116:P116)</f>
        <v>221064</v>
      </c>
    </row>
    <row r="117" spans="1:17" x14ac:dyDescent="0.35">
      <c r="A117" s="89"/>
      <c r="B117" s="8" t="s">
        <v>167</v>
      </c>
      <c r="C117" s="90"/>
      <c r="D117" s="43">
        <v>0</v>
      </c>
      <c r="E117" s="46">
        <f>+'3.0 Plant in Service'!D97</f>
        <v>-1083.0268822244816</v>
      </c>
      <c r="F117" s="46">
        <f>+'3.0 Plant in Service'!E97</f>
        <v>-1407.8098737096441</v>
      </c>
      <c r="G117" s="46">
        <f>+'3.0 Plant in Service'!F97</f>
        <v>-1895.6328350574754</v>
      </c>
      <c r="H117" s="46">
        <f>+'3.0 Plant in Service'!G97</f>
        <v>-3106.098602378177</v>
      </c>
      <c r="I117" s="46">
        <f>+'3.0 Plant in Service'!H97</f>
        <v>-2789.4988054685391</v>
      </c>
      <c r="J117" s="46">
        <f>+'3.0 Plant in Service'!I97</f>
        <v>-3262.1136766504192</v>
      </c>
      <c r="K117" s="46">
        <f>+'3.0 Plant in Service'!J97</f>
        <v>-3153.1324736359516</v>
      </c>
      <c r="L117" s="46">
        <f>+'3.0 Plant in Service'!K97</f>
        <v>-4519.7548530101176</v>
      </c>
      <c r="M117" s="46">
        <f>+'3.0 Plant in Service'!L97</f>
        <v>-2821.4321866759965</v>
      </c>
      <c r="N117" s="46">
        <f>+'3.0 Plant in Service'!M97</f>
        <v>-2426.5231699966289</v>
      </c>
      <c r="O117" s="46">
        <f>+'3.0 Plant in Service'!N97</f>
        <v>-3076.4472412953423</v>
      </c>
      <c r="P117" s="46">
        <f>+'3.0 Plant in Service'!O97</f>
        <v>-368.52939989722609</v>
      </c>
      <c r="Q117" s="91"/>
    </row>
    <row r="118" spans="1:17" x14ac:dyDescent="0.35">
      <c r="A118" s="89"/>
      <c r="B118" s="8" t="s">
        <v>214</v>
      </c>
      <c r="C118" s="90"/>
      <c r="D118" s="43">
        <f t="shared" ref="D118:P118" si="44">SUM(D116:D117)</f>
        <v>0</v>
      </c>
      <c r="E118" s="43">
        <f t="shared" si="44"/>
        <v>11963.290689783827</v>
      </c>
      <c r="F118" s="43">
        <f t="shared" si="44"/>
        <v>11278.930011672926</v>
      </c>
      <c r="G118" s="43">
        <f t="shared" si="44"/>
        <v>9731.991518777877</v>
      </c>
      <c r="H118" s="43">
        <f t="shared" si="44"/>
        <v>6840.1124225050553</v>
      </c>
      <c r="I118" s="43">
        <f t="shared" si="44"/>
        <v>6984.3903952748287</v>
      </c>
      <c r="J118" s="43">
        <f t="shared" si="44"/>
        <v>9633.6796457489618</v>
      </c>
      <c r="K118" s="43">
        <f t="shared" si="44"/>
        <v>13467.721673432299</v>
      </c>
      <c r="L118" s="43">
        <f t="shared" si="44"/>
        <v>22468.258471732239</v>
      </c>
      <c r="M118" s="43">
        <f t="shared" si="44"/>
        <v>32310.155327955505</v>
      </c>
      <c r="N118" s="43">
        <f t="shared" si="44"/>
        <v>29192.607315646252</v>
      </c>
      <c r="O118" s="43">
        <f t="shared" si="44"/>
        <v>11733.54288404587</v>
      </c>
      <c r="P118" s="43">
        <f t="shared" si="44"/>
        <v>25549.319643424369</v>
      </c>
      <c r="Q118" s="91">
        <f>SUM(D118:P118)</f>
        <v>191154</v>
      </c>
    </row>
    <row r="119" spans="1:17" x14ac:dyDescent="0.35">
      <c r="A119" s="89"/>
      <c r="B119" s="8" t="s">
        <v>163</v>
      </c>
      <c r="C119" s="90"/>
      <c r="D119" s="43">
        <f>Q45</f>
        <v>37351.61</v>
      </c>
      <c r="E119" s="43">
        <f t="shared" ref="E119:P119" si="45">+E118+D119</f>
        <v>49314.900689783826</v>
      </c>
      <c r="F119" s="43">
        <f t="shared" si="45"/>
        <v>60593.830701456754</v>
      </c>
      <c r="G119" s="43">
        <f t="shared" si="45"/>
        <v>70325.822220234637</v>
      </c>
      <c r="H119" s="43">
        <f t="shared" si="45"/>
        <v>77165.934642739696</v>
      </c>
      <c r="I119" s="43">
        <f t="shared" si="45"/>
        <v>84150.325038014518</v>
      </c>
      <c r="J119" s="43">
        <f t="shared" si="45"/>
        <v>93784.004683763487</v>
      </c>
      <c r="K119" s="43">
        <f t="shared" si="45"/>
        <v>107251.72635719579</v>
      </c>
      <c r="L119" s="43">
        <f t="shared" si="45"/>
        <v>129719.98482892802</v>
      </c>
      <c r="M119" s="43">
        <f t="shared" si="45"/>
        <v>162030.14015688351</v>
      </c>
      <c r="N119" s="43">
        <f t="shared" si="45"/>
        <v>191222.74747252977</v>
      </c>
      <c r="O119" s="43">
        <f t="shared" si="45"/>
        <v>202956.29035657563</v>
      </c>
      <c r="P119" s="43">
        <f t="shared" si="45"/>
        <v>228505.61</v>
      </c>
      <c r="Q119" s="91"/>
    </row>
    <row r="120" spans="1:17" x14ac:dyDescent="0.35">
      <c r="A120" s="89"/>
      <c r="C120" s="90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91"/>
    </row>
    <row r="121" spans="1:17" x14ac:dyDescent="0.35">
      <c r="A121" s="89"/>
      <c r="B121" s="8" t="s">
        <v>164</v>
      </c>
      <c r="C121" s="90"/>
      <c r="D121" s="43"/>
      <c r="E121" s="43">
        <f>ROUND($C115*D119,0)</f>
        <v>55</v>
      </c>
      <c r="F121" s="43">
        <f t="shared" ref="F121:P121" si="46">ROUND($C115*E119,0)</f>
        <v>73</v>
      </c>
      <c r="G121" s="43">
        <f t="shared" si="46"/>
        <v>89</v>
      </c>
      <c r="H121" s="43">
        <f t="shared" si="46"/>
        <v>104</v>
      </c>
      <c r="I121" s="43">
        <f t="shared" si="46"/>
        <v>114</v>
      </c>
      <c r="J121" s="43">
        <f t="shared" si="46"/>
        <v>124</v>
      </c>
      <c r="K121" s="43">
        <f t="shared" si="46"/>
        <v>138</v>
      </c>
      <c r="L121" s="43">
        <f t="shared" si="46"/>
        <v>158</v>
      </c>
      <c r="M121" s="43">
        <f t="shared" si="46"/>
        <v>191</v>
      </c>
      <c r="N121" s="43">
        <f t="shared" si="46"/>
        <v>239</v>
      </c>
      <c r="O121" s="43">
        <f t="shared" si="46"/>
        <v>282</v>
      </c>
      <c r="P121" s="43">
        <f t="shared" si="46"/>
        <v>299</v>
      </c>
      <c r="Q121" s="91"/>
    </row>
    <row r="122" spans="1:17" x14ac:dyDescent="0.35">
      <c r="A122" s="89"/>
      <c r="B122" s="8" t="s">
        <v>165</v>
      </c>
      <c r="C122" s="90"/>
      <c r="D122" s="43"/>
      <c r="E122" s="46">
        <f>ROUND($C115*E118*0.5,3)</f>
        <v>8.8230000000000004</v>
      </c>
      <c r="F122" s="46">
        <f t="shared" ref="F122:P122" si="47">ROUND($C115*F118*0.5,3)</f>
        <v>8.3179999999999996</v>
      </c>
      <c r="G122" s="46">
        <f t="shared" si="47"/>
        <v>7.1769999999999996</v>
      </c>
      <c r="H122" s="46">
        <f t="shared" si="47"/>
        <v>5.0449999999999999</v>
      </c>
      <c r="I122" s="46">
        <f t="shared" si="47"/>
        <v>5.1509999999999998</v>
      </c>
      <c r="J122" s="46">
        <f t="shared" si="47"/>
        <v>7.1050000000000004</v>
      </c>
      <c r="K122" s="46">
        <f t="shared" si="47"/>
        <v>9.9320000000000004</v>
      </c>
      <c r="L122" s="46">
        <f t="shared" si="47"/>
        <v>16.57</v>
      </c>
      <c r="M122" s="46">
        <f t="shared" si="47"/>
        <v>23.829000000000001</v>
      </c>
      <c r="N122" s="46">
        <f t="shared" si="47"/>
        <v>21.53</v>
      </c>
      <c r="O122" s="46">
        <f t="shared" si="47"/>
        <v>8.6530000000000005</v>
      </c>
      <c r="P122" s="46">
        <f t="shared" si="47"/>
        <v>18.843</v>
      </c>
      <c r="Q122" s="91"/>
    </row>
    <row r="123" spans="1:17" x14ac:dyDescent="0.35">
      <c r="A123" s="89"/>
      <c r="B123" s="8" t="s">
        <v>265</v>
      </c>
      <c r="C123" s="90"/>
      <c r="D123" s="43">
        <v>0</v>
      </c>
      <c r="E123" s="43">
        <f t="shared" ref="E123:P123" si="48">SUM(E121:E122)</f>
        <v>63.823</v>
      </c>
      <c r="F123" s="43">
        <f t="shared" si="48"/>
        <v>81.317999999999998</v>
      </c>
      <c r="G123" s="43">
        <f t="shared" si="48"/>
        <v>96.176999999999992</v>
      </c>
      <c r="H123" s="43">
        <f t="shared" si="48"/>
        <v>109.045</v>
      </c>
      <c r="I123" s="43">
        <f t="shared" si="48"/>
        <v>119.151</v>
      </c>
      <c r="J123" s="43">
        <f t="shared" si="48"/>
        <v>131.10499999999999</v>
      </c>
      <c r="K123" s="43">
        <f t="shared" si="48"/>
        <v>147.93199999999999</v>
      </c>
      <c r="L123" s="43">
        <f t="shared" si="48"/>
        <v>174.57</v>
      </c>
      <c r="M123" s="43">
        <f t="shared" si="48"/>
        <v>214.82900000000001</v>
      </c>
      <c r="N123" s="43">
        <f t="shared" si="48"/>
        <v>260.52999999999997</v>
      </c>
      <c r="O123" s="43">
        <f t="shared" si="48"/>
        <v>290.65300000000002</v>
      </c>
      <c r="P123" s="43">
        <f t="shared" si="48"/>
        <v>317.84300000000002</v>
      </c>
      <c r="Q123" s="91">
        <f>SUM(D123:P123)</f>
        <v>2006.9760000000001</v>
      </c>
    </row>
    <row r="124" spans="1:17" x14ac:dyDescent="0.35">
      <c r="A124" s="92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7"/>
    </row>
    <row r="125" spans="1:17" x14ac:dyDescent="0.35">
      <c r="A125" s="84"/>
      <c r="B125" s="85" t="s">
        <v>137</v>
      </c>
      <c r="C125" s="86">
        <f>1.94%/12</f>
        <v>1.6166666666666666E-3</v>
      </c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88"/>
    </row>
    <row r="126" spans="1:17" x14ac:dyDescent="0.35">
      <c r="A126" s="89"/>
      <c r="B126" s="8" t="s">
        <v>166</v>
      </c>
      <c r="C126" s="90"/>
      <c r="D126" s="43">
        <v>0</v>
      </c>
      <c r="E126" s="43">
        <f>+'3.0 Plant in Service'!D89</f>
        <v>23402.952586415056</v>
      </c>
      <c r="F126" s="43">
        <f>+'3.0 Plant in Service'!E89</f>
        <v>17614.711931185499</v>
      </c>
      <c r="G126" s="43">
        <f>+'3.0 Plant in Service'!F89</f>
        <v>12915.061773726571</v>
      </c>
      <c r="H126" s="43">
        <f>+'3.0 Plant in Service'!G89</f>
        <v>10408.2463812639</v>
      </c>
      <c r="I126" s="43">
        <f>+'3.0 Plant in Service'!H89</f>
        <v>5930.7625181521398</v>
      </c>
      <c r="J126" s="43">
        <f>+'3.0 Plant in Service'!I89</f>
        <v>9872.4492643543435</v>
      </c>
      <c r="K126" s="43">
        <f>+'3.0 Plant in Service'!J89</f>
        <v>6364.1495223158836</v>
      </c>
      <c r="L126" s="43">
        <f>+'3.0 Plant in Service'!K89</f>
        <v>8509.8315316685985</v>
      </c>
      <c r="M126" s="43">
        <f>+'3.0 Plant in Service'!L89</f>
        <v>14593.285307749693</v>
      </c>
      <c r="N126" s="43">
        <f>+'3.0 Plant in Service'!M89</f>
        <v>14245.31337707861</v>
      </c>
      <c r="O126" s="43">
        <f>+'3.0 Plant in Service'!N89</f>
        <v>14051.992559498034</v>
      </c>
      <c r="P126" s="43">
        <f>+'3.0 Plant in Service'!O89</f>
        <v>16927.243246591654</v>
      </c>
      <c r="Q126" s="91">
        <f>SUM(D126:P126)</f>
        <v>154836</v>
      </c>
    </row>
    <row r="127" spans="1:17" x14ac:dyDescent="0.35">
      <c r="A127" s="89"/>
      <c r="B127" s="8" t="s">
        <v>167</v>
      </c>
      <c r="C127" s="90"/>
      <c r="D127" s="43">
        <v>0</v>
      </c>
      <c r="E127" s="46">
        <f>+'3.0 Plant in Service'!D98</f>
        <v>-180.82716869608441</v>
      </c>
      <c r="F127" s="46">
        <f>+'3.0 Plant in Service'!E98</f>
        <v>-111.87649079163305</v>
      </c>
      <c r="G127" s="46">
        <f>+'3.0 Plant in Service'!F98</f>
        <v>-135.42223561193455</v>
      </c>
      <c r="H127" s="46">
        <f>+'3.0 Plant in Service'!G98</f>
        <v>-150.10353352433253</v>
      </c>
      <c r="I127" s="46">
        <f>+'3.0 Plant in Service'!H98</f>
        <v>-252.63437805489215</v>
      </c>
      <c r="J127" s="46">
        <f>+'3.0 Plant in Service'!I98</f>
        <v>-245.63339923034246</v>
      </c>
      <c r="K127" s="46">
        <f>+'3.0 Plant in Service'!J98</f>
        <v>-857.52791201334753</v>
      </c>
      <c r="L127" s="46">
        <f>+'3.0 Plant in Service'!K98</f>
        <v>-244.94698250596784</v>
      </c>
      <c r="M127" s="46">
        <f>+'3.0 Plant in Service'!L98</f>
        <v>-309.5274216469432</v>
      </c>
      <c r="N127" s="46">
        <f>+'3.0 Plant in Service'!M98</f>
        <v>-273.35892377927576</v>
      </c>
      <c r="O127" s="46">
        <f>+'3.0 Plant in Service'!N98</f>
        <v>-428.96557714444043</v>
      </c>
      <c r="P127" s="46">
        <f>+'3.0 Plant in Service'!O98</f>
        <v>-61.175977000806</v>
      </c>
      <c r="Q127" s="91"/>
    </row>
    <row r="128" spans="1:17" x14ac:dyDescent="0.35">
      <c r="A128" s="89"/>
      <c r="B128" s="8" t="s">
        <v>214</v>
      </c>
      <c r="C128" s="90"/>
      <c r="D128" s="43">
        <f t="shared" ref="D128:P128" si="49">SUM(D126:D127)</f>
        <v>0</v>
      </c>
      <c r="E128" s="43">
        <f t="shared" si="49"/>
        <v>23222.125417718973</v>
      </c>
      <c r="F128" s="43">
        <f t="shared" si="49"/>
        <v>17502.835440393865</v>
      </c>
      <c r="G128" s="43">
        <f t="shared" si="49"/>
        <v>12779.639538114636</v>
      </c>
      <c r="H128" s="43">
        <f t="shared" si="49"/>
        <v>10258.142847739568</v>
      </c>
      <c r="I128" s="43">
        <f t="shared" si="49"/>
        <v>5678.1281400972475</v>
      </c>
      <c r="J128" s="43">
        <f t="shared" si="49"/>
        <v>9626.815865124001</v>
      </c>
      <c r="K128" s="43">
        <f t="shared" si="49"/>
        <v>5506.6216103025363</v>
      </c>
      <c r="L128" s="43">
        <f t="shared" si="49"/>
        <v>8264.8845491626307</v>
      </c>
      <c r="M128" s="43">
        <f t="shared" si="49"/>
        <v>14283.75788610275</v>
      </c>
      <c r="N128" s="43">
        <f t="shared" si="49"/>
        <v>13971.954453299335</v>
      </c>
      <c r="O128" s="43">
        <f t="shared" si="49"/>
        <v>13623.026982353593</v>
      </c>
      <c r="P128" s="43">
        <f t="shared" si="49"/>
        <v>16866.067269590847</v>
      </c>
      <c r="Q128" s="91">
        <f>SUM(D128:P128)</f>
        <v>151584</v>
      </c>
    </row>
    <row r="129" spans="1:17" x14ac:dyDescent="0.35">
      <c r="A129" s="89"/>
      <c r="B129" s="8" t="s">
        <v>163</v>
      </c>
      <c r="C129" s="90"/>
      <c r="D129" s="43">
        <f>Q55</f>
        <v>-6868.99</v>
      </c>
      <c r="E129" s="43">
        <f t="shared" ref="E129:P129" si="50">+E128+D129</f>
        <v>16353.135417718973</v>
      </c>
      <c r="F129" s="43">
        <f t="shared" si="50"/>
        <v>33855.970858112836</v>
      </c>
      <c r="G129" s="43">
        <f t="shared" si="50"/>
        <v>46635.610396227472</v>
      </c>
      <c r="H129" s="43">
        <f t="shared" si="50"/>
        <v>56893.753243967039</v>
      </c>
      <c r="I129" s="43">
        <f t="shared" si="50"/>
        <v>62571.881384064283</v>
      </c>
      <c r="J129" s="43">
        <f t="shared" si="50"/>
        <v>72198.697249188292</v>
      </c>
      <c r="K129" s="43">
        <f t="shared" si="50"/>
        <v>77705.318859490828</v>
      </c>
      <c r="L129" s="43">
        <f t="shared" si="50"/>
        <v>85970.203408653455</v>
      </c>
      <c r="M129" s="43">
        <f t="shared" si="50"/>
        <v>100253.96129475621</v>
      </c>
      <c r="N129" s="43">
        <f t="shared" si="50"/>
        <v>114225.91574805554</v>
      </c>
      <c r="O129" s="43">
        <f t="shared" si="50"/>
        <v>127848.94273040914</v>
      </c>
      <c r="P129" s="43">
        <f t="shared" si="50"/>
        <v>144715.00999999998</v>
      </c>
      <c r="Q129" s="91"/>
    </row>
    <row r="130" spans="1:17" x14ac:dyDescent="0.35">
      <c r="A130" s="89"/>
      <c r="C130" s="90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91"/>
    </row>
    <row r="131" spans="1:17" x14ac:dyDescent="0.35">
      <c r="A131" s="89"/>
      <c r="B131" s="8" t="s">
        <v>164</v>
      </c>
      <c r="C131" s="90"/>
      <c r="D131" s="43"/>
      <c r="E131" s="43">
        <f>ROUND($C125*D129,0)</f>
        <v>-11</v>
      </c>
      <c r="F131" s="43">
        <f t="shared" ref="F131:P131" si="51">ROUND($C125*E129,0)</f>
        <v>26</v>
      </c>
      <c r="G131" s="43">
        <f t="shared" si="51"/>
        <v>55</v>
      </c>
      <c r="H131" s="43">
        <f t="shared" si="51"/>
        <v>75</v>
      </c>
      <c r="I131" s="43">
        <f t="shared" si="51"/>
        <v>92</v>
      </c>
      <c r="J131" s="43">
        <f t="shared" si="51"/>
        <v>101</v>
      </c>
      <c r="K131" s="43">
        <f t="shared" si="51"/>
        <v>117</v>
      </c>
      <c r="L131" s="43">
        <f t="shared" si="51"/>
        <v>126</v>
      </c>
      <c r="M131" s="43">
        <f t="shared" si="51"/>
        <v>139</v>
      </c>
      <c r="N131" s="43">
        <f t="shared" si="51"/>
        <v>162</v>
      </c>
      <c r="O131" s="43">
        <f t="shared" si="51"/>
        <v>185</v>
      </c>
      <c r="P131" s="43">
        <f t="shared" si="51"/>
        <v>207</v>
      </c>
      <c r="Q131" s="91"/>
    </row>
    <row r="132" spans="1:17" x14ac:dyDescent="0.35">
      <c r="A132" s="89"/>
      <c r="B132" s="8" t="s">
        <v>165</v>
      </c>
      <c r="C132" s="90"/>
      <c r="D132" s="43"/>
      <c r="E132" s="46">
        <f>ROUND($C125*E128*0.5,3)</f>
        <v>18.771000000000001</v>
      </c>
      <c r="F132" s="46">
        <f t="shared" ref="F132:P132" si="52">ROUND($C125*F128*0.5,3)</f>
        <v>14.148</v>
      </c>
      <c r="G132" s="46">
        <f t="shared" si="52"/>
        <v>10.33</v>
      </c>
      <c r="H132" s="46">
        <f t="shared" si="52"/>
        <v>8.2919999999999998</v>
      </c>
      <c r="I132" s="46">
        <f t="shared" si="52"/>
        <v>4.59</v>
      </c>
      <c r="J132" s="46">
        <f t="shared" si="52"/>
        <v>7.782</v>
      </c>
      <c r="K132" s="46">
        <f t="shared" si="52"/>
        <v>4.4509999999999996</v>
      </c>
      <c r="L132" s="46">
        <f t="shared" si="52"/>
        <v>6.681</v>
      </c>
      <c r="M132" s="46">
        <f t="shared" si="52"/>
        <v>11.545999999999999</v>
      </c>
      <c r="N132" s="46">
        <f t="shared" si="52"/>
        <v>11.294</v>
      </c>
      <c r="O132" s="46">
        <f t="shared" si="52"/>
        <v>11.012</v>
      </c>
      <c r="P132" s="46">
        <f t="shared" si="52"/>
        <v>13.632999999999999</v>
      </c>
      <c r="Q132" s="91"/>
    </row>
    <row r="133" spans="1:17" x14ac:dyDescent="0.35">
      <c r="A133" s="89"/>
      <c r="B133" s="8" t="s">
        <v>266</v>
      </c>
      <c r="C133" s="90"/>
      <c r="D133" s="43">
        <v>0</v>
      </c>
      <c r="E133" s="43">
        <f t="shared" ref="E133:P133" si="53">SUM(E131:E132)</f>
        <v>7.7710000000000008</v>
      </c>
      <c r="F133" s="43">
        <f t="shared" si="53"/>
        <v>40.147999999999996</v>
      </c>
      <c r="G133" s="43">
        <f t="shared" si="53"/>
        <v>65.33</v>
      </c>
      <c r="H133" s="43">
        <f t="shared" si="53"/>
        <v>83.292000000000002</v>
      </c>
      <c r="I133" s="43">
        <f t="shared" si="53"/>
        <v>96.59</v>
      </c>
      <c r="J133" s="43">
        <f t="shared" si="53"/>
        <v>108.782</v>
      </c>
      <c r="K133" s="43">
        <f t="shared" si="53"/>
        <v>121.45099999999999</v>
      </c>
      <c r="L133" s="43">
        <f t="shared" si="53"/>
        <v>132.68100000000001</v>
      </c>
      <c r="M133" s="43">
        <f t="shared" si="53"/>
        <v>150.54599999999999</v>
      </c>
      <c r="N133" s="43">
        <f t="shared" si="53"/>
        <v>173.29400000000001</v>
      </c>
      <c r="O133" s="43">
        <f t="shared" si="53"/>
        <v>196.012</v>
      </c>
      <c r="P133" s="43">
        <f t="shared" si="53"/>
        <v>220.63300000000001</v>
      </c>
      <c r="Q133" s="91">
        <f>SUM(D133:P133)</f>
        <v>1396.53</v>
      </c>
    </row>
    <row r="134" spans="1:17" x14ac:dyDescent="0.35">
      <c r="A134" s="89"/>
      <c r="Q134" s="98"/>
    </row>
    <row r="135" spans="1:17" x14ac:dyDescent="0.35">
      <c r="A135" s="84"/>
      <c r="B135" s="99" t="s">
        <v>168</v>
      </c>
      <c r="C135" s="99"/>
      <c r="D135" s="99"/>
      <c r="E135" s="48">
        <f>+E93+E103+E113+E123+E133</f>
        <v>79580.298999999999</v>
      </c>
      <c r="F135" s="48">
        <f t="shared" ref="F135:P135" si="54">+F93+F103+F113+F123+F133</f>
        <v>83784.873000000007</v>
      </c>
      <c r="G135" s="48">
        <f t="shared" si="54"/>
        <v>88908.398000000001</v>
      </c>
      <c r="H135" s="48">
        <f t="shared" si="54"/>
        <v>94971.043999999994</v>
      </c>
      <c r="I135" s="48">
        <f t="shared" si="54"/>
        <v>101451.026</v>
      </c>
      <c r="J135" s="48">
        <f t="shared" si="54"/>
        <v>108274.257</v>
      </c>
      <c r="K135" s="48">
        <f t="shared" si="54"/>
        <v>113910.573</v>
      </c>
      <c r="L135" s="48">
        <f t="shared" si="54"/>
        <v>119529.893</v>
      </c>
      <c r="M135" s="48">
        <f t="shared" si="54"/>
        <v>126615.788</v>
      </c>
      <c r="N135" s="48">
        <f t="shared" si="54"/>
        <v>134437.872</v>
      </c>
      <c r="O135" s="48">
        <f t="shared" si="54"/>
        <v>140781.07899999997</v>
      </c>
      <c r="P135" s="48">
        <f t="shared" si="54"/>
        <v>146864.37999999998</v>
      </c>
      <c r="Q135" s="88">
        <f>SUM(E135:P135)</f>
        <v>1339109.4819999998</v>
      </c>
    </row>
    <row r="136" spans="1:17" x14ac:dyDescent="0.35">
      <c r="A136" s="89"/>
      <c r="B136" s="8" t="s">
        <v>169</v>
      </c>
      <c r="D136" s="15">
        <f>Q62</f>
        <v>417391.11800000002</v>
      </c>
      <c r="E136" s="45">
        <f>+E135+D136</f>
        <v>496971.41700000002</v>
      </c>
      <c r="F136" s="45">
        <f t="shared" ref="F136:P136" si="55">+F135+E136</f>
        <v>580756.29</v>
      </c>
      <c r="G136" s="45">
        <f t="shared" si="55"/>
        <v>669664.68800000008</v>
      </c>
      <c r="H136" s="45">
        <f t="shared" si="55"/>
        <v>764635.73200000008</v>
      </c>
      <c r="I136" s="45">
        <f t="shared" si="55"/>
        <v>866086.75800000003</v>
      </c>
      <c r="J136" s="45">
        <f t="shared" si="55"/>
        <v>974361.01500000001</v>
      </c>
      <c r="K136" s="45">
        <f t="shared" si="55"/>
        <v>1088271.588</v>
      </c>
      <c r="L136" s="45">
        <f t="shared" si="55"/>
        <v>1207801.4809999999</v>
      </c>
      <c r="M136" s="45">
        <f t="shared" si="55"/>
        <v>1334417.2689999999</v>
      </c>
      <c r="N136" s="45">
        <f t="shared" si="55"/>
        <v>1468855.1409999998</v>
      </c>
      <c r="O136" s="45">
        <f t="shared" si="55"/>
        <v>1609636.2199999997</v>
      </c>
      <c r="P136" s="45">
        <f t="shared" si="55"/>
        <v>1756500.5999999996</v>
      </c>
      <c r="Q136" s="98"/>
    </row>
    <row r="137" spans="1:17" x14ac:dyDescent="0.35">
      <c r="A137" s="92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7"/>
    </row>
    <row r="145" spans="1:17" x14ac:dyDescent="0.35">
      <c r="Q145" s="9"/>
    </row>
    <row r="146" spans="1:17" x14ac:dyDescent="0.35">
      <c r="Q146" s="9"/>
    </row>
    <row r="147" spans="1:17" x14ac:dyDescent="0.35">
      <c r="N147" s="9"/>
      <c r="Q147" s="9" t="str">
        <f>Q74</f>
        <v>Case No. 2024-00328</v>
      </c>
    </row>
    <row r="148" spans="1:17" x14ac:dyDescent="0.35">
      <c r="N148" s="9"/>
      <c r="Q148" s="9" t="str">
        <f>+Q75</f>
        <v>SMRP Form 5.0</v>
      </c>
    </row>
    <row r="149" spans="1:17" x14ac:dyDescent="0.35">
      <c r="N149" s="9"/>
      <c r="Q149" s="9" t="s">
        <v>211</v>
      </c>
    </row>
    <row r="150" spans="1:17" x14ac:dyDescent="0.35">
      <c r="A150" s="138" t="s">
        <v>12</v>
      </c>
      <c r="B150" s="138"/>
      <c r="C150" s="138"/>
      <c r="D150" s="138"/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</row>
    <row r="151" spans="1:17" x14ac:dyDescent="0.35">
      <c r="A151" s="138" t="s">
        <v>109</v>
      </c>
      <c r="B151" s="138"/>
      <c r="C151" s="138"/>
      <c r="D151" s="138"/>
      <c r="E151" s="138"/>
      <c r="F151" s="138"/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</row>
    <row r="152" spans="1:17" x14ac:dyDescent="0.35">
      <c r="A152" s="138" t="s">
        <v>278</v>
      </c>
      <c r="B152" s="138"/>
      <c r="C152" s="138"/>
      <c r="D152" s="138"/>
      <c r="E152" s="138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</row>
    <row r="154" spans="1:17" x14ac:dyDescent="0.35">
      <c r="C154" s="11" t="s">
        <v>60</v>
      </c>
      <c r="D154" s="10">
        <f>+Q81</f>
        <v>2024</v>
      </c>
      <c r="E154" s="10">
        <f>+D154+1</f>
        <v>2025</v>
      </c>
      <c r="F154" s="10">
        <f>+E154</f>
        <v>2025</v>
      </c>
      <c r="G154" s="10">
        <f t="shared" ref="G154:Q154" si="56">+F154</f>
        <v>2025</v>
      </c>
      <c r="H154" s="10">
        <f t="shared" si="56"/>
        <v>2025</v>
      </c>
      <c r="I154" s="10">
        <f t="shared" si="56"/>
        <v>2025</v>
      </c>
      <c r="J154" s="10">
        <f t="shared" si="56"/>
        <v>2025</v>
      </c>
      <c r="K154" s="10">
        <f t="shared" si="56"/>
        <v>2025</v>
      </c>
      <c r="L154" s="10">
        <f t="shared" si="56"/>
        <v>2025</v>
      </c>
      <c r="M154" s="10">
        <f t="shared" si="56"/>
        <v>2025</v>
      </c>
      <c r="N154" s="10">
        <f t="shared" si="56"/>
        <v>2025</v>
      </c>
      <c r="O154" s="10">
        <f t="shared" si="56"/>
        <v>2025</v>
      </c>
      <c r="P154" s="10">
        <f t="shared" si="56"/>
        <v>2025</v>
      </c>
      <c r="Q154" s="10">
        <f t="shared" si="56"/>
        <v>2025</v>
      </c>
    </row>
    <row r="155" spans="1:17" x14ac:dyDescent="0.35">
      <c r="C155" s="11" t="s">
        <v>23</v>
      </c>
      <c r="D155" s="10" t="s">
        <v>140</v>
      </c>
      <c r="E155" s="10" t="s">
        <v>141</v>
      </c>
      <c r="F155" s="10" t="s">
        <v>142</v>
      </c>
      <c r="G155" s="10" t="s">
        <v>143</v>
      </c>
      <c r="H155" s="10" t="s">
        <v>144</v>
      </c>
      <c r="I155" s="10" t="s">
        <v>81</v>
      </c>
      <c r="J155" s="10" t="s">
        <v>145</v>
      </c>
      <c r="K155" s="10" t="s">
        <v>146</v>
      </c>
      <c r="L155" s="10" t="s">
        <v>147</v>
      </c>
      <c r="M155" s="10" t="s">
        <v>148</v>
      </c>
      <c r="N155" s="10" t="s">
        <v>149</v>
      </c>
      <c r="O155" s="10" t="s">
        <v>150</v>
      </c>
      <c r="P155" s="10" t="s">
        <v>140</v>
      </c>
      <c r="Q155" s="10" t="s">
        <v>151</v>
      </c>
    </row>
    <row r="156" spans="1:17" x14ac:dyDescent="0.35">
      <c r="C156" s="11" t="s">
        <v>162</v>
      </c>
      <c r="D156" s="10" t="s">
        <v>92</v>
      </c>
      <c r="E156" s="10" t="s">
        <v>201</v>
      </c>
      <c r="F156" s="10" t="s">
        <v>201</v>
      </c>
      <c r="G156" s="10" t="s">
        <v>201</v>
      </c>
      <c r="H156" s="10" t="s">
        <v>201</v>
      </c>
      <c r="I156" s="10" t="s">
        <v>201</v>
      </c>
      <c r="J156" s="10" t="s">
        <v>201</v>
      </c>
      <c r="K156" s="10" t="s">
        <v>201</v>
      </c>
      <c r="L156" s="10" t="s">
        <v>201</v>
      </c>
      <c r="M156" s="10" t="s">
        <v>201</v>
      </c>
      <c r="N156" s="10" t="s">
        <v>201</v>
      </c>
      <c r="O156" s="10" t="s">
        <v>201</v>
      </c>
      <c r="P156" s="10" t="s">
        <v>201</v>
      </c>
      <c r="Q156" s="11"/>
    </row>
    <row r="157" spans="1:17" x14ac:dyDescent="0.35">
      <c r="B157" s="81"/>
      <c r="C157" s="81"/>
    </row>
    <row r="158" spans="1:17" x14ac:dyDescent="0.35">
      <c r="A158" s="84"/>
      <c r="B158" s="85" t="s">
        <v>133</v>
      </c>
      <c r="C158" s="86">
        <f>1.8%/12</f>
        <v>1.5000000000000002E-3</v>
      </c>
      <c r="D158" s="48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8"/>
    </row>
    <row r="159" spans="1:17" x14ac:dyDescent="0.35">
      <c r="A159" s="89"/>
      <c r="B159" s="8" t="s">
        <v>166</v>
      </c>
      <c r="C159" s="90"/>
      <c r="D159" s="43"/>
      <c r="E159" s="43">
        <f>+'3.0 Plant in Service'!D158</f>
        <v>72154.476950667668</v>
      </c>
      <c r="F159" s="43">
        <f>+'3.0 Plant in Service'!E158</f>
        <v>776773.76192278066</v>
      </c>
      <c r="G159" s="43">
        <f>+'3.0 Plant in Service'!F158</f>
        <v>3549207.4202589551</v>
      </c>
      <c r="H159" s="43">
        <f>+'3.0 Plant in Service'!G158</f>
        <v>728528.05171557853</v>
      </c>
      <c r="I159" s="43">
        <f>+'3.0 Plant in Service'!H158</f>
        <v>2717211.9351054905</v>
      </c>
      <c r="J159" s="43">
        <f>+'3.0 Plant in Service'!I158</f>
        <v>3484917.1531442609</v>
      </c>
      <c r="K159" s="43">
        <f>+'3.0 Plant in Service'!J158</f>
        <v>2824536.6659487244</v>
      </c>
      <c r="L159" s="43">
        <f>+'3.0 Plant in Service'!K158</f>
        <v>1216548.476571511</v>
      </c>
      <c r="M159" s="43">
        <f>+'3.0 Plant in Service'!L158</f>
        <v>4456853.309032077</v>
      </c>
      <c r="N159" s="43">
        <f>+'3.0 Plant in Service'!M158</f>
        <v>1159617.8528366867</v>
      </c>
      <c r="O159" s="43">
        <f>+'3.0 Plant in Service'!N158</f>
        <v>3163261.7107786913</v>
      </c>
      <c r="P159" s="43">
        <f>+'3.0 Plant in Service'!O158</f>
        <v>3854888.1857345775</v>
      </c>
      <c r="Q159" s="91">
        <f>SUM(E159:P159)</f>
        <v>28004499.000000004</v>
      </c>
    </row>
    <row r="160" spans="1:17" x14ac:dyDescent="0.35">
      <c r="A160" s="89"/>
      <c r="B160" s="8" t="s">
        <v>167</v>
      </c>
      <c r="C160" s="90"/>
      <c r="D160" s="43"/>
      <c r="E160" s="46">
        <f>+'3.0 Plant in Service'!D167</f>
        <v>0</v>
      </c>
      <c r="F160" s="46">
        <f>+'3.0 Plant in Service'!E167</f>
        <v>0</v>
      </c>
      <c r="G160" s="46">
        <f>+'3.0 Plant in Service'!F167</f>
        <v>0</v>
      </c>
      <c r="H160" s="46">
        <f>+'3.0 Plant in Service'!G167</f>
        <v>0</v>
      </c>
      <c r="I160" s="46">
        <f>+'3.0 Plant in Service'!H167</f>
        <v>-14490.58</v>
      </c>
      <c r="J160" s="46">
        <f>+'3.0 Plant in Service'!I167</f>
        <v>-207</v>
      </c>
      <c r="K160" s="46">
        <f>+'3.0 Plant in Service'!J167</f>
        <v>-64.34</v>
      </c>
      <c r="L160" s="46">
        <f>+'3.0 Plant in Service'!K167</f>
        <v>-207</v>
      </c>
      <c r="M160" s="46">
        <f>+'3.0 Plant in Service'!L167</f>
        <v>-175288.07</v>
      </c>
      <c r="N160" s="46">
        <f>+'3.0 Plant in Service'!M167</f>
        <v>-557.34</v>
      </c>
      <c r="O160" s="46">
        <f>+'3.0 Plant in Service'!N167</f>
        <v>0</v>
      </c>
      <c r="P160" s="46">
        <f>+'3.0 Plant in Service'!O167</f>
        <v>-94799.38</v>
      </c>
      <c r="Q160" s="91"/>
    </row>
    <row r="161" spans="1:17" x14ac:dyDescent="0.35">
      <c r="A161" s="89"/>
      <c r="B161" s="8" t="s">
        <v>214</v>
      </c>
      <c r="C161" s="90"/>
      <c r="D161" s="43"/>
      <c r="E161" s="43">
        <f t="shared" ref="E161:P161" si="57">SUM(E159:E160)</f>
        <v>72154.476950667668</v>
      </c>
      <c r="F161" s="43">
        <f t="shared" si="57"/>
        <v>776773.76192278066</v>
      </c>
      <c r="G161" s="43">
        <f t="shared" si="57"/>
        <v>3549207.4202589551</v>
      </c>
      <c r="H161" s="43">
        <f t="shared" si="57"/>
        <v>728528.05171557853</v>
      </c>
      <c r="I161" s="43">
        <f t="shared" si="57"/>
        <v>2702721.3551054904</v>
      </c>
      <c r="J161" s="43">
        <f t="shared" si="57"/>
        <v>3484710.1531442609</v>
      </c>
      <c r="K161" s="43">
        <f t="shared" si="57"/>
        <v>2824472.3259487245</v>
      </c>
      <c r="L161" s="43">
        <f t="shared" si="57"/>
        <v>1216341.476571511</v>
      </c>
      <c r="M161" s="43">
        <f t="shared" si="57"/>
        <v>4281565.2390320767</v>
      </c>
      <c r="N161" s="43">
        <f t="shared" si="57"/>
        <v>1159060.5128366866</v>
      </c>
      <c r="O161" s="43">
        <f t="shared" si="57"/>
        <v>3163261.7107786913</v>
      </c>
      <c r="P161" s="43">
        <f t="shared" si="57"/>
        <v>3760088.8057345776</v>
      </c>
      <c r="Q161" s="91">
        <f>SUM(D161:P161)+D162</f>
        <v>79963994.113138825</v>
      </c>
    </row>
    <row r="162" spans="1:17" x14ac:dyDescent="0.35">
      <c r="A162" s="89"/>
      <c r="B162" s="8" t="s">
        <v>163</v>
      </c>
      <c r="C162" s="90"/>
      <c r="D162" s="43">
        <f>+P89</f>
        <v>52245108.823138826</v>
      </c>
      <c r="E162" s="43">
        <f t="shared" ref="E162:P162" si="58">+E161+D162</f>
        <v>52317263.300089493</v>
      </c>
      <c r="F162" s="43">
        <f t="shared" si="58"/>
        <v>53094037.062012278</v>
      </c>
      <c r="G162" s="43">
        <f t="shared" si="58"/>
        <v>56643244.482271232</v>
      </c>
      <c r="H162" s="43">
        <f t="shared" si="58"/>
        <v>57371772.533986807</v>
      </c>
      <c r="I162" s="43">
        <f t="shared" si="58"/>
        <v>60074493.889092296</v>
      </c>
      <c r="J162" s="43">
        <f t="shared" si="58"/>
        <v>63559204.042236559</v>
      </c>
      <c r="K162" s="43">
        <f t="shared" si="58"/>
        <v>66383676.368185282</v>
      </c>
      <c r="L162" s="43">
        <f t="shared" si="58"/>
        <v>67600017.844756797</v>
      </c>
      <c r="M162" s="43">
        <f t="shared" si="58"/>
        <v>71881583.083788872</v>
      </c>
      <c r="N162" s="43">
        <f t="shared" si="58"/>
        <v>73040643.596625552</v>
      </c>
      <c r="O162" s="43">
        <f t="shared" si="58"/>
        <v>76203905.30740425</v>
      </c>
      <c r="P162" s="43">
        <f t="shared" si="58"/>
        <v>79963994.113138825</v>
      </c>
      <c r="Q162" s="91"/>
    </row>
    <row r="163" spans="1:17" x14ac:dyDescent="0.35">
      <c r="A163" s="89"/>
      <c r="C163" s="90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91"/>
    </row>
    <row r="164" spans="1:17" x14ac:dyDescent="0.35">
      <c r="A164" s="89"/>
      <c r="B164" s="8" t="s">
        <v>164</v>
      </c>
      <c r="C164" s="90"/>
      <c r="D164" s="43"/>
      <c r="E164" s="43">
        <f>ROUND($C158*D162,0)</f>
        <v>78368</v>
      </c>
      <c r="F164" s="43">
        <f t="shared" ref="F164:P164" si="59">ROUND($C158*E162,0)</f>
        <v>78476</v>
      </c>
      <c r="G164" s="43">
        <f t="shared" si="59"/>
        <v>79641</v>
      </c>
      <c r="H164" s="43">
        <f t="shared" si="59"/>
        <v>84965</v>
      </c>
      <c r="I164" s="43">
        <f t="shared" si="59"/>
        <v>86058</v>
      </c>
      <c r="J164" s="43">
        <f t="shared" si="59"/>
        <v>90112</v>
      </c>
      <c r="K164" s="43">
        <f t="shared" si="59"/>
        <v>95339</v>
      </c>
      <c r="L164" s="43">
        <f t="shared" si="59"/>
        <v>99576</v>
      </c>
      <c r="M164" s="43">
        <f t="shared" si="59"/>
        <v>101400</v>
      </c>
      <c r="N164" s="43">
        <f t="shared" si="59"/>
        <v>107822</v>
      </c>
      <c r="O164" s="43">
        <f t="shared" si="59"/>
        <v>109561</v>
      </c>
      <c r="P164" s="43">
        <f t="shared" si="59"/>
        <v>114306</v>
      </c>
      <c r="Q164" s="91"/>
    </row>
    <row r="165" spans="1:17" x14ac:dyDescent="0.35">
      <c r="A165" s="89"/>
      <c r="B165" s="8" t="s">
        <v>165</v>
      </c>
      <c r="C165" s="90"/>
      <c r="D165" s="43"/>
      <c r="E165" s="46">
        <f>ROUND($C158*E161*0.5,3)</f>
        <v>54.116</v>
      </c>
      <c r="F165" s="46">
        <f t="shared" ref="F165:P165" si="60">ROUND($C158*F161*0.5,3)</f>
        <v>582.58000000000004</v>
      </c>
      <c r="G165" s="46">
        <f t="shared" si="60"/>
        <v>2661.9059999999999</v>
      </c>
      <c r="H165" s="46">
        <f t="shared" si="60"/>
        <v>546.39599999999996</v>
      </c>
      <c r="I165" s="46">
        <f t="shared" si="60"/>
        <v>2027.0409999999999</v>
      </c>
      <c r="J165" s="46">
        <f t="shared" si="60"/>
        <v>2613.5329999999999</v>
      </c>
      <c r="K165" s="46">
        <f t="shared" si="60"/>
        <v>2118.3539999999998</v>
      </c>
      <c r="L165" s="46">
        <f t="shared" si="60"/>
        <v>912.25599999999997</v>
      </c>
      <c r="M165" s="46">
        <f t="shared" si="60"/>
        <v>3211.174</v>
      </c>
      <c r="N165" s="46">
        <f t="shared" si="60"/>
        <v>869.29499999999996</v>
      </c>
      <c r="O165" s="46">
        <f t="shared" si="60"/>
        <v>2372.4459999999999</v>
      </c>
      <c r="P165" s="46">
        <f t="shared" si="60"/>
        <v>2820.067</v>
      </c>
      <c r="Q165" s="91"/>
    </row>
    <row r="166" spans="1:17" x14ac:dyDescent="0.35">
      <c r="A166" s="89"/>
      <c r="B166" s="8" t="s">
        <v>262</v>
      </c>
      <c r="C166" s="90"/>
      <c r="D166" s="43">
        <v>0</v>
      </c>
      <c r="E166" s="43">
        <f t="shared" ref="E166:P166" si="61">SUM(E164:E165)</f>
        <v>78422.115999999995</v>
      </c>
      <c r="F166" s="43">
        <f t="shared" si="61"/>
        <v>79058.58</v>
      </c>
      <c r="G166" s="43">
        <f t="shared" si="61"/>
        <v>82302.906000000003</v>
      </c>
      <c r="H166" s="43">
        <f t="shared" si="61"/>
        <v>85511.395999999993</v>
      </c>
      <c r="I166" s="43">
        <f t="shared" si="61"/>
        <v>88085.040999999997</v>
      </c>
      <c r="J166" s="43">
        <f t="shared" si="61"/>
        <v>92725.532999999996</v>
      </c>
      <c r="K166" s="43">
        <f t="shared" si="61"/>
        <v>97457.354000000007</v>
      </c>
      <c r="L166" s="43">
        <f t="shared" si="61"/>
        <v>100488.25599999999</v>
      </c>
      <c r="M166" s="43">
        <f t="shared" si="61"/>
        <v>104611.174</v>
      </c>
      <c r="N166" s="43">
        <f t="shared" si="61"/>
        <v>108691.295</v>
      </c>
      <c r="O166" s="43">
        <f t="shared" si="61"/>
        <v>111933.446</v>
      </c>
      <c r="P166" s="43">
        <f t="shared" si="61"/>
        <v>117126.067</v>
      </c>
      <c r="Q166" s="91">
        <f>SUM(D166:P166)</f>
        <v>1146413.1640000001</v>
      </c>
    </row>
    <row r="167" spans="1:17" x14ac:dyDescent="0.35">
      <c r="A167" s="92"/>
      <c r="B167" s="93"/>
      <c r="C167" s="94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95"/>
    </row>
    <row r="168" spans="1:17" x14ac:dyDescent="0.35">
      <c r="A168" s="84"/>
      <c r="B168" s="85" t="s">
        <v>134</v>
      </c>
      <c r="C168" s="86">
        <f>3.31%/12</f>
        <v>2.7583333333333331E-3</v>
      </c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88"/>
    </row>
    <row r="169" spans="1:17" x14ac:dyDescent="0.35">
      <c r="A169" s="89"/>
      <c r="B169" s="8" t="s">
        <v>166</v>
      </c>
      <c r="C169" s="90"/>
      <c r="D169" s="43"/>
      <c r="E169" s="43">
        <f>+'3.0 Plant in Service'!D159</f>
        <v>0</v>
      </c>
      <c r="F169" s="43">
        <f>+'3.0 Plant in Service'!E159</f>
        <v>0</v>
      </c>
      <c r="G169" s="43">
        <f>+'3.0 Plant in Service'!F159</f>
        <v>0</v>
      </c>
      <c r="H169" s="43">
        <f>+'3.0 Plant in Service'!G159</f>
        <v>0</v>
      </c>
      <c r="I169" s="43">
        <f>+'3.0 Plant in Service'!H159</f>
        <v>0</v>
      </c>
      <c r="J169" s="43">
        <f>+'3.0 Plant in Service'!I159</f>
        <v>0</v>
      </c>
      <c r="K169" s="43">
        <f>+'3.0 Plant in Service'!J159</f>
        <v>0</v>
      </c>
      <c r="L169" s="43">
        <f>+'3.0 Plant in Service'!K159</f>
        <v>0</v>
      </c>
      <c r="M169" s="43">
        <f>+'3.0 Plant in Service'!L159</f>
        <v>0</v>
      </c>
      <c r="N169" s="43">
        <f>+'3.0 Plant in Service'!M159</f>
        <v>0</v>
      </c>
      <c r="O169" s="43">
        <f>+'3.0 Plant in Service'!N159</f>
        <v>0</v>
      </c>
      <c r="P169" s="43">
        <f>+'3.0 Plant in Service'!O159</f>
        <v>0</v>
      </c>
      <c r="Q169" s="91">
        <f>SUM(E169:P169)</f>
        <v>0</v>
      </c>
    </row>
    <row r="170" spans="1:17" x14ac:dyDescent="0.35">
      <c r="A170" s="89"/>
      <c r="B170" s="8" t="s">
        <v>167</v>
      </c>
      <c r="C170" s="90"/>
      <c r="D170" s="43"/>
      <c r="E170" s="46">
        <f>+'3.0 Plant in Service'!D168</f>
        <v>-7576.5300000000007</v>
      </c>
      <c r="F170" s="46">
        <f>+'3.0 Plant in Service'!E168</f>
        <v>-6092.8</v>
      </c>
      <c r="G170" s="46">
        <f>+'3.0 Plant in Service'!F168</f>
        <v>-17244.22</v>
      </c>
      <c r="H170" s="46">
        <f>+'3.0 Plant in Service'!G168</f>
        <v>-1679.98</v>
      </c>
      <c r="I170" s="46">
        <f>+'3.0 Plant in Service'!H168</f>
        <v>-9507.9599999999991</v>
      </c>
      <c r="J170" s="46">
        <f>+'3.0 Plant in Service'!I168</f>
        <v>-98607.48000000001</v>
      </c>
      <c r="K170" s="46">
        <f>+'3.0 Plant in Service'!J168</f>
        <v>-90900.479999999996</v>
      </c>
      <c r="L170" s="46">
        <f>+'3.0 Plant in Service'!K168</f>
        <v>-73755.900000000009</v>
      </c>
      <c r="M170" s="46">
        <f>+'3.0 Plant in Service'!L168</f>
        <v>-42418.09</v>
      </c>
      <c r="N170" s="46">
        <f>+'3.0 Plant in Service'!M168</f>
        <v>0</v>
      </c>
      <c r="O170" s="46">
        <f>+'3.0 Plant in Service'!N168</f>
        <v>-507.39</v>
      </c>
      <c r="P170" s="46">
        <f>+'3.0 Plant in Service'!O168</f>
        <v>-42121.18</v>
      </c>
      <c r="Q170" s="91"/>
    </row>
    <row r="171" spans="1:17" x14ac:dyDescent="0.35">
      <c r="A171" s="89"/>
      <c r="B171" s="8" t="s">
        <v>214</v>
      </c>
      <c r="C171" s="90"/>
      <c r="D171" s="43"/>
      <c r="E171" s="43">
        <f t="shared" ref="E171:P171" si="62">SUM(E169:E170)</f>
        <v>-7576.5300000000007</v>
      </c>
      <c r="F171" s="43">
        <f t="shared" si="62"/>
        <v>-6092.8</v>
      </c>
      <c r="G171" s="43">
        <f t="shared" si="62"/>
        <v>-17244.22</v>
      </c>
      <c r="H171" s="43">
        <f t="shared" si="62"/>
        <v>-1679.98</v>
      </c>
      <c r="I171" s="43">
        <f t="shared" si="62"/>
        <v>-9507.9599999999991</v>
      </c>
      <c r="J171" s="43">
        <f t="shared" si="62"/>
        <v>-98607.48000000001</v>
      </c>
      <c r="K171" s="43">
        <f t="shared" si="62"/>
        <v>-90900.479999999996</v>
      </c>
      <c r="L171" s="43">
        <f t="shared" si="62"/>
        <v>-73755.900000000009</v>
      </c>
      <c r="M171" s="43">
        <f t="shared" si="62"/>
        <v>-42418.09</v>
      </c>
      <c r="N171" s="43">
        <f t="shared" si="62"/>
        <v>0</v>
      </c>
      <c r="O171" s="43">
        <f t="shared" si="62"/>
        <v>-507.39</v>
      </c>
      <c r="P171" s="43">
        <f t="shared" si="62"/>
        <v>-42121.18</v>
      </c>
      <c r="Q171" s="91">
        <f>SUM(D171:P171)+D172</f>
        <v>209368.60686116613</v>
      </c>
    </row>
    <row r="172" spans="1:17" x14ac:dyDescent="0.35">
      <c r="A172" s="89"/>
      <c r="B172" s="8" t="s">
        <v>163</v>
      </c>
      <c r="C172" s="90"/>
      <c r="D172" s="43">
        <f>+P99</f>
        <v>599780.6168611662</v>
      </c>
      <c r="E172" s="43">
        <f t="shared" ref="E172:P172" si="63">+E171+D172</f>
        <v>592204.08686116617</v>
      </c>
      <c r="F172" s="43">
        <f t="shared" si="63"/>
        <v>586111.28686116613</v>
      </c>
      <c r="G172" s="43">
        <f t="shared" si="63"/>
        <v>568867.06686116615</v>
      </c>
      <c r="H172" s="43">
        <f t="shared" si="63"/>
        <v>567187.08686116617</v>
      </c>
      <c r="I172" s="43">
        <f t="shared" si="63"/>
        <v>557679.12686116621</v>
      </c>
      <c r="J172" s="43">
        <f t="shared" si="63"/>
        <v>459071.64686116623</v>
      </c>
      <c r="K172" s="43">
        <f t="shared" si="63"/>
        <v>368171.16686116625</v>
      </c>
      <c r="L172" s="43">
        <f t="shared" si="63"/>
        <v>294415.26686116622</v>
      </c>
      <c r="M172" s="43">
        <f t="shared" si="63"/>
        <v>251997.17686116623</v>
      </c>
      <c r="N172" s="43">
        <f t="shared" si="63"/>
        <v>251997.17686116623</v>
      </c>
      <c r="O172" s="43">
        <f t="shared" si="63"/>
        <v>251489.78686116621</v>
      </c>
      <c r="P172" s="43">
        <f t="shared" si="63"/>
        <v>209368.60686116622</v>
      </c>
      <c r="Q172" s="91"/>
    </row>
    <row r="173" spans="1:17" x14ac:dyDescent="0.35">
      <c r="A173" s="89"/>
      <c r="C173" s="90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91"/>
    </row>
    <row r="174" spans="1:17" x14ac:dyDescent="0.35">
      <c r="A174" s="89"/>
      <c r="B174" s="8" t="s">
        <v>164</v>
      </c>
      <c r="C174" s="90"/>
      <c r="D174" s="43"/>
      <c r="E174" s="43">
        <f>ROUND($C168*D172,0)</f>
        <v>1654</v>
      </c>
      <c r="F174" s="43">
        <f t="shared" ref="F174:P174" si="64">ROUND($C168*E172,0)</f>
        <v>1633</v>
      </c>
      <c r="G174" s="43">
        <f t="shared" si="64"/>
        <v>1617</v>
      </c>
      <c r="H174" s="43">
        <f t="shared" si="64"/>
        <v>1569</v>
      </c>
      <c r="I174" s="43">
        <f t="shared" si="64"/>
        <v>1564</v>
      </c>
      <c r="J174" s="43">
        <f t="shared" si="64"/>
        <v>1538</v>
      </c>
      <c r="K174" s="43">
        <f t="shared" si="64"/>
        <v>1266</v>
      </c>
      <c r="L174" s="43">
        <f t="shared" si="64"/>
        <v>1016</v>
      </c>
      <c r="M174" s="43">
        <f t="shared" si="64"/>
        <v>812</v>
      </c>
      <c r="N174" s="43">
        <f t="shared" si="64"/>
        <v>695</v>
      </c>
      <c r="O174" s="43">
        <f t="shared" si="64"/>
        <v>695</v>
      </c>
      <c r="P174" s="43">
        <f t="shared" si="64"/>
        <v>694</v>
      </c>
      <c r="Q174" s="91"/>
    </row>
    <row r="175" spans="1:17" x14ac:dyDescent="0.35">
      <c r="A175" s="89"/>
      <c r="B175" s="8" t="s">
        <v>165</v>
      </c>
      <c r="C175" s="90"/>
      <c r="D175" s="43"/>
      <c r="E175" s="46">
        <f>ROUND($C168*E171*0.5,3)</f>
        <v>-10.449</v>
      </c>
      <c r="F175" s="46">
        <f t="shared" ref="F175:P175" si="65">ROUND($C168*F171*0.5,3)</f>
        <v>-8.4030000000000005</v>
      </c>
      <c r="G175" s="46">
        <f t="shared" si="65"/>
        <v>-23.783000000000001</v>
      </c>
      <c r="H175" s="46">
        <f t="shared" si="65"/>
        <v>-2.3170000000000002</v>
      </c>
      <c r="I175" s="46">
        <f t="shared" si="65"/>
        <v>-13.113</v>
      </c>
      <c r="J175" s="46">
        <f t="shared" si="65"/>
        <v>-135.99600000000001</v>
      </c>
      <c r="K175" s="46">
        <f t="shared" si="65"/>
        <v>-125.367</v>
      </c>
      <c r="L175" s="46">
        <f t="shared" si="65"/>
        <v>-101.72199999999999</v>
      </c>
      <c r="M175" s="46">
        <f t="shared" si="65"/>
        <v>-58.502000000000002</v>
      </c>
      <c r="N175" s="46">
        <f t="shared" si="65"/>
        <v>0</v>
      </c>
      <c r="O175" s="46">
        <f t="shared" si="65"/>
        <v>-0.7</v>
      </c>
      <c r="P175" s="46">
        <f t="shared" si="65"/>
        <v>-58.091999999999999</v>
      </c>
      <c r="Q175" s="91"/>
    </row>
    <row r="176" spans="1:17" x14ac:dyDescent="0.35">
      <c r="A176" s="89"/>
      <c r="B176" s="8" t="s">
        <v>263</v>
      </c>
      <c r="C176" s="90"/>
      <c r="D176" s="43"/>
      <c r="E176" s="43">
        <f t="shared" ref="E176:P176" si="66">SUM(E174:E175)</f>
        <v>1643.5509999999999</v>
      </c>
      <c r="F176" s="43">
        <f t="shared" si="66"/>
        <v>1624.597</v>
      </c>
      <c r="G176" s="43">
        <f t="shared" si="66"/>
        <v>1593.2170000000001</v>
      </c>
      <c r="H176" s="43">
        <f t="shared" si="66"/>
        <v>1566.683</v>
      </c>
      <c r="I176" s="43">
        <f t="shared" si="66"/>
        <v>1550.8869999999999</v>
      </c>
      <c r="J176" s="43">
        <f t="shared" si="66"/>
        <v>1402.0039999999999</v>
      </c>
      <c r="K176" s="43">
        <f t="shared" si="66"/>
        <v>1140.633</v>
      </c>
      <c r="L176" s="43">
        <f t="shared" si="66"/>
        <v>914.27800000000002</v>
      </c>
      <c r="M176" s="43">
        <f t="shared" si="66"/>
        <v>753.49800000000005</v>
      </c>
      <c r="N176" s="43">
        <f t="shared" si="66"/>
        <v>695</v>
      </c>
      <c r="O176" s="43">
        <f t="shared" si="66"/>
        <v>694.3</v>
      </c>
      <c r="P176" s="43">
        <f t="shared" si="66"/>
        <v>635.90800000000002</v>
      </c>
      <c r="Q176" s="91">
        <f>SUM(E176:P176)</f>
        <v>14214.555999999997</v>
      </c>
    </row>
    <row r="177" spans="1:17" x14ac:dyDescent="0.35">
      <c r="A177" s="92"/>
      <c r="B177" s="93"/>
      <c r="C177" s="94"/>
      <c r="D177" s="4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5"/>
    </row>
    <row r="178" spans="1:17" x14ac:dyDescent="0.35">
      <c r="A178" s="84"/>
      <c r="B178" s="85" t="s">
        <v>135</v>
      </c>
      <c r="C178" s="86">
        <f>5.18%/12</f>
        <v>4.3166666666666666E-3</v>
      </c>
      <c r="D178" s="48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8"/>
    </row>
    <row r="179" spans="1:17" x14ac:dyDescent="0.35">
      <c r="A179" s="89"/>
      <c r="B179" s="8" t="s">
        <v>166</v>
      </c>
      <c r="C179" s="90"/>
      <c r="D179" s="43"/>
      <c r="E179" s="43">
        <f>+'3.0 Plant in Service'!D160</f>
        <v>1047024.3312188098</v>
      </c>
      <c r="F179" s="43">
        <f>+'3.0 Plant in Service'!E160</f>
        <v>1266251.9777979155</v>
      </c>
      <c r="G179" s="43">
        <f>+'3.0 Plant in Service'!F160</f>
        <v>1350583.1486379444</v>
      </c>
      <c r="H179" s="43">
        <f>+'3.0 Plant in Service'!G160</f>
        <v>1323675.9183738274</v>
      </c>
      <c r="I179" s="43">
        <f>+'3.0 Plant in Service'!H160</f>
        <v>1554248.102845385</v>
      </c>
      <c r="J179" s="43">
        <f>+'3.0 Plant in Service'!I160</f>
        <v>1385943.2387768992</v>
      </c>
      <c r="K179" s="43">
        <f>+'3.0 Plant in Service'!J160</f>
        <v>1166127.0795676347</v>
      </c>
      <c r="L179" s="43">
        <f>+'3.0 Plant in Service'!K160</f>
        <v>1556194.3205463656</v>
      </c>
      <c r="M179" s="43">
        <f>+'3.0 Plant in Service'!L160</f>
        <v>1328810.8925667414</v>
      </c>
      <c r="N179" s="43">
        <f>+'3.0 Plant in Service'!M160</f>
        <v>1877910.4175566221</v>
      </c>
      <c r="O179" s="43">
        <f>+'3.0 Plant in Service'!N160</f>
        <v>1062021.5935116475</v>
      </c>
      <c r="P179" s="43">
        <f>+'3.0 Plant in Service'!O160</f>
        <v>964202.9786002083</v>
      </c>
      <c r="Q179" s="91">
        <f>SUM(E179:P179)</f>
        <v>15882994</v>
      </c>
    </row>
    <row r="180" spans="1:17" x14ac:dyDescent="0.35">
      <c r="A180" s="89"/>
      <c r="B180" s="8" t="s">
        <v>167</v>
      </c>
      <c r="C180" s="90"/>
      <c r="D180" s="43"/>
      <c r="E180" s="46">
        <f>+'3.0 Plant in Service'!D169</f>
        <v>-341787.57307771471</v>
      </c>
      <c r="F180" s="46">
        <f>+'3.0 Plant in Service'!E169</f>
        <v>-143657.65469541136</v>
      </c>
      <c r="G180" s="46">
        <f>+'3.0 Plant in Service'!F169</f>
        <v>-236668.01574842297</v>
      </c>
      <c r="H180" s="46">
        <f>+'3.0 Plant in Service'!G169</f>
        <v>-233001.01846857875</v>
      </c>
      <c r="I180" s="46">
        <f>+'3.0 Plant in Service'!H169</f>
        <v>-360087.40416361706</v>
      </c>
      <c r="J180" s="46">
        <f>+'3.0 Plant in Service'!I169</f>
        <v>-442011.89693789068</v>
      </c>
      <c r="K180" s="46">
        <f>+'3.0 Plant in Service'!J169</f>
        <v>-284834.66002487543</v>
      </c>
      <c r="L180" s="46">
        <f>+'3.0 Plant in Service'!K169</f>
        <v>-208113.1639012341</v>
      </c>
      <c r="M180" s="46">
        <f>+'3.0 Plant in Service'!L169</f>
        <v>-336668.59968178259</v>
      </c>
      <c r="N180" s="46">
        <f>+'3.0 Plant in Service'!M169</f>
        <v>-220174.68463857341</v>
      </c>
      <c r="O180" s="46">
        <f>+'3.0 Plant in Service'!N169</f>
        <v>-338164.0676489388</v>
      </c>
      <c r="P180" s="46">
        <f>+'3.0 Plant in Service'!O169</f>
        <v>-296123.48342238023</v>
      </c>
      <c r="Q180" s="91"/>
    </row>
    <row r="181" spans="1:17" x14ac:dyDescent="0.35">
      <c r="A181" s="89"/>
      <c r="B181" s="8" t="s">
        <v>214</v>
      </c>
      <c r="C181" s="90"/>
      <c r="D181" s="43"/>
      <c r="E181" s="43">
        <f t="shared" ref="E181:P181" si="67">SUM(E179:E180)</f>
        <v>705236.75814109505</v>
      </c>
      <c r="F181" s="43">
        <f t="shared" si="67"/>
        <v>1122594.323102504</v>
      </c>
      <c r="G181" s="43">
        <f t="shared" si="67"/>
        <v>1113915.1328895213</v>
      </c>
      <c r="H181" s="43">
        <f t="shared" si="67"/>
        <v>1090674.8999052485</v>
      </c>
      <c r="I181" s="43">
        <f t="shared" si="67"/>
        <v>1194160.698681768</v>
      </c>
      <c r="J181" s="43">
        <f t="shared" si="67"/>
        <v>943931.3418390085</v>
      </c>
      <c r="K181" s="43">
        <f t="shared" si="67"/>
        <v>881292.41954275931</v>
      </c>
      <c r="L181" s="43">
        <f t="shared" si="67"/>
        <v>1348081.1566451315</v>
      </c>
      <c r="M181" s="43">
        <f t="shared" si="67"/>
        <v>992142.29288495891</v>
      </c>
      <c r="N181" s="43">
        <f t="shared" si="67"/>
        <v>1657735.7329180487</v>
      </c>
      <c r="O181" s="43">
        <f t="shared" si="67"/>
        <v>723857.52586270869</v>
      </c>
      <c r="P181" s="43">
        <f t="shared" si="67"/>
        <v>668079.49517782801</v>
      </c>
      <c r="Q181" s="91">
        <f>SUM(D181:P181)+D182</f>
        <v>34408108.428160943</v>
      </c>
    </row>
    <row r="182" spans="1:17" x14ac:dyDescent="0.35">
      <c r="A182" s="89"/>
      <c r="B182" s="8" t="s">
        <v>163</v>
      </c>
      <c r="C182" s="90"/>
      <c r="D182" s="43">
        <f>+P109</f>
        <v>21966406.650570363</v>
      </c>
      <c r="E182" s="43">
        <f t="shared" ref="E182:P182" si="68">+E181+D182</f>
        <v>22671643.408711459</v>
      </c>
      <c r="F182" s="43">
        <f t="shared" si="68"/>
        <v>23794237.731813964</v>
      </c>
      <c r="G182" s="43">
        <f t="shared" si="68"/>
        <v>24908152.864703484</v>
      </c>
      <c r="H182" s="43">
        <f t="shared" si="68"/>
        <v>25998827.764608733</v>
      </c>
      <c r="I182" s="43">
        <f t="shared" si="68"/>
        <v>27192988.463290501</v>
      </c>
      <c r="J182" s="43">
        <f t="shared" si="68"/>
        <v>28136919.805129509</v>
      </c>
      <c r="K182" s="43">
        <f t="shared" si="68"/>
        <v>29018212.224672269</v>
      </c>
      <c r="L182" s="43">
        <f t="shared" si="68"/>
        <v>30366293.381317399</v>
      </c>
      <c r="M182" s="43">
        <f t="shared" si="68"/>
        <v>31358435.67420236</v>
      </c>
      <c r="N182" s="43">
        <f t="shared" si="68"/>
        <v>33016171.40712041</v>
      </c>
      <c r="O182" s="43">
        <f t="shared" si="68"/>
        <v>33740028.932983115</v>
      </c>
      <c r="P182" s="43">
        <f t="shared" si="68"/>
        <v>34408108.428160943</v>
      </c>
      <c r="Q182" s="91"/>
    </row>
    <row r="183" spans="1:17" x14ac:dyDescent="0.35">
      <c r="A183" s="89"/>
      <c r="C183" s="90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91"/>
    </row>
    <row r="184" spans="1:17" x14ac:dyDescent="0.35">
      <c r="A184" s="89"/>
      <c r="B184" s="8" t="s">
        <v>164</v>
      </c>
      <c r="C184" s="90"/>
      <c r="D184" s="43"/>
      <c r="E184" s="43">
        <f>ROUND($C178*D182,0)</f>
        <v>94822</v>
      </c>
      <c r="F184" s="43">
        <f t="shared" ref="F184:P184" si="69">ROUND($C178*E182,0)</f>
        <v>97866</v>
      </c>
      <c r="G184" s="43">
        <f t="shared" si="69"/>
        <v>102712</v>
      </c>
      <c r="H184" s="43">
        <f t="shared" si="69"/>
        <v>107520</v>
      </c>
      <c r="I184" s="43">
        <f t="shared" si="69"/>
        <v>112228</v>
      </c>
      <c r="J184" s="43">
        <f t="shared" si="69"/>
        <v>117383</v>
      </c>
      <c r="K184" s="43">
        <f t="shared" si="69"/>
        <v>121458</v>
      </c>
      <c r="L184" s="43">
        <f t="shared" si="69"/>
        <v>125262</v>
      </c>
      <c r="M184" s="43">
        <f t="shared" si="69"/>
        <v>131081</v>
      </c>
      <c r="N184" s="43">
        <f t="shared" si="69"/>
        <v>135364</v>
      </c>
      <c r="O184" s="43">
        <f t="shared" si="69"/>
        <v>142520</v>
      </c>
      <c r="P184" s="43">
        <f t="shared" si="69"/>
        <v>145644</v>
      </c>
      <c r="Q184" s="91"/>
    </row>
    <row r="185" spans="1:17" x14ac:dyDescent="0.35">
      <c r="A185" s="89"/>
      <c r="B185" s="8" t="s">
        <v>165</v>
      </c>
      <c r="C185" s="90"/>
      <c r="D185" s="43"/>
      <c r="E185" s="46">
        <f>ROUND($C178*E181*0.5,3)</f>
        <v>1522.136</v>
      </c>
      <c r="F185" s="46">
        <f t="shared" ref="F185:P185" si="70">ROUND($C178*F181*0.5,3)</f>
        <v>2422.933</v>
      </c>
      <c r="G185" s="46">
        <f t="shared" si="70"/>
        <v>2404.1999999999998</v>
      </c>
      <c r="H185" s="46">
        <f t="shared" si="70"/>
        <v>2354.04</v>
      </c>
      <c r="I185" s="46">
        <f t="shared" si="70"/>
        <v>2577.3969999999999</v>
      </c>
      <c r="J185" s="46">
        <f t="shared" si="70"/>
        <v>2037.318</v>
      </c>
      <c r="K185" s="46">
        <f t="shared" si="70"/>
        <v>1902.123</v>
      </c>
      <c r="L185" s="46">
        <f t="shared" si="70"/>
        <v>2909.6080000000002</v>
      </c>
      <c r="M185" s="46">
        <f t="shared" si="70"/>
        <v>2141.3739999999998</v>
      </c>
      <c r="N185" s="46">
        <f t="shared" si="70"/>
        <v>3577.9459999999999</v>
      </c>
      <c r="O185" s="46">
        <f t="shared" si="70"/>
        <v>1562.326</v>
      </c>
      <c r="P185" s="46">
        <f t="shared" si="70"/>
        <v>1441.9380000000001</v>
      </c>
      <c r="Q185" s="91"/>
    </row>
    <row r="186" spans="1:17" x14ac:dyDescent="0.35">
      <c r="A186" s="89"/>
      <c r="B186" s="8" t="s">
        <v>264</v>
      </c>
      <c r="C186" s="90"/>
      <c r="D186" s="43"/>
      <c r="E186" s="43">
        <f t="shared" ref="E186:P186" si="71">SUM(E184:E185)</f>
        <v>96344.135999999999</v>
      </c>
      <c r="F186" s="43">
        <f t="shared" si="71"/>
        <v>100288.933</v>
      </c>
      <c r="G186" s="43">
        <f t="shared" si="71"/>
        <v>105116.2</v>
      </c>
      <c r="H186" s="43">
        <f t="shared" si="71"/>
        <v>109874.04</v>
      </c>
      <c r="I186" s="43">
        <f t="shared" si="71"/>
        <v>114805.397</v>
      </c>
      <c r="J186" s="43">
        <f t="shared" si="71"/>
        <v>119420.318</v>
      </c>
      <c r="K186" s="43">
        <f t="shared" si="71"/>
        <v>123360.12300000001</v>
      </c>
      <c r="L186" s="43">
        <f t="shared" si="71"/>
        <v>128171.60800000001</v>
      </c>
      <c r="M186" s="43">
        <f t="shared" si="71"/>
        <v>133222.37400000001</v>
      </c>
      <c r="N186" s="43">
        <f t="shared" si="71"/>
        <v>138941.946</v>
      </c>
      <c r="O186" s="43">
        <f t="shared" si="71"/>
        <v>144082.326</v>
      </c>
      <c r="P186" s="43">
        <f t="shared" si="71"/>
        <v>147085.93799999999</v>
      </c>
      <c r="Q186" s="91">
        <f>SUM(E186:P186)</f>
        <v>1460713.3390000002</v>
      </c>
    </row>
    <row r="187" spans="1:17" x14ac:dyDescent="0.35">
      <c r="A187" s="92"/>
      <c r="B187" s="93"/>
      <c r="C187" s="94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95"/>
    </row>
    <row r="188" spans="1:17" x14ac:dyDescent="0.35">
      <c r="A188" s="84"/>
      <c r="B188" s="85" t="s">
        <v>136</v>
      </c>
      <c r="C188" s="86">
        <f>2.28%/12</f>
        <v>1.8999999999999998E-3</v>
      </c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88"/>
    </row>
    <row r="189" spans="1:17" x14ac:dyDescent="0.35">
      <c r="A189" s="89"/>
      <c r="B189" s="8" t="s">
        <v>166</v>
      </c>
      <c r="C189" s="90"/>
      <c r="D189" s="43"/>
      <c r="E189" s="43">
        <f>+'3.0 Plant in Service'!D161</f>
        <v>4810.3504675845643</v>
      </c>
      <c r="F189" s="43">
        <f>+'3.0 Plant in Service'!E161</f>
        <v>0</v>
      </c>
      <c r="G189" s="43">
        <f>+'3.0 Plant in Service'!F161</f>
        <v>3564.5143994593273</v>
      </c>
      <c r="H189" s="43">
        <f>+'3.0 Plant in Service'!G161</f>
        <v>1096.0269999502232</v>
      </c>
      <c r="I189" s="43">
        <f>+'3.0 Plant in Service'!H161</f>
        <v>8187.5450583402799</v>
      </c>
      <c r="J189" s="43">
        <f>+'3.0 Plant in Service'!I161</f>
        <v>13306.664762653245</v>
      </c>
      <c r="K189" s="43">
        <f>+'3.0 Plant in Service'!J161</f>
        <v>20712.507038832053</v>
      </c>
      <c r="L189" s="43">
        <f>+'3.0 Plant in Service'!K161</f>
        <v>57809.109111010919</v>
      </c>
      <c r="M189" s="43">
        <f>+'3.0 Plant in Service'!L161</f>
        <v>16483.26606364534</v>
      </c>
      <c r="N189" s="43">
        <f>+'3.0 Plant in Service'!M161</f>
        <v>51759.647026058396</v>
      </c>
      <c r="O189" s="43">
        <f>+'3.0 Plant in Service'!N161</f>
        <v>41628.618751897287</v>
      </c>
      <c r="P189" s="43">
        <f>+'3.0 Plant in Service'!O161</f>
        <v>30856.750320568317</v>
      </c>
      <c r="Q189" s="91">
        <f>SUM(E189:P189)</f>
        <v>250214.99999999994</v>
      </c>
    </row>
    <row r="190" spans="1:17" x14ac:dyDescent="0.35">
      <c r="A190" s="89"/>
      <c r="B190" s="8" t="s">
        <v>167</v>
      </c>
      <c r="C190" s="90"/>
      <c r="D190" s="43"/>
      <c r="E190" s="46">
        <f>+'3.0 Plant in Service'!D170</f>
        <v>-489.15000000000003</v>
      </c>
      <c r="F190" s="46">
        <f>+'3.0 Plant in Service'!E170</f>
        <v>-1574.7300000000002</v>
      </c>
      <c r="G190" s="46">
        <f>+'3.0 Plant in Service'!F170</f>
        <v>-2045.7900000000002</v>
      </c>
      <c r="H190" s="46">
        <f>+'3.0 Plant in Service'!G170</f>
        <v>-5647.4500000000007</v>
      </c>
      <c r="I190" s="46">
        <f>+'3.0 Plant in Service'!H170</f>
        <v>-3453.44</v>
      </c>
      <c r="J190" s="46">
        <f>+'3.0 Plant in Service'!I170</f>
        <v>-3705.5099999999998</v>
      </c>
      <c r="K190" s="46">
        <f>+'3.0 Plant in Service'!J170</f>
        <v>-5252.36</v>
      </c>
      <c r="L190" s="46">
        <f>+'3.0 Plant in Service'!K170</f>
        <v>-9322.3200000000015</v>
      </c>
      <c r="M190" s="46">
        <f>+'3.0 Plant in Service'!L170</f>
        <v>-4705.1100000000006</v>
      </c>
      <c r="N190" s="46">
        <f>+'3.0 Plant in Service'!M170</f>
        <v>-4703.41</v>
      </c>
      <c r="O190" s="46">
        <f>+'3.0 Plant in Service'!N170</f>
        <v>-3639.67</v>
      </c>
      <c r="P190" s="46">
        <f>+'3.0 Plant in Service'!O170</f>
        <v>-3691.8300000000004</v>
      </c>
      <c r="Q190" s="91"/>
    </row>
    <row r="191" spans="1:17" x14ac:dyDescent="0.35">
      <c r="A191" s="89"/>
      <c r="B191" s="8" t="s">
        <v>214</v>
      </c>
      <c r="C191" s="90"/>
      <c r="D191" s="43"/>
      <c r="E191" s="43">
        <f t="shared" ref="E191:P191" si="72">SUM(E189:E190)</f>
        <v>4321.2004675845646</v>
      </c>
      <c r="F191" s="43">
        <f t="shared" si="72"/>
        <v>-1574.7300000000002</v>
      </c>
      <c r="G191" s="43">
        <f t="shared" si="72"/>
        <v>1518.7243994593271</v>
      </c>
      <c r="H191" s="43">
        <f t="shared" si="72"/>
        <v>-4551.4230000497773</v>
      </c>
      <c r="I191" s="43">
        <f t="shared" si="72"/>
        <v>4734.1050583402794</v>
      </c>
      <c r="J191" s="43">
        <f t="shared" si="72"/>
        <v>9601.1547626532447</v>
      </c>
      <c r="K191" s="43">
        <f t="shared" si="72"/>
        <v>15460.147038832052</v>
      </c>
      <c r="L191" s="43">
        <f t="shared" si="72"/>
        <v>48486.789111010919</v>
      </c>
      <c r="M191" s="43">
        <f t="shared" si="72"/>
        <v>11778.15606364534</v>
      </c>
      <c r="N191" s="43">
        <f t="shared" si="72"/>
        <v>47056.237026058399</v>
      </c>
      <c r="O191" s="43">
        <f t="shared" si="72"/>
        <v>37988.948751897289</v>
      </c>
      <c r="P191" s="43">
        <f t="shared" si="72"/>
        <v>27164.920320568315</v>
      </c>
      <c r="Q191" s="91">
        <f>SUM(D191:P191)+D192</f>
        <v>430489.83999999997</v>
      </c>
    </row>
    <row r="192" spans="1:17" x14ac:dyDescent="0.35">
      <c r="A192" s="89"/>
      <c r="B192" s="8" t="s">
        <v>163</v>
      </c>
      <c r="C192" s="90"/>
      <c r="D192" s="43">
        <f>+P119</f>
        <v>228505.61</v>
      </c>
      <c r="E192" s="43">
        <f t="shared" ref="E192:P192" si="73">+E191+D192</f>
        <v>232826.81046758455</v>
      </c>
      <c r="F192" s="43">
        <f t="shared" si="73"/>
        <v>231252.08046758454</v>
      </c>
      <c r="G192" s="43">
        <f t="shared" si="73"/>
        <v>232770.80486704386</v>
      </c>
      <c r="H192" s="43">
        <f t="shared" si="73"/>
        <v>228219.38186699408</v>
      </c>
      <c r="I192" s="43">
        <f t="shared" si="73"/>
        <v>232953.48692533435</v>
      </c>
      <c r="J192" s="43">
        <f t="shared" si="73"/>
        <v>242554.64168798761</v>
      </c>
      <c r="K192" s="43">
        <f t="shared" si="73"/>
        <v>258014.78872681965</v>
      </c>
      <c r="L192" s="43">
        <f t="shared" si="73"/>
        <v>306501.57783783058</v>
      </c>
      <c r="M192" s="43">
        <f t="shared" si="73"/>
        <v>318279.73390147591</v>
      </c>
      <c r="N192" s="43">
        <f t="shared" si="73"/>
        <v>365335.97092753428</v>
      </c>
      <c r="O192" s="43">
        <f t="shared" si="73"/>
        <v>403324.91967943159</v>
      </c>
      <c r="P192" s="43">
        <f t="shared" si="73"/>
        <v>430489.83999999991</v>
      </c>
      <c r="Q192" s="91"/>
    </row>
    <row r="193" spans="1:17" x14ac:dyDescent="0.35">
      <c r="A193" s="89"/>
      <c r="C193" s="90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91"/>
    </row>
    <row r="194" spans="1:17" x14ac:dyDescent="0.35">
      <c r="A194" s="89"/>
      <c r="B194" s="8" t="s">
        <v>164</v>
      </c>
      <c r="C194" s="90"/>
      <c r="D194" s="43"/>
      <c r="E194" s="43">
        <f>ROUND($C188*D192,0)</f>
        <v>434</v>
      </c>
      <c r="F194" s="43">
        <f t="shared" ref="F194:P194" si="74">ROUND($C188*E192,0)</f>
        <v>442</v>
      </c>
      <c r="G194" s="43">
        <f t="shared" si="74"/>
        <v>439</v>
      </c>
      <c r="H194" s="43">
        <f t="shared" si="74"/>
        <v>442</v>
      </c>
      <c r="I194" s="43">
        <f t="shared" si="74"/>
        <v>434</v>
      </c>
      <c r="J194" s="43">
        <f t="shared" si="74"/>
        <v>443</v>
      </c>
      <c r="K194" s="43">
        <f t="shared" si="74"/>
        <v>461</v>
      </c>
      <c r="L194" s="43">
        <f t="shared" si="74"/>
        <v>490</v>
      </c>
      <c r="M194" s="43">
        <f t="shared" si="74"/>
        <v>582</v>
      </c>
      <c r="N194" s="43">
        <f t="shared" si="74"/>
        <v>605</v>
      </c>
      <c r="O194" s="43">
        <f t="shared" si="74"/>
        <v>694</v>
      </c>
      <c r="P194" s="43">
        <f t="shared" si="74"/>
        <v>766</v>
      </c>
      <c r="Q194" s="91"/>
    </row>
    <row r="195" spans="1:17" x14ac:dyDescent="0.35">
      <c r="A195" s="89"/>
      <c r="B195" s="8" t="s">
        <v>165</v>
      </c>
      <c r="C195" s="90"/>
      <c r="D195" s="43"/>
      <c r="E195" s="46">
        <f>ROUND($C188*E191*0.5,3)</f>
        <v>4.1050000000000004</v>
      </c>
      <c r="F195" s="46">
        <f t="shared" ref="F195:P195" si="75">ROUND($C188*F191*0.5,3)</f>
        <v>-1.496</v>
      </c>
      <c r="G195" s="46">
        <f t="shared" si="75"/>
        <v>1.4430000000000001</v>
      </c>
      <c r="H195" s="46">
        <f t="shared" si="75"/>
        <v>-4.3239999999999998</v>
      </c>
      <c r="I195" s="46">
        <f t="shared" si="75"/>
        <v>4.4969999999999999</v>
      </c>
      <c r="J195" s="46">
        <f t="shared" si="75"/>
        <v>9.1210000000000004</v>
      </c>
      <c r="K195" s="46">
        <f t="shared" si="75"/>
        <v>14.686999999999999</v>
      </c>
      <c r="L195" s="46">
        <f t="shared" si="75"/>
        <v>46.061999999999998</v>
      </c>
      <c r="M195" s="46">
        <f t="shared" si="75"/>
        <v>11.189</v>
      </c>
      <c r="N195" s="46">
        <f t="shared" si="75"/>
        <v>44.703000000000003</v>
      </c>
      <c r="O195" s="46">
        <f t="shared" si="75"/>
        <v>36.090000000000003</v>
      </c>
      <c r="P195" s="46">
        <f t="shared" si="75"/>
        <v>25.806999999999999</v>
      </c>
      <c r="Q195" s="91"/>
    </row>
    <row r="196" spans="1:17" x14ac:dyDescent="0.35">
      <c r="A196" s="89"/>
      <c r="B196" s="8" t="s">
        <v>265</v>
      </c>
      <c r="C196" s="90"/>
      <c r="D196" s="43"/>
      <c r="E196" s="43">
        <f t="shared" ref="E196:P196" si="76">SUM(E194:E195)</f>
        <v>438.10500000000002</v>
      </c>
      <c r="F196" s="43">
        <f t="shared" si="76"/>
        <v>440.50400000000002</v>
      </c>
      <c r="G196" s="43">
        <f t="shared" si="76"/>
        <v>440.44299999999998</v>
      </c>
      <c r="H196" s="43">
        <f t="shared" si="76"/>
        <v>437.67599999999999</v>
      </c>
      <c r="I196" s="43">
        <f t="shared" si="76"/>
        <v>438.49700000000001</v>
      </c>
      <c r="J196" s="43">
        <f t="shared" si="76"/>
        <v>452.12099999999998</v>
      </c>
      <c r="K196" s="43">
        <f t="shared" si="76"/>
        <v>475.68700000000001</v>
      </c>
      <c r="L196" s="43">
        <f t="shared" si="76"/>
        <v>536.06200000000001</v>
      </c>
      <c r="M196" s="43">
        <f t="shared" si="76"/>
        <v>593.18899999999996</v>
      </c>
      <c r="N196" s="43">
        <f t="shared" si="76"/>
        <v>649.70299999999997</v>
      </c>
      <c r="O196" s="43">
        <f t="shared" si="76"/>
        <v>730.09</v>
      </c>
      <c r="P196" s="43">
        <f t="shared" si="76"/>
        <v>791.80700000000002</v>
      </c>
      <c r="Q196" s="91">
        <f>SUM(E196:P196)</f>
        <v>6423.8839999999991</v>
      </c>
    </row>
    <row r="197" spans="1:17" x14ac:dyDescent="0.35">
      <c r="A197" s="92"/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7"/>
    </row>
    <row r="198" spans="1:17" x14ac:dyDescent="0.35">
      <c r="A198" s="84"/>
      <c r="B198" s="85" t="s">
        <v>137</v>
      </c>
      <c r="C198" s="86">
        <f>2.22%/12</f>
        <v>1.8500000000000001E-3</v>
      </c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88"/>
    </row>
    <row r="199" spans="1:17" x14ac:dyDescent="0.35">
      <c r="A199" s="89"/>
      <c r="B199" s="8" t="s">
        <v>166</v>
      </c>
      <c r="C199" s="90"/>
      <c r="D199" s="43"/>
      <c r="E199" s="43">
        <f>+'3.0 Plant in Service'!D162</f>
        <v>3369.1966514602645</v>
      </c>
      <c r="F199" s="43">
        <f>+'3.0 Plant in Service'!E162</f>
        <v>0</v>
      </c>
      <c r="G199" s="43">
        <f>+'3.0 Plant in Service'!F162</f>
        <v>2496.6060289512861</v>
      </c>
      <c r="H199" s="43">
        <f>+'3.0 Plant in Service'!G162</f>
        <v>767.66350456717828</v>
      </c>
      <c r="I199" s="43">
        <f>+'3.0 Plant in Service'!H162</f>
        <v>5734.6028278250733</v>
      </c>
      <c r="J199" s="43">
        <f>+'3.0 Plant in Service'!I162</f>
        <v>9320.0631975881006</v>
      </c>
      <c r="K199" s="43">
        <f>+'3.0 Plant in Service'!J162</f>
        <v>14507.156979275404</v>
      </c>
      <c r="L199" s="43">
        <f>+'3.0 Plant in Service'!K162</f>
        <v>40489.826708722045</v>
      </c>
      <c r="M199" s="43">
        <f>+'3.0 Plant in Service'!L162</f>
        <v>11544.972700221702</v>
      </c>
      <c r="N199" s="43">
        <f>+'3.0 Plant in Service'!M162</f>
        <v>36252.74927806401</v>
      </c>
      <c r="O199" s="43">
        <f>+'3.0 Plant in Service'!N162</f>
        <v>29156.91982298225</v>
      </c>
      <c r="P199" s="43">
        <f>+'3.0 Plant in Service'!O162</f>
        <v>21612.242300342659</v>
      </c>
      <c r="Q199" s="91">
        <f>SUM(E199:P199)</f>
        <v>175251.99999999994</v>
      </c>
    </row>
    <row r="200" spans="1:17" x14ac:dyDescent="0.35">
      <c r="A200" s="89"/>
      <c r="B200" s="8" t="s">
        <v>167</v>
      </c>
      <c r="C200" s="90"/>
      <c r="D200" s="43"/>
      <c r="E200" s="46">
        <f>+'3.0 Plant in Service'!D171</f>
        <v>-188.66000000000003</v>
      </c>
      <c r="F200" s="46">
        <f>+'3.0 Plant in Service'!E171</f>
        <v>-230.70000000000002</v>
      </c>
      <c r="G200" s="46">
        <f>+'3.0 Plant in Service'!F171</f>
        <v>-156.80000000000001</v>
      </c>
      <c r="H200" s="46">
        <f>+'3.0 Plant in Service'!G171</f>
        <v>-171.39000000000001</v>
      </c>
      <c r="I200" s="46">
        <f>+'3.0 Plant in Service'!H171</f>
        <v>-348.81</v>
      </c>
      <c r="J200" s="46">
        <f>+'3.0 Plant in Service'!I171</f>
        <v>-226.33</v>
      </c>
      <c r="K200" s="46">
        <f>+'3.0 Plant in Service'!J171</f>
        <v>-3043.2999999999997</v>
      </c>
      <c r="L200" s="46">
        <f>+'3.0 Plant in Service'!K171</f>
        <v>-197.14000000000001</v>
      </c>
      <c r="M200" s="46">
        <f>+'3.0 Plant in Service'!L171</f>
        <v>-575.59</v>
      </c>
      <c r="N200" s="46">
        <f>+'3.0 Plant in Service'!M171</f>
        <v>-562.87</v>
      </c>
      <c r="O200" s="46">
        <f>+'3.0 Plant in Service'!N171</f>
        <v>-632.7299999999999</v>
      </c>
      <c r="P200" s="46">
        <f>+'3.0 Plant in Service'!O171</f>
        <v>-534.66999999999996</v>
      </c>
      <c r="Q200" s="91"/>
    </row>
    <row r="201" spans="1:17" x14ac:dyDescent="0.35">
      <c r="A201" s="89"/>
      <c r="B201" s="8" t="s">
        <v>214</v>
      </c>
      <c r="C201" s="90"/>
      <c r="D201" s="43"/>
      <c r="E201" s="43">
        <f t="shared" ref="E201:P201" si="77">SUM(E199:E200)</f>
        <v>3180.5366514602647</v>
      </c>
      <c r="F201" s="43">
        <f t="shared" si="77"/>
        <v>-230.70000000000002</v>
      </c>
      <c r="G201" s="43">
        <f t="shared" si="77"/>
        <v>2339.806028951286</v>
      </c>
      <c r="H201" s="43">
        <f t="shared" si="77"/>
        <v>596.27350456717829</v>
      </c>
      <c r="I201" s="43">
        <f t="shared" si="77"/>
        <v>5385.7928278250729</v>
      </c>
      <c r="J201" s="43">
        <f t="shared" si="77"/>
        <v>9093.7331975881007</v>
      </c>
      <c r="K201" s="43">
        <f t="shared" si="77"/>
        <v>11463.856979275404</v>
      </c>
      <c r="L201" s="43">
        <f t="shared" si="77"/>
        <v>40292.686708722045</v>
      </c>
      <c r="M201" s="43">
        <f t="shared" si="77"/>
        <v>10969.382700221702</v>
      </c>
      <c r="N201" s="43">
        <f t="shared" si="77"/>
        <v>35689.879278064007</v>
      </c>
      <c r="O201" s="43">
        <f t="shared" si="77"/>
        <v>28524.189822982251</v>
      </c>
      <c r="P201" s="43">
        <f t="shared" si="77"/>
        <v>21077.572300342661</v>
      </c>
      <c r="Q201" s="91">
        <f>SUM(D201:P201)+D202</f>
        <v>313098.01999999996</v>
      </c>
    </row>
    <row r="202" spans="1:17" x14ac:dyDescent="0.35">
      <c r="A202" s="89"/>
      <c r="B202" s="8" t="s">
        <v>163</v>
      </c>
      <c r="C202" s="90"/>
      <c r="D202" s="43">
        <f>+P129</f>
        <v>144715.00999999998</v>
      </c>
      <c r="E202" s="43">
        <f t="shared" ref="E202:P202" si="78">+E201+D202</f>
        <v>147895.54665146023</v>
      </c>
      <c r="F202" s="43">
        <f t="shared" si="78"/>
        <v>147664.84665146022</v>
      </c>
      <c r="G202" s="43">
        <f t="shared" si="78"/>
        <v>150004.6526804115</v>
      </c>
      <c r="H202" s="43">
        <f t="shared" si="78"/>
        <v>150600.92618497869</v>
      </c>
      <c r="I202" s="43">
        <f t="shared" si="78"/>
        <v>155986.71901280375</v>
      </c>
      <c r="J202" s="43">
        <f t="shared" si="78"/>
        <v>165080.45221039184</v>
      </c>
      <c r="K202" s="43">
        <f t="shared" si="78"/>
        <v>176544.30918966726</v>
      </c>
      <c r="L202" s="43">
        <f t="shared" si="78"/>
        <v>216836.99589838932</v>
      </c>
      <c r="M202" s="43">
        <f t="shared" si="78"/>
        <v>227806.37859861102</v>
      </c>
      <c r="N202" s="43">
        <f t="shared" si="78"/>
        <v>263496.25787667499</v>
      </c>
      <c r="O202" s="43">
        <f t="shared" si="78"/>
        <v>292020.44769965723</v>
      </c>
      <c r="P202" s="43">
        <f t="shared" si="78"/>
        <v>313098.0199999999</v>
      </c>
      <c r="Q202" s="91"/>
    </row>
    <row r="203" spans="1:17" x14ac:dyDescent="0.35">
      <c r="A203" s="89"/>
      <c r="C203" s="90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91"/>
    </row>
    <row r="204" spans="1:17" x14ac:dyDescent="0.35">
      <c r="A204" s="89"/>
      <c r="B204" s="8" t="s">
        <v>164</v>
      </c>
      <c r="C204" s="90"/>
      <c r="D204" s="43"/>
      <c r="E204" s="43">
        <f>ROUND($C198*D202,0)</f>
        <v>268</v>
      </c>
      <c r="F204" s="43">
        <f t="shared" ref="F204:P204" si="79">ROUND($C198*E202,0)</f>
        <v>274</v>
      </c>
      <c r="G204" s="43">
        <f t="shared" si="79"/>
        <v>273</v>
      </c>
      <c r="H204" s="43">
        <f t="shared" si="79"/>
        <v>278</v>
      </c>
      <c r="I204" s="43">
        <f t="shared" si="79"/>
        <v>279</v>
      </c>
      <c r="J204" s="43">
        <f t="shared" si="79"/>
        <v>289</v>
      </c>
      <c r="K204" s="43">
        <f t="shared" si="79"/>
        <v>305</v>
      </c>
      <c r="L204" s="43">
        <f t="shared" si="79"/>
        <v>327</v>
      </c>
      <c r="M204" s="43">
        <f t="shared" si="79"/>
        <v>401</v>
      </c>
      <c r="N204" s="43">
        <f t="shared" si="79"/>
        <v>421</v>
      </c>
      <c r="O204" s="43">
        <f t="shared" si="79"/>
        <v>487</v>
      </c>
      <c r="P204" s="43">
        <f t="shared" si="79"/>
        <v>540</v>
      </c>
      <c r="Q204" s="91"/>
    </row>
    <row r="205" spans="1:17" x14ac:dyDescent="0.35">
      <c r="A205" s="89"/>
      <c r="B205" s="8" t="s">
        <v>165</v>
      </c>
      <c r="C205" s="90"/>
      <c r="D205" s="43"/>
      <c r="E205" s="46">
        <f>ROUND($C198*E201*0.5,3)</f>
        <v>2.9420000000000002</v>
      </c>
      <c r="F205" s="46">
        <f t="shared" ref="F205:P205" si="80">ROUND($C198*F201*0.5,3)</f>
        <v>-0.21299999999999999</v>
      </c>
      <c r="G205" s="46">
        <f t="shared" si="80"/>
        <v>2.1640000000000001</v>
      </c>
      <c r="H205" s="46">
        <f t="shared" si="80"/>
        <v>0.55200000000000005</v>
      </c>
      <c r="I205" s="46">
        <f t="shared" si="80"/>
        <v>4.9820000000000002</v>
      </c>
      <c r="J205" s="46">
        <f t="shared" si="80"/>
        <v>8.4120000000000008</v>
      </c>
      <c r="K205" s="46">
        <f t="shared" si="80"/>
        <v>10.603999999999999</v>
      </c>
      <c r="L205" s="46">
        <f t="shared" si="80"/>
        <v>37.271000000000001</v>
      </c>
      <c r="M205" s="46">
        <f t="shared" si="80"/>
        <v>10.147</v>
      </c>
      <c r="N205" s="46">
        <f t="shared" si="80"/>
        <v>33.012999999999998</v>
      </c>
      <c r="O205" s="46">
        <f t="shared" si="80"/>
        <v>26.385000000000002</v>
      </c>
      <c r="P205" s="46">
        <f t="shared" si="80"/>
        <v>19.497</v>
      </c>
      <c r="Q205" s="91"/>
    </row>
    <row r="206" spans="1:17" x14ac:dyDescent="0.35">
      <c r="A206" s="89"/>
      <c r="B206" s="8" t="s">
        <v>266</v>
      </c>
      <c r="C206" s="90"/>
      <c r="D206" s="43"/>
      <c r="E206" s="43">
        <f t="shared" ref="E206:P206" si="81">SUM(E204:E205)</f>
        <v>270.94200000000001</v>
      </c>
      <c r="F206" s="43">
        <f t="shared" si="81"/>
        <v>273.78699999999998</v>
      </c>
      <c r="G206" s="43">
        <f t="shared" si="81"/>
        <v>275.16399999999999</v>
      </c>
      <c r="H206" s="43">
        <f t="shared" si="81"/>
        <v>278.55200000000002</v>
      </c>
      <c r="I206" s="43">
        <f t="shared" si="81"/>
        <v>283.98200000000003</v>
      </c>
      <c r="J206" s="43">
        <f t="shared" si="81"/>
        <v>297.41199999999998</v>
      </c>
      <c r="K206" s="43">
        <f t="shared" si="81"/>
        <v>315.60399999999998</v>
      </c>
      <c r="L206" s="43">
        <f t="shared" si="81"/>
        <v>364.27100000000002</v>
      </c>
      <c r="M206" s="43">
        <f t="shared" si="81"/>
        <v>411.14699999999999</v>
      </c>
      <c r="N206" s="43">
        <f t="shared" si="81"/>
        <v>454.01299999999998</v>
      </c>
      <c r="O206" s="43">
        <f t="shared" si="81"/>
        <v>513.38499999999999</v>
      </c>
      <c r="P206" s="43">
        <f t="shared" si="81"/>
        <v>559.49699999999996</v>
      </c>
      <c r="Q206" s="91">
        <f>SUM(E206:P206)</f>
        <v>4297.7560000000003</v>
      </c>
    </row>
    <row r="207" spans="1:17" x14ac:dyDescent="0.35">
      <c r="A207" s="92"/>
      <c r="B207" s="93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7"/>
    </row>
    <row r="208" spans="1:17" x14ac:dyDescent="0.35">
      <c r="A208" s="84"/>
      <c r="B208" s="99" t="s">
        <v>168</v>
      </c>
      <c r="C208" s="99"/>
      <c r="D208" s="99"/>
      <c r="E208" s="49">
        <f>+E166+E176+E186+E196+E206</f>
        <v>177118.85000000003</v>
      </c>
      <c r="F208" s="49">
        <f t="shared" ref="F208:P208" si="82">+F166+F176+F186+F196+F206</f>
        <v>181686.40099999998</v>
      </c>
      <c r="G208" s="49">
        <f t="shared" si="82"/>
        <v>189727.93</v>
      </c>
      <c r="H208" s="49">
        <f t="shared" si="82"/>
        <v>197668.34700000001</v>
      </c>
      <c r="I208" s="49">
        <f t="shared" si="82"/>
        <v>205163.804</v>
      </c>
      <c r="J208" s="49">
        <f t="shared" si="82"/>
        <v>214297.38800000001</v>
      </c>
      <c r="K208" s="49">
        <f t="shared" si="82"/>
        <v>222749.40100000001</v>
      </c>
      <c r="L208" s="49">
        <f t="shared" si="82"/>
        <v>230474.47500000001</v>
      </c>
      <c r="M208" s="49">
        <f t="shared" si="82"/>
        <v>239591.38200000004</v>
      </c>
      <c r="N208" s="49">
        <f t="shared" si="82"/>
        <v>249431.95699999999</v>
      </c>
      <c r="O208" s="49">
        <f t="shared" si="82"/>
        <v>257953.54699999999</v>
      </c>
      <c r="P208" s="49">
        <f t="shared" si="82"/>
        <v>266199.21699999995</v>
      </c>
      <c r="Q208" s="88">
        <f>SUM(E208:P208)</f>
        <v>2632062.699</v>
      </c>
    </row>
    <row r="209" spans="1:17" x14ac:dyDescent="0.35">
      <c r="A209" s="89"/>
      <c r="B209" s="8" t="s">
        <v>169</v>
      </c>
      <c r="D209" s="45">
        <f>+Q135</f>
        <v>1339109.4819999998</v>
      </c>
      <c r="E209" s="45">
        <f t="shared" ref="E209:P209" si="83">+E208+D209</f>
        <v>1516228.3319999999</v>
      </c>
      <c r="F209" s="45">
        <f t="shared" si="83"/>
        <v>1697914.733</v>
      </c>
      <c r="G209" s="45">
        <f t="shared" si="83"/>
        <v>1887642.6629999999</v>
      </c>
      <c r="H209" s="45">
        <f t="shared" si="83"/>
        <v>2085311.01</v>
      </c>
      <c r="I209" s="45">
        <f t="shared" si="83"/>
        <v>2290474.8140000002</v>
      </c>
      <c r="J209" s="45">
        <f t="shared" si="83"/>
        <v>2504772.202</v>
      </c>
      <c r="K209" s="45">
        <f t="shared" si="83"/>
        <v>2727521.6030000001</v>
      </c>
      <c r="L209" s="45">
        <f t="shared" si="83"/>
        <v>2957996.0780000002</v>
      </c>
      <c r="M209" s="45">
        <f t="shared" si="83"/>
        <v>3197587.4600000004</v>
      </c>
      <c r="N209" s="45">
        <f t="shared" si="83"/>
        <v>3447019.4170000004</v>
      </c>
      <c r="O209" s="45">
        <f t="shared" si="83"/>
        <v>3704972.9640000002</v>
      </c>
      <c r="P209" s="45">
        <f t="shared" si="83"/>
        <v>3971172.1809999999</v>
      </c>
      <c r="Q209" s="98"/>
    </row>
    <row r="210" spans="1:17" x14ac:dyDescent="0.35">
      <c r="A210" s="92"/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7"/>
    </row>
  </sheetData>
  <mergeCells count="9">
    <mergeCell ref="A4:Q4"/>
    <mergeCell ref="A5:Q5"/>
    <mergeCell ref="A6:Q6"/>
    <mergeCell ref="A151:Q151"/>
    <mergeCell ref="A152:Q152"/>
    <mergeCell ref="A77:Q77"/>
    <mergeCell ref="A78:Q78"/>
    <mergeCell ref="A79:Q79"/>
    <mergeCell ref="A150:Q150"/>
  </mergeCells>
  <pageMargins left="0.7" right="0.7" top="0.75" bottom="0.75" header="0.3" footer="0.3"/>
  <pageSetup scale="45" fitToHeight="3" orientation="landscape" horizontalDpi="1200" verticalDpi="1200" r:id="rId1"/>
  <rowBreaks count="2" manualBreakCount="2">
    <brk id="73" max="16" man="1"/>
    <brk id="14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Table of Contents</vt:lpstr>
      <vt:lpstr>1.0 SMRP Rider Calc </vt:lpstr>
      <vt:lpstr>1.1 Projected Volumes</vt:lpstr>
      <vt:lpstr>2.0 Revenue Req.</vt:lpstr>
      <vt:lpstr>2.1 ROR </vt:lpstr>
      <vt:lpstr>2.2 Conversion Factor </vt:lpstr>
      <vt:lpstr>3.0 Plant in Service</vt:lpstr>
      <vt:lpstr>4.0 Accumulated Depr</vt:lpstr>
      <vt:lpstr>5.0 Depr Expense</vt:lpstr>
      <vt:lpstr>6.0 ADIT Normalized </vt:lpstr>
      <vt:lpstr>6.1 ADIT Calculated p.1</vt:lpstr>
      <vt:lpstr>6.1 ADIT Calcluated p.2</vt:lpstr>
      <vt:lpstr>6.1 ADIT Calcluated p.3</vt:lpstr>
      <vt:lpstr>7.0 Property Tax</vt:lpstr>
      <vt:lpstr>8.0 O&amp;M Savings </vt:lpstr>
      <vt:lpstr>'1.0 SMRP Rider Calc '!Print_Area</vt:lpstr>
      <vt:lpstr>'1.1 Projected Volumes'!Print_Area</vt:lpstr>
      <vt:lpstr>'2.0 Revenue Req.'!Print_Area</vt:lpstr>
      <vt:lpstr>'3.0 Plant in Service'!Print_Area</vt:lpstr>
      <vt:lpstr>'4.0 Accumulated Depr'!Print_Area</vt:lpstr>
      <vt:lpstr>'5.0 Depr Expense'!Print_Area</vt:lpstr>
      <vt:lpstr>'6.0 ADIT Normalized '!Print_Area</vt:lpstr>
      <vt:lpstr>'6.1 ADIT Calcluated p.2'!Print_Area</vt:lpstr>
      <vt:lpstr>'6.1 ADIT Calcluated p.3'!Print_Area</vt:lpstr>
      <vt:lpstr>'6.1 ADIT Calculated p.1'!Print_Area</vt:lpstr>
      <vt:lpstr>'8.0 O&amp;M Savings '!Print_Area</vt:lpstr>
      <vt:lpstr>'Table of Contents'!Print_Area</vt:lpstr>
      <vt:lpstr>'6.1 ADIT Calcluated p.2'!Print_Titles</vt:lpstr>
      <vt:lpstr>'6.1 ADIT Calcluated p.3'!Print_Titles</vt:lpstr>
      <vt:lpstr>'6.1 ADIT Calculated p.1'!Print_Titles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2023-10-13T13:21:36Z</dcterms:created>
  <dcterms:modified xsi:type="dcterms:W3CDTF">2024-10-16T01:57:31Z</dcterms:modified>
</cp:coreProperties>
</file>