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EC/Rate Case 2024/COS and Rates/"/>
    </mc:Choice>
  </mc:AlternateContent>
  <xr:revisionPtr revIDLastSave="108" documentId="8_{270817E8-3AF9-4170-8B30-0764F9B61B6D}" xr6:coauthVersionLast="47" xr6:coauthVersionMax="47" xr10:uidLastSave="{9886DD11-EE86-4915-85D7-725F8DBF7E5E}"/>
  <bookViews>
    <workbookView xWindow="-120" yWindow="-120" windowWidth="29040" windowHeight="15720" tabRatio="701" activeTab="6" xr2:uid="{00000000-000D-0000-FFFF-FFFF00000000}"/>
  </bookViews>
  <sheets>
    <sheet name="RevReq" sheetId="58" r:id="rId1"/>
    <sheet name="AdjsList" sheetId="51" r:id="rId2"/>
    <sheet name="Adj IS" sheetId="36" r:id="rId3"/>
    <sheet name="Adj BS" sheetId="50" r:id="rId4"/>
    <sheet name="1.01 401k" sheetId="59" r:id="rId5"/>
    <sheet name="1.02 Health" sheetId="60" r:id="rId6"/>
    <sheet name="1.03 LifeInsur" sheetId="66" r:id="rId7"/>
    <sheet name="1.04 DonaAdsDues" sheetId="62" r:id="rId8"/>
    <sheet name="1.05 FAC" sheetId="52" r:id="rId9"/>
    <sheet name="1.06 ES" sheetId="53" r:id="rId10"/>
    <sheet name="1.07 Wages and Salaries" sheetId="65" r:id="rId11"/>
    <sheet name="1.08 BOD" sheetId="63" r:id="rId12"/>
    <sheet name="1.09 YearEndCust" sheetId="54" r:id="rId13"/>
    <sheet name="1.10 RCE" sheetId="55" r:id="rId14"/>
    <sheet name="1.11 Depr" sheetId="56" r:id="rId15"/>
    <sheet name="1.12 Interest" sheetId="64" r:id="rId16"/>
    <sheet name="1.13 GTCC" sheetId="67" r:id="rId17"/>
  </sheets>
  <definedNames>
    <definedName name="_xlnm.Print_Area" localSheetId="4">'1.01 401k'!$A$1:$N$19</definedName>
    <definedName name="_xlnm.Print_Area" localSheetId="5">'1.02 Health'!$A$1:$G$25</definedName>
    <definedName name="_xlnm.Print_Area" localSheetId="6">'1.03 LifeInsur'!$A$1:$D$22</definedName>
    <definedName name="_xlnm.Print_Area" localSheetId="7">'1.04 DonaAdsDues'!$A$1:$I$27</definedName>
    <definedName name="_xlnm.Print_Area" localSheetId="8">'1.05 FAC'!$A$1:$H$34</definedName>
    <definedName name="_xlnm.Print_Area" localSheetId="9">'1.06 ES'!$A$1:$H$34</definedName>
    <definedName name="_xlnm.Print_Area" localSheetId="10">'1.07 Wages and Salaries'!$A$1:$J$41</definedName>
    <definedName name="_xlnm.Print_Area" localSheetId="11">'1.08 BOD'!$A$1:$Q$33</definedName>
    <definedName name="_xlnm.Print_Area" localSheetId="12">'1.09 YearEndCust'!$A$1:$K$58</definedName>
    <definedName name="_xlnm.Print_Area" localSheetId="13">'1.10 RCE'!$A$1:$E$28</definedName>
    <definedName name="_xlnm.Print_Area" localSheetId="14">'1.11 Depr'!$A$1:$J$60</definedName>
    <definedName name="_xlnm.Print_Area" localSheetId="15">'1.12 Interest'!$A$1:$F$32</definedName>
    <definedName name="_xlnm.Print_Area" localSheetId="16">'1.13 GTCC'!$A$1:$F$17</definedName>
    <definedName name="_xlnm.Print_Area" localSheetId="3">'Adj BS'!$A$1:$F$67</definedName>
    <definedName name="_xlnm.Print_Area" localSheetId="2">'Adj IS'!$A$1:$U$42</definedName>
    <definedName name="_xlnm.Print_Area" localSheetId="1">AdjsList!$A$1:$G$25</definedName>
    <definedName name="_xlnm.Print_Area" localSheetId="0">RevReq!$A$1:$F$57</definedName>
    <definedName name="_xlnm.Print_Titles" localSheetId="12">'1.09 YearEndCust'!$1:$11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0" l="1"/>
  <c r="G17" i="60"/>
  <c r="G13" i="60"/>
  <c r="G12" i="60"/>
  <c r="F13" i="60"/>
  <c r="F18" i="60"/>
  <c r="F17" i="60"/>
  <c r="D11" i="67"/>
  <c r="D15" i="67" s="1"/>
  <c r="A34" i="58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F59" i="50" l="1"/>
  <c r="F60" i="50"/>
  <c r="F51" i="50"/>
  <c r="D20" i="50"/>
  <c r="F17" i="50"/>
  <c r="F14" i="50"/>
  <c r="A15" i="54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14" i="54"/>
  <c r="O38" i="36" l="1"/>
  <c r="N28" i="36"/>
  <c r="M26" i="36"/>
  <c r="L23" i="36"/>
  <c r="J23" i="36"/>
  <c r="H16" i="36"/>
  <c r="G16" i="36"/>
  <c r="H10" i="36"/>
  <c r="G10" i="36"/>
  <c r="F23" i="36"/>
  <c r="E23" i="36"/>
  <c r="C23" i="36"/>
  <c r="O6" i="36"/>
  <c r="N6" i="36"/>
  <c r="M6" i="36"/>
  <c r="L6" i="36"/>
  <c r="K6" i="36"/>
  <c r="J6" i="36"/>
  <c r="I6" i="36"/>
  <c r="H6" i="36"/>
  <c r="G6" i="36"/>
  <c r="F6" i="36"/>
  <c r="E6" i="36"/>
  <c r="D6" i="36"/>
  <c r="O4" i="36"/>
  <c r="N4" i="36"/>
  <c r="M4" i="36"/>
  <c r="L4" i="36"/>
  <c r="K4" i="36"/>
  <c r="J4" i="36"/>
  <c r="I4" i="36"/>
  <c r="H4" i="36"/>
  <c r="G4" i="36"/>
  <c r="F4" i="36"/>
  <c r="E4" i="36"/>
  <c r="D4" i="36"/>
  <c r="C6" i="36"/>
  <c r="C4" i="36"/>
  <c r="C54" i="58" l="1"/>
  <c r="C53" i="58"/>
  <c r="C52" i="58"/>
  <c r="E51" i="58"/>
  <c r="E52" i="58" s="1"/>
  <c r="C48" i="58"/>
  <c r="F47" i="58"/>
  <c r="C47" i="58"/>
  <c r="C49" i="58" s="1"/>
  <c r="F46" i="58"/>
  <c r="E46" i="58"/>
  <c r="E47" i="58" s="1"/>
  <c r="F51" i="58" l="1"/>
  <c r="F52" i="58" s="1"/>
  <c r="G9" i="51" l="1"/>
  <c r="G10" i="51"/>
  <c r="G11" i="51"/>
  <c r="G12" i="51"/>
  <c r="G14" i="51"/>
  <c r="G16" i="51"/>
  <c r="G17" i="51"/>
  <c r="G18" i="51"/>
  <c r="G20" i="51"/>
  <c r="G21" i="51"/>
  <c r="G22" i="51"/>
  <c r="G23" i="51"/>
  <c r="G24" i="51"/>
  <c r="G7" i="51"/>
  <c r="F19" i="51"/>
  <c r="F25" i="51" s="1"/>
  <c r="E18" i="51"/>
  <c r="D25" i="58" s="1"/>
  <c r="E25" i="58" s="1"/>
  <c r="E17" i="51"/>
  <c r="D23" i="58" s="1"/>
  <c r="E23" i="58" s="1"/>
  <c r="E16" i="51"/>
  <c r="E14" i="51"/>
  <c r="E13" i="51"/>
  <c r="I23" i="36" s="1"/>
  <c r="E12" i="51"/>
  <c r="D12" i="51"/>
  <c r="E11" i="51"/>
  <c r="D11" i="51"/>
  <c r="E7" i="51"/>
  <c r="E10" i="51"/>
  <c r="E9" i="51"/>
  <c r="E41" i="58"/>
  <c r="E37" i="58"/>
  <c r="E35" i="58"/>
  <c r="E34" i="58"/>
  <c r="E33" i="58"/>
  <c r="E27" i="58"/>
  <c r="E26" i="58"/>
  <c r="E24" i="58"/>
  <c r="E19" i="58"/>
  <c r="E18" i="58"/>
  <c r="E17" i="58"/>
  <c r="E16" i="58"/>
  <c r="E15" i="58"/>
  <c r="G13" i="51" l="1"/>
  <c r="G19" i="51"/>
  <c r="D36" i="58"/>
  <c r="E36" i="58" s="1"/>
  <c r="C24" i="63" l="1"/>
  <c r="C25" i="63"/>
  <c r="D13" i="65"/>
  <c r="H13" i="65"/>
  <c r="J24" i="65"/>
  <c r="I24" i="62"/>
  <c r="B4" i="60"/>
  <c r="C16" i="66" l="1"/>
  <c r="C20" i="66" s="1"/>
  <c r="C28" i="63"/>
  <c r="D12" i="64"/>
  <c r="D36" i="65"/>
  <c r="D35" i="65"/>
  <c r="G13" i="65"/>
  <c r="G21" i="65" s="1"/>
  <c r="H19" i="65"/>
  <c r="I19" i="65" s="1"/>
  <c r="J19" i="65" s="1"/>
  <c r="H16" i="65"/>
  <c r="I16" i="65" s="1"/>
  <c r="J16" i="65" s="1"/>
  <c r="E21" i="65"/>
  <c r="D27" i="65"/>
  <c r="E26" i="65" s="1"/>
  <c r="C21" i="65"/>
  <c r="D19" i="65"/>
  <c r="D16" i="65"/>
  <c r="E25" i="65" l="1"/>
  <c r="E24" i="65"/>
  <c r="I13" i="65"/>
  <c r="J13" i="65" s="1"/>
  <c r="I21" i="65" l="1"/>
  <c r="J21" i="65" s="1"/>
  <c r="J25" i="65" l="1"/>
  <c r="J26" i="65"/>
  <c r="D32" i="65" l="1"/>
  <c r="J27" i="65"/>
  <c r="D31" i="65"/>
  <c r="D34" i="65"/>
  <c r="D33" i="65"/>
  <c r="D37" i="65" l="1"/>
  <c r="D13" i="64" l="1"/>
  <c r="E23" i="64"/>
  <c r="E24" i="64"/>
  <c r="E13" i="64"/>
  <c r="E14" i="64"/>
  <c r="E15" i="64"/>
  <c r="E12" i="64"/>
  <c r="D14" i="64"/>
  <c r="D15" i="64"/>
  <c r="L16" i="63" l="1"/>
  <c r="K16" i="63"/>
  <c r="J16" i="63"/>
  <c r="H16" i="63"/>
  <c r="G16" i="63"/>
  <c r="E16" i="63"/>
  <c r="D16" i="63"/>
  <c r="Q11" i="63"/>
  <c r="Q12" i="63"/>
  <c r="Q17" i="63" s="1"/>
  <c r="Q13" i="63"/>
  <c r="Q14" i="63"/>
  <c r="C26" i="63" s="1"/>
  <c r="Q10" i="63"/>
  <c r="C22" i="63" s="1"/>
  <c r="C23" i="63"/>
  <c r="B27" i="63"/>
  <c r="B26" i="63"/>
  <c r="D16" i="64"/>
  <c r="C16" i="64"/>
  <c r="Q16" i="63" l="1"/>
  <c r="C25" i="64" l="1"/>
  <c r="E22" i="64"/>
  <c r="E16" i="64"/>
  <c r="E27" i="64" s="1"/>
  <c r="E25" i="64" l="1"/>
  <c r="D25" i="64"/>
  <c r="D27" i="64" s="1"/>
  <c r="C27" i="64"/>
  <c r="N15" i="63"/>
  <c r="Q15" i="63" s="1"/>
  <c r="C27" i="63" s="1"/>
  <c r="F17" i="63"/>
  <c r="H17" i="63"/>
  <c r="G17" i="63"/>
  <c r="I17" i="63"/>
  <c r="E17" i="63"/>
  <c r="L17" i="63"/>
  <c r="K17" i="63"/>
  <c r="D17" i="63"/>
  <c r="P17" i="63"/>
  <c r="O17" i="63"/>
  <c r="M17" i="63"/>
  <c r="C17" i="63"/>
  <c r="A11" i="63"/>
  <c r="A12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9" i="63" s="1"/>
  <c r="I13" i="62"/>
  <c r="I16" i="62"/>
  <c r="I18" i="62"/>
  <c r="I20" i="62"/>
  <c r="I22" i="62"/>
  <c r="I23" i="62"/>
  <c r="I12" i="62"/>
  <c r="F21" i="62"/>
  <c r="I21" i="62" s="1"/>
  <c r="E15" i="62"/>
  <c r="I15" i="62" s="1"/>
  <c r="B20" i="62"/>
  <c r="B19" i="62"/>
  <c r="I19" i="62" s="1"/>
  <c r="B17" i="62"/>
  <c r="I17" i="62" s="1"/>
  <c r="B14" i="62"/>
  <c r="G24" i="62"/>
  <c r="D24" i="62"/>
  <c r="C24" i="62"/>
  <c r="H24" i="62"/>
  <c r="D13" i="60"/>
  <c r="I14" i="62" l="1"/>
  <c r="B24" i="62"/>
  <c r="J17" i="63"/>
  <c r="N17" i="63"/>
  <c r="C29" i="63"/>
  <c r="J25" i="63" s="1"/>
  <c r="E24" i="62"/>
  <c r="F24" i="62"/>
  <c r="J29" i="63" l="1"/>
  <c r="C18" i="60" l="1"/>
  <c r="E18" i="60" s="1"/>
  <c r="C17" i="60"/>
  <c r="C14" i="60"/>
  <c r="A14" i="60"/>
  <c r="A15" i="60" s="1"/>
  <c r="A16" i="60" s="1"/>
  <c r="A17" i="60" s="1"/>
  <c r="A18" i="60" s="1"/>
  <c r="A19" i="60" s="1"/>
  <c r="A20" i="60" s="1"/>
  <c r="A21" i="60" s="1"/>
  <c r="A13" i="60"/>
  <c r="G14" i="60"/>
  <c r="E12" i="60"/>
  <c r="A12" i="60"/>
  <c r="E14" i="60" l="1"/>
  <c r="E17" i="60"/>
  <c r="E19" i="60" s="1"/>
  <c r="C19" i="60"/>
  <c r="G19" i="60" l="1"/>
  <c r="G21" i="60" s="1"/>
  <c r="E8" i="51" s="1"/>
  <c r="D23" i="36" s="1"/>
  <c r="N11" i="59"/>
  <c r="G8" i="51" l="1"/>
  <c r="D20" i="58"/>
  <c r="E20" i="58" s="1"/>
  <c r="N14" i="59"/>
  <c r="N16" i="59" s="1"/>
  <c r="F41" i="58" l="1"/>
  <c r="F37" i="58"/>
  <c r="F36" i="58"/>
  <c r="F35" i="58"/>
  <c r="F34" i="58"/>
  <c r="F33" i="58"/>
  <c r="F27" i="58"/>
  <c r="F26" i="58"/>
  <c r="F24" i="58"/>
  <c r="F23" i="58"/>
  <c r="C21" i="58"/>
  <c r="F20" i="58"/>
  <c r="F19" i="58"/>
  <c r="F18" i="58"/>
  <c r="F17" i="58"/>
  <c r="F16" i="58"/>
  <c r="F15" i="58"/>
  <c r="C10" i="58"/>
  <c r="A9" i="58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C7" i="58"/>
  <c r="C29" i="58" l="1"/>
  <c r="C31" i="58"/>
  <c r="C9" i="58"/>
  <c r="E10" i="58"/>
  <c r="F10" i="58" s="1"/>
  <c r="C39" i="58"/>
  <c r="C42" i="58"/>
  <c r="F25" i="58"/>
  <c r="C44" i="58" l="1"/>
  <c r="C43" i="58"/>
  <c r="J45" i="56" l="1"/>
  <c r="H45" i="56"/>
  <c r="I42" i="56"/>
  <c r="I47" i="56" s="1"/>
  <c r="E42" i="56"/>
  <c r="E47" i="56" s="1"/>
  <c r="I41" i="56"/>
  <c r="F41" i="56"/>
  <c r="E41" i="56"/>
  <c r="J40" i="56"/>
  <c r="H40" i="56"/>
  <c r="J39" i="56"/>
  <c r="H39" i="56"/>
  <c r="J38" i="56"/>
  <c r="H38" i="56"/>
  <c r="J37" i="56"/>
  <c r="H37" i="56"/>
  <c r="J36" i="56"/>
  <c r="H36" i="56"/>
  <c r="J35" i="56"/>
  <c r="H35" i="56"/>
  <c r="J34" i="56"/>
  <c r="H34" i="56"/>
  <c r="J33" i="56"/>
  <c r="H33" i="56"/>
  <c r="J32" i="56"/>
  <c r="H32" i="56"/>
  <c r="J31" i="56"/>
  <c r="H31" i="56"/>
  <c r="J30" i="56"/>
  <c r="H30" i="56"/>
  <c r="J29" i="56"/>
  <c r="H29" i="56"/>
  <c r="J28" i="56"/>
  <c r="H28" i="56"/>
  <c r="J27" i="56"/>
  <c r="J41" i="56" s="1"/>
  <c r="H27" i="56"/>
  <c r="H41" i="56" s="1"/>
  <c r="I23" i="56"/>
  <c r="F23" i="56"/>
  <c r="F42" i="56" s="1"/>
  <c r="F47" i="56" s="1"/>
  <c r="E23" i="56"/>
  <c r="H22" i="56"/>
  <c r="J22" i="56" s="1"/>
  <c r="H21" i="56"/>
  <c r="J21" i="56" s="1"/>
  <c r="H20" i="56"/>
  <c r="J20" i="56" s="1"/>
  <c r="J19" i="56"/>
  <c r="H19" i="56"/>
  <c r="H18" i="56"/>
  <c r="J18" i="56" s="1"/>
  <c r="H17" i="56"/>
  <c r="J17" i="56" s="1"/>
  <c r="H16" i="56"/>
  <c r="J16" i="56" s="1"/>
  <c r="J15" i="56"/>
  <c r="H15" i="56"/>
  <c r="H14" i="56"/>
  <c r="J14" i="56" s="1"/>
  <c r="J13" i="56"/>
  <c r="H13" i="56"/>
  <c r="H23" i="56" s="1"/>
  <c r="H42" i="56" s="1"/>
  <c r="H47" i="56" s="1"/>
  <c r="H12" i="56"/>
  <c r="J12" i="56" s="1"/>
  <c r="E15" i="55"/>
  <c r="E17" i="55" s="1"/>
  <c r="E19" i="55" s="1"/>
  <c r="E23" i="55" s="1"/>
  <c r="E25" i="55" s="1"/>
  <c r="A14" i="55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13" i="55"/>
  <c r="A12" i="55"/>
  <c r="G55" i="54"/>
  <c r="F39" i="54" s="1"/>
  <c r="I44" i="54"/>
  <c r="G39" i="54"/>
  <c r="J35" i="54"/>
  <c r="I35" i="54"/>
  <c r="H35" i="54"/>
  <c r="G35" i="54"/>
  <c r="F35" i="54"/>
  <c r="J27" i="54"/>
  <c r="J25" i="54"/>
  <c r="J30" i="54" s="1"/>
  <c r="I25" i="54"/>
  <c r="I27" i="54" s="1"/>
  <c r="H25" i="54"/>
  <c r="H30" i="54" s="1"/>
  <c r="G25" i="54"/>
  <c r="G30" i="54" s="1"/>
  <c r="F25" i="54"/>
  <c r="F30" i="54" s="1"/>
  <c r="H25" i="53"/>
  <c r="H27" i="53" s="1"/>
  <c r="H31" i="53" s="1"/>
  <c r="F25" i="53"/>
  <c r="F27" i="53" s="1"/>
  <c r="F31" i="53" s="1"/>
  <c r="H25" i="52"/>
  <c r="H27" i="52" s="1"/>
  <c r="H31" i="52" s="1"/>
  <c r="F25" i="52"/>
  <c r="F27" i="52" s="1"/>
  <c r="F31" i="52" s="1"/>
  <c r="A8" i="5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D5" i="51"/>
  <c r="E5" i="51" s="1"/>
  <c r="F5" i="51" s="1"/>
  <c r="G5" i="51" s="1"/>
  <c r="F27" i="54" l="1"/>
  <c r="F31" i="54" s="1"/>
  <c r="H27" i="54"/>
  <c r="H31" i="54" s="1"/>
  <c r="H36" i="54" s="1"/>
  <c r="J31" i="54"/>
  <c r="J36" i="54" s="1"/>
  <c r="H39" i="54"/>
  <c r="J23" i="56"/>
  <c r="J42" i="56" s="1"/>
  <c r="J47" i="56" s="1"/>
  <c r="I30" i="54"/>
  <c r="I31" i="54" s="1"/>
  <c r="I36" i="54" s="1"/>
  <c r="G27" i="54"/>
  <c r="G31" i="54" s="1"/>
  <c r="F36" i="54" l="1"/>
  <c r="F40" i="54"/>
  <c r="G36" i="54"/>
  <c r="K36" i="54" s="1"/>
  <c r="F46" i="54" s="1"/>
  <c r="G40" i="54"/>
  <c r="K31" i="54"/>
  <c r="I39" i="54"/>
  <c r="H40" i="54"/>
  <c r="F48" i="54" l="1"/>
  <c r="D15" i="51" s="1"/>
  <c r="I40" i="54"/>
  <c r="J39" i="54"/>
  <c r="J40" i="54" s="1"/>
  <c r="K40" i="54" l="1"/>
  <c r="G46" i="54" s="1"/>
  <c r="K9" i="36"/>
  <c r="D25" i="51"/>
  <c r="D9" i="58" s="1"/>
  <c r="G48" i="54"/>
  <c r="E15" i="51" s="1"/>
  <c r="I46" i="54"/>
  <c r="I48" i="54" s="1"/>
  <c r="D11" i="58" l="1"/>
  <c r="E9" i="58"/>
  <c r="K16" i="36"/>
  <c r="D14" i="58"/>
  <c r="E25" i="51"/>
  <c r="G15" i="51"/>
  <c r="G25" i="51" s="1"/>
  <c r="F9" i="58" l="1"/>
  <c r="E11" i="58"/>
  <c r="E14" i="58"/>
  <c r="D21" i="58"/>
  <c r="D29" i="58" s="1"/>
  <c r="E21" i="58" l="1"/>
  <c r="E29" i="58" s="1"/>
  <c r="E31" i="58" s="1"/>
  <c r="F14" i="58"/>
  <c r="F21" i="58" s="1"/>
  <c r="F29" i="58" s="1"/>
  <c r="D31" i="58"/>
  <c r="D39" i="58" s="1"/>
  <c r="F66" i="50"/>
  <c r="F65" i="50"/>
  <c r="F62" i="50"/>
  <c r="F61" i="50"/>
  <c r="F58" i="50"/>
  <c r="F57" i="50"/>
  <c r="F55" i="50"/>
  <c r="F52" i="50"/>
  <c r="F50" i="50"/>
  <c r="F49" i="50"/>
  <c r="F48" i="50"/>
  <c r="F47" i="50"/>
  <c r="F44" i="50"/>
  <c r="F43" i="50"/>
  <c r="F42" i="50"/>
  <c r="F41" i="50"/>
  <c r="F40" i="50"/>
  <c r="F35" i="50"/>
  <c r="F34" i="50"/>
  <c r="F31" i="50"/>
  <c r="F30" i="50"/>
  <c r="F29" i="50"/>
  <c r="F28" i="50"/>
  <c r="F27" i="50"/>
  <c r="F26" i="50"/>
  <c r="F25" i="50"/>
  <c r="F24" i="50"/>
  <c r="F23" i="50"/>
  <c r="F22" i="50"/>
  <c r="F19" i="50"/>
  <c r="F18" i="50"/>
  <c r="F16" i="50"/>
  <c r="F15" i="50"/>
  <c r="F11" i="50"/>
  <c r="F9" i="50"/>
  <c r="F8" i="50"/>
  <c r="E63" i="50"/>
  <c r="E53" i="50"/>
  <c r="E45" i="50"/>
  <c r="E32" i="50"/>
  <c r="E20" i="50"/>
  <c r="E12" i="50"/>
  <c r="D63" i="50"/>
  <c r="D45" i="50"/>
  <c r="D32" i="50"/>
  <c r="E67" i="50" l="1"/>
  <c r="E42" i="58"/>
  <c r="E39" i="58"/>
  <c r="F48" i="58"/>
  <c r="F53" i="58"/>
  <c r="E53" i="58"/>
  <c r="E48" i="58"/>
  <c r="E37" i="50"/>
  <c r="D67" i="50"/>
  <c r="F63" i="50"/>
  <c r="F53" i="50"/>
  <c r="F45" i="50"/>
  <c r="F32" i="50"/>
  <c r="F20" i="50"/>
  <c r="D10" i="50"/>
  <c r="D12" i="50" s="1"/>
  <c r="E49" i="58" l="1"/>
  <c r="E50" i="58" s="1"/>
  <c r="E54" i="58"/>
  <c r="E43" i="58"/>
  <c r="E44" i="58"/>
  <c r="D37" i="50"/>
  <c r="F10" i="50"/>
  <c r="F12" i="50" s="1"/>
  <c r="F37" i="50" s="1"/>
  <c r="F67" i="50"/>
  <c r="A8" i="50" l="1"/>
  <c r="A9" i="50" s="1"/>
  <c r="A10" i="50" s="1"/>
  <c r="A11" i="50" s="1"/>
  <c r="A12" i="50" s="1"/>
  <c r="D6" i="50"/>
  <c r="E6" i="50" s="1"/>
  <c r="A13" i="50" l="1"/>
  <c r="A15" i="50" s="1"/>
  <c r="A14" i="50"/>
  <c r="A16" i="50" l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17" i="50"/>
  <c r="A50" i="50" l="1"/>
  <c r="A52" i="50" s="1"/>
  <c r="A53" i="50" s="1"/>
  <c r="A54" i="50" s="1"/>
  <c r="A55" i="50" s="1"/>
  <c r="A56" i="50" s="1"/>
  <c r="A51" i="50"/>
  <c r="A57" i="50" l="1"/>
  <c r="A58" i="50" s="1"/>
  <c r="A61" i="50" s="1"/>
  <c r="A62" i="50" s="1"/>
  <c r="A63" i="50" s="1"/>
  <c r="A64" i="50" s="1"/>
  <c r="A65" i="50" s="1"/>
  <c r="A66" i="50" s="1"/>
  <c r="A67" i="50" s="1"/>
  <c r="A59" i="50"/>
  <c r="A60" i="50"/>
  <c r="U39" i="36" l="1"/>
  <c r="U37" i="36"/>
  <c r="U35" i="36"/>
  <c r="U30" i="36"/>
  <c r="U29" i="36"/>
  <c r="U22" i="36"/>
  <c r="U15" i="36"/>
  <c r="U9" i="36"/>
  <c r="T40" i="36" l="1"/>
  <c r="T24" i="36"/>
  <c r="T31" i="36" s="1"/>
  <c r="T33" i="36" l="1"/>
  <c r="T42" i="36" s="1"/>
  <c r="U27" i="36" l="1"/>
  <c r="U26" i="36" l="1"/>
  <c r="U28" i="36" l="1"/>
  <c r="U21" i="36" l="1"/>
  <c r="U20" i="36"/>
  <c r="U18" i="36" l="1"/>
  <c r="R40" i="36" l="1"/>
  <c r="S40" i="36"/>
  <c r="Q40" i="36"/>
  <c r="P40" i="36"/>
  <c r="N40" i="36"/>
  <c r="M40" i="36"/>
  <c r="L40" i="36"/>
  <c r="K40" i="36"/>
  <c r="J40" i="36"/>
  <c r="I40" i="36"/>
  <c r="H40" i="36"/>
  <c r="G40" i="36"/>
  <c r="F40" i="36"/>
  <c r="E40" i="36"/>
  <c r="D40" i="36"/>
  <c r="C40" i="36"/>
  <c r="P24" i="36"/>
  <c r="P31" i="36" s="1"/>
  <c r="O24" i="36"/>
  <c r="O31" i="36" s="1"/>
  <c r="L24" i="36"/>
  <c r="L31" i="36" s="1"/>
  <c r="K24" i="36"/>
  <c r="K31" i="36" s="1"/>
  <c r="H24" i="36"/>
  <c r="H31" i="36" s="1"/>
  <c r="G24" i="36"/>
  <c r="G31" i="36" s="1"/>
  <c r="F24" i="36"/>
  <c r="F31" i="36" s="1"/>
  <c r="E24" i="36"/>
  <c r="E31" i="36" s="1"/>
  <c r="D24" i="36"/>
  <c r="D31" i="36" s="1"/>
  <c r="C24" i="36"/>
  <c r="C31" i="36" s="1"/>
  <c r="P12" i="36"/>
  <c r="O12" i="36"/>
  <c r="N12" i="36"/>
  <c r="M12" i="36"/>
  <c r="L12" i="36"/>
  <c r="K12" i="36"/>
  <c r="J12" i="36"/>
  <c r="I12" i="36"/>
  <c r="H12" i="36"/>
  <c r="G12" i="36"/>
  <c r="F12" i="36"/>
  <c r="E12" i="36"/>
  <c r="D12" i="36"/>
  <c r="C12" i="36"/>
  <c r="A8" i="36"/>
  <c r="A9" i="36" s="1"/>
  <c r="A10" i="36" s="1"/>
  <c r="A11" i="36" s="1"/>
  <c r="A12" i="36" s="1"/>
  <c r="A13" i="36" s="1"/>
  <c r="A14" i="36" s="1"/>
  <c r="D33" i="36" l="1"/>
  <c r="D42" i="36" s="1"/>
  <c r="H33" i="36"/>
  <c r="H42" i="36" s="1"/>
  <c r="L33" i="36"/>
  <c r="L42" i="36" s="1"/>
  <c r="P33" i="36"/>
  <c r="P42" i="36" s="1"/>
  <c r="E33" i="36"/>
  <c r="E42" i="36" s="1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C33" i="36"/>
  <c r="G33" i="36"/>
  <c r="G42" i="36" s="1"/>
  <c r="K33" i="36"/>
  <c r="K42" i="36" s="1"/>
  <c r="O33" i="36"/>
  <c r="F33" i="36"/>
  <c r="F42" i="36" s="1"/>
  <c r="C42" i="36" l="1"/>
  <c r="A34" i="36"/>
  <c r="A35" i="36" s="1"/>
  <c r="A37" i="36" s="1"/>
  <c r="A38" i="36" s="1"/>
  <c r="A39" i="36" s="1"/>
  <c r="A40" i="36" s="1"/>
  <c r="A41" i="36" s="1"/>
  <c r="A42" i="36" s="1"/>
  <c r="M24" i="36" l="1"/>
  <c r="M31" i="36" s="1"/>
  <c r="U16" i="36"/>
  <c r="J24" i="36"/>
  <c r="J31" i="36" s="1"/>
  <c r="U19" i="36"/>
  <c r="U23" i="36" l="1"/>
  <c r="U11" i="36"/>
  <c r="S24" i="36"/>
  <c r="S31" i="36" s="1"/>
  <c r="N24" i="36"/>
  <c r="N31" i="36" s="1"/>
  <c r="M33" i="36"/>
  <c r="M42" i="36" s="1"/>
  <c r="J33" i="36"/>
  <c r="J42" i="36" s="1"/>
  <c r="U38" i="36"/>
  <c r="I24" i="36"/>
  <c r="I31" i="36" l="1"/>
  <c r="S12" i="36"/>
  <c r="N33" i="36"/>
  <c r="N42" i="36" s="1"/>
  <c r="O40" i="36"/>
  <c r="U40" i="36" l="1"/>
  <c r="I33" i="36"/>
  <c r="S33" i="36"/>
  <c r="S42" i="36" s="1"/>
  <c r="O42" i="36"/>
  <c r="I42" i="36" l="1"/>
  <c r="R24" i="36" l="1"/>
  <c r="R31" i="36" s="1"/>
  <c r="R12" i="36"/>
  <c r="U17" i="36" l="1"/>
  <c r="U10" i="36"/>
  <c r="R33" i="36"/>
  <c r="R42" i="36" s="1"/>
  <c r="Q24" i="36"/>
  <c r="Q12" i="36"/>
  <c r="Q31" i="36" l="1"/>
  <c r="Q33" i="36" s="1"/>
  <c r="U24" i="36"/>
  <c r="U12" i="36"/>
  <c r="Q42" i="36" l="1"/>
  <c r="U42" i="36" s="1"/>
  <c r="U33" i="36"/>
  <c r="U31" i="36"/>
  <c r="F11" i="58" l="1"/>
  <c r="F31" i="58" s="1"/>
  <c r="F39" i="58" l="1"/>
  <c r="F43" i="58" s="1"/>
  <c r="F42" i="58"/>
  <c r="F44" i="58" l="1"/>
  <c r="F56" i="58"/>
  <c r="F57" i="58" s="1"/>
  <c r="E57" i="58" s="1"/>
  <c r="F49" i="58"/>
  <c r="F54" i="58"/>
</calcChain>
</file>

<file path=xl/sharedStrings.xml><?xml version="1.0" encoding="utf-8"?>
<sst xmlns="http://schemas.openxmlformats.org/spreadsheetml/2006/main" count="583" uniqueCount="369">
  <si>
    <t>Line</t>
  </si>
  <si>
    <t>Description</t>
  </si>
  <si>
    <t>Amount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</si>
  <si>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</si>
  <si>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</si>
  <si>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</si>
  <si>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</si>
  <si>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</si>
  <si>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</si>
  <si>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</si>
  <si>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</si>
  <si>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</si>
  <si>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</si>
  <si>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</si>
  <si>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</si>
  <si>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</si>
  <si>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Adjustment</t>
  </si>
  <si>
    <t>Year</t>
  </si>
  <si>
    <t>Month</t>
  </si>
  <si>
    <t>(1)</t>
  </si>
  <si>
    <t>(3)</t>
  </si>
  <si>
    <t>(2)</t>
  </si>
  <si>
    <t>#</t>
  </si>
  <si>
    <t>Subtotal</t>
  </si>
  <si>
    <t>Revenue</t>
  </si>
  <si>
    <t>Expense</t>
  </si>
  <si>
    <t>(4)</t>
  </si>
  <si>
    <t>Reference Schedule:  1.02</t>
  </si>
  <si>
    <t>Reference Schedule:  1.01</t>
  </si>
  <si>
    <t>Reference Schedule:  1.08</t>
  </si>
  <si>
    <t>Depreciation</t>
  </si>
  <si>
    <t>Donations</t>
  </si>
  <si>
    <t>Rate Case Expenses</t>
  </si>
  <si>
    <t>G&amp;T Capital Credits</t>
  </si>
  <si>
    <t xml:space="preserve">Revenue </t>
  </si>
  <si>
    <t>Total Cost of Electric Service</t>
  </si>
  <si>
    <t>Non-Operating Margins - Interest</t>
  </si>
  <si>
    <t>Non-Operating Margins - Other</t>
  </si>
  <si>
    <t>Test Year Amount</t>
  </si>
  <si>
    <t>Pro Forma Year Amount</t>
  </si>
  <si>
    <t>This adjustment removes the FAC revenues and expenses from the test period.</t>
  </si>
  <si>
    <t>This adjustment removes the Envionmental Surcharge revenues and expenses from the test period.</t>
  </si>
  <si>
    <t>Item</t>
  </si>
  <si>
    <t>Advertising</t>
  </si>
  <si>
    <t>Supplies / Misc</t>
  </si>
  <si>
    <t>Total Amount</t>
  </si>
  <si>
    <t>Amortization Period (Years)</t>
  </si>
  <si>
    <t>Total</t>
  </si>
  <si>
    <t>Annual Amortization Amount</t>
  </si>
  <si>
    <t>This adjustment estimates the rate case costs amortized over a 3 year period, consistent with standard Commission practice.</t>
  </si>
  <si>
    <t>Year-End Customers</t>
  </si>
  <si>
    <t>(5)</t>
  </si>
  <si>
    <t>(6)</t>
  </si>
  <si>
    <t>(7)</t>
  </si>
  <si>
    <t>(8)</t>
  </si>
  <si>
    <t>Average</t>
  </si>
  <si>
    <t>Total kWh</t>
  </si>
  <si>
    <t>Average kWh</t>
  </si>
  <si>
    <t>Year-End kWh Adjustment</t>
  </si>
  <si>
    <t>Current Base Rate Revenue</t>
  </si>
  <si>
    <t>Average Revenue per kWh</t>
  </si>
  <si>
    <t>Year End Revenue Adj</t>
  </si>
  <si>
    <t>Revenue Adjustment</t>
  </si>
  <si>
    <t>Expense Adjustment</t>
  </si>
  <si>
    <t>Year End Expense Adj</t>
  </si>
  <si>
    <t>Total Purchased Power Expense</t>
  </si>
  <si>
    <t>Less Environmental Surcharge</t>
  </si>
  <si>
    <t>Less Fuel Adjustment Clause</t>
  </si>
  <si>
    <t>Adjusted Purchased Power Expense</t>
  </si>
  <si>
    <t>Total Purchased Power kWh</t>
  </si>
  <si>
    <t>End of Period Increase over Avg</t>
  </si>
  <si>
    <t>For Expense Adjustment:</t>
  </si>
  <si>
    <t>Test Period Total</t>
  </si>
  <si>
    <t>Avg Adj Purchase Exp per kWh</t>
  </si>
  <si>
    <t>Net Rev</t>
  </si>
  <si>
    <t>Interest on LTD</t>
  </si>
  <si>
    <t>TIER</t>
  </si>
  <si>
    <t>GTCC</t>
  </si>
  <si>
    <t>Operating Revenues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</si>
  <si>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</si>
  <si>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</si>
  <si>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</si>
  <si>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</si>
  <si>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</si>
  <si>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</si>
  <si>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</si>
  <si>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</si>
  <si>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</si>
  <si>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</si>
  <si>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</si>
  <si>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- Other</t>
  </si>
  <si>
    <t>Other Deductions</t>
  </si>
  <si>
    <t>Utility Operating Margins</t>
  </si>
  <si>
    <t>Other Capital Credits</t>
  </si>
  <si>
    <t>Net Margins</t>
  </si>
  <si>
    <t>TIER excluding GTCC</t>
  </si>
  <si>
    <t>OTIER</t>
  </si>
  <si>
    <t>Rate</t>
  </si>
  <si>
    <t>Operating Revenues:</t>
  </si>
  <si>
    <t xml:space="preserve">        FAC &amp; ES</t>
  </si>
  <si>
    <t>Services</t>
  </si>
  <si>
    <t>Total Revenues</t>
  </si>
  <si>
    <t xml:space="preserve">        Base Rates</t>
  </si>
  <si>
    <t xml:space="preserve">    Total Operating Expenses</t>
  </si>
  <si>
    <t>Total Non-Operating Margins</t>
  </si>
  <si>
    <t>Interest on Long Term Debt</t>
  </si>
  <si>
    <t>Interest Expense - Other</t>
  </si>
  <si>
    <t>Base Rates</t>
  </si>
  <si>
    <t>FAC &amp; ES</t>
  </si>
  <si>
    <t>Other Electric Revenue</t>
  </si>
  <si>
    <t>Distribution - Operations</t>
  </si>
  <si>
    <t>Distribution - Maintenance</t>
  </si>
  <si>
    <t>Consumer Accounts</t>
  </si>
  <si>
    <t>Sales</t>
  </si>
  <si>
    <t>Administrative and General</t>
  </si>
  <si>
    <t>Actual Test Yr</t>
  </si>
  <si>
    <t>Proposed Rates</t>
  </si>
  <si>
    <t>Pro Forma Test Yr</t>
  </si>
  <si>
    <t>Wages &amp; Salaries</t>
  </si>
  <si>
    <t>Reference Schedule:  1.05</t>
  </si>
  <si>
    <t>Reference Schedule:  1.04</t>
  </si>
  <si>
    <t>Reference Schedule:  1.03</t>
  </si>
  <si>
    <t>Reference Schedule:  1.06</t>
  </si>
  <si>
    <t>Reference Schedule:  1.07</t>
  </si>
  <si>
    <t>Reference Schedule:  1.09</t>
  </si>
  <si>
    <t>Reference Schedule:  1.10</t>
  </si>
  <si>
    <t>Reference Schedule:  1.11</t>
  </si>
  <si>
    <t>Environmental Surcharge</t>
  </si>
  <si>
    <t xml:space="preserve">Fuel Adjustment Clause </t>
  </si>
  <si>
    <t>Stores</t>
  </si>
  <si>
    <t>Transportation</t>
  </si>
  <si>
    <t>Meters</t>
  </si>
  <si>
    <t>Pro Forma Adj</t>
  </si>
  <si>
    <t>Note</t>
  </si>
  <si>
    <t>A</t>
  </si>
  <si>
    <t>B</t>
  </si>
  <si>
    <t>Employee</t>
  </si>
  <si>
    <t>Test Yr Ending Bal</t>
  </si>
  <si>
    <t>Normalized Expense</t>
  </si>
  <si>
    <t>Test Year Expense</t>
  </si>
  <si>
    <t>Acct #</t>
  </si>
  <si>
    <t>Fully Depr Items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</si>
  <si>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</si>
  <si>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</si>
  <si>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</si>
  <si>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</si>
  <si>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</si>
  <si>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</si>
  <si>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</si>
  <si>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Installations on customer premises</t>
  </si>
  <si>
    <t>Land</t>
  </si>
  <si>
    <t>Structures and improvements</t>
  </si>
  <si>
    <t>Office furn and eqt</t>
  </si>
  <si>
    <t>Tools, shop and garage</t>
  </si>
  <si>
    <t>Laboratory</t>
  </si>
  <si>
    <t>Power operated</t>
  </si>
  <si>
    <t>Communications</t>
  </si>
  <si>
    <t>Miscellaneous</t>
  </si>
  <si>
    <t>General Plant</t>
  </si>
  <si>
    <t>This adjustment normalizes depreciation expenses by replacing test year actual expenses with test year end balances (less any fully depreciated items) at approved depreciation rates.</t>
  </si>
  <si>
    <t>Transporation Charged to Clearing</t>
  </si>
  <si>
    <t>Distribution &amp; General Subtotal</t>
  </si>
  <si>
    <t>Total Operating Revenue</t>
  </si>
  <si>
    <t>Total Sales of Electric Energy</t>
  </si>
  <si>
    <t>Cash Receipts from Lenders</t>
  </si>
  <si>
    <t>Pro Forma Amount</t>
  </si>
  <si>
    <t>Employee &amp; Family</t>
  </si>
  <si>
    <t>Option</t>
  </si>
  <si>
    <t>Utility %</t>
  </si>
  <si>
    <t>Utility $</t>
  </si>
  <si>
    <t>Employee %</t>
  </si>
  <si>
    <t>Employee $</t>
  </si>
  <si>
    <t>Pro Forma Year</t>
  </si>
  <si>
    <t>Total Cost $</t>
  </si>
  <si>
    <t>C</t>
  </si>
  <si>
    <t>D</t>
  </si>
  <si>
    <t>Normalized Test Year</t>
  </si>
  <si>
    <t>Employee Healthcare</t>
  </si>
  <si>
    <t>This adjustment removes charitable donations, promotional advertising expenses, and dues from the revenue requirement consistent with standard Commission practices.</t>
  </si>
  <si>
    <t>Donations, Promotional Advertising &amp; Dues</t>
  </si>
  <si>
    <t>Donations, Promotional Advertising, &amp; Dues</t>
  </si>
  <si>
    <t>Health Insurance Premiums</t>
  </si>
  <si>
    <t>Retirement Plan &amp; 401(k)</t>
  </si>
  <si>
    <t>Summary of Pro Forma Adjustments</t>
  </si>
  <si>
    <t>Fuel Adjustment Clause</t>
  </si>
  <si>
    <t>Non-Operating Income</t>
  </si>
  <si>
    <t>Net Margin</t>
  </si>
  <si>
    <t>F</t>
  </si>
  <si>
    <t>G</t>
  </si>
  <si>
    <t>This adjustment adjusts the test year expenses and revenues to reflect the number of customers at the end of the test year.</t>
  </si>
  <si>
    <t xml:space="preserve">Reference Schedule     &gt;     </t>
  </si>
  <si>
    <t xml:space="preserve">Item     &gt;     </t>
  </si>
  <si>
    <t>Reference Schedule</t>
  </si>
  <si>
    <t>Summary of Adjustments to Test Year Statement of Operations</t>
  </si>
  <si>
    <t>Summary of Adjustments to Test Year Balance Sheet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</si>
  <si>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</si>
  <si>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</si>
  <si>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</si>
  <si>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</si>
  <si>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</si>
  <si>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</si>
  <si>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</si>
  <si>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</si>
  <si>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</si>
  <si>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</si>
  <si>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</si>
  <si>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</si>
  <si>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</si>
  <si>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</si>
  <si>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</si>
  <si>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Other (Net)</t>
  </si>
  <si>
    <t>Accts Receivable - Sales Energy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</si>
  <si>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</si>
  <si>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</si>
  <si>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</si>
  <si>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</si>
  <si>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</si>
  <si>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</si>
  <si>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</si>
  <si>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</si>
  <si>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</si>
  <si>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</si>
  <si>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</si>
  <si>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</si>
  <si>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</si>
  <si>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</si>
  <si>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</si>
  <si>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</si>
  <si>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</si>
  <si>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</si>
  <si>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</si>
  <si>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</si>
  <si>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</si>
  <si>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</si>
  <si>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</si>
  <si>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</si>
  <si>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</si>
  <si>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</si>
  <si>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</si>
  <si>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</si>
  <si>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</si>
  <si>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</si>
  <si>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Pro Forma Adjs</t>
  </si>
  <si>
    <t>Statement of Operations &amp; Revenue Requirement</t>
  </si>
  <si>
    <t>JACKSON ENERGY COOPERATIVE</t>
  </si>
  <si>
    <t>Income(Loss) from Equity Investments</t>
  </si>
  <si>
    <t>29a</t>
  </si>
  <si>
    <t>Income(Loss) from Equity Invstmts</t>
  </si>
  <si>
    <t>For the 12 Months Ended December 31, 2023</t>
  </si>
  <si>
    <t>Year End Customers</t>
  </si>
  <si>
    <t>Board of Directors Fees</t>
  </si>
  <si>
    <t>Employee Life Insurance Premiums</t>
  </si>
  <si>
    <t>Depreciation Expense</t>
  </si>
  <si>
    <t>Legal</t>
  </si>
  <si>
    <t>Consulting</t>
  </si>
  <si>
    <t>Meters (AMR)</t>
  </si>
  <si>
    <t>Street Lighting &amp; signal systems</t>
  </si>
  <si>
    <t>Structures and improvements - wood</t>
  </si>
  <si>
    <t>Structures and improvements - misc</t>
  </si>
  <si>
    <t>Structures and improvements - London</t>
  </si>
  <si>
    <t>Office furn and eqt - computer</t>
  </si>
  <si>
    <t>Office furn and eqt - computer converson</t>
  </si>
  <si>
    <t>Office furn and eqt - HQ</t>
  </si>
  <si>
    <t>Pro Forma Adjustments</t>
  </si>
  <si>
    <t>401(k) Contribution Match Expense</t>
  </si>
  <si>
    <t>Test Year 401k Match Expense</t>
  </si>
  <si>
    <t>Pro Forma 401k Match Expense</t>
  </si>
  <si>
    <t>This adjustment removes the contribution for the least generous plans for employer retirement contributions for employees participating in multiple benefit packages.</t>
  </si>
  <si>
    <t>Specifically, for employees under R&amp;S Pension Plan and 401(k) Plan, removes the 401(k) employer match.</t>
  </si>
  <si>
    <t>This adjustment normalizes utility contributions to employee premiums for medical insurance to account for employee contribution amounts instituted after the test period.</t>
  </si>
  <si>
    <t>Life Insurance</t>
  </si>
  <si>
    <t>H</t>
  </si>
  <si>
    <t>Total Premium</t>
  </si>
  <si>
    <t>Advertising - Ann Mtg</t>
  </si>
  <si>
    <t>Prizes Ann. Mtg.</t>
  </si>
  <si>
    <t>Misc. Exp. - Ann Mtg</t>
  </si>
  <si>
    <t>NRECA dues</t>
  </si>
  <si>
    <t>930.21</t>
  </si>
  <si>
    <t>EXP ADJ</t>
  </si>
  <si>
    <t>I</t>
  </si>
  <si>
    <t>J</t>
  </si>
  <si>
    <t>KEC dues</t>
  </si>
  <si>
    <t>Employee Appreciation</t>
  </si>
  <si>
    <t>Interest</t>
  </si>
  <si>
    <t>Directors Expenses</t>
  </si>
  <si>
    <t>KEC Annual Meeting</t>
  </si>
  <si>
    <t>EKP Annual Meeting</t>
  </si>
  <si>
    <t>Director AD&amp;D Insurance</t>
  </si>
  <si>
    <t>Items to be removed:</t>
  </si>
  <si>
    <t>Total to be removed:</t>
  </si>
  <si>
    <t>This adjustment removes certain Director expenses consistent with recent Commission orders and standard Commission practices.</t>
  </si>
  <si>
    <t>Binder</t>
  </si>
  <si>
    <t>Bobrowski</t>
  </si>
  <si>
    <t>Cornett</t>
  </si>
  <si>
    <t>Cundiff</t>
  </si>
  <si>
    <t>Dawes</t>
  </si>
  <si>
    <t>Hays III</t>
  </si>
  <si>
    <t>Patton</t>
  </si>
  <si>
    <t>Cooke</t>
  </si>
  <si>
    <t>Phillips</t>
  </si>
  <si>
    <t>Thompson</t>
  </si>
  <si>
    <t>Larkey</t>
  </si>
  <si>
    <t>Madden</t>
  </si>
  <si>
    <t>Brown</t>
  </si>
  <si>
    <t>Legacy Director Expense</t>
  </si>
  <si>
    <t>Interest Expense</t>
  </si>
  <si>
    <t>Account 427</t>
  </si>
  <si>
    <t>Interest on Long-Term Debt</t>
  </si>
  <si>
    <t>Pro-Forma Adjustment</t>
  </si>
  <si>
    <t>RUS</t>
  </si>
  <si>
    <t>RUS/FFB</t>
  </si>
  <si>
    <t>CFC</t>
  </si>
  <si>
    <t>Account 431.10 &amp; 431.30</t>
  </si>
  <si>
    <t>Other Interest Expense</t>
  </si>
  <si>
    <t>CFC Line of Credit</t>
  </si>
  <si>
    <t>Interest Expense - Consumer Deposits</t>
  </si>
  <si>
    <t>A is Proforma for Interest on LTD</t>
  </si>
  <si>
    <t>B is Proforma for Other Interest Expense</t>
  </si>
  <si>
    <t>This adjustment normalizes the interest on Long Term Debt and Other Interest Expense from test year to recent amounts.</t>
  </si>
  <si>
    <t>Reference Schedule: 1.12</t>
  </si>
  <si>
    <t>Test - Period                 2023</t>
  </si>
  <si>
    <t>COBANK</t>
  </si>
  <si>
    <t>Legislative Conference</t>
  </si>
  <si>
    <t>NRECA Region Meeting</t>
  </si>
  <si>
    <t>NRECA Power Exchange/Winter School</t>
  </si>
  <si>
    <t>CoBank Line of Credit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</si>
  <si>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</si>
  <si>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</si>
  <si>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</si>
  <si>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</si>
  <si>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</si>
  <si>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</si>
  <si>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</si>
  <si>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</si>
  <si>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</si>
  <si>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</si>
  <si>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</si>
  <si>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</si>
  <si>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</si>
  <si>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</si>
  <si>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</si>
  <si>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</si>
  <si>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</si>
  <si>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</si>
  <si>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</si>
  <si>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Payroll Expensed</t>
  </si>
  <si>
    <t>Payroll Capitalized</t>
  </si>
  <si>
    <t>Payroll Other</t>
  </si>
  <si>
    <t>Addition to Expense</t>
  </si>
  <si>
    <t>This adjustment normalizes wages and salaries to account for changes due to wage increases, departures, or new hires for standard year of 2,080 hours.</t>
  </si>
  <si>
    <t>Per 2023 Form 7</t>
  </si>
  <si>
    <t>* Pro Forma Year based upon 116 full time employees at 2080 hours and 3 part time at 750 hours , same amount of OT hours and other hours as in Test Year</t>
  </si>
  <si>
    <t>* Thompson is on the KEC board.</t>
  </si>
  <si>
    <t>Target TIER</t>
  </si>
  <si>
    <t>Margins at Target TIER</t>
  </si>
  <si>
    <t>Revenue Requirement</t>
  </si>
  <si>
    <t>Revenue Deficiency (Excess)</t>
  </si>
  <si>
    <t>Target OTIER</t>
  </si>
  <si>
    <t>Margins at Target OTIER</t>
  </si>
  <si>
    <t>Proposed Increase $</t>
  </si>
  <si>
    <t>Investment in Subs Cos</t>
  </si>
  <si>
    <t>Investment in Econ Dev Projects</t>
  </si>
  <si>
    <t>Payments - Unapplied</t>
  </si>
  <si>
    <t>Current Maturities-LTD</t>
  </si>
  <si>
    <t>Current Maturities-LTD-Econ Dev</t>
  </si>
  <si>
    <t>Reference Schedule: 1.13</t>
  </si>
  <si>
    <t>This adjustment removes the wholesale provider capital credits.</t>
  </si>
  <si>
    <t>Test Year GTCC</t>
  </si>
  <si>
    <t>Pro Forma Year GTCC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</si>
</sst>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0.0%"/>
    <numFmt numFmtId="169" formatCode="m/d/yy;@"/>
    <numFmt numFmtId="170" formatCode="\(#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P-TIMES"/>
    </font>
    <font>
      <sz val="11"/>
      <name val="P-TIMES"/>
    </font>
    <font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i/>
      <sz val="8"/>
      <name val="Arial"/>
      <family val="2"/>
    </font>
    <font>
      <i/>
      <sz val="8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1" fillId="0" borderId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25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/>
    <xf numFmtId="0" fontId="4" fillId="0" borderId="0" xfId="3" applyFont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0" xfId="1" applyNumberFormat="1" applyFont="1"/>
    <xf numFmtId="0" fontId="5" fillId="0" borderId="0" xfId="0" applyFont="1" applyAlignment="1">
      <alignment horizontal="left"/>
    </xf>
    <xf numFmtId="0" fontId="5" fillId="0" borderId="3" xfId="0" applyFont="1" applyBorder="1"/>
    <xf numFmtId="164" fontId="5" fillId="0" borderId="3" xfId="1" applyNumberFormat="1" applyFont="1" applyBorder="1"/>
    <xf numFmtId="164" fontId="5" fillId="0" borderId="0" xfId="1" applyNumberFormat="1" applyFont="1" applyBorder="1"/>
    <xf numFmtId="164" fontId="5" fillId="0" borderId="0" xfId="1" applyNumberFormat="1" applyFont="1" applyFill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2" xfId="1" applyNumberFormat="1" applyFont="1" applyBorder="1"/>
    <xf numFmtId="165" fontId="5" fillId="0" borderId="0" xfId="2" applyNumberFormat="1" applyFont="1"/>
    <xf numFmtId="165" fontId="5" fillId="0" borderId="0" xfId="0" applyNumberFormat="1" applyFont="1"/>
    <xf numFmtId="165" fontId="5" fillId="0" borderId="0" xfId="2" applyNumberFormat="1" applyFont="1" applyFill="1"/>
    <xf numFmtId="0" fontId="9" fillId="0" borderId="0" xfId="0" applyFont="1"/>
    <xf numFmtId="164" fontId="5" fillId="0" borderId="0" xfId="0" applyNumberFormat="1" applyFont="1"/>
    <xf numFmtId="43" fontId="5" fillId="0" borderId="0" xfId="2" applyFont="1"/>
    <xf numFmtId="2" fontId="5" fillId="0" borderId="0" xfId="0" applyNumberFormat="1" applyFont="1" applyAlignment="1">
      <alignment horizontal="center"/>
    </xf>
    <xf numFmtId="164" fontId="5" fillId="0" borderId="0" xfId="1" applyNumberFormat="1" applyFont="1" applyFill="1"/>
    <xf numFmtId="0" fontId="5" fillId="0" borderId="0" xfId="0" applyFont="1" applyAlignment="1">
      <alignment horizontal="center" wrapText="1"/>
    </xf>
    <xf numFmtId="165" fontId="5" fillId="0" borderId="3" xfId="2" applyNumberFormat="1" applyFont="1" applyBorder="1"/>
    <xf numFmtId="165" fontId="5" fillId="0" borderId="0" xfId="2" applyNumberFormat="1" applyFont="1" applyBorder="1"/>
    <xf numFmtId="0" fontId="2" fillId="0" borderId="0" xfId="0" applyFont="1" applyAlignment="1">
      <alignment horizontal="left" vertical="center"/>
    </xf>
    <xf numFmtId="166" fontId="5" fillId="0" borderId="0" xfId="1" applyNumberFormat="1" applyFont="1" applyBorder="1"/>
    <xf numFmtId="0" fontId="4" fillId="0" borderId="0" xfId="0" applyFont="1"/>
    <xf numFmtId="167" fontId="5" fillId="0" borderId="0" xfId="2" applyNumberFormat="1" applyFont="1" applyBorder="1"/>
    <xf numFmtId="0" fontId="4" fillId="0" borderId="1" xfId="0" applyFont="1" applyBorder="1"/>
    <xf numFmtId="164" fontId="4" fillId="0" borderId="1" xfId="1" applyNumberFormat="1" applyFont="1" applyBorder="1" applyAlignment="1">
      <alignment horizontal="right"/>
    </xf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164" fontId="5" fillId="0" borderId="4" xfId="1" applyNumberFormat="1" applyFont="1" applyBorder="1"/>
    <xf numFmtId="165" fontId="5" fillId="2" borderId="0" xfId="0" applyNumberFormat="1" applyFont="1" applyFill="1"/>
    <xf numFmtId="0" fontId="5" fillId="2" borderId="0" xfId="0" applyFont="1" applyFill="1"/>
    <xf numFmtId="164" fontId="5" fillId="0" borderId="3" xfId="1" applyNumberFormat="1" applyFont="1" applyFill="1" applyBorder="1"/>
    <xf numFmtId="165" fontId="2" fillId="0" borderId="0" xfId="2" applyNumberFormat="1" applyFont="1" applyFill="1"/>
    <xf numFmtId="0" fontId="14" fillId="0" borderId="0" xfId="0" applyFont="1" applyAlignment="1">
      <alignment horizontal="right"/>
    </xf>
    <xf numFmtId="0" fontId="2" fillId="0" borderId="3" xfId="0" applyFont="1" applyBorder="1"/>
    <xf numFmtId="0" fontId="2" fillId="0" borderId="0" xfId="0" applyFont="1" applyAlignment="1">
      <alignment horizontal="center" vertic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169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3" applyFont="1" applyAlignment="1">
      <alignment horizontal="right"/>
    </xf>
    <xf numFmtId="0" fontId="2" fillId="0" borderId="0" xfId="3" applyFont="1"/>
    <xf numFmtId="0" fontId="2" fillId="0" borderId="1" xfId="0" applyFont="1" applyBorder="1" applyAlignment="1">
      <alignment horizontal="center"/>
    </xf>
    <xf numFmtId="170" fontId="2" fillId="0" borderId="1" xfId="0" quotePrefix="1" applyNumberFormat="1" applyFont="1" applyBorder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1" fontId="2" fillId="0" borderId="0" xfId="0" applyNumberFormat="1" applyFont="1"/>
    <xf numFmtId="10" fontId="2" fillId="0" borderId="0" xfId="0" applyNumberFormat="1" applyFont="1"/>
    <xf numFmtId="168" fontId="2" fillId="0" borderId="0" xfId="0" applyNumberFormat="1" applyFont="1"/>
    <xf numFmtId="0" fontId="5" fillId="0" borderId="8" xfId="0" applyFont="1" applyBorder="1"/>
    <xf numFmtId="165" fontId="2" fillId="0" borderId="0" xfId="2" applyNumberFormat="1" applyFont="1"/>
    <xf numFmtId="37" fontId="7" fillId="0" borderId="0" xfId="4" applyNumberFormat="1" applyFont="1"/>
    <xf numFmtId="165" fontId="2" fillId="0" borderId="2" xfId="2" applyNumberFormat="1" applyFont="1" applyFill="1" applyBorder="1"/>
    <xf numFmtId="16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2" xfId="0" applyFont="1" applyBorder="1"/>
    <xf numFmtId="165" fontId="6" fillId="0" borderId="0" xfId="2" applyNumberFormat="1" applyFont="1" applyFill="1" applyAlignment="1"/>
    <xf numFmtId="169" fontId="15" fillId="0" borderId="0" xfId="0" quotePrefix="1" applyNumberFormat="1" applyFont="1" applyAlignment="1">
      <alignment horizontal="center" wrapText="1"/>
    </xf>
    <xf numFmtId="0" fontId="4" fillId="0" borderId="1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vertical="center"/>
    </xf>
    <xf numFmtId="0" fontId="2" fillId="0" borderId="8" xfId="0" applyFont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170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3" xfId="2" applyNumberFormat="1" applyFont="1" applyFill="1" applyBorder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0" xfId="4" applyFont="1"/>
    <xf numFmtId="0" fontId="12" fillId="0" borderId="0" xfId="4" applyFont="1"/>
    <xf numFmtId="0" fontId="7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3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center" wrapText="1"/>
    </xf>
    <xf numFmtId="0" fontId="13" fillId="0" borderId="0" xfId="4" applyFont="1"/>
    <xf numFmtId="165" fontId="7" fillId="0" borderId="0" xfId="2" applyNumberFormat="1" applyFont="1" applyFill="1"/>
    <xf numFmtId="37" fontId="7" fillId="0" borderId="1" xfId="4" applyNumberFormat="1" applyFont="1" applyBorder="1"/>
    <xf numFmtId="0" fontId="7" fillId="0" borderId="5" xfId="4" applyFont="1" applyBorder="1"/>
    <xf numFmtId="37" fontId="7" fillId="0" borderId="5" xfId="4" applyNumberFormat="1" applyFont="1" applyBorder="1"/>
    <xf numFmtId="37" fontId="7" fillId="0" borderId="0" xfId="4" applyNumberFormat="1" applyFont="1" applyAlignment="1">
      <alignment horizontal="right"/>
    </xf>
    <xf numFmtId="0" fontId="7" fillId="0" borderId="6" xfId="4" applyFont="1" applyBorder="1"/>
    <xf numFmtId="37" fontId="7" fillId="0" borderId="6" xfId="4" applyNumberFormat="1" applyFont="1" applyBorder="1"/>
    <xf numFmtId="0" fontId="19" fillId="0" borderId="0" xfId="4" applyFont="1" applyAlignment="1">
      <alignment horizontal="centerContinuous"/>
    </xf>
    <xf numFmtId="0" fontId="7" fillId="0" borderId="1" xfId="4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170" fontId="15" fillId="0" borderId="1" xfId="0" quotePrefix="1" applyNumberFormat="1" applyFont="1" applyBorder="1" applyAlignment="1">
      <alignment horizontal="center"/>
    </xf>
    <xf numFmtId="0" fontId="18" fillId="0" borderId="0" xfId="0" applyFont="1"/>
    <xf numFmtId="165" fontId="2" fillId="0" borderId="0" xfId="2" applyNumberFormat="1" applyFont="1" applyProtection="1"/>
    <xf numFmtId="0" fontId="20" fillId="0" borderId="0" xfId="0" applyFont="1" applyAlignment="1">
      <alignment horizontal="left"/>
    </xf>
    <xf numFmtId="0" fontId="20" fillId="0" borderId="0" xfId="0" applyFont="1"/>
    <xf numFmtId="165" fontId="4" fillId="0" borderId="0" xfId="2" applyNumberFormat="1" applyFont="1" applyFill="1" applyAlignment="1"/>
    <xf numFmtId="165" fontId="4" fillId="0" borderId="0" xfId="2" applyNumberFormat="1" applyFont="1" applyFill="1" applyAlignment="1">
      <alignment horizontal="center"/>
    </xf>
    <xf numFmtId="165" fontId="2" fillId="0" borderId="3" xfId="2" applyNumberFormat="1" applyFont="1" applyBorder="1" applyProtection="1"/>
    <xf numFmtId="165" fontId="0" fillId="0" borderId="0" xfId="2" applyNumberFormat="1" applyFont="1" applyFill="1"/>
    <xf numFmtId="165" fontId="2" fillId="0" borderId="2" xfId="2" applyNumberFormat="1" applyFont="1" applyBorder="1" applyProtection="1"/>
    <xf numFmtId="0" fontId="21" fillId="0" borderId="0" xfId="0" applyFont="1" applyAlignment="1">
      <alignment horizontal="center"/>
    </xf>
    <xf numFmtId="165" fontId="2" fillId="0" borderId="8" xfId="2" applyNumberFormat="1" applyFont="1" applyFill="1" applyBorder="1"/>
    <xf numFmtId="43" fontId="2" fillId="0" borderId="0" xfId="2" applyFont="1" applyFill="1"/>
    <xf numFmtId="0" fontId="22" fillId="0" borderId="0" xfId="0" applyFont="1"/>
    <xf numFmtId="0" fontId="5" fillId="0" borderId="0" xfId="0" applyFont="1" applyAlignment="1">
      <alignment horizontal="left" vertical="top" wrapText="1"/>
    </xf>
    <xf numFmtId="0" fontId="15" fillId="0" borderId="0" xfId="0" quotePrefix="1" applyFont="1" applyAlignment="1">
      <alignment horizontal="center" wrapText="1"/>
    </xf>
    <xf numFmtId="3" fontId="5" fillId="0" borderId="0" xfId="0" applyNumberFormat="1" applyFont="1"/>
    <xf numFmtId="0" fontId="15" fillId="0" borderId="0" xfId="0" applyFont="1" applyAlignment="1">
      <alignment horizontal="center" wrapText="1"/>
    </xf>
    <xf numFmtId="165" fontId="2" fillId="0" borderId="0" xfId="2" applyNumberFormat="1" applyFont="1" applyFill="1" applyAlignment="1">
      <alignment horizontal="right"/>
    </xf>
    <xf numFmtId="43" fontId="2" fillId="2" borderId="0" xfId="2" applyFont="1" applyFill="1"/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164" fontId="24" fillId="0" borderId="0" xfId="1" applyNumberFormat="1" applyFont="1" applyFill="1"/>
    <xf numFmtId="165" fontId="24" fillId="0" borderId="0" xfId="2" applyNumberFormat="1" applyFont="1"/>
    <xf numFmtId="0" fontId="24" fillId="0" borderId="3" xfId="0" applyFont="1" applyBorder="1" applyAlignment="1">
      <alignment horizontal="center"/>
    </xf>
    <xf numFmtId="164" fontId="24" fillId="0" borderId="0" xfId="1" applyNumberFormat="1" applyFont="1"/>
    <xf numFmtId="164" fontId="24" fillId="0" borderId="0" xfId="0" applyNumberFormat="1" applyFont="1"/>
    <xf numFmtId="164" fontId="24" fillId="0" borderId="3" xfId="0" applyNumberFormat="1" applyFont="1" applyBorder="1"/>
    <xf numFmtId="0" fontId="24" fillId="0" borderId="3" xfId="0" applyFont="1" applyBorder="1"/>
    <xf numFmtId="43" fontId="24" fillId="0" borderId="0" xfId="2" applyFont="1"/>
    <xf numFmtId="44" fontId="24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15" fillId="0" borderId="0" xfId="3" applyFont="1"/>
    <xf numFmtId="0" fontId="15" fillId="0" borderId="1" xfId="0" quotePrefix="1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9" fontId="2" fillId="0" borderId="0" xfId="0" applyNumberFormat="1" applyFont="1" applyAlignment="1">
      <alignment horizontal="right"/>
    </xf>
    <xf numFmtId="10" fontId="2" fillId="0" borderId="0" xfId="5" applyNumberFormat="1" applyFont="1" applyFill="1" applyAlignment="1"/>
    <xf numFmtId="165" fontId="2" fillId="0" borderId="0" xfId="2" applyNumberFormat="1" applyFont="1" applyFill="1" applyAlignment="1"/>
    <xf numFmtId="165" fontId="2" fillId="0" borderId="1" xfId="2" applyNumberFormat="1" applyFont="1" applyFill="1" applyBorder="1" applyAlignment="1">
      <alignment horizontal="right"/>
    </xf>
    <xf numFmtId="10" fontId="2" fillId="0" borderId="1" xfId="5" applyNumberFormat="1" applyFont="1" applyFill="1" applyBorder="1" applyAlignment="1"/>
    <xf numFmtId="165" fontId="2" fillId="0" borderId="1" xfId="2" applyNumberFormat="1" applyFont="1" applyFill="1" applyBorder="1" applyAlignment="1"/>
    <xf numFmtId="165" fontId="2" fillId="0" borderId="3" xfId="2" applyNumberFormat="1" applyFont="1" applyFill="1" applyBorder="1" applyAlignment="1">
      <alignment horizontal="right"/>
    </xf>
    <xf numFmtId="165" fontId="2" fillId="0" borderId="3" xfId="2" applyNumberFormat="1" applyFont="1" applyFill="1" applyBorder="1" applyAlignment="1"/>
    <xf numFmtId="10" fontId="2" fillId="0" borderId="3" xfId="2" applyNumberFormat="1" applyFont="1" applyFill="1" applyBorder="1" applyAlignment="1"/>
    <xf numFmtId="10" fontId="2" fillId="0" borderId="0" xfId="2" applyNumberFormat="1" applyFont="1" applyFill="1"/>
    <xf numFmtId="9" fontId="22" fillId="0" borderId="0" xfId="0" applyNumberFormat="1" applyFont="1"/>
    <xf numFmtId="165" fontId="2" fillId="0" borderId="2" xfId="2" applyNumberFormat="1" applyFont="1" applyFill="1" applyBorder="1" applyAlignment="1">
      <alignment horizontal="right"/>
    </xf>
    <xf numFmtId="165" fontId="2" fillId="0" borderId="2" xfId="2" applyNumberFormat="1" applyFont="1" applyFill="1" applyBorder="1" applyAlignment="1"/>
    <xf numFmtId="0" fontId="14" fillId="0" borderId="0" xfId="9" applyFont="1"/>
    <xf numFmtId="0" fontId="26" fillId="0" borderId="0" xfId="0" applyFont="1" applyAlignment="1">
      <alignment horizontal="right"/>
    </xf>
    <xf numFmtId="0" fontId="26" fillId="0" borderId="0" xfId="0" applyFont="1"/>
    <xf numFmtId="0" fontId="23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44" fontId="24" fillId="0" borderId="0" xfId="1" applyFont="1"/>
    <xf numFmtId="0" fontId="23" fillId="0" borderId="0" xfId="0" applyFont="1"/>
    <xf numFmtId="0" fontId="23" fillId="0" borderId="0" xfId="0" quotePrefix="1" applyFont="1" applyAlignment="1">
      <alignment horizontal="center"/>
    </xf>
    <xf numFmtId="2" fontId="23" fillId="0" borderId="0" xfId="0" quotePrefix="1" applyNumberFormat="1" applyFont="1" applyAlignment="1">
      <alignment horizontal="center"/>
    </xf>
    <xf numFmtId="164" fontId="24" fillId="0" borderId="0" xfId="1" applyNumberFormat="1" applyFont="1" applyFill="1" applyProtection="1">
      <protection locked="0"/>
    </xf>
    <xf numFmtId="164" fontId="24" fillId="0" borderId="0" xfId="1" applyNumberFormat="1" applyFont="1" applyProtection="1">
      <protection locked="0"/>
    </xf>
    <xf numFmtId="164" fontId="24" fillId="0" borderId="0" xfId="2" applyNumberFormat="1" applyFont="1" applyFill="1" applyProtection="1">
      <protection locked="0"/>
    </xf>
    <xf numFmtId="164" fontId="24" fillId="0" borderId="0" xfId="2" applyNumberFormat="1" applyFont="1" applyFill="1"/>
    <xf numFmtId="164" fontId="24" fillId="0" borderId="0" xfId="2" applyNumberFormat="1" applyFont="1" applyFill="1" applyBorder="1" applyAlignment="1" applyProtection="1">
      <protection locked="0"/>
    </xf>
    <xf numFmtId="164" fontId="24" fillId="0" borderId="1" xfId="2" applyNumberFormat="1" applyFont="1" applyFill="1" applyBorder="1" applyAlignment="1" applyProtection="1">
      <protection locked="0"/>
    </xf>
    <xf numFmtId="164" fontId="24" fillId="0" borderId="1" xfId="2" applyNumberFormat="1" applyFont="1" applyFill="1" applyBorder="1"/>
    <xf numFmtId="164" fontId="24" fillId="0" borderId="1" xfId="2" applyNumberFormat="1" applyFont="1" applyFill="1" applyBorder="1" applyProtection="1">
      <protection locked="0"/>
    </xf>
    <xf numFmtId="164" fontId="24" fillId="0" borderId="3" xfId="1" applyNumberFormat="1" applyFont="1" applyFill="1" applyBorder="1"/>
    <xf numFmtId="43" fontId="5" fillId="0" borderId="0" xfId="2" applyFont="1" applyBorder="1"/>
    <xf numFmtId="43" fontId="24" fillId="0" borderId="0" xfId="2" applyFont="1" applyBorder="1"/>
    <xf numFmtId="43" fontId="5" fillId="0" borderId="1" xfId="2" applyFont="1" applyBorder="1"/>
    <xf numFmtId="44" fontId="5" fillId="0" borderId="0" xfId="1" applyFont="1"/>
    <xf numFmtId="44" fontId="5" fillId="0" borderId="0" xfId="1" applyFont="1" applyBorder="1"/>
    <xf numFmtId="44" fontId="24" fillId="0" borderId="0" xfId="1" applyFont="1" applyBorder="1"/>
    <xf numFmtId="0" fontId="4" fillId="0" borderId="1" xfId="0" applyFont="1" applyBorder="1" applyAlignment="1">
      <alignment horizontal="center"/>
    </xf>
    <xf numFmtId="44" fontId="5" fillId="0" borderId="0" xfId="2" applyNumberFormat="1" applyFont="1" applyBorder="1"/>
    <xf numFmtId="44" fontId="5" fillId="0" borderId="2" xfId="2" applyNumberFormat="1" applyFont="1" applyBorder="1"/>
    <xf numFmtId="0" fontId="4" fillId="0" borderId="0" xfId="0" applyFont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0" fontId="4" fillId="0" borderId="0" xfId="0" quotePrefix="1" applyFont="1" applyAlignment="1">
      <alignment horizontal="center"/>
    </xf>
    <xf numFmtId="44" fontId="5" fillId="0" borderId="0" xfId="1" applyFont="1" applyBorder="1" applyProtection="1">
      <protection locked="0"/>
    </xf>
    <xf numFmtId="44" fontId="5" fillId="0" borderId="0" xfId="1" applyFont="1" applyFill="1" applyBorder="1"/>
    <xf numFmtId="40" fontId="5" fillId="0" borderId="0" xfId="2" applyNumberFormat="1" applyFont="1" applyBorder="1" applyProtection="1">
      <protection locked="0"/>
    </xf>
    <xf numFmtId="44" fontId="5" fillId="0" borderId="8" xfId="1" applyFont="1" applyBorder="1" applyProtection="1">
      <protection locked="0"/>
    </xf>
    <xf numFmtId="40" fontId="5" fillId="0" borderId="0" xfId="2" applyNumberFormat="1" applyFont="1" applyBorder="1" applyAlignment="1" applyProtection="1">
      <alignment horizontal="center"/>
      <protection locked="0"/>
    </xf>
    <xf numFmtId="40" fontId="4" fillId="0" borderId="0" xfId="2" applyNumberFormat="1" applyFont="1" applyBorder="1" applyAlignment="1" applyProtection="1">
      <alignment horizontal="center"/>
      <protection locked="0"/>
    </xf>
    <xf numFmtId="44" fontId="4" fillId="0" borderId="1" xfId="1" quotePrefix="1" applyFont="1" applyBorder="1" applyAlignment="1">
      <alignment horizontal="center" wrapText="1"/>
    </xf>
    <xf numFmtId="44" fontId="5" fillId="0" borderId="0" xfId="1" applyFont="1" applyFill="1" applyBorder="1" applyAlignment="1" applyProtection="1">
      <protection locked="0"/>
    </xf>
    <xf numFmtId="40" fontId="4" fillId="0" borderId="0" xfId="0" applyNumberFormat="1" applyFont="1" applyAlignment="1" applyProtection="1">
      <alignment horizontal="center"/>
      <protection locked="0"/>
    </xf>
    <xf numFmtId="40" fontId="5" fillId="0" borderId="0" xfId="0" applyNumberFormat="1" applyFont="1" applyProtection="1">
      <protection locked="0"/>
    </xf>
    <xf numFmtId="44" fontId="5" fillId="0" borderId="2" xfId="1" applyFont="1" applyFill="1" applyBorder="1" applyAlignment="1" applyProtection="1">
      <protection locked="0"/>
    </xf>
    <xf numFmtId="44" fontId="2" fillId="0" borderId="2" xfId="1" applyFont="1" applyFill="1" applyBorder="1" applyAlignment="1" applyProtection="1">
      <protection locked="0"/>
    </xf>
    <xf numFmtId="40" fontId="5" fillId="0" borderId="0" xfId="2" applyNumberFormat="1" applyFont="1" applyFill="1" applyBorder="1"/>
    <xf numFmtId="0" fontId="5" fillId="0" borderId="0" xfId="0" quotePrefix="1" applyFont="1"/>
    <xf numFmtId="44" fontId="5" fillId="0" borderId="1" xfId="1" applyFont="1" applyFill="1" applyBorder="1" applyAlignment="1" applyProtection="1">
      <alignment horizontal="center"/>
      <protection locked="0"/>
    </xf>
    <xf numFmtId="40" fontId="5" fillId="0" borderId="1" xfId="2" applyNumberFormat="1" applyFont="1" applyFill="1" applyBorder="1" applyAlignment="1" applyProtection="1">
      <alignment horizontal="center"/>
      <protection locked="0"/>
    </xf>
    <xf numFmtId="40" fontId="5" fillId="0" borderId="1" xfId="1" applyNumberFormat="1" applyFont="1" applyFill="1" applyBorder="1" applyAlignment="1">
      <alignment horizontal="center"/>
    </xf>
    <xf numFmtId="44" fontId="5" fillId="0" borderId="0" xfId="1" applyFont="1" applyFill="1" applyBorder="1" applyProtection="1">
      <protection locked="0"/>
    </xf>
    <xf numFmtId="40" fontId="5" fillId="0" borderId="0" xfId="2" applyNumberFormat="1" applyFont="1" applyFill="1" applyBorder="1" applyProtection="1">
      <protection locked="0"/>
    </xf>
    <xf numFmtId="44" fontId="21" fillId="0" borderId="1" xfId="1" applyFont="1" applyFill="1" applyBorder="1" applyAlignment="1" applyProtection="1">
      <alignment horizontal="center"/>
      <protection locked="0"/>
    </xf>
    <xf numFmtId="40" fontId="21" fillId="0" borderId="1" xfId="2" applyNumberFormat="1" applyFont="1" applyFill="1" applyBorder="1" applyAlignment="1" applyProtection="1">
      <alignment horizontal="center"/>
      <protection locked="0"/>
    </xf>
    <xf numFmtId="40" fontId="21" fillId="0" borderId="1" xfId="2" applyNumberFormat="1" applyFont="1" applyFill="1" applyBorder="1" applyAlignment="1">
      <alignment horizontal="center"/>
    </xf>
    <xf numFmtId="43" fontId="5" fillId="0" borderId="0" xfId="2" applyFont="1" applyFill="1" applyBorder="1" applyAlignment="1" applyProtection="1">
      <alignment horizontal="center"/>
      <protection locked="0"/>
    </xf>
    <xf numFmtId="43" fontId="5" fillId="0" borderId="0" xfId="2" applyFont="1" applyFill="1" applyBorder="1"/>
    <xf numFmtId="43" fontId="5" fillId="0" borderId="0" xfId="2" applyFont="1" applyBorder="1" applyProtection="1">
      <protection locked="0"/>
    </xf>
    <xf numFmtId="0" fontId="21" fillId="0" borderId="0" xfId="0" applyFont="1"/>
    <xf numFmtId="43" fontId="5" fillId="0" borderId="0" xfId="2" applyFont="1" applyFill="1" applyBorder="1" applyProtection="1">
      <protection locked="0"/>
    </xf>
    <xf numFmtId="165" fontId="5" fillId="0" borderId="0" xfId="2" applyNumberFormat="1" applyFont="1" applyFill="1" applyBorder="1" applyProtection="1">
      <protection locked="0"/>
    </xf>
    <xf numFmtId="9" fontId="5" fillId="0" borderId="0" xfId="5" applyFont="1" applyFill="1" applyBorder="1"/>
    <xf numFmtId="44" fontId="4" fillId="0" borderId="0" xfId="1" applyFont="1" applyFill="1" applyBorder="1"/>
    <xf numFmtId="165" fontId="5" fillId="0" borderId="0" xfId="2" applyNumberFormat="1" applyFont="1" applyFill="1" applyBorder="1"/>
    <xf numFmtId="165" fontId="5" fillId="0" borderId="1" xfId="2" applyNumberFormat="1" applyFont="1" applyFill="1" applyBorder="1"/>
    <xf numFmtId="43" fontId="5" fillId="0" borderId="1" xfId="2" applyFont="1" applyFill="1" applyBorder="1"/>
    <xf numFmtId="166" fontId="5" fillId="0" borderId="0" xfId="1" applyNumberFormat="1" applyFont="1" applyFill="1" applyBorder="1"/>
    <xf numFmtId="0" fontId="5" fillId="0" borderId="0" xfId="0" applyFont="1" applyAlignment="1">
      <alignment horizontal="left" wrapText="1"/>
    </xf>
    <xf numFmtId="165" fontId="2" fillId="0" borderId="7" xfId="2" applyNumberFormat="1" applyFont="1" applyFill="1" applyBorder="1"/>
    <xf numFmtId="168" fontId="2" fillId="0" borderId="0" xfId="5" applyNumberFormat="1" applyFont="1" applyFill="1"/>
    <xf numFmtId="10" fontId="27" fillId="0" borderId="0" xfId="5" applyNumberFormat="1" applyFont="1" applyFill="1" applyAlignment="1">
      <alignment vertical="top"/>
    </xf>
    <xf numFmtId="168" fontId="22" fillId="0" borderId="0" xfId="5" applyNumberFormat="1" applyFont="1"/>
    <xf numFmtId="10" fontId="28" fillId="0" borderId="0" xfId="5" applyNumberFormat="1" applyFont="1" applyAlignment="1">
      <alignment vertical="top"/>
    </xf>
    <xf numFmtId="165" fontId="2" fillId="0" borderId="0" xfId="2" applyNumberFormat="1" applyFont="1" applyFill="1" applyBorder="1"/>
    <xf numFmtId="10" fontId="2" fillId="0" borderId="0" xfId="0" applyNumberFormat="1" applyFont="1" applyAlignment="1">
      <alignment horizontal="right"/>
    </xf>
    <xf numFmtId="37" fontId="5" fillId="0" borderId="0" xfId="0" applyNumberFormat="1" applyFont="1"/>
    <xf numFmtId="0" fontId="14" fillId="0" borderId="0" xfId="0" applyFont="1"/>
    <xf numFmtId="0" fontId="29" fillId="0" borderId="0" xfId="0" applyFont="1"/>
    <xf numFmtId="10" fontId="29" fillId="0" borderId="0" xfId="5" applyNumberFormat="1" applyFont="1"/>
    <xf numFmtId="165" fontId="2" fillId="0" borderId="3" xfId="2" applyNumberFormat="1" applyFont="1" applyFill="1" applyBorder="1" applyProtection="1"/>
    <xf numFmtId="165" fontId="2" fillId="0" borderId="0" xfId="2" applyNumberFormat="1" applyFont="1" applyFill="1" applyProtection="1"/>
    <xf numFmtId="165" fontId="2" fillId="0" borderId="2" xfId="2" applyNumberFormat="1" applyFont="1" applyFill="1" applyBorder="1" applyProtection="1"/>
    <xf numFmtId="165" fontId="2" fillId="0" borderId="0" xfId="2" applyNumberFormat="1" applyFont="1" applyFill="1" applyBorder="1" applyProtection="1"/>
    <xf numFmtId="165" fontId="22" fillId="0" borderId="0" xfId="0" applyNumberFormat="1" applyFont="1"/>
    <xf numFmtId="165" fontId="2" fillId="0" borderId="0" xfId="2" applyNumberFormat="1" applyFont="1" applyBorder="1"/>
    <xf numFmtId="164" fontId="2" fillId="0" borderId="0" xfId="1" applyNumberFormat="1" applyFont="1" applyBorder="1"/>
    <xf numFmtId="0" fontId="2" fillId="0" borderId="1" xfId="0" quotePrefix="1" applyFont="1" applyBorder="1" applyAlignment="1">
      <alignment horizontal="center"/>
    </xf>
    <xf numFmtId="2" fontId="2" fillId="0" borderId="0" xfId="0" applyNumberFormat="1" applyFont="1" applyAlignment="1">
      <alignment horizontal="left"/>
    </xf>
    <xf numFmtId="41" fontId="2" fillId="0" borderId="3" xfId="0" applyNumberFormat="1" applyFont="1" applyBorder="1"/>
    <xf numFmtId="2" fontId="2" fillId="0" borderId="1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41" fontId="2" fillId="0" borderId="8" xfId="0" applyNumberFormat="1" applyFont="1" applyBorder="1"/>
    <xf numFmtId="41" fontId="2" fillId="0" borderId="2" xfId="0" applyNumberFormat="1" applyFont="1" applyBorder="1"/>
    <xf numFmtId="41" fontId="15" fillId="0" borderId="2" xfId="0" applyNumberFormat="1" applyFont="1" applyBorder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9" fillId="0" borderId="0" xfId="4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5" fillId="0" borderId="0" xfId="3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9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</cellXfs>
  <cellStyles count="10">
    <cellStyle name="Comma" xfId="2" builtinId="3"/>
    <cellStyle name="Comma 2" xfId="6" xr:uid="{00000000-0005-0000-0000-000001000000}"/>
    <cellStyle name="Currency" xfId="1" builtinId="4"/>
    <cellStyle name="Currency 2" xfId="7" xr:uid="{00000000-0005-0000-0000-000003000000}"/>
    <cellStyle name="Hyperlink" xfId="9" builtinId="8"/>
    <cellStyle name="Normal" xfId="0" builtinId="0"/>
    <cellStyle name="Normal 2" xfId="3" xr:uid="{00000000-0005-0000-0000-000005000000}"/>
    <cellStyle name="Normal 3" xfId="4" xr:uid="{00000000-0005-0000-0000-000006000000}"/>
    <cellStyle name="Normal 4" xfId="8" xr:uid="{00000000-0005-0000-0000-000007000000}"/>
    <cellStyle name="Percent" xfId="5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8FFE-6655-4390-9401-1B008C51C3E7}">
  <sheetPr>
    <pageSetUpPr fitToPage="1"/>
  </sheetPr>
  <dimension ref="A1:I57"/>
  <sheetViews>
    <sheetView topLeftCell="A14" zoomScaleNormal="100" workbookViewId="0">
      <selection activeCell="H53" sqref="H53"/>
    </sheetView>
  </sheetViews>
  <sheetFormatPr defaultRowHeight="12.75"/>
  <cols>
    <col min="1" max="1" width="9.140625" style="1"/>
    <col min="2" max="2" width="37.28515625" style="2" customWidth="1"/>
    <col min="3" max="3" width="13.5703125" style="2" bestFit="1" customWidth="1"/>
    <col min="4" max="4" width="13.140625" style="2" customWidth="1"/>
    <col min="5" max="6" width="13.42578125" style="2" customWidth="1"/>
    <col min="7" max="7" width="9.140625" style="2"/>
    <col min="8" max="8" width="29.7109375" style="2" bestFit="1" customWidth="1"/>
    <col min="9" max="16384" width="9.140625" style="2"/>
  </cols>
  <sheetData>
    <row r="1" spans="1:7">
      <c r="A1" s="50" t="s">
        <v>244</v>
      </c>
      <c r="B1" s="50"/>
      <c r="C1" s="50"/>
      <c r="D1" s="50"/>
      <c r="E1" s="50"/>
      <c r="F1" s="50"/>
    </row>
    <row r="2" spans="1:7">
      <c r="A2" s="50" t="s">
        <v>243</v>
      </c>
      <c r="B2" s="50"/>
      <c r="C2" s="50"/>
      <c r="D2" s="50"/>
      <c r="E2" s="50"/>
      <c r="F2" s="50"/>
    </row>
    <row r="3" spans="1:7">
      <c r="A3" s="50" t="s">
        <v>248</v>
      </c>
      <c r="B3" s="50"/>
      <c r="C3" s="50"/>
      <c r="D3" s="50"/>
      <c r="E3" s="50"/>
      <c r="F3" s="50"/>
    </row>
    <row r="4" spans="1:7">
      <c r="A4" s="55"/>
    </row>
    <row r="5" spans="1:7">
      <c r="C5" s="55"/>
    </row>
    <row r="6" spans="1:7" ht="30" customHeight="1">
      <c r="A6" s="55" t="s">
        <v>0</v>
      </c>
      <c r="B6" s="55" t="s">
        <v>1</v>
      </c>
      <c r="C6" s="130" t="s">
        <v>115</v>
      </c>
      <c r="D6" s="130" t="s">
        <v>263</v>
      </c>
      <c r="E6" s="130" t="s">
        <v>117</v>
      </c>
      <c r="F6" s="130" t="s">
        <v>116</v>
      </c>
    </row>
    <row r="7" spans="1:7" s="50" customFormat="1">
      <c r="A7" s="112" t="s">
        <v>22</v>
      </c>
      <c r="B7" s="113">
        <v>1</v>
      </c>
      <c r="C7" s="113">
        <f>B7+1</f>
        <v>2</v>
      </c>
      <c r="D7" s="113" t="s">
        <v>26</v>
      </c>
      <c r="E7" s="113" t="s">
        <v>51</v>
      </c>
      <c r="F7" s="113" t="s">
        <v>52</v>
      </c>
      <c r="G7" s="2"/>
    </row>
    <row r="8" spans="1:7">
      <c r="A8" s="1">
        <v>1</v>
      </c>
      <c r="B8" s="238" t="s">
        <v>78</v>
      </c>
      <c r="C8" s="82"/>
      <c r="D8" s="82"/>
      <c r="E8" s="82"/>
      <c r="F8" s="82"/>
    </row>
    <row r="9" spans="1:7">
      <c r="A9" s="1">
        <f t="shared" ref="A9:A57" si="0">A8+1</f>
        <v>2</v>
      </c>
      <c r="B9" s="2" t="s">
        <v>163</v>
      </c>
      <c r="C9" s="46">
        <f>C11-C10</f>
        <v>115951618.19</v>
      </c>
      <c r="D9" s="46">
        <f>AdjsList!D25</f>
        <v>-21745861.599999998</v>
      </c>
      <c r="E9" s="46">
        <f>C9+D9</f>
        <v>94205756.590000004</v>
      </c>
      <c r="F9" s="46">
        <f>E9+E56</f>
        <v>100003337.5</v>
      </c>
    </row>
    <row r="10" spans="1:7">
      <c r="A10" s="1">
        <f t="shared" si="0"/>
        <v>3</v>
      </c>
      <c r="B10" s="2" t="s">
        <v>109</v>
      </c>
      <c r="C10" s="46">
        <f>964201.85+606737.36+1812701.13+261674.47</f>
        <v>3645314.81</v>
      </c>
      <c r="D10" s="46"/>
      <c r="E10" s="46">
        <f>C10+D10</f>
        <v>3645314.81</v>
      </c>
      <c r="F10" s="46">
        <f>E10</f>
        <v>3645314.81</v>
      </c>
    </row>
    <row r="11" spans="1:7">
      <c r="A11" s="1">
        <f t="shared" si="0"/>
        <v>4</v>
      </c>
      <c r="B11" s="48" t="s">
        <v>162</v>
      </c>
      <c r="C11" s="85">
        <v>119596933</v>
      </c>
      <c r="D11" s="85">
        <f>SUM(D9:D10)</f>
        <v>-21745861.599999998</v>
      </c>
      <c r="E11" s="85">
        <f>SUM(E9:E10)</f>
        <v>97851071.400000006</v>
      </c>
      <c r="F11" s="85">
        <f>SUM(F9:F10)</f>
        <v>103648652.31</v>
      </c>
    </row>
    <row r="12" spans="1:7">
      <c r="A12" s="1">
        <f t="shared" si="0"/>
        <v>5</v>
      </c>
      <c r="C12" s="46"/>
      <c r="D12" s="46"/>
      <c r="E12" s="46"/>
      <c r="F12" s="46"/>
    </row>
    <row r="13" spans="1:7">
      <c r="A13" s="1">
        <f t="shared" si="0"/>
        <v>6</v>
      </c>
      <c r="B13" s="238" t="s">
        <v>79</v>
      </c>
      <c r="C13" s="46"/>
      <c r="D13" s="46"/>
      <c r="E13" s="46"/>
      <c r="F13" s="46"/>
    </row>
    <row r="14" spans="1:7">
      <c r="A14" s="1">
        <f t="shared" si="0"/>
        <v>7</v>
      </c>
      <c r="B14" s="2" t="s">
        <v>80</v>
      </c>
      <c r="C14" s="46">
        <v>81726509</v>
      </c>
      <c r="D14" s="46">
        <f>AdjsList!E11+AdjsList!E12+AdjsList!E15</f>
        <v>-21128023.18</v>
      </c>
      <c r="E14" s="46">
        <f t="shared" ref="E14:E20" si="1">C14+D14</f>
        <v>60598485.82</v>
      </c>
      <c r="F14" s="46">
        <f t="shared" ref="F14:F20" si="2">E14</f>
        <v>60598485.82</v>
      </c>
    </row>
    <row r="15" spans="1:7">
      <c r="A15" s="1">
        <f t="shared" si="0"/>
        <v>8</v>
      </c>
      <c r="B15" s="2" t="s">
        <v>81</v>
      </c>
      <c r="C15" s="46">
        <v>5320191</v>
      </c>
      <c r="D15" s="46"/>
      <c r="E15" s="46">
        <f t="shared" si="1"/>
        <v>5320191</v>
      </c>
      <c r="F15" s="46">
        <f t="shared" si="2"/>
        <v>5320191</v>
      </c>
    </row>
    <row r="16" spans="1:7">
      <c r="A16" s="1">
        <f t="shared" si="0"/>
        <v>9</v>
      </c>
      <c r="B16" s="2" t="s">
        <v>82</v>
      </c>
      <c r="C16" s="46">
        <v>11654476</v>
      </c>
      <c r="D16" s="46"/>
      <c r="E16" s="46">
        <f t="shared" si="1"/>
        <v>11654476</v>
      </c>
      <c r="F16" s="46">
        <f t="shared" si="2"/>
        <v>11654476</v>
      </c>
    </row>
    <row r="17" spans="1:6">
      <c r="A17" s="1">
        <f t="shared" si="0"/>
        <v>10</v>
      </c>
      <c r="B17" s="2" t="s">
        <v>83</v>
      </c>
      <c r="C17" s="46">
        <v>3382337</v>
      </c>
      <c r="D17" s="46"/>
      <c r="E17" s="46">
        <f t="shared" si="1"/>
        <v>3382337</v>
      </c>
      <c r="F17" s="46">
        <f t="shared" si="2"/>
        <v>3382337</v>
      </c>
    </row>
    <row r="18" spans="1:6">
      <c r="A18" s="1">
        <f t="shared" si="0"/>
        <v>11</v>
      </c>
      <c r="B18" s="2" t="s">
        <v>84</v>
      </c>
      <c r="C18" s="46">
        <v>521076</v>
      </c>
      <c r="D18" s="46"/>
      <c r="E18" s="46">
        <f t="shared" si="1"/>
        <v>521076</v>
      </c>
      <c r="F18" s="46">
        <f t="shared" si="2"/>
        <v>521076</v>
      </c>
    </row>
    <row r="19" spans="1:6">
      <c r="A19" s="1">
        <f t="shared" si="0"/>
        <v>12</v>
      </c>
      <c r="B19" s="2" t="s">
        <v>85</v>
      </c>
      <c r="C19" s="46">
        <v>0</v>
      </c>
      <c r="D19" s="46"/>
      <c r="E19" s="46">
        <f t="shared" si="1"/>
        <v>0</v>
      </c>
      <c r="F19" s="46">
        <f t="shared" si="2"/>
        <v>0</v>
      </c>
    </row>
    <row r="20" spans="1:6">
      <c r="A20" s="1">
        <f t="shared" si="0"/>
        <v>13</v>
      </c>
      <c r="B20" s="2" t="s">
        <v>86</v>
      </c>
      <c r="C20" s="46">
        <v>4572590</v>
      </c>
      <c r="D20" s="46">
        <f>AdjsList!E7+AdjsList!E8+AdjsList!E9+AdjsList!E10+AdjsList!E13+AdjsList!E14+AdjsList!E16</f>
        <v>126754.8449210187</v>
      </c>
      <c r="E20" s="46">
        <f t="shared" si="1"/>
        <v>4699344.8449210189</v>
      </c>
      <c r="F20" s="46">
        <f t="shared" si="2"/>
        <v>4699344.8449210189</v>
      </c>
    </row>
    <row r="21" spans="1:6">
      <c r="A21" s="1">
        <f t="shared" si="0"/>
        <v>14</v>
      </c>
      <c r="B21" s="48" t="s">
        <v>87</v>
      </c>
      <c r="C21" s="85">
        <f>SUM(C14:C20)</f>
        <v>107177179</v>
      </c>
      <c r="D21" s="85">
        <f>SUM(D14:D20)</f>
        <v>-21001268.335078981</v>
      </c>
      <c r="E21" s="85">
        <f>SUM(E14:E20)</f>
        <v>86175910.664921016</v>
      </c>
      <c r="F21" s="85">
        <f>SUM(F14:F20)</f>
        <v>86175910.664921016</v>
      </c>
    </row>
    <row r="22" spans="1:6">
      <c r="A22" s="1">
        <f t="shared" si="0"/>
        <v>15</v>
      </c>
      <c r="C22" s="46"/>
      <c r="D22" s="46"/>
      <c r="E22" s="46"/>
      <c r="F22" s="46"/>
    </row>
    <row r="23" spans="1:6">
      <c r="A23" s="1">
        <f t="shared" si="0"/>
        <v>16</v>
      </c>
      <c r="B23" s="2" t="s">
        <v>88</v>
      </c>
      <c r="C23" s="46">
        <v>11935421</v>
      </c>
      <c r="D23" s="46">
        <f>AdjsList!E17</f>
        <v>747922.66000000061</v>
      </c>
      <c r="E23" s="46">
        <f>C23+D23</f>
        <v>12683343.66</v>
      </c>
      <c r="F23" s="46">
        <f>E23</f>
        <v>12683343.66</v>
      </c>
    </row>
    <row r="24" spans="1:6">
      <c r="A24" s="1">
        <f t="shared" si="0"/>
        <v>17</v>
      </c>
      <c r="B24" s="2" t="s">
        <v>89</v>
      </c>
      <c r="C24" s="46">
        <v>110053</v>
      </c>
      <c r="D24" s="46"/>
      <c r="E24" s="46">
        <f>C24+D24</f>
        <v>110053</v>
      </c>
      <c r="F24" s="46">
        <f>E24</f>
        <v>110053</v>
      </c>
    </row>
    <row r="25" spans="1:6">
      <c r="A25" s="1">
        <f t="shared" si="0"/>
        <v>18</v>
      </c>
      <c r="B25" s="2" t="s">
        <v>75</v>
      </c>
      <c r="C25" s="46">
        <v>3902135</v>
      </c>
      <c r="D25" s="46">
        <f>AdjsList!E18</f>
        <v>239475.32000000018</v>
      </c>
      <c r="E25" s="46">
        <f>C25+D25</f>
        <v>4141610.3200000003</v>
      </c>
      <c r="F25" s="46">
        <f>E25</f>
        <v>4141610.3200000003</v>
      </c>
    </row>
    <row r="26" spans="1:6">
      <c r="A26" s="1">
        <f t="shared" si="0"/>
        <v>19</v>
      </c>
      <c r="B26" s="2" t="s">
        <v>90</v>
      </c>
      <c r="C26" s="46">
        <v>71879</v>
      </c>
      <c r="D26" s="46"/>
      <c r="E26" s="46">
        <f>C26+D26</f>
        <v>71879</v>
      </c>
      <c r="F26" s="46">
        <f>E26</f>
        <v>71879</v>
      </c>
    </row>
    <row r="27" spans="1:6">
      <c r="A27" s="1">
        <f t="shared" si="0"/>
        <v>20</v>
      </c>
      <c r="B27" s="2" t="s">
        <v>91</v>
      </c>
      <c r="C27" s="46">
        <v>141356</v>
      </c>
      <c r="D27" s="46"/>
      <c r="E27" s="46">
        <f>C27+D27</f>
        <v>141356</v>
      </c>
      <c r="F27" s="46">
        <f>E27</f>
        <v>141356</v>
      </c>
    </row>
    <row r="28" spans="1:6">
      <c r="A28" s="1">
        <f t="shared" si="0"/>
        <v>21</v>
      </c>
      <c r="C28" s="46"/>
      <c r="D28" s="46"/>
      <c r="E28" s="46"/>
      <c r="F28" s="46"/>
    </row>
    <row r="29" spans="1:6">
      <c r="A29" s="1">
        <f t="shared" si="0"/>
        <v>22</v>
      </c>
      <c r="B29" s="80" t="s">
        <v>35</v>
      </c>
      <c r="C29" s="124">
        <f>SUM(C21:C27)</f>
        <v>123338023</v>
      </c>
      <c r="D29" s="124">
        <f t="shared" ref="D29:F29" si="3">SUM(D21:D27)</f>
        <v>-20013870.35507898</v>
      </c>
      <c r="E29" s="124">
        <f t="shared" si="3"/>
        <v>103324152.644921</v>
      </c>
      <c r="F29" s="124">
        <f t="shared" si="3"/>
        <v>103324152.644921</v>
      </c>
    </row>
    <row r="30" spans="1:6">
      <c r="A30" s="1">
        <f t="shared" si="0"/>
        <v>23</v>
      </c>
      <c r="C30" s="46"/>
      <c r="D30" s="46"/>
      <c r="E30" s="46"/>
      <c r="F30" s="46"/>
    </row>
    <row r="31" spans="1:6" ht="13.5" thickBot="1">
      <c r="A31" s="1">
        <f t="shared" si="0"/>
        <v>24</v>
      </c>
      <c r="B31" s="3" t="s">
        <v>92</v>
      </c>
      <c r="C31" s="71">
        <f>C11-C29</f>
        <v>-3741090</v>
      </c>
      <c r="D31" s="71">
        <f>D11-D29</f>
        <v>-1731991.2449210174</v>
      </c>
      <c r="E31" s="71">
        <f>E11-E29</f>
        <v>-5473081.2449209988</v>
      </c>
      <c r="F31" s="71">
        <f>F11-F29</f>
        <v>324499.66507899761</v>
      </c>
    </row>
    <row r="32" spans="1:6" ht="13.5" thickTop="1">
      <c r="A32" s="1">
        <f t="shared" si="0"/>
        <v>25</v>
      </c>
      <c r="C32" s="46"/>
      <c r="D32" s="46"/>
      <c r="E32" s="46"/>
      <c r="F32" s="46"/>
    </row>
    <row r="33" spans="1:9">
      <c r="A33" s="1">
        <f t="shared" si="0"/>
        <v>26</v>
      </c>
      <c r="B33" s="2" t="s">
        <v>36</v>
      </c>
      <c r="C33" s="46">
        <v>266192</v>
      </c>
      <c r="D33" s="46"/>
      <c r="E33" s="46">
        <f>C33+D33</f>
        <v>266192</v>
      </c>
      <c r="F33" s="46">
        <f>E33</f>
        <v>266192</v>
      </c>
    </row>
    <row r="34" spans="1:9">
      <c r="A34" s="1">
        <f t="shared" si="0"/>
        <v>27</v>
      </c>
      <c r="B34" s="2" t="s">
        <v>245</v>
      </c>
      <c r="C34" s="46">
        <v>508742</v>
      </c>
      <c r="D34" s="46"/>
      <c r="E34" s="46">
        <f>C34+D34</f>
        <v>508742</v>
      </c>
      <c r="F34" s="46">
        <f>E34</f>
        <v>508742</v>
      </c>
    </row>
    <row r="35" spans="1:9">
      <c r="A35" s="1">
        <f t="shared" si="0"/>
        <v>28</v>
      </c>
      <c r="B35" s="2" t="s">
        <v>37</v>
      </c>
      <c r="C35" s="46">
        <v>207310</v>
      </c>
      <c r="D35" s="46"/>
      <c r="E35" s="46">
        <f>C35+D35</f>
        <v>207310</v>
      </c>
      <c r="F35" s="46">
        <f>E35</f>
        <v>207310</v>
      </c>
    </row>
    <row r="36" spans="1:9">
      <c r="A36" s="1">
        <f t="shared" si="0"/>
        <v>29</v>
      </c>
      <c r="B36" s="2" t="s">
        <v>33</v>
      </c>
      <c r="C36" s="46">
        <v>1736666</v>
      </c>
      <c r="D36" s="46">
        <f>AdjsList!F19</f>
        <v>-1736666</v>
      </c>
      <c r="E36" s="46">
        <f>C36+D36</f>
        <v>0</v>
      </c>
      <c r="F36" s="131">
        <f>E36</f>
        <v>0</v>
      </c>
    </row>
    <row r="37" spans="1:9">
      <c r="A37" s="1">
        <f t="shared" si="0"/>
        <v>30</v>
      </c>
      <c r="B37" s="2" t="s">
        <v>93</v>
      </c>
      <c r="C37" s="46">
        <v>404170</v>
      </c>
      <c r="D37" s="46"/>
      <c r="E37" s="46">
        <f>C37+D37</f>
        <v>404170</v>
      </c>
      <c r="F37" s="46">
        <f>E37</f>
        <v>404170</v>
      </c>
    </row>
    <row r="38" spans="1:9">
      <c r="A38" s="1">
        <f t="shared" si="0"/>
        <v>31</v>
      </c>
      <c r="C38" s="46"/>
      <c r="D38" s="46"/>
      <c r="E38" s="46"/>
      <c r="F38" s="46"/>
    </row>
    <row r="39" spans="1:9" ht="13.5" thickBot="1">
      <c r="A39" s="1">
        <f t="shared" si="0"/>
        <v>32</v>
      </c>
      <c r="B39" s="3" t="s">
        <v>94</v>
      </c>
      <c r="C39" s="71">
        <f>C31+SUM(C33:C37)</f>
        <v>-618010</v>
      </c>
      <c r="D39" s="71">
        <f>D31+SUM(D33:D37)</f>
        <v>-3468657.2449210174</v>
      </c>
      <c r="E39" s="71">
        <f>E31+SUM(E33:E37)</f>
        <v>-4086667.2449209988</v>
      </c>
      <c r="F39" s="71">
        <f>F31+SUM(F33:F37)</f>
        <v>1710913.6650789976</v>
      </c>
    </row>
    <row r="40" spans="1:9" ht="13.5" thickTop="1">
      <c r="A40" s="1">
        <f t="shared" si="0"/>
        <v>33</v>
      </c>
      <c r="C40" s="46"/>
      <c r="D40" s="46"/>
      <c r="E40" s="46"/>
      <c r="F40" s="46"/>
    </row>
    <row r="41" spans="1:9">
      <c r="A41" s="1">
        <f t="shared" si="0"/>
        <v>34</v>
      </c>
      <c r="B41" s="2" t="s">
        <v>164</v>
      </c>
      <c r="C41" s="46">
        <v>70647</v>
      </c>
      <c r="D41" s="46">
        <v>0</v>
      </c>
      <c r="E41" s="46">
        <f>C41+D41</f>
        <v>70647</v>
      </c>
      <c r="F41" s="46">
        <f>D41+E41</f>
        <v>70647</v>
      </c>
    </row>
    <row r="42" spans="1:9">
      <c r="A42" s="1">
        <f t="shared" si="0"/>
        <v>35</v>
      </c>
      <c r="B42" s="2" t="s">
        <v>96</v>
      </c>
      <c r="C42" s="125">
        <f>(C31+C41+C25)/C25</f>
        <v>5.9375700738185634E-2</v>
      </c>
      <c r="D42" s="132"/>
      <c r="E42" s="125">
        <f>(E31+E41+E25)/E25</f>
        <v>-0.30442842940400011</v>
      </c>
      <c r="F42" s="125">
        <f>(F31+F41+F25)/F25</f>
        <v>1.09540894351427</v>
      </c>
    </row>
    <row r="43" spans="1:9">
      <c r="A43" s="1">
        <f t="shared" si="0"/>
        <v>36</v>
      </c>
      <c r="B43" s="2" t="s">
        <v>76</v>
      </c>
      <c r="C43" s="125">
        <f>(C39+C25)/C25</f>
        <v>0.84162259891059643</v>
      </c>
      <c r="D43" s="132"/>
      <c r="E43" s="125">
        <f>(E39+E25)/E25</f>
        <v>1.3266114103897993E-2</v>
      </c>
      <c r="F43" s="125">
        <f>(F39+F25)/F25</f>
        <v>1.4131034870221681</v>
      </c>
    </row>
    <row r="44" spans="1:9">
      <c r="A44" s="1">
        <f t="shared" si="0"/>
        <v>37</v>
      </c>
      <c r="B44" s="2" t="s">
        <v>95</v>
      </c>
      <c r="C44" s="125">
        <f>(C25+C39-C36)/C25</f>
        <v>0.39656726381839685</v>
      </c>
      <c r="D44" s="132"/>
      <c r="E44" s="125">
        <f>(E25+E39-E36)/E25</f>
        <v>1.3266114103897993E-2</v>
      </c>
      <c r="F44" s="125">
        <f>(F25+F39-F36)/F25</f>
        <v>1.4131034870221681</v>
      </c>
    </row>
    <row r="45" spans="1:9">
      <c r="A45" s="1">
        <f t="shared" si="0"/>
        <v>38</v>
      </c>
    </row>
    <row r="46" spans="1:9" hidden="1">
      <c r="A46" s="1">
        <f t="shared" si="0"/>
        <v>39</v>
      </c>
      <c r="B46" s="2" t="s">
        <v>353</v>
      </c>
      <c r="C46" s="125">
        <v>2</v>
      </c>
      <c r="D46" s="125"/>
      <c r="E46" s="125">
        <f>C46</f>
        <v>2</v>
      </c>
      <c r="F46" s="125">
        <f>E46</f>
        <v>2</v>
      </c>
    </row>
    <row r="47" spans="1:9" hidden="1">
      <c r="A47" s="1">
        <f t="shared" si="0"/>
        <v>40</v>
      </c>
      <c r="B47" s="2" t="s">
        <v>354</v>
      </c>
      <c r="C47" s="46">
        <f>C46*C25-C25</f>
        <v>3902135</v>
      </c>
      <c r="D47" s="46"/>
      <c r="E47" s="46">
        <f>E46*E25-E25</f>
        <v>4141610.3200000003</v>
      </c>
      <c r="F47" s="46">
        <f>F46*F25-F25</f>
        <v>4141610.3200000003</v>
      </c>
      <c r="H47" s="239"/>
      <c r="I47" s="240"/>
    </row>
    <row r="48" spans="1:9" hidden="1">
      <c r="A48" s="1">
        <f t="shared" si="0"/>
        <v>41</v>
      </c>
      <c r="B48" s="2" t="s">
        <v>355</v>
      </c>
      <c r="C48" s="46">
        <f>C29+C47</f>
        <v>127240158</v>
      </c>
      <c r="D48" s="46"/>
      <c r="E48" s="46">
        <f>E29+E47</f>
        <v>107465762.964921</v>
      </c>
      <c r="F48" s="46">
        <f>F29+F47</f>
        <v>107465762.964921</v>
      </c>
    </row>
    <row r="49" spans="1:6" hidden="1">
      <c r="A49" s="1">
        <f t="shared" si="0"/>
        <v>42</v>
      </c>
      <c r="B49" s="2" t="s">
        <v>356</v>
      </c>
      <c r="C49" s="46">
        <f>C47-C39</f>
        <v>4520145</v>
      </c>
      <c r="D49" s="46"/>
      <c r="E49" s="230">
        <f>E47-E39</f>
        <v>8228277.5649209991</v>
      </c>
      <c r="F49" s="46">
        <f>F47-F39</f>
        <v>2430696.6549210027</v>
      </c>
    </row>
    <row r="50" spans="1:6" hidden="1">
      <c r="A50" s="1">
        <f t="shared" si="0"/>
        <v>43</v>
      </c>
      <c r="C50" s="231"/>
      <c r="D50" s="46"/>
      <c r="E50" s="232">
        <f>E49/C9</f>
        <v>7.0963024866440627E-2</v>
      </c>
      <c r="F50" s="46"/>
    </row>
    <row r="51" spans="1:6">
      <c r="A51" s="1">
        <f t="shared" si="0"/>
        <v>44</v>
      </c>
      <c r="B51" s="2" t="s">
        <v>357</v>
      </c>
      <c r="C51" s="125">
        <v>1.85</v>
      </c>
      <c r="D51" s="125"/>
      <c r="E51" s="125">
        <f>C51</f>
        <v>1.85</v>
      </c>
      <c r="F51" s="125">
        <f>E51</f>
        <v>1.85</v>
      </c>
    </row>
    <row r="52" spans="1:6">
      <c r="A52" s="1">
        <f t="shared" si="0"/>
        <v>45</v>
      </c>
      <c r="B52" s="2" t="s">
        <v>358</v>
      </c>
      <c r="C52" s="46">
        <f>C51*C25-C25-C41+SUM(C33:C37)</f>
        <v>6369247.75</v>
      </c>
      <c r="D52" s="46"/>
      <c r="E52" s="46">
        <f>E51*E25-E25-E41+SUM(E33:E37)</f>
        <v>4836135.7720000008</v>
      </c>
      <c r="F52" s="46">
        <f>F51*F25-F25-F41+SUM(F33:F37)</f>
        <v>4836135.7720000008</v>
      </c>
    </row>
    <row r="53" spans="1:6">
      <c r="A53" s="1">
        <f t="shared" si="0"/>
        <v>46</v>
      </c>
      <c r="B53" s="2" t="s">
        <v>355</v>
      </c>
      <c r="C53" s="46">
        <f>C29+C52</f>
        <v>129707270.75</v>
      </c>
      <c r="D53" s="46"/>
      <c r="E53" s="46">
        <f>E29+E52</f>
        <v>108160288.416921</v>
      </c>
      <c r="F53" s="46">
        <f>F29+F52</f>
        <v>108160288.416921</v>
      </c>
    </row>
    <row r="54" spans="1:6">
      <c r="A54" s="1">
        <f t="shared" si="0"/>
        <v>47</v>
      </c>
      <c r="B54" s="2" t="s">
        <v>356</v>
      </c>
      <c r="C54" s="46">
        <f>C52-C39</f>
        <v>6987257.75</v>
      </c>
      <c r="D54" s="46"/>
      <c r="E54" s="235">
        <f>E52-E39</f>
        <v>8922803.0169209987</v>
      </c>
      <c r="F54" s="46">
        <f>F52-F39</f>
        <v>3125222.1069210032</v>
      </c>
    </row>
    <row r="55" spans="1:6" ht="15">
      <c r="A55" s="1">
        <f t="shared" si="0"/>
        <v>48</v>
      </c>
      <c r="B55" s="126"/>
      <c r="C55" s="233"/>
      <c r="D55" s="46"/>
      <c r="E55" s="234"/>
      <c r="F55" s="46"/>
    </row>
    <row r="56" spans="1:6" ht="15">
      <c r="A56" s="1">
        <f t="shared" si="0"/>
        <v>49</v>
      </c>
      <c r="B56" s="2" t="s">
        <v>359</v>
      </c>
      <c r="C56" s="126"/>
      <c r="D56" s="126"/>
      <c r="E56" s="230">
        <v>5797580.9100000001</v>
      </c>
      <c r="F56" s="235">
        <f>F39-E39</f>
        <v>5797580.9099999964</v>
      </c>
    </row>
    <row r="57" spans="1:6" ht="15">
      <c r="A57" s="1">
        <f t="shared" si="0"/>
        <v>50</v>
      </c>
      <c r="B57" s="2" t="s">
        <v>359</v>
      </c>
      <c r="C57" s="126"/>
      <c r="D57" s="126"/>
      <c r="E57" s="236">
        <f>F57</f>
        <v>5.0000000004312116E-2</v>
      </c>
      <c r="F57" s="66">
        <f>F56/C9</f>
        <v>5.0000000004312116E-2</v>
      </c>
    </row>
  </sheetData>
  <printOptions horizontalCentered="1"/>
  <pageMargins left="0.7" right="0.7" top="0.75" bottom="0.75" header="0.3" footer="0.3"/>
  <pageSetup scale="90" orientation="portrait" r:id="rId1"/>
  <headerFooter>
    <oddFooter>&amp;R&amp;"Times New Roman,Regular"&amp;12Exhibit JW-2
Page &amp;N of &amp;N</oddFooter>
  </headerFooter>
  <ignoredErrors>
    <ignoredError sqref="D7:F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EACE-3A1C-40BD-96FA-2FF8E53F3BFC}">
  <sheetPr>
    <pageSetUpPr fitToPage="1"/>
  </sheetPr>
  <dimension ref="A1:J36"/>
  <sheetViews>
    <sheetView view="pageBreakPreview" zoomScaleNormal="100" zoomScaleSheetLayoutView="100" workbookViewId="0">
      <selection activeCell="H2" sqref="H2"/>
    </sheetView>
  </sheetViews>
  <sheetFormatPr defaultColWidth="9.140625" defaultRowHeight="12.75"/>
  <cols>
    <col min="1" max="1" width="5.85546875" style="11" customWidth="1"/>
    <col min="2" max="2" width="2.28515625" style="11" customWidth="1"/>
    <col min="3" max="3" width="11.7109375" style="11" customWidth="1"/>
    <col min="4" max="4" width="10.85546875" style="11" customWidth="1"/>
    <col min="5" max="5" width="5.85546875" style="11" customWidth="1"/>
    <col min="6" max="6" width="15.28515625" style="11" customWidth="1"/>
    <col min="7" max="7" width="3.28515625" style="11" customWidth="1"/>
    <col min="8" max="8" width="14.42578125" style="11" customWidth="1"/>
    <col min="9" max="9" width="9.140625" style="11"/>
    <col min="10" max="10" width="9.7109375" style="11" bestFit="1" customWidth="1"/>
    <col min="11" max="16384" width="9.140625" style="11"/>
  </cols>
  <sheetData>
    <row r="1" spans="1:8">
      <c r="G1" s="5"/>
      <c r="H1" s="5" t="s">
        <v>122</v>
      </c>
    </row>
    <row r="2" spans="1:8" ht="20.25" customHeight="1">
      <c r="G2" s="5"/>
      <c r="H2" s="5"/>
    </row>
    <row r="3" spans="1:8">
      <c r="G3" s="5"/>
      <c r="H3" s="5"/>
    </row>
    <row r="4" spans="1:8">
      <c r="A4" s="259" t="s">
        <v>244</v>
      </c>
      <c r="B4" s="259"/>
      <c r="C4" s="259"/>
      <c r="D4" s="259"/>
      <c r="E4" s="259"/>
      <c r="F4" s="259"/>
      <c r="G4" s="259"/>
      <c r="H4" s="259"/>
    </row>
    <row r="5" spans="1:8">
      <c r="A5" s="259" t="s">
        <v>248</v>
      </c>
      <c r="B5" s="259"/>
      <c r="C5" s="259"/>
      <c r="D5" s="259"/>
      <c r="E5" s="259"/>
      <c r="F5" s="259"/>
      <c r="G5" s="259"/>
      <c r="H5" s="259"/>
    </row>
    <row r="7" spans="1:8" s="6" customFormat="1" ht="15" customHeight="1">
      <c r="A7" s="260" t="s">
        <v>127</v>
      </c>
      <c r="B7" s="260"/>
      <c r="C7" s="260"/>
      <c r="D7" s="260"/>
      <c r="E7" s="260"/>
      <c r="F7" s="260"/>
      <c r="G7" s="260"/>
      <c r="H7" s="260"/>
    </row>
    <row r="9" spans="1:8">
      <c r="A9" s="10" t="s">
        <v>0</v>
      </c>
      <c r="C9" s="10" t="s">
        <v>17</v>
      </c>
      <c r="D9" s="10" t="s">
        <v>18</v>
      </c>
      <c r="E9" s="10"/>
      <c r="F9" s="10" t="s">
        <v>24</v>
      </c>
      <c r="G9" s="10"/>
      <c r="H9" s="10" t="s">
        <v>25</v>
      </c>
    </row>
    <row r="10" spans="1:8">
      <c r="A10" s="12" t="s">
        <v>22</v>
      </c>
      <c r="C10" s="13" t="s">
        <v>19</v>
      </c>
      <c r="D10" s="13" t="s">
        <v>21</v>
      </c>
      <c r="E10" s="10"/>
      <c r="F10" s="13" t="s">
        <v>20</v>
      </c>
      <c r="G10" s="13"/>
      <c r="H10" s="13" t="s">
        <v>26</v>
      </c>
    </row>
    <row r="11" spans="1:8">
      <c r="A11" s="10"/>
    </row>
    <row r="12" spans="1:8">
      <c r="A12" s="10"/>
    </row>
    <row r="13" spans="1:8">
      <c r="A13" s="10">
        <v>1</v>
      </c>
      <c r="C13" s="10">
        <v>2023</v>
      </c>
      <c r="D13" s="1" t="s">
        <v>7</v>
      </c>
      <c r="E13" s="14"/>
      <c r="F13" s="60">
        <v>978984.35</v>
      </c>
      <c r="G13" s="60"/>
      <c r="H13" s="60">
        <v>1115728</v>
      </c>
    </row>
    <row r="14" spans="1:8">
      <c r="A14" s="10">
        <v>2</v>
      </c>
      <c r="C14" s="10">
        <v>2023</v>
      </c>
      <c r="D14" s="1" t="s">
        <v>8</v>
      </c>
      <c r="E14" s="14"/>
      <c r="F14" s="60">
        <v>503322.55</v>
      </c>
      <c r="G14" s="60"/>
      <c r="H14" s="60">
        <v>580094</v>
      </c>
    </row>
    <row r="15" spans="1:8">
      <c r="A15" s="10">
        <v>3</v>
      </c>
      <c r="C15" s="10">
        <v>2023</v>
      </c>
      <c r="D15" s="1" t="s">
        <v>9</v>
      </c>
      <c r="E15" s="14"/>
      <c r="F15" s="60">
        <v>741085.47000000009</v>
      </c>
      <c r="G15" s="60"/>
      <c r="H15" s="60">
        <v>754523</v>
      </c>
    </row>
    <row r="16" spans="1:8">
      <c r="A16" s="10">
        <v>4</v>
      </c>
      <c r="C16" s="10">
        <v>2023</v>
      </c>
      <c r="D16" s="1" t="s">
        <v>10</v>
      </c>
      <c r="E16" s="14"/>
      <c r="F16" s="60">
        <v>808898.44000000006</v>
      </c>
      <c r="G16" s="60"/>
      <c r="H16" s="60">
        <v>771309</v>
      </c>
    </row>
    <row r="17" spans="1:10">
      <c r="A17" s="10">
        <v>5</v>
      </c>
      <c r="C17" s="10">
        <v>2023</v>
      </c>
      <c r="D17" s="1" t="s">
        <v>11</v>
      </c>
      <c r="E17" s="14"/>
      <c r="F17" s="60">
        <v>801711.39</v>
      </c>
      <c r="G17" s="60"/>
      <c r="H17" s="60">
        <v>777492</v>
      </c>
    </row>
    <row r="18" spans="1:10">
      <c r="A18" s="10">
        <v>6</v>
      </c>
      <c r="C18" s="10">
        <v>2023</v>
      </c>
      <c r="D18" s="1" t="s">
        <v>12</v>
      </c>
      <c r="E18" s="14"/>
      <c r="F18" s="60">
        <v>951737.51000000013</v>
      </c>
      <c r="G18" s="60"/>
      <c r="H18" s="60">
        <v>873088</v>
      </c>
    </row>
    <row r="19" spans="1:10">
      <c r="A19" s="10">
        <v>7</v>
      </c>
      <c r="C19" s="10">
        <v>2023</v>
      </c>
      <c r="D19" s="1" t="s">
        <v>13</v>
      </c>
      <c r="E19" s="14"/>
      <c r="F19" s="60">
        <v>1203632.9700000002</v>
      </c>
      <c r="G19" s="60"/>
      <c r="H19" s="60">
        <v>1144801</v>
      </c>
    </row>
    <row r="20" spans="1:10">
      <c r="A20" s="10">
        <v>8</v>
      </c>
      <c r="C20" s="10">
        <v>2023</v>
      </c>
      <c r="D20" s="1" t="s">
        <v>14</v>
      </c>
      <c r="E20" s="14"/>
      <c r="F20" s="60">
        <v>1096791.43</v>
      </c>
      <c r="G20" s="60"/>
      <c r="H20" s="60">
        <v>1187689</v>
      </c>
    </row>
    <row r="21" spans="1:10">
      <c r="A21" s="10">
        <v>9</v>
      </c>
      <c r="C21" s="10">
        <v>2023</v>
      </c>
      <c r="D21" s="1" t="s">
        <v>3</v>
      </c>
      <c r="E21" s="14"/>
      <c r="F21" s="60">
        <v>732523.24000000011</v>
      </c>
      <c r="G21" s="60"/>
      <c r="H21" s="60">
        <v>803227</v>
      </c>
    </row>
    <row r="22" spans="1:10">
      <c r="A22" s="10">
        <v>10</v>
      </c>
      <c r="C22" s="10">
        <v>2023</v>
      </c>
      <c r="D22" s="1" t="s">
        <v>4</v>
      </c>
      <c r="E22" s="14"/>
      <c r="F22" s="60">
        <v>737959.74</v>
      </c>
      <c r="G22" s="60"/>
      <c r="H22" s="60">
        <v>738721</v>
      </c>
    </row>
    <row r="23" spans="1:10">
      <c r="A23" s="10">
        <v>11</v>
      </c>
      <c r="C23" s="10">
        <v>2023</v>
      </c>
      <c r="D23" s="1" t="s">
        <v>5</v>
      </c>
      <c r="E23" s="14"/>
      <c r="F23" s="60">
        <v>1036914.5900000001</v>
      </c>
      <c r="G23" s="60"/>
      <c r="H23" s="60">
        <v>1089634</v>
      </c>
    </row>
    <row r="24" spans="1:10">
      <c r="A24" s="10">
        <v>12</v>
      </c>
      <c r="C24" s="10">
        <v>2023</v>
      </c>
      <c r="D24" s="1" t="s">
        <v>6</v>
      </c>
      <c r="E24" s="14"/>
      <c r="F24" s="60">
        <v>1253227.3</v>
      </c>
      <c r="G24" s="60"/>
      <c r="H24" s="60">
        <v>1207351</v>
      </c>
    </row>
    <row r="25" spans="1:10">
      <c r="A25" s="10">
        <v>13</v>
      </c>
      <c r="C25" s="16"/>
      <c r="D25" s="4" t="s">
        <v>15</v>
      </c>
      <c r="E25" s="17"/>
      <c r="F25" s="17">
        <f>SUM(F13:F24)</f>
        <v>10846788.98</v>
      </c>
      <c r="G25" s="17"/>
      <c r="H25" s="17">
        <f>SUM(H13:H24)</f>
        <v>11043657</v>
      </c>
    </row>
    <row r="26" spans="1:10">
      <c r="A26" s="10">
        <v>14</v>
      </c>
      <c r="D26" s="2"/>
      <c r="E26" s="18"/>
      <c r="F26" s="18"/>
      <c r="G26" s="18"/>
    </row>
    <row r="27" spans="1:10">
      <c r="A27" s="10">
        <v>15</v>
      </c>
      <c r="C27" s="2" t="s">
        <v>38</v>
      </c>
      <c r="D27" s="2"/>
      <c r="E27" s="18"/>
      <c r="F27" s="19">
        <f>F25</f>
        <v>10846788.98</v>
      </c>
      <c r="G27" s="19"/>
      <c r="H27" s="19">
        <f>H25</f>
        <v>11043657</v>
      </c>
    </row>
    <row r="28" spans="1:10">
      <c r="A28" s="10">
        <v>16</v>
      </c>
      <c r="C28" s="2"/>
      <c r="D28" s="2"/>
      <c r="E28" s="18"/>
      <c r="F28" s="19"/>
      <c r="G28" s="19"/>
    </row>
    <row r="29" spans="1:10">
      <c r="A29" s="10">
        <v>17</v>
      </c>
      <c r="C29" s="2" t="s">
        <v>39</v>
      </c>
      <c r="E29" s="14"/>
      <c r="F29" s="14">
        <v>0</v>
      </c>
      <c r="G29" s="14"/>
      <c r="H29" s="14">
        <v>0</v>
      </c>
    </row>
    <row r="30" spans="1:10">
      <c r="A30" s="10">
        <v>18</v>
      </c>
      <c r="C30" s="2"/>
    </row>
    <row r="31" spans="1:10" ht="13.5" thickBot="1">
      <c r="A31" s="10">
        <v>19</v>
      </c>
      <c r="C31" s="3" t="s">
        <v>16</v>
      </c>
      <c r="D31" s="20"/>
      <c r="E31" s="21"/>
      <c r="F31" s="22">
        <f>ROUND(F29-F27,2)</f>
        <v>-10846788.98</v>
      </c>
      <c r="G31" s="21"/>
      <c r="H31" s="22">
        <f>ROUND(H29-H27,2)</f>
        <v>-11043657</v>
      </c>
      <c r="J31" s="27"/>
    </row>
    <row r="32" spans="1:10" ht="13.5" thickTop="1"/>
    <row r="34" spans="3:8" ht="29.25" customHeight="1">
      <c r="C34" s="261" t="s">
        <v>41</v>
      </c>
      <c r="D34" s="261"/>
      <c r="E34" s="261"/>
      <c r="F34" s="261"/>
      <c r="G34" s="261"/>
      <c r="H34" s="261"/>
    </row>
    <row r="36" spans="3:8">
      <c r="F36" s="27"/>
      <c r="H36" s="27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10:H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6F2F-E830-4E36-87EA-72D6FDC9BF24}">
  <sheetPr>
    <pageSetUpPr fitToPage="1"/>
  </sheetPr>
  <dimension ref="A1:P59"/>
  <sheetViews>
    <sheetView view="pageBreakPreview" zoomScaleNormal="100" zoomScaleSheetLayoutView="100" workbookViewId="0">
      <selection activeCell="I40" sqref="I40"/>
    </sheetView>
  </sheetViews>
  <sheetFormatPr defaultColWidth="8.85546875" defaultRowHeight="12.75"/>
  <cols>
    <col min="1" max="1" width="12.140625" style="11" customWidth="1"/>
    <col min="2" max="4" width="13.85546875" style="11" customWidth="1"/>
    <col min="5" max="5" width="15.28515625" style="11" bestFit="1" customWidth="1"/>
    <col min="6" max="6" width="3" style="11" customWidth="1"/>
    <col min="7" max="8" width="13.85546875" style="11" customWidth="1"/>
    <col min="9" max="9" width="15.28515625" style="11" bestFit="1" customWidth="1"/>
    <col min="10" max="10" width="16.140625" style="11" customWidth="1"/>
    <col min="11" max="12" width="18.140625" style="11" customWidth="1"/>
    <col min="13" max="13" width="10.5703125" style="11" bestFit="1" customWidth="1"/>
    <col min="14" max="16384" width="8.85546875" style="11"/>
  </cols>
  <sheetData>
    <row r="1" spans="1:16">
      <c r="H1" s="5"/>
      <c r="J1" s="5" t="s">
        <v>123</v>
      </c>
    </row>
    <row r="2" spans="1:16" ht="20.25" customHeight="1">
      <c r="H2" s="5"/>
      <c r="I2" s="5"/>
    </row>
    <row r="3" spans="1:16">
      <c r="H3" s="5"/>
      <c r="I3" s="5"/>
    </row>
    <row r="4" spans="1:16" ht="15" customHeight="1">
      <c r="A4" s="259" t="s">
        <v>244</v>
      </c>
      <c r="B4" s="259"/>
      <c r="C4" s="259"/>
      <c r="D4" s="259"/>
      <c r="E4" s="259"/>
      <c r="F4" s="259"/>
      <c r="G4" s="259"/>
      <c r="H4" s="259"/>
      <c r="I4" s="259"/>
      <c r="J4" s="259"/>
      <c r="K4" s="7"/>
      <c r="L4" s="7"/>
      <c r="M4" s="7"/>
      <c r="N4" s="7"/>
      <c r="O4" s="7"/>
      <c r="P4" s="7"/>
    </row>
    <row r="5" spans="1:16" ht="15" customHeight="1">
      <c r="A5" s="259" t="s">
        <v>248</v>
      </c>
      <c r="B5" s="259"/>
      <c r="C5" s="259"/>
      <c r="D5" s="259"/>
      <c r="E5" s="259"/>
      <c r="F5" s="259"/>
      <c r="G5" s="259"/>
      <c r="H5" s="259"/>
      <c r="I5" s="259"/>
      <c r="J5" s="259"/>
    </row>
    <row r="7" spans="1:16" s="6" customFormat="1" ht="15" customHeight="1">
      <c r="A7" s="260" t="s">
        <v>118</v>
      </c>
      <c r="B7" s="260"/>
      <c r="C7" s="260"/>
      <c r="D7" s="260"/>
      <c r="E7" s="260"/>
      <c r="F7" s="260"/>
      <c r="G7" s="260"/>
      <c r="H7" s="260"/>
      <c r="I7" s="260"/>
      <c r="J7" s="260"/>
    </row>
    <row r="8" spans="1:16">
      <c r="A8" s="84"/>
      <c r="B8" s="84"/>
      <c r="C8" s="192"/>
      <c r="D8" s="192"/>
      <c r="E8" s="192"/>
      <c r="F8" s="192"/>
      <c r="G8" s="192"/>
      <c r="H8" s="192"/>
      <c r="I8" s="192"/>
      <c r="J8" s="192"/>
      <c r="K8" s="192"/>
      <c r="L8" s="192"/>
    </row>
    <row r="9" spans="1:16">
      <c r="A9" s="10" t="s">
        <v>326</v>
      </c>
      <c r="B9" s="264" t="s">
        <v>327</v>
      </c>
      <c r="C9" s="265"/>
      <c r="D9" s="265"/>
      <c r="E9" s="265"/>
      <c r="F9" s="208"/>
      <c r="G9" s="264" t="s">
        <v>328</v>
      </c>
      <c r="H9" s="265"/>
      <c r="I9" s="266"/>
      <c r="J9" s="78" t="s">
        <v>16</v>
      </c>
      <c r="K9" s="194"/>
      <c r="L9" s="194"/>
    </row>
    <row r="10" spans="1:16">
      <c r="A10" s="12" t="s">
        <v>329</v>
      </c>
      <c r="B10" s="12" t="s">
        <v>330</v>
      </c>
      <c r="C10" s="209" t="s">
        <v>331</v>
      </c>
      <c r="D10" s="210" t="s">
        <v>332</v>
      </c>
      <c r="E10" s="211" t="s">
        <v>333</v>
      </c>
      <c r="F10" s="210" t="s">
        <v>334</v>
      </c>
      <c r="G10" s="210" t="s">
        <v>335</v>
      </c>
      <c r="H10" s="210" t="s">
        <v>336</v>
      </c>
      <c r="I10" s="210" t="s">
        <v>337</v>
      </c>
      <c r="J10" s="210" t="s">
        <v>338</v>
      </c>
      <c r="K10" s="197"/>
      <c r="L10" s="197"/>
      <c r="M10" s="197"/>
    </row>
    <row r="11" spans="1:16">
      <c r="C11" s="212"/>
      <c r="D11" s="213"/>
      <c r="E11" s="207"/>
      <c r="F11" s="213"/>
      <c r="G11" s="213"/>
      <c r="H11" s="213"/>
      <c r="I11" s="213"/>
      <c r="J11" s="213"/>
      <c r="K11" s="197"/>
      <c r="L11" s="197"/>
    </row>
    <row r="12" spans="1:16">
      <c r="A12" s="10">
        <v>1</v>
      </c>
      <c r="C12" s="214" t="s">
        <v>339</v>
      </c>
      <c r="D12" s="215" t="s">
        <v>340</v>
      </c>
      <c r="E12" s="216" t="s">
        <v>341</v>
      </c>
      <c r="F12" s="213"/>
      <c r="G12" s="215" t="s">
        <v>339</v>
      </c>
      <c r="H12" s="215" t="s">
        <v>340</v>
      </c>
      <c r="I12" s="215" t="s">
        <v>341</v>
      </c>
      <c r="J12" s="213"/>
      <c r="K12" s="197"/>
      <c r="L12" s="197"/>
    </row>
    <row r="13" spans="1:16">
      <c r="A13" s="10">
        <v>2</v>
      </c>
      <c r="B13" s="11" t="s">
        <v>342</v>
      </c>
      <c r="C13" s="217">
        <v>218242.22</v>
      </c>
      <c r="D13" s="212">
        <f>+E13/C13</f>
        <v>38.459894377907261</v>
      </c>
      <c r="E13" s="196">
        <v>8393572.7300000004</v>
      </c>
      <c r="F13" s="218"/>
      <c r="G13" s="218">
        <f>(116*2080)+(3*750)</f>
        <v>243530</v>
      </c>
      <c r="H13" s="196">
        <f>4948077.6/125373.49</f>
        <v>39.466697465309451</v>
      </c>
      <c r="I13" s="196">
        <f>+G13*H13</f>
        <v>9611324.8337268103</v>
      </c>
      <c r="J13" s="212">
        <f>+I13-E13</f>
        <v>1217752.1037268098</v>
      </c>
      <c r="K13" s="219"/>
      <c r="L13" s="197"/>
    </row>
    <row r="14" spans="1:16">
      <c r="A14" s="10">
        <v>3</v>
      </c>
      <c r="C14" s="217"/>
      <c r="D14" s="212"/>
      <c r="E14" s="196"/>
      <c r="F14" s="218"/>
      <c r="G14" s="218"/>
      <c r="H14" s="196"/>
      <c r="I14" s="218"/>
      <c r="J14" s="212"/>
      <c r="K14" s="219"/>
      <c r="L14" s="197"/>
    </row>
    <row r="15" spans="1:16">
      <c r="A15" s="10">
        <v>4</v>
      </c>
      <c r="C15" s="217"/>
      <c r="D15" s="212"/>
      <c r="E15" s="196"/>
      <c r="F15" s="218"/>
      <c r="G15" s="218"/>
      <c r="H15" s="196"/>
      <c r="I15" s="218"/>
      <c r="J15" s="212"/>
      <c r="K15" s="219"/>
      <c r="L15" s="197"/>
    </row>
    <row r="16" spans="1:16">
      <c r="A16" s="10">
        <v>5</v>
      </c>
      <c r="B16" s="11" t="s">
        <v>343</v>
      </c>
      <c r="C16" s="217">
        <v>27388.1</v>
      </c>
      <c r="D16" s="212">
        <f t="shared" ref="D16" si="0">+E16/C16</f>
        <v>58.66208608848369</v>
      </c>
      <c r="E16" s="196">
        <v>1606643.08</v>
      </c>
      <c r="F16" s="218"/>
      <c r="G16" s="218">
        <v>27388.1</v>
      </c>
      <c r="H16" s="196">
        <f>787459.31/12944.4</f>
        <v>60.833975309786474</v>
      </c>
      <c r="I16" s="196">
        <f>+G16*H16</f>
        <v>1666126.9991819628</v>
      </c>
      <c r="J16" s="212">
        <f>+I16-E16</f>
        <v>59483.91918196273</v>
      </c>
      <c r="K16" s="219"/>
      <c r="L16" s="197"/>
    </row>
    <row r="17" spans="1:13">
      <c r="A17" s="10">
        <v>6</v>
      </c>
      <c r="C17" s="217"/>
      <c r="D17" s="212"/>
      <c r="E17" s="196"/>
      <c r="F17" s="218"/>
      <c r="G17" s="218"/>
      <c r="H17" s="196"/>
      <c r="I17" s="196"/>
      <c r="J17" s="212"/>
      <c r="K17" s="219"/>
      <c r="L17" s="197"/>
      <c r="M17" s="197"/>
    </row>
    <row r="18" spans="1:13">
      <c r="A18" s="10">
        <v>7</v>
      </c>
      <c r="C18" s="217"/>
      <c r="D18" s="212"/>
      <c r="E18" s="196"/>
      <c r="F18" s="218"/>
      <c r="G18" s="218"/>
      <c r="H18" s="196"/>
      <c r="I18" s="196"/>
      <c r="J18" s="212"/>
      <c r="K18" s="219"/>
      <c r="L18" s="197"/>
    </row>
    <row r="19" spans="1:13">
      <c r="A19" s="10">
        <v>8</v>
      </c>
      <c r="B19" s="11" t="s">
        <v>344</v>
      </c>
      <c r="C19" s="217">
        <v>17564.669999999998</v>
      </c>
      <c r="D19" s="212">
        <f>+E19/C19</f>
        <v>41.23759626568561</v>
      </c>
      <c r="E19" s="196">
        <v>724324.77</v>
      </c>
      <c r="F19" s="218"/>
      <c r="G19" s="218">
        <v>17564.669999999998</v>
      </c>
      <c r="H19" s="196">
        <f>448613.42/10903.59</f>
        <v>41.143643515576059</v>
      </c>
      <c r="I19" s="196">
        <f t="shared" ref="I19" si="1">+G19*H19</f>
        <v>722674.52094873332</v>
      </c>
      <c r="J19" s="212">
        <f>+I19-E19</f>
        <v>-1650.2490512666991</v>
      </c>
      <c r="K19" s="219"/>
      <c r="L19" s="197"/>
    </row>
    <row r="20" spans="1:13">
      <c r="A20" s="10">
        <v>9</v>
      </c>
      <c r="B20" s="220"/>
      <c r="C20" s="217"/>
      <c r="D20" s="221"/>
      <c r="E20" s="196"/>
      <c r="F20" s="218"/>
      <c r="G20" s="218"/>
      <c r="H20" s="218"/>
      <c r="I20" s="218"/>
      <c r="J20" s="196"/>
      <c r="K20" s="218"/>
      <c r="L20" s="207"/>
    </row>
    <row r="21" spans="1:13">
      <c r="A21" s="10">
        <v>10</v>
      </c>
      <c r="B21" s="220" t="s">
        <v>47</v>
      </c>
      <c r="C21" s="217">
        <f>SUM(C13:C20)</f>
        <v>263194.99</v>
      </c>
      <c r="D21" s="221"/>
      <c r="E21" s="196">
        <f>SUM(E13:E20)</f>
        <v>10724540.58</v>
      </c>
      <c r="F21" s="218"/>
      <c r="G21" s="218">
        <f>SUM(G13:G20)</f>
        <v>288482.76999999996</v>
      </c>
      <c r="H21" s="218"/>
      <c r="I21" s="196">
        <f>SUM(I13:I20)</f>
        <v>12000126.353857508</v>
      </c>
      <c r="J21" s="196">
        <f>+I21-E21</f>
        <v>1275585.7738575079</v>
      </c>
      <c r="K21" s="28"/>
    </row>
    <row r="22" spans="1:13">
      <c r="A22" s="10">
        <v>11</v>
      </c>
      <c r="C22" s="217"/>
      <c r="D22" s="221"/>
      <c r="E22" s="218"/>
      <c r="F22" s="218"/>
      <c r="G22" s="218"/>
      <c r="H22" s="218"/>
      <c r="I22" s="218"/>
      <c r="J22" s="218"/>
      <c r="K22" s="28"/>
    </row>
    <row r="23" spans="1:13">
      <c r="A23" s="10">
        <v>12</v>
      </c>
      <c r="B23" s="36"/>
      <c r="C23" s="217"/>
      <c r="D23" s="221"/>
      <c r="E23" s="218"/>
      <c r="F23" s="218"/>
      <c r="G23" s="218"/>
      <c r="H23" s="218"/>
      <c r="I23" s="218"/>
      <c r="J23" s="218"/>
      <c r="K23" s="28"/>
    </row>
    <row r="24" spans="1:13">
      <c r="A24" s="10">
        <v>13</v>
      </c>
      <c r="B24" s="11" t="s">
        <v>345</v>
      </c>
      <c r="C24" s="217"/>
      <c r="D24" s="222">
        <v>6972749</v>
      </c>
      <c r="E24" s="223">
        <f>+D24/D27</f>
        <v>0.63702687312330453</v>
      </c>
      <c r="F24" s="218"/>
      <c r="G24" s="218"/>
      <c r="H24" s="218"/>
      <c r="I24" s="218"/>
      <c r="J24" s="224">
        <f>+J21*E24</f>
        <v>812582.41692101886</v>
      </c>
      <c r="K24" s="28"/>
    </row>
    <row r="25" spans="1:13">
      <c r="A25" s="10">
        <v>14</v>
      </c>
      <c r="B25" s="11" t="s">
        <v>346</v>
      </c>
      <c r="C25" s="218"/>
      <c r="D25" s="225">
        <v>2575523</v>
      </c>
      <c r="E25" s="223">
        <f>+D25/D27</f>
        <v>0.23529849752904525</v>
      </c>
      <c r="F25" s="218"/>
      <c r="G25" s="218"/>
      <c r="H25" s="218"/>
      <c r="I25" s="218"/>
      <c r="J25" s="218">
        <f>+J21*E25</f>
        <v>300143.4160580961</v>
      </c>
      <c r="K25" s="28"/>
    </row>
    <row r="26" spans="1:13">
      <c r="A26" s="10">
        <v>15</v>
      </c>
      <c r="B26" s="11" t="s">
        <v>347</v>
      </c>
      <c r="C26" s="225"/>
      <c r="D26" s="226">
        <v>1397497</v>
      </c>
      <c r="E26" s="223">
        <f>+D26/D27</f>
        <v>0.12767462934765023</v>
      </c>
      <c r="F26" s="225"/>
      <c r="G26" s="225"/>
      <c r="H26" s="218"/>
      <c r="J26" s="227">
        <f>+J21*E26</f>
        <v>162859.9408783929</v>
      </c>
    </row>
    <row r="27" spans="1:13">
      <c r="A27" s="10">
        <v>16</v>
      </c>
      <c r="B27" s="11" t="s">
        <v>350</v>
      </c>
      <c r="C27" s="225"/>
      <c r="D27" s="225">
        <f>SUM(D24:D26)</f>
        <v>10945769</v>
      </c>
      <c r="E27" s="225"/>
      <c r="F27" s="225"/>
      <c r="G27" s="225"/>
      <c r="H27" s="225"/>
      <c r="I27" s="225"/>
      <c r="J27" s="196">
        <f>SUM(J24:J26)</f>
        <v>1275585.7738575079</v>
      </c>
    </row>
    <row r="28" spans="1:13">
      <c r="A28" s="10">
        <v>17</v>
      </c>
      <c r="C28" s="225"/>
      <c r="D28" s="225"/>
      <c r="E28" s="225"/>
      <c r="F28" s="225"/>
      <c r="G28" s="225"/>
      <c r="H28" s="225"/>
    </row>
    <row r="29" spans="1:13">
      <c r="A29" s="10">
        <v>18</v>
      </c>
      <c r="C29" s="225"/>
      <c r="D29" s="225"/>
      <c r="E29" s="225"/>
      <c r="F29" s="225"/>
      <c r="G29" s="225"/>
      <c r="H29" s="225"/>
      <c r="I29" s="225"/>
      <c r="J29" s="225"/>
    </row>
    <row r="30" spans="1:13">
      <c r="A30" s="10">
        <v>19</v>
      </c>
      <c r="B30" s="36" t="s">
        <v>348</v>
      </c>
      <c r="C30" s="225"/>
      <c r="D30" s="225"/>
      <c r="E30" s="225"/>
      <c r="F30" s="225"/>
      <c r="G30" s="225"/>
      <c r="H30" s="225"/>
      <c r="I30" s="225"/>
      <c r="J30" s="225"/>
    </row>
    <row r="31" spans="1:13">
      <c r="A31" s="10">
        <v>20</v>
      </c>
      <c r="B31" s="10">
        <v>580</v>
      </c>
      <c r="C31" s="223">
        <v>0.22</v>
      </c>
      <c r="D31" s="196">
        <f>ROUND(+J$24*C31,2)</f>
        <v>178768.13</v>
      </c>
      <c r="F31" s="225"/>
      <c r="G31" s="225"/>
      <c r="H31" s="225"/>
      <c r="I31" s="225"/>
      <c r="J31" s="225"/>
    </row>
    <row r="32" spans="1:13">
      <c r="A32" s="10">
        <v>21</v>
      </c>
      <c r="B32" s="10">
        <v>590</v>
      </c>
      <c r="C32" s="223">
        <v>0.34</v>
      </c>
      <c r="D32" s="196">
        <f>ROUND(+J$24*C32,2)</f>
        <v>276278.02</v>
      </c>
    </row>
    <row r="33" spans="1:10">
      <c r="A33" s="10">
        <v>22</v>
      </c>
      <c r="B33" s="10">
        <v>900</v>
      </c>
      <c r="C33" s="223">
        <v>0.22</v>
      </c>
      <c r="D33" s="196">
        <f t="shared" ref="D33:D34" si="2">ROUND(+J$24*C33,2)</f>
        <v>178768.13</v>
      </c>
    </row>
    <row r="34" spans="1:10">
      <c r="A34" s="10">
        <v>23</v>
      </c>
      <c r="B34" s="10">
        <v>910</v>
      </c>
      <c r="C34" s="223">
        <v>0.01</v>
      </c>
      <c r="D34" s="196">
        <f t="shared" si="2"/>
        <v>8125.82</v>
      </c>
      <c r="F34" s="19"/>
      <c r="G34" s="19"/>
      <c r="H34" s="19"/>
      <c r="I34" s="19"/>
      <c r="J34" s="19"/>
    </row>
    <row r="35" spans="1:10">
      <c r="A35" s="10">
        <v>24</v>
      </c>
      <c r="B35" s="10">
        <v>920</v>
      </c>
      <c r="C35" s="223">
        <v>0.2</v>
      </c>
      <c r="D35" s="196">
        <f>ROUND(+J$24*C35,2)</f>
        <v>162516.48000000001</v>
      </c>
      <c r="F35" s="228"/>
      <c r="G35" s="228"/>
      <c r="H35" s="228"/>
      <c r="I35" s="228"/>
      <c r="J35" s="228"/>
    </row>
    <row r="36" spans="1:10">
      <c r="A36" s="10">
        <v>25</v>
      </c>
      <c r="B36" s="10">
        <v>930</v>
      </c>
      <c r="C36" s="223">
        <v>0.01</v>
      </c>
      <c r="D36" s="196">
        <f>ROUND(+J$24*C36,2)+0.02</f>
        <v>8125.84</v>
      </c>
      <c r="F36" s="228"/>
      <c r="G36" s="228"/>
      <c r="H36" s="228"/>
      <c r="I36" s="228"/>
      <c r="J36" s="228"/>
    </row>
    <row r="37" spans="1:10">
      <c r="A37" s="10">
        <v>26</v>
      </c>
      <c r="B37" s="11" t="s">
        <v>47</v>
      </c>
      <c r="C37" s="225"/>
      <c r="D37" s="224">
        <f>SUM(D31:D36)</f>
        <v>812582.41999999993</v>
      </c>
      <c r="F37" s="19"/>
      <c r="G37" s="19"/>
      <c r="H37" s="19"/>
      <c r="I37" s="19"/>
      <c r="J37" s="19"/>
    </row>
    <row r="38" spans="1:10">
      <c r="A38" s="10"/>
    </row>
    <row r="39" spans="1:10">
      <c r="A39" s="11" t="s">
        <v>351</v>
      </c>
      <c r="C39" s="225"/>
      <c r="F39" s="228"/>
      <c r="G39" s="228"/>
      <c r="H39" s="228"/>
      <c r="I39" s="228"/>
      <c r="J39" s="228"/>
    </row>
    <row r="40" spans="1:10">
      <c r="A40" s="10"/>
      <c r="C40" s="225"/>
      <c r="F40" s="19"/>
      <c r="G40" s="19"/>
      <c r="H40" s="19"/>
      <c r="I40" s="19"/>
      <c r="J40" s="19"/>
    </row>
    <row r="41" spans="1:10">
      <c r="A41" s="11" t="s">
        <v>349</v>
      </c>
      <c r="C41" s="225"/>
    </row>
    <row r="42" spans="1:10">
      <c r="A42" s="10"/>
    </row>
    <row r="43" spans="1:10">
      <c r="A43" s="10"/>
      <c r="F43" s="84"/>
      <c r="G43" s="84"/>
      <c r="J43" s="84"/>
    </row>
    <row r="44" spans="1:10">
      <c r="A44" s="10"/>
      <c r="F44" s="19"/>
      <c r="G44" s="19"/>
      <c r="H44" s="19"/>
      <c r="I44" s="19"/>
      <c r="J44" s="19"/>
    </row>
    <row r="45" spans="1:10">
      <c r="A45" s="10"/>
      <c r="F45" s="19"/>
      <c r="G45" s="19"/>
      <c r="H45" s="19"/>
      <c r="I45" s="19"/>
      <c r="J45" s="19"/>
    </row>
    <row r="46" spans="1:10">
      <c r="A46" s="10"/>
      <c r="F46" s="19"/>
      <c r="G46" s="19"/>
      <c r="H46" s="19"/>
      <c r="I46" s="19"/>
      <c r="J46" s="19"/>
    </row>
    <row r="47" spans="1:10">
      <c r="A47" s="10"/>
      <c r="F47" s="19"/>
      <c r="G47" s="19"/>
      <c r="H47" s="19"/>
      <c r="I47" s="19"/>
      <c r="J47" s="19"/>
    </row>
    <row r="48" spans="1:10">
      <c r="A48" s="123"/>
      <c r="F48" s="19"/>
      <c r="G48" s="19"/>
      <c r="H48" s="19"/>
      <c r="I48" s="19"/>
      <c r="J48" s="19"/>
    </row>
    <row r="49" spans="1:7">
      <c r="A49" s="10"/>
    </row>
    <row r="50" spans="1:7">
      <c r="A50" s="10"/>
    </row>
    <row r="51" spans="1:7">
      <c r="A51" s="123"/>
      <c r="C51" s="36"/>
      <c r="G51" s="84"/>
    </row>
    <row r="52" spans="1:7">
      <c r="A52" s="10"/>
      <c r="G52" s="19"/>
    </row>
    <row r="53" spans="1:7">
      <c r="A53" s="10"/>
      <c r="G53" s="19"/>
    </row>
    <row r="54" spans="1:7">
      <c r="A54" s="123"/>
      <c r="G54" s="19"/>
    </row>
    <row r="55" spans="1:7">
      <c r="A55" s="10"/>
      <c r="G55" s="19"/>
    </row>
    <row r="56" spans="1:7">
      <c r="A56" s="10"/>
      <c r="G56" s="19"/>
    </row>
    <row r="57" spans="1:7">
      <c r="A57" s="123"/>
      <c r="G57" s="225"/>
    </row>
    <row r="58" spans="1:7">
      <c r="A58" s="10"/>
    </row>
    <row r="59" spans="1:7">
      <c r="A59" s="10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93" orientation="landscape" r:id="rId1"/>
  <headerFooter>
    <oddFooter>&amp;RExhibit JW-2
Page &amp;P of &amp;N</oddFooter>
  </headerFooter>
  <ignoredErrors>
    <ignoredError sqref="D13 C21 D16:D19 J16:J19 J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8AC8F-53EF-4B77-8C2F-B32C923DD267}">
  <sheetPr>
    <pageSetUpPr fitToPage="1"/>
  </sheetPr>
  <dimension ref="A1:X39"/>
  <sheetViews>
    <sheetView view="pageBreakPreview" zoomScale="80" zoomScaleNormal="100" zoomScaleSheetLayoutView="80" workbookViewId="0">
      <selection activeCell="I40" sqref="I40"/>
    </sheetView>
  </sheetViews>
  <sheetFormatPr defaultColWidth="9.140625" defaultRowHeight="14.25"/>
  <cols>
    <col min="1" max="1" width="5.28515625" style="135" customWidth="1"/>
    <col min="2" max="2" width="36.28515625" style="135" bestFit="1" customWidth="1"/>
    <col min="3" max="3" width="12.28515625" style="135" bestFit="1" customWidth="1"/>
    <col min="4" max="4" width="10.5703125" style="135" bestFit="1" customWidth="1"/>
    <col min="5" max="5" width="11.28515625" style="135" bestFit="1" customWidth="1"/>
    <col min="6" max="7" width="7.42578125" style="135" bestFit="1" customWidth="1"/>
    <col min="8" max="8" width="17.28515625" style="135" bestFit="1" customWidth="1"/>
    <col min="9" max="9" width="12.28515625" style="135" customWidth="1"/>
    <col min="10" max="10" width="13.42578125" style="135" bestFit="1" customWidth="1"/>
    <col min="11" max="11" width="9.5703125" style="135" bestFit="1" customWidth="1"/>
    <col min="12" max="12" width="10.140625" style="135" bestFit="1" customWidth="1"/>
    <col min="13" max="13" width="9.5703125" style="135" bestFit="1" customWidth="1"/>
    <col min="14" max="16" width="11.28515625" style="135" bestFit="1" customWidth="1"/>
    <col min="17" max="17" width="13.42578125" style="135" customWidth="1"/>
    <col min="18" max="18" width="10.28515625" style="135" bestFit="1" customWidth="1"/>
    <col min="19" max="19" width="13.85546875" style="135" bestFit="1" customWidth="1"/>
    <col min="20" max="20" width="8.28515625" style="135" bestFit="1" customWidth="1"/>
    <col min="21" max="21" width="13.140625" style="135" bestFit="1" customWidth="1"/>
    <col min="22" max="16384" width="9.140625" style="135"/>
  </cols>
  <sheetData>
    <row r="1" spans="1:23" s="11" customFormat="1" ht="12.75">
      <c r="Q1" s="5" t="s">
        <v>29</v>
      </c>
    </row>
    <row r="2" spans="1:23" s="11" customFormat="1" ht="12.75">
      <c r="T2" s="5"/>
    </row>
    <row r="3" spans="1:23" s="11" customFormat="1" ht="12.75">
      <c r="T3" s="5"/>
    </row>
    <row r="4" spans="1:23" s="11" customFormat="1" ht="12.75">
      <c r="A4" s="259" t="s">
        <v>244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7"/>
      <c r="T4" s="7"/>
    </row>
    <row r="5" spans="1:23" s="11" customFormat="1" ht="12.75">
      <c r="A5" s="259" t="s">
        <v>248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7"/>
      <c r="T5" s="7"/>
      <c r="U5" s="7"/>
    </row>
    <row r="6" spans="1:23" s="11" customFormat="1" ht="12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3" s="11" customFormat="1" ht="12.75">
      <c r="A7" s="260" t="s">
        <v>284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8"/>
      <c r="T7" s="8"/>
    </row>
    <row r="8" spans="1:23" s="11" customFormat="1" ht="12.75"/>
    <row r="9" spans="1:23" ht="15">
      <c r="A9" s="87" t="s">
        <v>22</v>
      </c>
      <c r="B9" s="12" t="s">
        <v>42</v>
      </c>
      <c r="C9" s="12" t="s">
        <v>291</v>
      </c>
      <c r="D9" s="12" t="s">
        <v>292</v>
      </c>
      <c r="E9" s="12" t="s">
        <v>293</v>
      </c>
      <c r="F9" s="12" t="s">
        <v>294</v>
      </c>
      <c r="G9" s="12" t="s">
        <v>295</v>
      </c>
      <c r="H9" s="12" t="s">
        <v>296</v>
      </c>
      <c r="I9" s="12" t="s">
        <v>297</v>
      </c>
      <c r="J9" s="12" t="s">
        <v>298</v>
      </c>
      <c r="K9" s="12" t="s">
        <v>299</v>
      </c>
      <c r="L9" s="12" t="s">
        <v>300</v>
      </c>
      <c r="M9" s="12" t="s">
        <v>301</v>
      </c>
      <c r="N9" s="12" t="s">
        <v>302</v>
      </c>
      <c r="O9" s="12" t="s">
        <v>300</v>
      </c>
      <c r="P9" s="12" t="s">
        <v>303</v>
      </c>
      <c r="Q9" s="12" t="s">
        <v>47</v>
      </c>
      <c r="R9" s="84"/>
      <c r="S9" s="134"/>
      <c r="T9" s="134"/>
    </row>
    <row r="10" spans="1:23">
      <c r="A10" s="15">
        <v>1</v>
      </c>
      <c r="B10" s="10" t="s">
        <v>324</v>
      </c>
      <c r="C10" s="28"/>
      <c r="D10" s="28">
        <v>200</v>
      </c>
      <c r="E10" s="28">
        <v>800</v>
      </c>
      <c r="F10" s="28"/>
      <c r="G10" s="28"/>
      <c r="H10" s="28"/>
      <c r="I10" s="28"/>
      <c r="J10" s="28">
        <v>400</v>
      </c>
      <c r="K10" s="28"/>
      <c r="L10" s="28"/>
      <c r="M10" s="28"/>
      <c r="N10" s="28"/>
      <c r="O10" s="28"/>
      <c r="P10" s="28"/>
      <c r="Q10" s="28">
        <f>SUM(C10:P10)</f>
        <v>1400</v>
      </c>
      <c r="R10" s="183"/>
      <c r="S10" s="184"/>
      <c r="T10" s="184"/>
      <c r="V10" s="170"/>
      <c r="W10" s="170"/>
    </row>
    <row r="11" spans="1:23">
      <c r="A11" s="15">
        <f>+A10+1</f>
        <v>2</v>
      </c>
      <c r="B11" s="10" t="s">
        <v>322</v>
      </c>
      <c r="C11" s="28"/>
      <c r="D11" s="28"/>
      <c r="E11" s="28">
        <v>600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>
        <f t="shared" ref="Q11:Q16" si="0">SUM(C11:P11)</f>
        <v>600</v>
      </c>
      <c r="R11" s="183"/>
      <c r="S11" s="184"/>
      <c r="T11" s="184"/>
      <c r="V11" s="170"/>
      <c r="W11" s="170"/>
    </row>
    <row r="12" spans="1:23">
      <c r="A12" s="15">
        <f t="shared" ref="A12:A29" si="1">+A11+1</f>
        <v>3</v>
      </c>
      <c r="B12" s="10" t="s">
        <v>285</v>
      </c>
      <c r="C12" s="28"/>
      <c r="D12" s="28"/>
      <c r="E12" s="28">
        <v>1000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>
        <f t="shared" si="0"/>
        <v>1000</v>
      </c>
      <c r="R12" s="183"/>
      <c r="S12" s="184"/>
      <c r="T12" s="184"/>
      <c r="V12" s="170"/>
      <c r="W12" s="170"/>
    </row>
    <row r="13" spans="1:23">
      <c r="A13" s="15">
        <v>4</v>
      </c>
      <c r="B13" s="10" t="s">
        <v>323</v>
      </c>
      <c r="C13" s="28"/>
      <c r="D13" s="28"/>
      <c r="E13" s="28">
        <v>600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>
        <f t="shared" si="0"/>
        <v>600</v>
      </c>
      <c r="R13" s="183"/>
      <c r="S13" s="184"/>
      <c r="T13" s="184"/>
      <c r="V13" s="170"/>
      <c r="W13" s="170"/>
    </row>
    <row r="14" spans="1:23">
      <c r="A14" s="15">
        <v>5</v>
      </c>
      <c r="B14" s="10" t="s">
        <v>286</v>
      </c>
      <c r="C14" s="183"/>
      <c r="D14" s="183"/>
      <c r="E14" s="183"/>
      <c r="F14" s="183"/>
      <c r="G14" s="183"/>
      <c r="H14" s="183"/>
      <c r="I14" s="183"/>
      <c r="J14" s="183"/>
      <c r="K14" s="183">
        <v>200</v>
      </c>
      <c r="L14" s="183"/>
      <c r="M14" s="183">
        <v>200</v>
      </c>
      <c r="N14" s="183"/>
      <c r="O14" s="183"/>
      <c r="P14" s="183"/>
      <c r="Q14" s="28">
        <f t="shared" si="0"/>
        <v>400</v>
      </c>
      <c r="R14" s="183"/>
      <c r="S14" s="184"/>
      <c r="T14" s="184"/>
      <c r="V14" s="170"/>
      <c r="W14" s="170"/>
    </row>
    <row r="15" spans="1:23">
      <c r="A15" s="15">
        <v>6</v>
      </c>
      <c r="B15" s="10" t="s">
        <v>304</v>
      </c>
      <c r="C15" s="183">
        <v>14400</v>
      </c>
      <c r="D15" s="183"/>
      <c r="E15" s="183"/>
      <c r="F15" s="183"/>
      <c r="G15" s="183"/>
      <c r="H15" s="183"/>
      <c r="I15" s="183">
        <v>14400</v>
      </c>
      <c r="J15" s="183"/>
      <c r="K15" s="183"/>
      <c r="L15" s="183"/>
      <c r="M15" s="183"/>
      <c r="N15" s="183">
        <f>320*12</f>
        <v>3840</v>
      </c>
      <c r="O15" s="183">
        <v>3840</v>
      </c>
      <c r="P15" s="183">
        <v>3840</v>
      </c>
      <c r="Q15" s="28">
        <f t="shared" si="0"/>
        <v>40320</v>
      </c>
      <c r="R15" s="183"/>
      <c r="S15" s="184"/>
      <c r="T15" s="184"/>
      <c r="V15" s="170"/>
      <c r="W15" s="170"/>
    </row>
    <row r="16" spans="1:23">
      <c r="A16" s="15">
        <f t="shared" si="1"/>
        <v>7</v>
      </c>
      <c r="B16" s="10" t="s">
        <v>287</v>
      </c>
      <c r="C16" s="185">
        <v>0</v>
      </c>
      <c r="D16" s="185">
        <f t="shared" ref="D16:H16" si="2">0.54*12</f>
        <v>6.48</v>
      </c>
      <c r="E16" s="185">
        <f t="shared" si="2"/>
        <v>6.48</v>
      </c>
      <c r="F16" s="185">
        <v>4.2</v>
      </c>
      <c r="G16" s="185">
        <f t="shared" si="2"/>
        <v>6.48</v>
      </c>
      <c r="H16" s="185">
        <f t="shared" si="2"/>
        <v>6.48</v>
      </c>
      <c r="I16" s="185">
        <v>0</v>
      </c>
      <c r="J16" s="185">
        <f>0.54*12</f>
        <v>6.48</v>
      </c>
      <c r="K16" s="185">
        <f>0.54*12</f>
        <v>6.48</v>
      </c>
      <c r="L16" s="185">
        <f>0.54*12</f>
        <v>6.48</v>
      </c>
      <c r="M16" s="185">
        <v>5.94</v>
      </c>
      <c r="N16" s="185">
        <v>0</v>
      </c>
      <c r="O16" s="185">
        <v>0</v>
      </c>
      <c r="P16" s="185">
        <v>0</v>
      </c>
      <c r="Q16" s="185">
        <f t="shared" si="0"/>
        <v>55.5</v>
      </c>
      <c r="R16" s="183"/>
      <c r="S16" s="184"/>
      <c r="T16" s="184"/>
      <c r="V16" s="170"/>
      <c r="W16" s="170"/>
    </row>
    <row r="17" spans="1:24">
      <c r="A17" s="15">
        <f t="shared" si="1"/>
        <v>8</v>
      </c>
      <c r="B17" s="11"/>
      <c r="C17" s="186">
        <f>SUM(C10:C16)</f>
        <v>14400</v>
      </c>
      <c r="D17" s="186">
        <f t="shared" ref="D17:L17" si="3">SUM(D10:D16)</f>
        <v>206.48</v>
      </c>
      <c r="E17" s="186">
        <f t="shared" ref="E17:I17" si="4">SUM(E10:E16)</f>
        <v>3006.48</v>
      </c>
      <c r="F17" s="186">
        <f t="shared" si="4"/>
        <v>4.2</v>
      </c>
      <c r="G17" s="186">
        <f t="shared" si="4"/>
        <v>6.48</v>
      </c>
      <c r="H17" s="186">
        <f t="shared" si="4"/>
        <v>6.48</v>
      </c>
      <c r="I17" s="186">
        <f t="shared" si="4"/>
        <v>14400</v>
      </c>
      <c r="J17" s="186">
        <f t="shared" si="3"/>
        <v>406.48</v>
      </c>
      <c r="K17" s="186">
        <f t="shared" si="3"/>
        <v>206.48</v>
      </c>
      <c r="L17" s="186">
        <f t="shared" si="3"/>
        <v>6.48</v>
      </c>
      <c r="M17" s="186">
        <f t="shared" ref="M17:P17" si="5">SUM(M10:M16)</f>
        <v>205.94</v>
      </c>
      <c r="N17" s="186">
        <f t="shared" si="5"/>
        <v>3840</v>
      </c>
      <c r="O17" s="186">
        <f t="shared" si="5"/>
        <v>3840</v>
      </c>
      <c r="P17" s="186">
        <f t="shared" si="5"/>
        <v>3840</v>
      </c>
      <c r="Q17" s="186">
        <f>SUM(Q10:Q16)</f>
        <v>44375.5</v>
      </c>
      <c r="R17" s="187"/>
      <c r="S17" s="188"/>
      <c r="T17" s="188"/>
      <c r="V17" s="170"/>
      <c r="W17" s="170"/>
    </row>
    <row r="18" spans="1:24">
      <c r="A18" s="15">
        <f t="shared" si="1"/>
        <v>9</v>
      </c>
      <c r="B18" s="11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44"/>
      <c r="T18" s="144"/>
      <c r="V18" s="170"/>
      <c r="W18" s="170"/>
    </row>
    <row r="19" spans="1:24">
      <c r="A19" s="15">
        <f t="shared" si="1"/>
        <v>10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44"/>
      <c r="T19" s="144"/>
      <c r="V19" s="170"/>
      <c r="W19" s="170"/>
    </row>
    <row r="20" spans="1:24">
      <c r="A20" s="15">
        <f t="shared" si="1"/>
        <v>11</v>
      </c>
      <c r="B20" s="11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144"/>
      <c r="T20" s="144"/>
      <c r="V20" s="170"/>
      <c r="W20" s="170"/>
    </row>
    <row r="21" spans="1:24">
      <c r="A21" s="15">
        <f t="shared" si="1"/>
        <v>12</v>
      </c>
      <c r="B21" s="38" t="s">
        <v>288</v>
      </c>
      <c r="C21" s="189" t="s">
        <v>2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44"/>
      <c r="T21" s="144"/>
      <c r="U21" s="170"/>
      <c r="V21" s="170"/>
      <c r="W21" s="170"/>
    </row>
    <row r="22" spans="1:24">
      <c r="A22" s="15">
        <f t="shared" si="1"/>
        <v>13</v>
      </c>
      <c r="B22" s="11" t="s">
        <v>324</v>
      </c>
      <c r="C22" s="28">
        <f t="shared" ref="C22:C27" si="6">Q10</f>
        <v>1400</v>
      </c>
      <c r="D22" s="28"/>
      <c r="E22" s="28"/>
      <c r="F22" s="11"/>
      <c r="G22" s="11"/>
      <c r="H22" s="28"/>
      <c r="I22" s="28"/>
      <c r="J22" s="28"/>
      <c r="K22" s="11"/>
      <c r="L22" s="11"/>
      <c r="M22" s="28"/>
      <c r="N22" s="28"/>
      <c r="O22" s="11"/>
      <c r="P22" s="11"/>
      <c r="Q22" s="11"/>
      <c r="R22" s="28"/>
      <c r="S22" s="144"/>
      <c r="T22" s="144"/>
      <c r="U22" s="170"/>
      <c r="V22" s="170"/>
      <c r="W22" s="170"/>
    </row>
    <row r="23" spans="1:24">
      <c r="A23" s="15">
        <f t="shared" si="1"/>
        <v>14</v>
      </c>
      <c r="B23" s="11" t="s">
        <v>322</v>
      </c>
      <c r="C23" s="28">
        <f t="shared" si="6"/>
        <v>600</v>
      </c>
      <c r="D23" s="28"/>
      <c r="E23" s="11"/>
      <c r="F23" s="28"/>
      <c r="G23" s="11"/>
      <c r="H23" s="11" t="s">
        <v>38</v>
      </c>
      <c r="I23" s="11"/>
      <c r="J23" s="186">
        <v>214161.18</v>
      </c>
      <c r="K23" s="28"/>
    </row>
    <row r="24" spans="1:24">
      <c r="A24" s="15">
        <f t="shared" si="1"/>
        <v>15</v>
      </c>
      <c r="B24" s="11" t="s">
        <v>285</v>
      </c>
      <c r="C24" s="28">
        <f>Q12</f>
        <v>1000</v>
      </c>
      <c r="D24" s="28"/>
      <c r="E24" s="11"/>
      <c r="F24" s="28"/>
      <c r="G24" s="11"/>
      <c r="H24" s="11"/>
      <c r="I24" s="11"/>
      <c r="J24" s="186"/>
      <c r="K24" s="28"/>
    </row>
    <row r="25" spans="1:24">
      <c r="A25" s="15">
        <f t="shared" si="1"/>
        <v>16</v>
      </c>
      <c r="B25" s="11" t="s">
        <v>323</v>
      </c>
      <c r="C25" s="28">
        <f t="shared" si="6"/>
        <v>600</v>
      </c>
      <c r="D25" s="28"/>
      <c r="E25" s="11"/>
      <c r="F25" s="28"/>
      <c r="G25" s="11"/>
      <c r="H25" s="11" t="s">
        <v>165</v>
      </c>
      <c r="I25" s="11"/>
      <c r="J25" s="190">
        <f>+J23-C29</f>
        <v>169785.68</v>
      </c>
      <c r="K25" s="28"/>
    </row>
    <row r="26" spans="1:24">
      <c r="A26" s="15">
        <f t="shared" si="1"/>
        <v>17</v>
      </c>
      <c r="B26" s="11" t="str">
        <f>B14</f>
        <v>EKP Annual Meeting</v>
      </c>
      <c r="C26" s="183">
        <f t="shared" si="6"/>
        <v>400</v>
      </c>
      <c r="D26" s="28"/>
      <c r="E26" s="11"/>
      <c r="F26" s="28"/>
      <c r="G26" s="11"/>
      <c r="H26" s="11"/>
      <c r="I26" s="11"/>
      <c r="J26" s="190"/>
      <c r="K26" s="28"/>
    </row>
    <row r="27" spans="1:24">
      <c r="A27" s="15">
        <v>18</v>
      </c>
      <c r="B27" s="11" t="str">
        <f>B15</f>
        <v>Legacy Director Expense</v>
      </c>
      <c r="C27" s="183">
        <f t="shared" si="6"/>
        <v>40320</v>
      </c>
      <c r="D27" s="28"/>
      <c r="E27" s="11"/>
      <c r="F27" s="28"/>
      <c r="G27" s="11"/>
      <c r="H27" s="11"/>
      <c r="I27" s="11"/>
      <c r="J27" s="190"/>
      <c r="K27" s="28"/>
    </row>
    <row r="28" spans="1:24">
      <c r="A28" s="15">
        <v>19</v>
      </c>
      <c r="B28" s="15" t="s">
        <v>287</v>
      </c>
      <c r="C28" s="185">
        <f>Q16</f>
        <v>55.5</v>
      </c>
      <c r="D28" s="28"/>
      <c r="E28" s="11"/>
      <c r="F28" s="28"/>
      <c r="G28" s="11"/>
      <c r="H28" s="11"/>
      <c r="I28" s="11"/>
      <c r="J28" s="190"/>
      <c r="K28" s="28"/>
    </row>
    <row r="29" spans="1:24" ht="15" thickBot="1">
      <c r="A29" s="15">
        <f t="shared" si="1"/>
        <v>20</v>
      </c>
      <c r="B29" s="16" t="s">
        <v>289</v>
      </c>
      <c r="C29" s="186">
        <f>SUM(C22:C28)</f>
        <v>44375.5</v>
      </c>
      <c r="D29" s="28"/>
      <c r="E29" s="28"/>
      <c r="F29" s="28"/>
      <c r="G29" s="28"/>
      <c r="H29" s="20" t="s">
        <v>16</v>
      </c>
      <c r="I29" s="20"/>
      <c r="J29" s="191">
        <f>J25-J23</f>
        <v>-44375.5</v>
      </c>
      <c r="K29" s="28"/>
      <c r="L29" s="144"/>
      <c r="M29" s="144"/>
    </row>
    <row r="30" spans="1:24" ht="15" thickTop="1">
      <c r="A30" s="11"/>
      <c r="B30" s="1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44"/>
      <c r="T30" s="144"/>
    </row>
    <row r="31" spans="1:24" ht="7.5" customHeight="1">
      <c r="A31" s="11"/>
      <c r="B31" s="11"/>
      <c r="C31" s="11"/>
      <c r="D31" s="127"/>
      <c r="E31" s="127"/>
      <c r="F31" s="28"/>
      <c r="G31" s="28"/>
      <c r="H31" s="127"/>
      <c r="I31" s="127"/>
      <c r="J31" s="127"/>
      <c r="K31" s="28"/>
      <c r="L31" s="28"/>
      <c r="M31" s="127"/>
      <c r="N31" s="127"/>
      <c r="O31" s="28"/>
      <c r="P31" s="28"/>
      <c r="Q31" s="28"/>
      <c r="R31" s="127"/>
      <c r="S31" s="127"/>
      <c r="T31" s="127"/>
      <c r="U31" s="127"/>
      <c r="V31" s="127"/>
      <c r="W31" s="127"/>
      <c r="X31" s="127"/>
    </row>
    <row r="32" spans="1:24" ht="18" customHeight="1">
      <c r="A32" s="11"/>
      <c r="B32" s="261" t="s">
        <v>290</v>
      </c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8"/>
      <c r="S32" s="144"/>
      <c r="T32" s="144"/>
    </row>
    <row r="33" spans="1:20">
      <c r="A33" s="11"/>
      <c r="B33" s="11" t="s">
        <v>352</v>
      </c>
      <c r="C33" s="11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44"/>
      <c r="T33" s="144"/>
    </row>
    <row r="34" spans="1:20">
      <c r="A34" s="11"/>
      <c r="B34" s="11"/>
      <c r="C34" s="11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44"/>
      <c r="T34" s="144"/>
    </row>
    <row r="35" spans="1:20"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</row>
    <row r="36" spans="1:20"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</row>
    <row r="37" spans="1:20"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</row>
    <row r="38" spans="1:20"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</row>
    <row r="39" spans="1:20">
      <c r="C39" s="144"/>
      <c r="F39" s="144"/>
      <c r="G39" s="144"/>
      <c r="K39" s="144"/>
      <c r="L39" s="144"/>
      <c r="O39" s="144"/>
      <c r="P39" s="144"/>
      <c r="Q39" s="144"/>
    </row>
  </sheetData>
  <mergeCells count="4">
    <mergeCell ref="A4:R4"/>
    <mergeCell ref="A5:R5"/>
    <mergeCell ref="A7:R7"/>
    <mergeCell ref="B32:Q32"/>
  </mergeCells>
  <printOptions horizontalCentered="1"/>
  <pageMargins left="0.7" right="0.7" top="0.75" bottom="0.75" header="0.3" footer="0.3"/>
  <pageSetup scale="58" orientation="landscape" r:id="rId1"/>
  <headerFooter>
    <oddFooter>&amp;RExhibit JW-2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3864-27CD-4078-93F0-B062B01AE774}">
  <dimension ref="A1:K58"/>
  <sheetViews>
    <sheetView view="pageBreakPreview" zoomScaleNormal="100" zoomScaleSheetLayoutView="100" workbookViewId="0">
      <selection activeCell="I40" sqref="I40"/>
    </sheetView>
  </sheetViews>
  <sheetFormatPr defaultColWidth="9.140625" defaultRowHeight="12.75"/>
  <cols>
    <col min="1" max="1" width="5.85546875" style="11" customWidth="1"/>
    <col min="2" max="2" width="2.28515625" style="11" customWidth="1"/>
    <col min="3" max="3" width="13.28515625" style="11" customWidth="1"/>
    <col min="4" max="4" width="12.7109375" style="11" customWidth="1"/>
    <col min="5" max="5" width="4.140625" style="11" customWidth="1"/>
    <col min="6" max="7" width="16.7109375" style="11" customWidth="1"/>
    <col min="8" max="8" width="11.28515625" style="11" bestFit="1" customWidth="1"/>
    <col min="9" max="9" width="12.28515625" style="11" bestFit="1" customWidth="1"/>
    <col min="10" max="10" width="13.42578125" style="11" bestFit="1" customWidth="1"/>
    <col min="11" max="11" width="14.85546875" style="11" customWidth="1"/>
    <col min="12" max="16384" width="9.140625" style="11"/>
  </cols>
  <sheetData>
    <row r="1" spans="1:11">
      <c r="K1" s="5" t="s">
        <v>124</v>
      </c>
    </row>
    <row r="2" spans="1:11" ht="20.25" customHeight="1">
      <c r="K2" s="5"/>
    </row>
    <row r="3" spans="1:11">
      <c r="G3" s="5"/>
    </row>
    <row r="4" spans="1:11">
      <c r="A4" s="259" t="s">
        <v>244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>
      <c r="A5" s="259" t="s">
        <v>248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</row>
    <row r="7" spans="1:11" s="6" customFormat="1" ht="15" customHeight="1">
      <c r="A7" s="260" t="s">
        <v>50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</row>
    <row r="9" spans="1:11">
      <c r="A9" s="10" t="s">
        <v>0</v>
      </c>
      <c r="C9" s="10" t="s">
        <v>17</v>
      </c>
      <c r="D9" s="10" t="s">
        <v>18</v>
      </c>
      <c r="E9" s="10"/>
      <c r="F9" s="31">
        <v>10</v>
      </c>
      <c r="G9" s="31">
        <v>20</v>
      </c>
      <c r="H9" s="31">
        <v>40</v>
      </c>
      <c r="I9" s="31">
        <v>50</v>
      </c>
      <c r="J9" s="31">
        <v>52</v>
      </c>
      <c r="K9" s="10" t="s">
        <v>47</v>
      </c>
    </row>
    <row r="10" spans="1:11">
      <c r="A10" s="12" t="s">
        <v>22</v>
      </c>
      <c r="C10" s="13" t="s">
        <v>19</v>
      </c>
      <c r="D10" s="13" t="s">
        <v>21</v>
      </c>
      <c r="E10" s="10"/>
      <c r="F10" s="13" t="s">
        <v>20</v>
      </c>
      <c r="G10" s="13" t="s">
        <v>26</v>
      </c>
      <c r="H10" s="13" t="s">
        <v>51</v>
      </c>
      <c r="I10" s="13" t="s">
        <v>52</v>
      </c>
      <c r="J10" s="13" t="s">
        <v>53</v>
      </c>
      <c r="K10" s="13" t="s">
        <v>54</v>
      </c>
    </row>
    <row r="11" spans="1:11">
      <c r="A11" s="10"/>
    </row>
    <row r="12" spans="1:11">
      <c r="A12" s="10"/>
    </row>
    <row r="13" spans="1:11">
      <c r="A13" s="10">
        <v>1</v>
      </c>
      <c r="C13" s="10">
        <v>2023</v>
      </c>
      <c r="D13" s="1" t="s">
        <v>7</v>
      </c>
      <c r="E13" s="14"/>
      <c r="F13" s="69">
        <v>46621</v>
      </c>
      <c r="G13" s="69">
        <v>3489</v>
      </c>
      <c r="H13" s="69">
        <v>151</v>
      </c>
      <c r="I13" s="69">
        <v>1003</v>
      </c>
      <c r="J13" s="69">
        <v>23</v>
      </c>
      <c r="K13" s="43"/>
    </row>
    <row r="14" spans="1:11">
      <c r="A14" s="10">
        <f>A13+1</f>
        <v>2</v>
      </c>
      <c r="C14" s="10">
        <v>2023</v>
      </c>
      <c r="D14" s="1" t="s">
        <v>8</v>
      </c>
      <c r="E14" s="14"/>
      <c r="F14" s="69">
        <v>46581</v>
      </c>
      <c r="G14" s="69">
        <v>3503</v>
      </c>
      <c r="H14" s="69">
        <v>153</v>
      </c>
      <c r="I14" s="69">
        <v>999</v>
      </c>
      <c r="J14" s="69">
        <v>23</v>
      </c>
      <c r="K14" s="44"/>
    </row>
    <row r="15" spans="1:11">
      <c r="A15" s="10">
        <f t="shared" ref="A15:A56" si="0">A14+1</f>
        <v>3</v>
      </c>
      <c r="C15" s="10">
        <v>2023</v>
      </c>
      <c r="D15" s="1" t="s">
        <v>9</v>
      </c>
      <c r="E15" s="14"/>
      <c r="F15" s="69">
        <v>46636</v>
      </c>
      <c r="G15" s="69">
        <v>3530</v>
      </c>
      <c r="H15" s="69">
        <v>152</v>
      </c>
      <c r="I15" s="69">
        <v>996</v>
      </c>
      <c r="J15" s="69">
        <v>23</v>
      </c>
      <c r="K15" s="44"/>
    </row>
    <row r="16" spans="1:11">
      <c r="A16" s="10">
        <f t="shared" si="0"/>
        <v>4</v>
      </c>
      <c r="C16" s="10">
        <v>2023</v>
      </c>
      <c r="D16" s="1" t="s">
        <v>10</v>
      </c>
      <c r="E16" s="14"/>
      <c r="F16" s="69">
        <v>46612</v>
      </c>
      <c r="G16" s="69">
        <v>3502</v>
      </c>
      <c r="H16" s="69">
        <v>152</v>
      </c>
      <c r="I16" s="69">
        <v>1002</v>
      </c>
      <c r="J16" s="69">
        <v>23</v>
      </c>
      <c r="K16" s="44"/>
    </row>
    <row r="17" spans="1:11">
      <c r="A17" s="10">
        <f t="shared" si="0"/>
        <v>5</v>
      </c>
      <c r="C17" s="10">
        <v>2023</v>
      </c>
      <c r="D17" s="1" t="s">
        <v>11</v>
      </c>
      <c r="E17" s="14"/>
      <c r="F17" s="69">
        <v>46669</v>
      </c>
      <c r="G17" s="69">
        <v>3511</v>
      </c>
      <c r="H17" s="69">
        <v>152</v>
      </c>
      <c r="I17" s="69">
        <v>1016</v>
      </c>
      <c r="J17" s="69">
        <v>23</v>
      </c>
      <c r="K17" s="44"/>
    </row>
    <row r="18" spans="1:11">
      <c r="A18" s="10">
        <f t="shared" si="0"/>
        <v>6</v>
      </c>
      <c r="C18" s="10">
        <v>2023</v>
      </c>
      <c r="D18" s="1" t="s">
        <v>12</v>
      </c>
      <c r="E18" s="14"/>
      <c r="F18" s="69">
        <v>46739</v>
      </c>
      <c r="G18" s="69">
        <v>3513</v>
      </c>
      <c r="H18" s="69">
        <v>154</v>
      </c>
      <c r="I18" s="69">
        <v>1017</v>
      </c>
      <c r="J18" s="69">
        <v>23</v>
      </c>
      <c r="K18" s="44"/>
    </row>
    <row r="19" spans="1:11">
      <c r="A19" s="10">
        <f t="shared" si="0"/>
        <v>7</v>
      </c>
      <c r="C19" s="10">
        <v>2023</v>
      </c>
      <c r="D19" s="1" t="s">
        <v>13</v>
      </c>
      <c r="E19" s="14"/>
      <c r="F19" s="69">
        <v>46695</v>
      </c>
      <c r="G19" s="69">
        <v>3485</v>
      </c>
      <c r="H19" s="69">
        <v>155</v>
      </c>
      <c r="I19" s="69">
        <v>1018</v>
      </c>
      <c r="J19" s="69">
        <v>23</v>
      </c>
      <c r="K19" s="44"/>
    </row>
    <row r="20" spans="1:11">
      <c r="A20" s="10">
        <f t="shared" si="0"/>
        <v>8</v>
      </c>
      <c r="C20" s="10">
        <v>2023</v>
      </c>
      <c r="D20" s="1" t="s">
        <v>14</v>
      </c>
      <c r="E20" s="14"/>
      <c r="F20" s="69">
        <v>46751</v>
      </c>
      <c r="G20" s="69">
        <v>3478</v>
      </c>
      <c r="H20" s="69">
        <v>154</v>
      </c>
      <c r="I20" s="69">
        <v>1016</v>
      </c>
      <c r="J20" s="69">
        <v>23</v>
      </c>
      <c r="K20" s="44"/>
    </row>
    <row r="21" spans="1:11">
      <c r="A21" s="10">
        <f t="shared" si="0"/>
        <v>9</v>
      </c>
      <c r="C21" s="10">
        <v>2023</v>
      </c>
      <c r="D21" s="1" t="s">
        <v>3</v>
      </c>
      <c r="E21" s="14"/>
      <c r="F21" s="69">
        <v>46726</v>
      </c>
      <c r="G21" s="69">
        <v>3484</v>
      </c>
      <c r="H21" s="69">
        <v>158</v>
      </c>
      <c r="I21" s="69">
        <v>1017</v>
      </c>
      <c r="J21" s="69">
        <v>21</v>
      </c>
      <c r="K21" s="44"/>
    </row>
    <row r="22" spans="1:11">
      <c r="A22" s="10">
        <f t="shared" si="0"/>
        <v>10</v>
      </c>
      <c r="C22" s="10">
        <v>2023</v>
      </c>
      <c r="D22" s="1" t="s">
        <v>4</v>
      </c>
      <c r="E22" s="14"/>
      <c r="F22" s="69">
        <v>46788</v>
      </c>
      <c r="G22" s="69">
        <v>3508</v>
      </c>
      <c r="H22" s="69">
        <v>156</v>
      </c>
      <c r="I22" s="69">
        <v>1012</v>
      </c>
      <c r="J22" s="69">
        <v>21</v>
      </c>
      <c r="K22" s="44"/>
    </row>
    <row r="23" spans="1:11">
      <c r="A23" s="10">
        <f t="shared" si="0"/>
        <v>11</v>
      </c>
      <c r="C23" s="10">
        <v>2023</v>
      </c>
      <c r="D23" s="1" t="s">
        <v>5</v>
      </c>
      <c r="E23" s="14"/>
      <c r="F23" s="69">
        <v>46810</v>
      </c>
      <c r="G23" s="69">
        <v>3510</v>
      </c>
      <c r="H23" s="69">
        <v>159</v>
      </c>
      <c r="I23" s="69">
        <v>1004</v>
      </c>
      <c r="J23" s="69">
        <v>21</v>
      </c>
      <c r="K23" s="44"/>
    </row>
    <row r="24" spans="1:11">
      <c r="A24" s="10">
        <f t="shared" si="0"/>
        <v>12</v>
      </c>
      <c r="C24" s="10">
        <v>2023</v>
      </c>
      <c r="D24" s="1" t="s">
        <v>6</v>
      </c>
      <c r="E24" s="14"/>
      <c r="F24" s="69">
        <v>46730</v>
      </c>
      <c r="G24" s="69">
        <v>3513</v>
      </c>
      <c r="H24" s="69">
        <v>148</v>
      </c>
      <c r="I24" s="69">
        <v>1007</v>
      </c>
      <c r="J24" s="69">
        <v>21</v>
      </c>
      <c r="K24" s="44"/>
    </row>
    <row r="25" spans="1:11">
      <c r="A25" s="10">
        <f t="shared" si="0"/>
        <v>13</v>
      </c>
      <c r="C25" s="4" t="s">
        <v>55</v>
      </c>
      <c r="D25" s="16"/>
      <c r="E25" s="18"/>
      <c r="F25" s="32">
        <f>ROUND(AVERAGE(F13:F24),0)</f>
        <v>46697</v>
      </c>
      <c r="G25" s="32">
        <f>ROUND(AVERAGE(G13:G24),0)</f>
        <v>3502</v>
      </c>
      <c r="H25" s="32">
        <f>ROUND(AVERAGE(H13:H24),0)</f>
        <v>154</v>
      </c>
      <c r="I25" s="32">
        <f>ROUND(AVERAGE(I13:I24),0)</f>
        <v>1009</v>
      </c>
      <c r="J25" s="32">
        <f>ROUND(AVERAGE(J13:J24),0)</f>
        <v>22</v>
      </c>
      <c r="K25" s="44"/>
    </row>
    <row r="26" spans="1:11">
      <c r="A26" s="10">
        <f t="shared" si="0"/>
        <v>14</v>
      </c>
    </row>
    <row r="27" spans="1:11">
      <c r="A27" s="10">
        <f t="shared" si="0"/>
        <v>15</v>
      </c>
      <c r="C27" s="34" t="s">
        <v>70</v>
      </c>
      <c r="E27" s="18"/>
      <c r="F27" s="33">
        <f>F24-F25</f>
        <v>33</v>
      </c>
      <c r="G27" s="33">
        <f t="shared" ref="G27:J27" si="1">G24-G25</f>
        <v>11</v>
      </c>
      <c r="H27" s="33">
        <f t="shared" si="1"/>
        <v>-6</v>
      </c>
      <c r="I27" s="33">
        <f t="shared" si="1"/>
        <v>-2</v>
      </c>
      <c r="J27" s="33">
        <f t="shared" si="1"/>
        <v>-1</v>
      </c>
      <c r="K27" s="44"/>
    </row>
    <row r="28" spans="1:11">
      <c r="A28" s="10">
        <f t="shared" si="0"/>
        <v>16</v>
      </c>
      <c r="D28" s="1"/>
      <c r="E28" s="18"/>
      <c r="F28" s="18"/>
      <c r="G28" s="18"/>
    </row>
    <row r="29" spans="1:11">
      <c r="A29" s="10">
        <f t="shared" si="0"/>
        <v>17</v>
      </c>
      <c r="C29" s="11" t="s">
        <v>56</v>
      </c>
      <c r="D29" s="1"/>
      <c r="E29" s="18"/>
      <c r="F29" s="246">
        <v>576919032</v>
      </c>
      <c r="G29" s="246">
        <v>59372503</v>
      </c>
      <c r="H29" s="246">
        <v>74901660</v>
      </c>
      <c r="I29" s="246">
        <v>22682514</v>
      </c>
      <c r="J29" s="246">
        <v>9939021</v>
      </c>
      <c r="K29" s="44"/>
    </row>
    <row r="30" spans="1:11">
      <c r="A30" s="10">
        <f t="shared" si="0"/>
        <v>18</v>
      </c>
      <c r="C30" s="11" t="s">
        <v>57</v>
      </c>
      <c r="D30" s="1"/>
      <c r="E30" s="18"/>
      <c r="F30" s="33">
        <f>F29/F25</f>
        <v>12354.520247553375</v>
      </c>
      <c r="G30" s="33">
        <f t="shared" ref="G30:J30" si="2">G29/G25</f>
        <v>16953.884351798974</v>
      </c>
      <c r="H30" s="33">
        <f t="shared" si="2"/>
        <v>486374.4155844156</v>
      </c>
      <c r="I30" s="33">
        <f t="shared" si="2"/>
        <v>22480.192269573836</v>
      </c>
      <c r="J30" s="33">
        <f t="shared" si="2"/>
        <v>451773.68181818182</v>
      </c>
      <c r="K30" s="44"/>
    </row>
    <row r="31" spans="1:11">
      <c r="A31" s="10">
        <f t="shared" si="0"/>
        <v>19</v>
      </c>
      <c r="C31" s="11" t="s">
        <v>58</v>
      </c>
      <c r="D31" s="1"/>
      <c r="E31" s="18"/>
      <c r="F31" s="33">
        <f>F30*F27</f>
        <v>407699.16816926136</v>
      </c>
      <c r="G31" s="33">
        <f t="shared" ref="G31:J31" si="3">G30*G27</f>
        <v>186492.72786978871</v>
      </c>
      <c r="H31" s="33">
        <f t="shared" si="3"/>
        <v>-2918246.4935064935</v>
      </c>
      <c r="I31" s="33">
        <f t="shared" si="3"/>
        <v>-44960.384539147672</v>
      </c>
      <c r="J31" s="33">
        <f t="shared" si="3"/>
        <v>-451773.68181818182</v>
      </c>
      <c r="K31" s="24">
        <f>SUM(F31:J31)</f>
        <v>-2820788.6638247729</v>
      </c>
    </row>
    <row r="32" spans="1:11">
      <c r="A32" s="10">
        <f t="shared" si="0"/>
        <v>20</v>
      </c>
      <c r="D32" s="1"/>
      <c r="E32" s="18"/>
      <c r="F32" s="18"/>
      <c r="G32" s="18"/>
    </row>
    <row r="33" spans="1:11">
      <c r="A33" s="10">
        <f t="shared" si="0"/>
        <v>21</v>
      </c>
      <c r="C33" s="36" t="s">
        <v>62</v>
      </c>
      <c r="D33" s="1"/>
      <c r="E33" s="18"/>
      <c r="F33" s="18"/>
      <c r="G33" s="18"/>
    </row>
    <row r="34" spans="1:11">
      <c r="A34" s="10">
        <f t="shared" si="0"/>
        <v>22</v>
      </c>
      <c r="C34" s="11" t="s">
        <v>59</v>
      </c>
      <c r="D34" s="1"/>
      <c r="E34" s="18"/>
      <c r="F34" s="247">
        <v>66514345</v>
      </c>
      <c r="G34" s="247">
        <v>6271526</v>
      </c>
      <c r="H34" s="60">
        <v>5798507</v>
      </c>
      <c r="I34" s="60">
        <v>2694136</v>
      </c>
      <c r="J34" s="60">
        <v>819530</v>
      </c>
      <c r="K34" s="44"/>
    </row>
    <row r="35" spans="1:11">
      <c r="A35" s="10">
        <f t="shared" si="0"/>
        <v>23</v>
      </c>
      <c r="C35" s="11" t="s">
        <v>60</v>
      </c>
      <c r="D35" s="1"/>
      <c r="E35" s="18"/>
      <c r="F35" s="35">
        <f>F34/F29</f>
        <v>0.11529233967098523</v>
      </c>
      <c r="G35" s="35">
        <f t="shared" ref="G35:J35" si="4">G34/G29</f>
        <v>0.10563014330051068</v>
      </c>
      <c r="H35" s="35">
        <f t="shared" si="4"/>
        <v>7.7414933126982763E-2</v>
      </c>
      <c r="I35" s="35">
        <f t="shared" si="4"/>
        <v>0.11877589935577687</v>
      </c>
      <c r="J35" s="35">
        <f t="shared" si="4"/>
        <v>8.2455807267134251E-2</v>
      </c>
      <c r="K35" s="44"/>
    </row>
    <row r="36" spans="1:11">
      <c r="A36" s="10">
        <f t="shared" si="0"/>
        <v>24</v>
      </c>
      <c r="C36" s="11" t="s">
        <v>61</v>
      </c>
      <c r="D36" s="1"/>
      <c r="E36" s="18"/>
      <c r="F36" s="18">
        <f>F35*F31</f>
        <v>47004.590980148612</v>
      </c>
      <c r="G36" s="18">
        <f t="shared" ref="G36:J36" si="5">G35*G31</f>
        <v>19699.253569388922</v>
      </c>
      <c r="H36" s="18">
        <f t="shared" si="5"/>
        <v>-225915.85714285713</v>
      </c>
      <c r="I36" s="18">
        <f t="shared" si="5"/>
        <v>-5340.2101090188307</v>
      </c>
      <c r="J36" s="18">
        <f t="shared" si="5"/>
        <v>-37251.363636363632</v>
      </c>
      <c r="K36" s="24">
        <f>SUM(F36:J36)</f>
        <v>-201803.58633870207</v>
      </c>
    </row>
    <row r="37" spans="1:11">
      <c r="A37" s="10">
        <f t="shared" si="0"/>
        <v>25</v>
      </c>
      <c r="D37" s="1"/>
      <c r="E37" s="18"/>
      <c r="F37" s="18"/>
      <c r="G37" s="18"/>
      <c r="H37" s="18"/>
      <c r="I37" s="18"/>
      <c r="J37" s="18"/>
    </row>
    <row r="38" spans="1:11">
      <c r="A38" s="10">
        <f t="shared" si="0"/>
        <v>26</v>
      </c>
      <c r="C38" s="36" t="s">
        <v>63</v>
      </c>
      <c r="D38" s="1"/>
      <c r="E38" s="18"/>
      <c r="F38" s="18"/>
      <c r="G38" s="18"/>
      <c r="H38" s="18"/>
      <c r="I38" s="18"/>
      <c r="J38" s="18"/>
    </row>
    <row r="39" spans="1:11">
      <c r="A39" s="10">
        <f t="shared" si="0"/>
        <v>27</v>
      </c>
      <c r="C39" s="11" t="s">
        <v>73</v>
      </c>
      <c r="D39" s="1"/>
      <c r="E39" s="18"/>
      <c r="F39" s="37">
        <f>G55/G56</f>
        <v>6.395558005010997E-2</v>
      </c>
      <c r="G39" s="37">
        <f>F39</f>
        <v>6.395558005010997E-2</v>
      </c>
      <c r="H39" s="37">
        <f t="shared" ref="H39:J39" si="6">G39</f>
        <v>6.395558005010997E-2</v>
      </c>
      <c r="I39" s="37">
        <f t="shared" si="6"/>
        <v>6.395558005010997E-2</v>
      </c>
      <c r="J39" s="37">
        <f t="shared" si="6"/>
        <v>6.395558005010997E-2</v>
      </c>
      <c r="K39" s="44"/>
    </row>
    <row r="40" spans="1:11">
      <c r="A40" s="10">
        <f t="shared" si="0"/>
        <v>28</v>
      </c>
      <c r="C40" s="11" t="s">
        <v>64</v>
      </c>
      <c r="D40" s="1"/>
      <c r="E40" s="18"/>
      <c r="F40" s="18">
        <f>F39*F31</f>
        <v>26074.636786212443</v>
      </c>
      <c r="G40" s="18">
        <f>G39*G31</f>
        <v>11927.250586039647</v>
      </c>
      <c r="H40" s="18">
        <f>H39*H31</f>
        <v>-186638.14722140727</v>
      </c>
      <c r="I40" s="18">
        <f>I39*I31</f>
        <v>-2875.4674724771858</v>
      </c>
      <c r="J40" s="18">
        <f>J39*J31</f>
        <v>-28893.44787205564</v>
      </c>
      <c r="K40" s="24">
        <f>SUM(F40:J40)</f>
        <v>-180405.17519368799</v>
      </c>
    </row>
    <row r="41" spans="1:11" ht="13.5" thickBot="1">
      <c r="A41" s="10">
        <f t="shared" si="0"/>
        <v>29</v>
      </c>
      <c r="C41" s="40"/>
      <c r="D41" s="41"/>
      <c r="E41" s="42"/>
      <c r="F41" s="42"/>
      <c r="G41" s="42"/>
      <c r="H41" s="42"/>
      <c r="I41" s="42"/>
      <c r="J41" s="42"/>
      <c r="K41" s="40"/>
    </row>
    <row r="42" spans="1:11" ht="13.5" thickTop="1">
      <c r="A42" s="10">
        <f t="shared" si="0"/>
        <v>30</v>
      </c>
      <c r="D42" s="1"/>
      <c r="E42" s="18"/>
    </row>
    <row r="43" spans="1:11">
      <c r="A43" s="10">
        <f t="shared" si="0"/>
        <v>31</v>
      </c>
      <c r="D43" s="2"/>
      <c r="E43" s="18"/>
      <c r="F43" s="39" t="s">
        <v>34</v>
      </c>
      <c r="G43" s="39" t="s">
        <v>25</v>
      </c>
      <c r="I43" s="39" t="s">
        <v>74</v>
      </c>
    </row>
    <row r="44" spans="1:11">
      <c r="A44" s="10">
        <f t="shared" si="0"/>
        <v>32</v>
      </c>
      <c r="C44" s="2" t="s">
        <v>38</v>
      </c>
      <c r="D44" s="2"/>
      <c r="E44" s="18"/>
      <c r="F44" s="19">
        <v>0</v>
      </c>
      <c r="G44" s="19">
        <v>0</v>
      </c>
      <c r="I44" s="27">
        <f>F44-G44</f>
        <v>0</v>
      </c>
    </row>
    <row r="45" spans="1:11">
      <c r="A45" s="10">
        <f t="shared" si="0"/>
        <v>33</v>
      </c>
      <c r="C45" s="2"/>
      <c r="D45" s="2"/>
      <c r="E45" s="18"/>
      <c r="F45" s="18"/>
    </row>
    <row r="46" spans="1:11">
      <c r="A46" s="10">
        <f t="shared" si="0"/>
        <v>34</v>
      </c>
      <c r="C46" s="2" t="s">
        <v>39</v>
      </c>
      <c r="E46" s="14"/>
      <c r="F46" s="14">
        <f>K36</f>
        <v>-201803.58633870207</v>
      </c>
      <c r="G46" s="14">
        <f>K40</f>
        <v>-180405.17519368799</v>
      </c>
      <c r="I46" s="27">
        <f>F46-G46</f>
        <v>-21398.411145014077</v>
      </c>
    </row>
    <row r="47" spans="1:11">
      <c r="A47" s="10">
        <f t="shared" si="0"/>
        <v>35</v>
      </c>
      <c r="C47" s="2"/>
    </row>
    <row r="48" spans="1:11" ht="13.5" thickBot="1">
      <c r="A48" s="10">
        <f t="shared" si="0"/>
        <v>36</v>
      </c>
      <c r="C48" s="3" t="s">
        <v>16</v>
      </c>
      <c r="D48" s="20"/>
      <c r="E48" s="21"/>
      <c r="F48" s="22">
        <f>ROUND(F46-F44,2)</f>
        <v>-201803.59</v>
      </c>
      <c r="G48" s="22">
        <f>ROUND(G46-G44,2)</f>
        <v>-180405.18</v>
      </c>
      <c r="I48" s="22">
        <f>ROUND(I46-I44,2)</f>
        <v>-21398.41</v>
      </c>
    </row>
    <row r="49" spans="1:11" ht="13.5" thickTop="1">
      <c r="A49" s="10">
        <f t="shared" si="0"/>
        <v>37</v>
      </c>
    </row>
    <row r="50" spans="1:11">
      <c r="A50" s="10">
        <f t="shared" si="0"/>
        <v>38</v>
      </c>
    </row>
    <row r="51" spans="1:11">
      <c r="A51" s="10">
        <f t="shared" si="0"/>
        <v>39</v>
      </c>
      <c r="C51" s="26" t="s">
        <v>71</v>
      </c>
      <c r="G51" s="38" t="s">
        <v>72</v>
      </c>
    </row>
    <row r="52" spans="1:11">
      <c r="A52" s="10">
        <f t="shared" si="0"/>
        <v>40</v>
      </c>
      <c r="C52" s="11" t="s">
        <v>65</v>
      </c>
      <c r="D52" s="1"/>
      <c r="E52" s="18"/>
      <c r="G52" s="247">
        <v>61109366.57</v>
      </c>
    </row>
    <row r="53" spans="1:11">
      <c r="A53" s="10">
        <f t="shared" si="0"/>
        <v>41</v>
      </c>
      <c r="C53" s="11" t="s">
        <v>67</v>
      </c>
      <c r="D53" s="1"/>
      <c r="E53" s="18"/>
      <c r="G53" s="247">
        <v>4031713</v>
      </c>
    </row>
    <row r="54" spans="1:11">
      <c r="A54" s="10">
        <f t="shared" si="0"/>
        <v>42</v>
      </c>
      <c r="C54" s="11" t="s">
        <v>66</v>
      </c>
      <c r="D54" s="1"/>
      <c r="E54" s="18"/>
      <c r="G54" s="247">
        <v>-8582378</v>
      </c>
    </row>
    <row r="55" spans="1:11">
      <c r="A55" s="10">
        <f t="shared" si="0"/>
        <v>43</v>
      </c>
      <c r="C55" s="11" t="s">
        <v>68</v>
      </c>
      <c r="D55" s="1"/>
      <c r="E55" s="18"/>
      <c r="G55" s="247">
        <f>SUM(G52:G54)</f>
        <v>56558701.57</v>
      </c>
    </row>
    <row r="56" spans="1:11">
      <c r="A56" s="10">
        <f t="shared" si="0"/>
        <v>44</v>
      </c>
      <c r="C56" s="11" t="s">
        <v>69</v>
      </c>
      <c r="D56" s="1"/>
      <c r="E56" s="18"/>
      <c r="G56" s="246">
        <v>884343501</v>
      </c>
    </row>
    <row r="58" spans="1:11" ht="12.75" customHeight="1">
      <c r="C58" s="261" t="s">
        <v>189</v>
      </c>
      <c r="D58" s="261"/>
      <c r="E58" s="261"/>
      <c r="F58" s="261"/>
      <c r="G58" s="261"/>
      <c r="H58" s="261"/>
      <c r="I58" s="261"/>
      <c r="J58" s="261"/>
      <c r="K58" s="261"/>
    </row>
  </sheetData>
  <mergeCells count="4">
    <mergeCell ref="A4:K4"/>
    <mergeCell ref="A5:K5"/>
    <mergeCell ref="A7:K7"/>
    <mergeCell ref="C58:K58"/>
  </mergeCells>
  <printOptions horizontalCentered="1"/>
  <pageMargins left="0.25" right="0.25" top="0.75" bottom="0.75" header="0.5" footer="0.25"/>
  <pageSetup scale="98" fitToHeight="2" orientation="landscape" r:id="rId1"/>
  <headerFooter alignWithMargins="0">
    <oddFooter>&amp;RRevised Exhibit JW-2
Page &amp;P of &amp;N</oddFooter>
  </headerFooter>
  <rowBreaks count="1" manualBreakCount="1">
    <brk id="32" max="10" man="1"/>
  </rowBreaks>
  <ignoredErrors>
    <ignoredError sqref="C10:K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7549-6956-4EF7-BA4E-F8E8FC614BC8}">
  <sheetPr>
    <pageSetUpPr fitToPage="1"/>
  </sheetPr>
  <dimension ref="A1:E28"/>
  <sheetViews>
    <sheetView view="pageBreakPreview" zoomScaleNormal="100" zoomScaleSheetLayoutView="100" workbookViewId="0">
      <selection activeCell="I40" sqref="I40"/>
    </sheetView>
  </sheetViews>
  <sheetFormatPr defaultColWidth="9.140625" defaultRowHeight="12.75"/>
  <cols>
    <col min="1" max="1" width="5.85546875" style="11" customWidth="1"/>
    <col min="2" max="2" width="2.28515625" style="11" customWidth="1"/>
    <col min="3" max="3" width="37.7109375" style="11" bestFit="1" customWidth="1"/>
    <col min="4" max="4" width="2.42578125" style="11" customWidth="1"/>
    <col min="5" max="5" width="15.7109375" style="11" customWidth="1"/>
    <col min="6" max="16384" width="9.140625" style="11"/>
  </cols>
  <sheetData>
    <row r="1" spans="1:5">
      <c r="E1" s="5" t="s">
        <v>125</v>
      </c>
    </row>
    <row r="2" spans="1:5" ht="20.25" customHeight="1">
      <c r="E2" s="5"/>
    </row>
    <row r="3" spans="1:5">
      <c r="A3" s="259" t="s">
        <v>244</v>
      </c>
      <c r="B3" s="259"/>
      <c r="C3" s="259"/>
      <c r="D3" s="259"/>
      <c r="E3" s="259"/>
    </row>
    <row r="4" spans="1:5">
      <c r="A4" s="259" t="s">
        <v>248</v>
      </c>
      <c r="B4" s="259"/>
      <c r="C4" s="259"/>
      <c r="D4" s="259"/>
      <c r="E4" s="259"/>
    </row>
    <row r="6" spans="1:5" s="6" customFormat="1" ht="15" customHeight="1">
      <c r="A6" s="260" t="s">
        <v>32</v>
      </c>
      <c r="B6" s="260"/>
      <c r="C6" s="260"/>
      <c r="D6" s="260"/>
      <c r="E6" s="260"/>
    </row>
    <row r="8" spans="1:5">
      <c r="A8" s="10" t="s">
        <v>0</v>
      </c>
      <c r="C8" s="10" t="s">
        <v>42</v>
      </c>
      <c r="D8" s="10"/>
      <c r="E8" s="10" t="s">
        <v>25</v>
      </c>
    </row>
    <row r="9" spans="1:5">
      <c r="A9" s="12" t="s">
        <v>22</v>
      </c>
      <c r="C9" s="13" t="s">
        <v>19</v>
      </c>
      <c r="D9" s="13"/>
      <c r="E9" s="13" t="s">
        <v>21</v>
      </c>
    </row>
    <row r="10" spans="1:5">
      <c r="A10" s="10"/>
    </row>
    <row r="11" spans="1:5">
      <c r="A11" s="10">
        <v>1</v>
      </c>
      <c r="C11" s="15" t="s">
        <v>253</v>
      </c>
      <c r="E11" s="30">
        <v>25000</v>
      </c>
    </row>
    <row r="12" spans="1:5">
      <c r="A12" s="10">
        <f>A11+1</f>
        <v>2</v>
      </c>
      <c r="C12" s="15" t="s">
        <v>254</v>
      </c>
      <c r="E12" s="30">
        <v>20000</v>
      </c>
    </row>
    <row r="13" spans="1:5">
      <c r="A13" s="10">
        <f t="shared" ref="A13:A25" si="0">A12+1</f>
        <v>3</v>
      </c>
      <c r="C13" s="15" t="s">
        <v>43</v>
      </c>
      <c r="D13" s="1"/>
      <c r="E13" s="30">
        <v>5000</v>
      </c>
    </row>
    <row r="14" spans="1:5">
      <c r="A14" s="10">
        <f t="shared" si="0"/>
        <v>4</v>
      </c>
      <c r="C14" s="15" t="s">
        <v>44</v>
      </c>
      <c r="D14" s="1"/>
      <c r="E14" s="30">
        <v>1000</v>
      </c>
    </row>
    <row r="15" spans="1:5">
      <c r="A15" s="10">
        <f t="shared" si="0"/>
        <v>5</v>
      </c>
      <c r="C15" s="16" t="s">
        <v>23</v>
      </c>
      <c r="D15" s="4"/>
      <c r="E15" s="45">
        <f>SUM(E11:E14)</f>
        <v>51000</v>
      </c>
    </row>
    <row r="16" spans="1:5">
      <c r="A16" s="10">
        <f t="shared" si="0"/>
        <v>6</v>
      </c>
      <c r="D16" s="2"/>
    </row>
    <row r="17" spans="1:5">
      <c r="A17" s="10">
        <f t="shared" si="0"/>
        <v>7</v>
      </c>
      <c r="C17" s="2" t="s">
        <v>45</v>
      </c>
      <c r="D17" s="2"/>
      <c r="E17" s="19">
        <f>E15</f>
        <v>51000</v>
      </c>
    </row>
    <row r="18" spans="1:5">
      <c r="A18" s="10">
        <f t="shared" si="0"/>
        <v>8</v>
      </c>
      <c r="C18" s="2" t="s">
        <v>46</v>
      </c>
      <c r="D18" s="2"/>
      <c r="E18" s="19">
        <v>3</v>
      </c>
    </row>
    <row r="19" spans="1:5">
      <c r="A19" s="10">
        <f t="shared" si="0"/>
        <v>9</v>
      </c>
      <c r="C19" s="2" t="s">
        <v>48</v>
      </c>
      <c r="D19" s="2"/>
      <c r="E19" s="19">
        <f>E17/E18</f>
        <v>17000</v>
      </c>
    </row>
    <row r="20" spans="1:5">
      <c r="A20" s="10">
        <f t="shared" si="0"/>
        <v>10</v>
      </c>
      <c r="C20" s="2"/>
      <c r="D20" s="2"/>
      <c r="E20" s="19"/>
    </row>
    <row r="21" spans="1:5">
      <c r="A21" s="10">
        <f t="shared" si="0"/>
        <v>11</v>
      </c>
      <c r="C21" s="2" t="s">
        <v>38</v>
      </c>
      <c r="D21" s="2"/>
      <c r="E21" s="19">
        <v>0</v>
      </c>
    </row>
    <row r="22" spans="1:5">
      <c r="A22" s="10">
        <f t="shared" si="0"/>
        <v>12</v>
      </c>
      <c r="C22" s="2"/>
      <c r="D22" s="2"/>
    </row>
    <row r="23" spans="1:5">
      <c r="A23" s="10">
        <f t="shared" si="0"/>
        <v>13</v>
      </c>
      <c r="C23" s="2" t="s">
        <v>39</v>
      </c>
      <c r="E23" s="14">
        <f>E19</f>
        <v>17000</v>
      </c>
    </row>
    <row r="24" spans="1:5">
      <c r="A24" s="10">
        <f t="shared" si="0"/>
        <v>14</v>
      </c>
      <c r="C24" s="2"/>
    </row>
    <row r="25" spans="1:5" ht="13.5" thickBot="1">
      <c r="A25" s="10">
        <f t="shared" si="0"/>
        <v>15</v>
      </c>
      <c r="C25" s="3" t="s">
        <v>16</v>
      </c>
      <c r="D25" s="20"/>
      <c r="E25" s="22">
        <f>ROUND(E23-E21,2)</f>
        <v>17000</v>
      </c>
    </row>
    <row r="26" spans="1:5" ht="13.5" thickTop="1"/>
    <row r="28" spans="1:5" ht="30" customHeight="1">
      <c r="C28" s="261" t="s">
        <v>49</v>
      </c>
      <c r="D28" s="261"/>
      <c r="E28" s="261"/>
    </row>
  </sheetData>
  <mergeCells count="4">
    <mergeCell ref="A3:E3"/>
    <mergeCell ref="A4:E4"/>
    <mergeCell ref="A6:E6"/>
    <mergeCell ref="C28:E28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E9 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93B-E689-4C98-9E5B-888D0C5E43F7}">
  <sheetPr>
    <pageSetUpPr fitToPage="1"/>
  </sheetPr>
  <dimension ref="A1:S59"/>
  <sheetViews>
    <sheetView view="pageBreakPreview" topLeftCell="A22" zoomScaleNormal="100" zoomScaleSheetLayoutView="100" workbookViewId="0">
      <selection activeCell="I40" sqref="I40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9.28515625" style="2" customWidth="1"/>
    <col min="4" max="4" width="35.140625" style="2" bestFit="1" customWidth="1"/>
    <col min="5" max="5" width="12.28515625" style="2" customWidth="1"/>
    <col min="6" max="6" width="10.5703125" style="2" customWidth="1"/>
    <col min="7" max="7" width="10.42578125" style="2" customWidth="1"/>
    <col min="8" max="8" width="11.42578125" style="2" customWidth="1"/>
    <col min="9" max="9" width="11.7109375" style="2" customWidth="1"/>
    <col min="10" max="10" width="17.42578125" style="2" customWidth="1"/>
    <col min="11" max="14" width="9.140625" style="2"/>
    <col min="15" max="15" width="14" style="2" bestFit="1" customWidth="1"/>
    <col min="16" max="16" width="15.28515625" style="2" bestFit="1" customWidth="1"/>
    <col min="17" max="16384" width="9.140625" style="2"/>
  </cols>
  <sheetData>
    <row r="1" spans="1:19">
      <c r="G1" s="56"/>
      <c r="J1" s="56" t="s">
        <v>126</v>
      </c>
    </row>
    <row r="2" spans="1:19" ht="20.25" customHeight="1">
      <c r="G2" s="56"/>
    </row>
    <row r="3" spans="1:19">
      <c r="A3" s="262" t="s">
        <v>244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9">
      <c r="A4" s="262" t="s">
        <v>248</v>
      </c>
      <c r="B4" s="262"/>
      <c r="C4" s="262"/>
      <c r="D4" s="262"/>
      <c r="E4" s="262"/>
      <c r="F4" s="262"/>
      <c r="G4" s="262"/>
      <c r="H4" s="262"/>
      <c r="I4" s="262"/>
      <c r="J4" s="262"/>
    </row>
    <row r="6" spans="1:19" s="57" customFormat="1" ht="15" customHeight="1">
      <c r="A6" s="260" t="s">
        <v>30</v>
      </c>
      <c r="B6" s="260"/>
      <c r="C6" s="260"/>
      <c r="D6" s="260"/>
      <c r="E6" s="260"/>
      <c r="F6" s="260"/>
      <c r="G6" s="260"/>
      <c r="H6" s="260"/>
      <c r="I6" s="260"/>
      <c r="J6" s="260"/>
    </row>
    <row r="8" spans="1:19" s="52" customFormat="1" ht="38.25" customHeight="1">
      <c r="A8" s="52" t="s">
        <v>0</v>
      </c>
      <c r="C8" s="52" t="s">
        <v>140</v>
      </c>
      <c r="D8" s="52" t="s">
        <v>1</v>
      </c>
      <c r="E8" s="52" t="s">
        <v>137</v>
      </c>
      <c r="F8" s="52" t="s">
        <v>141</v>
      </c>
      <c r="G8" s="52" t="s">
        <v>97</v>
      </c>
      <c r="H8" s="52" t="s">
        <v>138</v>
      </c>
      <c r="I8" s="52" t="s">
        <v>139</v>
      </c>
      <c r="J8" s="52" t="s">
        <v>132</v>
      </c>
    </row>
    <row r="9" spans="1:19">
      <c r="A9" s="58" t="s">
        <v>22</v>
      </c>
      <c r="B9" s="1"/>
      <c r="C9" s="248" t="s">
        <v>19</v>
      </c>
      <c r="D9" s="248" t="s">
        <v>21</v>
      </c>
      <c r="E9" s="248" t="s">
        <v>20</v>
      </c>
      <c r="F9" s="248" t="s">
        <v>26</v>
      </c>
      <c r="G9" s="248" t="s">
        <v>51</v>
      </c>
      <c r="H9" s="248" t="s">
        <v>52</v>
      </c>
      <c r="I9" s="248" t="s">
        <v>53</v>
      </c>
      <c r="J9" s="248" t="s">
        <v>54</v>
      </c>
      <c r="N9" s="52"/>
      <c r="O9" s="52"/>
      <c r="P9" s="52"/>
      <c r="Q9" s="52"/>
      <c r="R9" s="52"/>
      <c r="S9" s="52"/>
    </row>
    <row r="10" spans="1:19">
      <c r="A10" s="1"/>
      <c r="B10" s="1"/>
      <c r="M10" s="52"/>
      <c r="N10" s="52"/>
      <c r="O10" s="52"/>
      <c r="P10" s="52"/>
      <c r="Q10" s="52"/>
      <c r="R10" s="52"/>
      <c r="S10" s="52"/>
    </row>
    <row r="11" spans="1:19">
      <c r="A11" s="1">
        <v>1</v>
      </c>
      <c r="B11" s="1"/>
      <c r="C11" s="63" t="s">
        <v>142</v>
      </c>
      <c r="N11" s="52"/>
      <c r="O11" s="52"/>
      <c r="P11" s="52"/>
      <c r="Q11" s="52"/>
      <c r="R11" s="52"/>
      <c r="S11" s="52"/>
    </row>
    <row r="12" spans="1:19">
      <c r="A12" s="1"/>
      <c r="B12" s="1"/>
      <c r="C12" s="249">
        <v>362</v>
      </c>
      <c r="D12" s="2" t="s">
        <v>143</v>
      </c>
      <c r="E12" s="65">
        <v>1724137.8</v>
      </c>
      <c r="F12" s="65">
        <v>0</v>
      </c>
      <c r="G12" s="66">
        <v>6.6695999999999991E-2</v>
      </c>
      <c r="H12" s="65">
        <f>ROUND(((+E12-F12)*G12),2)</f>
        <v>114993.09</v>
      </c>
      <c r="I12" s="65">
        <v>114993.12</v>
      </c>
      <c r="J12" s="247">
        <f>H12-I12</f>
        <v>-2.9999999998835847E-2</v>
      </c>
      <c r="M12" s="52"/>
      <c r="N12" s="52"/>
      <c r="O12" s="52"/>
      <c r="P12" s="52"/>
      <c r="Q12" s="52"/>
      <c r="R12" s="52"/>
      <c r="S12" s="52"/>
    </row>
    <row r="13" spans="1:19">
      <c r="A13" s="1"/>
      <c r="B13" s="1"/>
      <c r="C13" s="249">
        <v>362.1</v>
      </c>
      <c r="D13" s="2" t="s">
        <v>144</v>
      </c>
      <c r="E13" s="65">
        <v>75936.539999999994</v>
      </c>
      <c r="F13" s="65">
        <v>0</v>
      </c>
      <c r="G13" s="66">
        <v>6.6695999999999991E-2</v>
      </c>
      <c r="H13" s="65">
        <f t="shared" ref="H13:H22" si="0">ROUND(((+E13-F13)*G13),2)</f>
        <v>5064.66</v>
      </c>
      <c r="I13" s="65">
        <v>5064.72</v>
      </c>
      <c r="J13" s="247">
        <f t="shared" ref="J13:J22" si="1">H13-I13</f>
        <v>-6.0000000000400178E-2</v>
      </c>
      <c r="N13" s="52"/>
      <c r="O13" s="52"/>
      <c r="P13" s="52"/>
      <c r="Q13" s="52"/>
      <c r="R13" s="52"/>
      <c r="S13" s="52"/>
    </row>
    <row r="14" spans="1:19">
      <c r="A14" s="1"/>
      <c r="B14" s="1"/>
      <c r="C14" s="249">
        <v>364</v>
      </c>
      <c r="D14" s="2" t="s">
        <v>145</v>
      </c>
      <c r="E14" s="65">
        <v>71390479.480000004</v>
      </c>
      <c r="F14" s="65">
        <v>0</v>
      </c>
      <c r="G14" s="66">
        <v>4.2096000000000001E-2</v>
      </c>
      <c r="H14" s="65">
        <f t="shared" si="0"/>
        <v>3005253.62</v>
      </c>
      <c r="I14" s="65">
        <v>2959094.09</v>
      </c>
      <c r="J14" s="247">
        <f t="shared" si="1"/>
        <v>46159.530000000261</v>
      </c>
      <c r="M14" s="52"/>
      <c r="N14" s="52"/>
      <c r="O14" s="52"/>
      <c r="P14" s="52"/>
      <c r="Q14" s="52"/>
      <c r="R14" s="52"/>
      <c r="S14" s="52"/>
    </row>
    <row r="15" spans="1:19">
      <c r="A15" s="1"/>
      <c r="B15" s="1"/>
      <c r="C15" s="249">
        <v>365</v>
      </c>
      <c r="D15" s="2" t="s">
        <v>146</v>
      </c>
      <c r="E15" s="65">
        <v>74812719.159999996</v>
      </c>
      <c r="F15" s="65">
        <v>0</v>
      </c>
      <c r="G15" s="66">
        <v>3.6096000000000003E-2</v>
      </c>
      <c r="H15" s="65">
        <f t="shared" si="0"/>
        <v>2700439.91</v>
      </c>
      <c r="I15" s="65">
        <v>2645376.59</v>
      </c>
      <c r="J15" s="247">
        <f t="shared" si="1"/>
        <v>55063.320000000298</v>
      </c>
      <c r="N15" s="52"/>
      <c r="O15" s="52"/>
      <c r="P15" s="52"/>
      <c r="Q15" s="52"/>
      <c r="R15" s="52"/>
      <c r="S15" s="52"/>
    </row>
    <row r="16" spans="1:19">
      <c r="A16" s="1"/>
      <c r="B16" s="1"/>
      <c r="C16" s="249">
        <v>367</v>
      </c>
      <c r="D16" s="2" t="s">
        <v>147</v>
      </c>
      <c r="E16" s="65">
        <v>2294046.85</v>
      </c>
      <c r="F16" s="65">
        <v>0</v>
      </c>
      <c r="G16" s="66">
        <v>3.5195999999999998E-2</v>
      </c>
      <c r="H16" s="65">
        <f t="shared" si="0"/>
        <v>80741.27</v>
      </c>
      <c r="I16" s="65">
        <v>79047.11</v>
      </c>
      <c r="J16" s="247">
        <f t="shared" si="1"/>
        <v>1694.1600000000035</v>
      </c>
      <c r="M16" s="52"/>
      <c r="N16" s="52"/>
      <c r="O16" s="52"/>
      <c r="P16" s="52"/>
      <c r="Q16" s="52"/>
      <c r="R16" s="52"/>
      <c r="S16" s="52"/>
    </row>
    <row r="17" spans="1:19">
      <c r="A17" s="1"/>
      <c r="B17" s="1"/>
      <c r="C17" s="249">
        <v>368</v>
      </c>
      <c r="D17" s="2" t="s">
        <v>148</v>
      </c>
      <c r="E17" s="65">
        <v>31542848.879999999</v>
      </c>
      <c r="F17" s="65">
        <v>0</v>
      </c>
      <c r="G17" s="66">
        <v>2.5595999999999997E-2</v>
      </c>
      <c r="H17" s="65">
        <f t="shared" si="0"/>
        <v>807370.76</v>
      </c>
      <c r="I17" s="65">
        <v>798235.08</v>
      </c>
      <c r="J17" s="247">
        <f t="shared" si="1"/>
        <v>9135.6800000000512</v>
      </c>
      <c r="N17" s="52"/>
      <c r="O17" s="52"/>
      <c r="P17" s="52"/>
      <c r="Q17" s="52"/>
      <c r="R17" s="52"/>
      <c r="S17" s="52"/>
    </row>
    <row r="18" spans="1:19">
      <c r="A18" s="1"/>
      <c r="B18" s="1"/>
      <c r="C18" s="249">
        <v>369</v>
      </c>
      <c r="D18" s="2" t="s">
        <v>100</v>
      </c>
      <c r="E18" s="65">
        <v>24520121.420000002</v>
      </c>
      <c r="F18" s="65">
        <v>0</v>
      </c>
      <c r="G18" s="66">
        <v>4.7796000000000005E-2</v>
      </c>
      <c r="H18" s="65">
        <f t="shared" si="0"/>
        <v>1171963.72</v>
      </c>
      <c r="I18" s="65">
        <v>1147772.5</v>
      </c>
      <c r="J18" s="247">
        <f t="shared" si="1"/>
        <v>24191.219999999972</v>
      </c>
      <c r="M18" s="52"/>
      <c r="N18" s="52"/>
      <c r="O18" s="52"/>
      <c r="P18" s="52"/>
      <c r="Q18" s="52"/>
      <c r="R18" s="52"/>
      <c r="S18" s="52"/>
    </row>
    <row r="19" spans="1:19">
      <c r="A19" s="1"/>
      <c r="C19" s="249">
        <v>370</v>
      </c>
      <c r="D19" s="2" t="s">
        <v>131</v>
      </c>
      <c r="E19" s="65">
        <v>1758346.99</v>
      </c>
      <c r="F19" s="65">
        <v>0</v>
      </c>
      <c r="G19" s="66">
        <v>4.1700000000000001E-2</v>
      </c>
      <c r="H19" s="65">
        <f t="shared" si="0"/>
        <v>73323.070000000007</v>
      </c>
      <c r="I19" s="65">
        <v>72060.240000000005</v>
      </c>
      <c r="J19" s="247">
        <f t="shared" si="1"/>
        <v>1262.8300000000017</v>
      </c>
      <c r="N19" s="52"/>
      <c r="O19" s="52"/>
      <c r="P19" s="52"/>
      <c r="Q19" s="52"/>
      <c r="R19" s="52"/>
      <c r="S19" s="52"/>
    </row>
    <row r="20" spans="1:19">
      <c r="A20" s="1"/>
      <c r="C20" s="249">
        <v>370.01</v>
      </c>
      <c r="D20" s="2" t="s">
        <v>255</v>
      </c>
      <c r="E20" s="65">
        <v>12001667.27</v>
      </c>
      <c r="F20" s="65">
        <v>0</v>
      </c>
      <c r="G20" s="66">
        <v>6.6695999999999991E-2</v>
      </c>
      <c r="H20" s="65">
        <f t="shared" si="0"/>
        <v>800463.2</v>
      </c>
      <c r="I20" s="65">
        <v>767024.55</v>
      </c>
      <c r="J20" s="247">
        <f t="shared" si="1"/>
        <v>33438.649999999907</v>
      </c>
      <c r="M20" s="52"/>
      <c r="N20" s="52"/>
      <c r="O20" s="52"/>
      <c r="P20" s="52"/>
      <c r="Q20" s="52"/>
      <c r="R20" s="52"/>
      <c r="S20" s="52"/>
    </row>
    <row r="21" spans="1:19">
      <c r="A21" s="1"/>
      <c r="C21" s="249">
        <v>371</v>
      </c>
      <c r="D21" s="2" t="s">
        <v>149</v>
      </c>
      <c r="E21" s="65">
        <v>6733690.5</v>
      </c>
      <c r="F21" s="65">
        <v>0</v>
      </c>
      <c r="G21" s="66">
        <v>5.0196000000000005E-2</v>
      </c>
      <c r="H21" s="65">
        <f t="shared" si="0"/>
        <v>338004.33</v>
      </c>
      <c r="I21" s="65">
        <v>329445.36</v>
      </c>
      <c r="J21" s="247">
        <f t="shared" si="1"/>
        <v>8558.9700000000303</v>
      </c>
      <c r="N21" s="52"/>
      <c r="O21" s="52"/>
      <c r="P21" s="52"/>
      <c r="Q21" s="52"/>
      <c r="R21" s="52"/>
      <c r="S21" s="52"/>
    </row>
    <row r="22" spans="1:19">
      <c r="A22" s="1"/>
      <c r="C22" s="249">
        <v>373</v>
      </c>
      <c r="D22" s="2" t="s">
        <v>256</v>
      </c>
      <c r="E22" s="65">
        <v>312751.83</v>
      </c>
      <c r="F22" s="65">
        <v>0</v>
      </c>
      <c r="G22" s="66">
        <v>5.2103999999999998E-2</v>
      </c>
      <c r="H22" s="65">
        <f t="shared" si="0"/>
        <v>16295.62</v>
      </c>
      <c r="I22" s="65">
        <v>15466.32</v>
      </c>
      <c r="J22" s="247">
        <f t="shared" si="1"/>
        <v>829.30000000000109</v>
      </c>
      <c r="M22" s="52"/>
      <c r="N22" s="52"/>
      <c r="O22" s="52"/>
      <c r="P22" s="52"/>
      <c r="Q22" s="52"/>
      <c r="R22" s="52"/>
      <c r="S22" s="52"/>
    </row>
    <row r="23" spans="1:19">
      <c r="A23" s="1"/>
      <c r="D23" s="151" t="s">
        <v>23</v>
      </c>
      <c r="E23" s="250">
        <f>SUM(E12:E22)</f>
        <v>227166746.72000003</v>
      </c>
      <c r="F23" s="250">
        <f>SUM(F12:F22)</f>
        <v>0</v>
      </c>
      <c r="G23" s="250"/>
      <c r="H23" s="250">
        <f>SUM(H12:H21)</f>
        <v>9097617.629999999</v>
      </c>
      <c r="I23" s="250">
        <f>SUM(I12:I22)</f>
        <v>8933579.6799999997</v>
      </c>
      <c r="J23" s="250">
        <f>SUM(J12:J22)</f>
        <v>180333.57000000053</v>
      </c>
      <c r="N23" s="52"/>
      <c r="O23" s="52"/>
      <c r="P23" s="52"/>
      <c r="Q23" s="52"/>
      <c r="R23" s="52"/>
      <c r="S23" s="52"/>
    </row>
    <row r="24" spans="1:19">
      <c r="A24" s="1"/>
      <c r="M24" s="52"/>
      <c r="N24" s="52"/>
      <c r="O24" s="52"/>
      <c r="P24" s="52"/>
      <c r="Q24" s="52"/>
      <c r="R24" s="52"/>
      <c r="S24" s="52"/>
    </row>
    <row r="25" spans="1:19">
      <c r="A25" s="1"/>
      <c r="C25" s="63" t="s">
        <v>158</v>
      </c>
      <c r="N25" s="52"/>
      <c r="O25" s="52"/>
      <c r="P25" s="52"/>
      <c r="Q25" s="52"/>
      <c r="R25" s="52"/>
      <c r="S25" s="52"/>
    </row>
    <row r="26" spans="1:19">
      <c r="A26" s="1"/>
      <c r="C26" s="51">
        <v>389</v>
      </c>
      <c r="D26" s="2" t="s">
        <v>150</v>
      </c>
      <c r="E26" s="65">
        <v>199154.59</v>
      </c>
      <c r="F26" s="65"/>
      <c r="G26" s="67"/>
      <c r="H26" s="65"/>
      <c r="I26" s="65"/>
      <c r="J26" s="247"/>
      <c r="M26" s="52"/>
      <c r="N26" s="52"/>
      <c r="O26" s="52"/>
      <c r="P26" s="52"/>
      <c r="Q26" s="52"/>
      <c r="R26" s="52"/>
      <c r="S26" s="52"/>
    </row>
    <row r="27" spans="1:19">
      <c r="A27" s="1"/>
      <c r="C27" s="249">
        <v>390</v>
      </c>
      <c r="D27" s="2" t="s">
        <v>151</v>
      </c>
      <c r="E27" s="65">
        <v>8432837.5800000001</v>
      </c>
      <c r="F27" s="65">
        <v>0</v>
      </c>
      <c r="G27" s="66">
        <v>2.2199999999999998E-2</v>
      </c>
      <c r="H27" s="65">
        <f>ROUND(((+E27-F27)*G27),2)</f>
        <v>187208.99</v>
      </c>
      <c r="I27" s="65">
        <v>181753.68</v>
      </c>
      <c r="J27" s="247">
        <f t="shared" ref="J27:J40" si="2">H27-I27</f>
        <v>5455.3099999999977</v>
      </c>
      <c r="N27" s="52"/>
      <c r="O27" s="52"/>
      <c r="P27" s="52"/>
      <c r="Q27" s="52"/>
      <c r="R27" s="52"/>
      <c r="S27" s="52"/>
    </row>
    <row r="28" spans="1:19">
      <c r="A28" s="1"/>
      <c r="C28" s="249">
        <v>390.01</v>
      </c>
      <c r="D28" s="2" t="s">
        <v>257</v>
      </c>
      <c r="E28" s="65">
        <v>47893.09</v>
      </c>
      <c r="F28" s="65">
        <v>0</v>
      </c>
      <c r="G28" s="66">
        <v>2.3280000000000002E-2</v>
      </c>
      <c r="H28" s="65">
        <f>ROUND(((+E28-F28)*G28),2)</f>
        <v>1114.95</v>
      </c>
      <c r="I28" s="65">
        <v>841.2</v>
      </c>
      <c r="J28" s="247">
        <f t="shared" si="2"/>
        <v>273.75</v>
      </c>
      <c r="M28" s="52"/>
      <c r="N28" s="52"/>
      <c r="O28" s="52"/>
      <c r="P28" s="52"/>
      <c r="Q28" s="52"/>
      <c r="R28" s="52"/>
      <c r="S28" s="52"/>
    </row>
    <row r="29" spans="1:19">
      <c r="A29" s="1"/>
      <c r="C29" s="249">
        <v>390.03</v>
      </c>
      <c r="D29" s="2" t="s">
        <v>258</v>
      </c>
      <c r="E29" s="65">
        <v>363375.79</v>
      </c>
      <c r="F29" s="65">
        <v>0</v>
      </c>
      <c r="G29" s="66">
        <v>9.9959999999999993E-2</v>
      </c>
      <c r="H29" s="65">
        <f>ROUND(((+E29-F29)*G29),2)</f>
        <v>36323.040000000001</v>
      </c>
      <c r="I29" s="65">
        <v>22359.88</v>
      </c>
      <c r="J29" s="247">
        <f t="shared" si="2"/>
        <v>13963.16</v>
      </c>
      <c r="N29" s="52"/>
      <c r="O29" s="52"/>
      <c r="P29" s="52"/>
      <c r="Q29" s="52"/>
      <c r="R29" s="52"/>
      <c r="S29" s="52"/>
    </row>
    <row r="30" spans="1:19">
      <c r="A30" s="1"/>
      <c r="C30" s="249">
        <v>390.13</v>
      </c>
      <c r="D30" s="2" t="s">
        <v>259</v>
      </c>
      <c r="E30" s="65">
        <v>36629.75</v>
      </c>
      <c r="F30" s="65">
        <v>0</v>
      </c>
      <c r="G30" s="66">
        <v>2.0400000000000001E-2</v>
      </c>
      <c r="H30" s="65">
        <f>ROUND(((+E30-F30)*G30),2)</f>
        <v>747.25</v>
      </c>
      <c r="I30" s="65">
        <v>827.64</v>
      </c>
      <c r="J30" s="247">
        <f t="shared" si="2"/>
        <v>-80.389999999999986</v>
      </c>
      <c r="M30" s="52"/>
      <c r="N30" s="52"/>
      <c r="O30" s="52"/>
      <c r="P30" s="52"/>
      <c r="Q30" s="52"/>
      <c r="R30" s="52"/>
      <c r="S30" s="52"/>
    </row>
    <row r="31" spans="1:19">
      <c r="A31" s="1"/>
      <c r="C31" s="249">
        <v>391</v>
      </c>
      <c r="D31" s="2" t="s">
        <v>152</v>
      </c>
      <c r="E31" s="65">
        <v>411350.21</v>
      </c>
      <c r="F31" s="65">
        <v>0</v>
      </c>
      <c r="G31" s="66">
        <v>0.06</v>
      </c>
      <c r="H31" s="65">
        <f t="shared" ref="H31:H40" si="3">ROUND(((+E31-F31)*G31),2)</f>
        <v>24681.01</v>
      </c>
      <c r="I31" s="65">
        <v>21057.67</v>
      </c>
      <c r="J31" s="247">
        <f t="shared" si="2"/>
        <v>3623.34</v>
      </c>
      <c r="N31" s="52"/>
      <c r="O31" s="52"/>
      <c r="P31" s="52"/>
      <c r="Q31" s="52"/>
      <c r="R31" s="52"/>
      <c r="S31" s="52"/>
    </row>
    <row r="32" spans="1:19">
      <c r="A32" s="1"/>
      <c r="C32" s="249">
        <v>391.01</v>
      </c>
      <c r="D32" s="2" t="s">
        <v>260</v>
      </c>
      <c r="E32" s="65">
        <v>680991.12</v>
      </c>
      <c r="F32" s="65">
        <v>0</v>
      </c>
      <c r="G32" s="66">
        <v>0.20000399999999999</v>
      </c>
      <c r="H32" s="65">
        <f t="shared" si="3"/>
        <v>136200.95000000001</v>
      </c>
      <c r="I32" s="65">
        <v>83847.039999999994</v>
      </c>
      <c r="J32" s="247">
        <f t="shared" si="2"/>
        <v>52353.910000000018</v>
      </c>
      <c r="M32" s="52"/>
      <c r="N32" s="52"/>
      <c r="O32" s="52"/>
      <c r="P32" s="52"/>
      <c r="Q32" s="52"/>
      <c r="R32" s="52"/>
      <c r="S32" s="52"/>
    </row>
    <row r="33" spans="1:19">
      <c r="A33" s="1"/>
      <c r="C33" s="249">
        <v>391.02</v>
      </c>
      <c r="D33" s="2" t="s">
        <v>261</v>
      </c>
      <c r="E33" s="65">
        <v>247432.95999999999</v>
      </c>
      <c r="F33" s="65">
        <v>0</v>
      </c>
      <c r="G33" s="66">
        <v>9.1560000000000002E-2</v>
      </c>
      <c r="H33" s="65">
        <f t="shared" si="3"/>
        <v>22654.959999999999</v>
      </c>
      <c r="I33" s="65">
        <v>14248.92</v>
      </c>
      <c r="J33" s="247">
        <f t="shared" si="2"/>
        <v>8406.0399999999991</v>
      </c>
      <c r="N33" s="52"/>
      <c r="O33" s="52"/>
      <c r="P33" s="52"/>
      <c r="Q33" s="52"/>
      <c r="R33" s="52"/>
      <c r="S33" s="52"/>
    </row>
    <row r="34" spans="1:19">
      <c r="A34" s="1"/>
      <c r="C34" s="249">
        <v>391.2</v>
      </c>
      <c r="D34" s="2" t="s">
        <v>262</v>
      </c>
      <c r="E34" s="65">
        <v>232124.02</v>
      </c>
      <c r="F34" s="65">
        <v>0</v>
      </c>
      <c r="G34" s="66">
        <v>3.9996000000000004E-2</v>
      </c>
      <c r="H34" s="65">
        <f t="shared" si="3"/>
        <v>9284.0300000000007</v>
      </c>
      <c r="I34" s="65">
        <v>9284.0400000000009</v>
      </c>
      <c r="J34" s="247">
        <f t="shared" si="2"/>
        <v>-1.0000000000218279E-2</v>
      </c>
      <c r="M34" s="52"/>
      <c r="N34" s="52"/>
      <c r="O34" s="52"/>
      <c r="P34" s="52"/>
      <c r="Q34" s="52"/>
      <c r="R34" s="52"/>
      <c r="S34" s="52"/>
    </row>
    <row r="35" spans="1:19">
      <c r="A35" s="1"/>
      <c r="C35" s="249">
        <v>393</v>
      </c>
      <c r="D35" s="2" t="s">
        <v>129</v>
      </c>
      <c r="E35" s="65">
        <v>285111.61</v>
      </c>
      <c r="F35" s="65">
        <v>0</v>
      </c>
      <c r="G35" s="66">
        <v>5.0004E-2</v>
      </c>
      <c r="H35" s="65">
        <f t="shared" si="3"/>
        <v>14256.72</v>
      </c>
      <c r="I35" s="65">
        <v>10845.84</v>
      </c>
      <c r="J35" s="247">
        <f t="shared" si="2"/>
        <v>3410.8799999999992</v>
      </c>
      <c r="N35" s="52"/>
      <c r="O35" s="52"/>
      <c r="P35" s="52"/>
      <c r="Q35" s="52"/>
      <c r="R35" s="52"/>
      <c r="S35" s="52"/>
    </row>
    <row r="36" spans="1:19">
      <c r="A36" s="1"/>
      <c r="C36" s="249">
        <v>394</v>
      </c>
      <c r="D36" s="2" t="s">
        <v>153</v>
      </c>
      <c r="E36" s="65">
        <v>485853.1</v>
      </c>
      <c r="F36" s="65">
        <v>0</v>
      </c>
      <c r="G36" s="66">
        <v>4.9992000000000002E-2</v>
      </c>
      <c r="H36" s="65">
        <f t="shared" si="3"/>
        <v>24288.77</v>
      </c>
      <c r="I36" s="65">
        <v>25074.880000000001</v>
      </c>
      <c r="J36" s="247">
        <f t="shared" si="2"/>
        <v>-786.11000000000058</v>
      </c>
      <c r="M36" s="52"/>
      <c r="N36" s="52"/>
      <c r="O36" s="52"/>
      <c r="P36" s="52"/>
      <c r="Q36" s="52"/>
      <c r="R36" s="52"/>
      <c r="S36" s="52"/>
    </row>
    <row r="37" spans="1:19">
      <c r="A37" s="1"/>
      <c r="C37" s="249">
        <v>395</v>
      </c>
      <c r="D37" s="2" t="s">
        <v>154</v>
      </c>
      <c r="E37" s="65">
        <v>274128.63</v>
      </c>
      <c r="F37" s="65">
        <v>0</v>
      </c>
      <c r="G37" s="66">
        <v>6.6695999999999991E-2</v>
      </c>
      <c r="H37" s="65">
        <f t="shared" si="3"/>
        <v>18283.28</v>
      </c>
      <c r="I37" s="65">
        <v>9814.85</v>
      </c>
      <c r="J37" s="247">
        <f t="shared" si="2"/>
        <v>8468.4299999999985</v>
      </c>
      <c r="N37" s="52"/>
      <c r="O37" s="52"/>
      <c r="P37" s="52"/>
      <c r="Q37" s="52"/>
      <c r="R37" s="52"/>
      <c r="S37" s="52"/>
    </row>
    <row r="38" spans="1:19">
      <c r="A38" s="1"/>
      <c r="C38" s="249">
        <v>396</v>
      </c>
      <c r="D38" s="2" t="s">
        <v>155</v>
      </c>
      <c r="E38" s="65">
        <v>50397.19</v>
      </c>
      <c r="F38" s="65">
        <v>0</v>
      </c>
      <c r="G38" s="66">
        <v>9.5304E-2</v>
      </c>
      <c r="H38" s="65">
        <f t="shared" si="3"/>
        <v>4803.05</v>
      </c>
      <c r="I38" s="65">
        <v>268.68</v>
      </c>
      <c r="J38" s="247">
        <f t="shared" si="2"/>
        <v>4534.37</v>
      </c>
      <c r="M38" s="52"/>
      <c r="N38" s="52"/>
      <c r="O38" s="52"/>
      <c r="P38" s="52"/>
      <c r="Q38" s="52"/>
      <c r="R38" s="52"/>
      <c r="S38" s="52"/>
    </row>
    <row r="39" spans="1:19">
      <c r="A39" s="1"/>
      <c r="C39" s="249">
        <v>397</v>
      </c>
      <c r="D39" s="2" t="s">
        <v>156</v>
      </c>
      <c r="E39" s="65">
        <v>2367815.7200000002</v>
      </c>
      <c r="F39" s="65">
        <v>0</v>
      </c>
      <c r="G39" s="66">
        <v>0.06</v>
      </c>
      <c r="H39" s="65">
        <f t="shared" si="3"/>
        <v>142068.94</v>
      </c>
      <c r="I39" s="65">
        <v>106301.95</v>
      </c>
      <c r="J39" s="247">
        <f t="shared" si="2"/>
        <v>35766.990000000005</v>
      </c>
      <c r="N39" s="52"/>
      <c r="O39" s="52"/>
      <c r="P39" s="52"/>
      <c r="Q39" s="52"/>
      <c r="R39" s="52"/>
      <c r="S39" s="52"/>
    </row>
    <row r="40" spans="1:19">
      <c r="A40" s="1"/>
      <c r="C40" s="251">
        <v>398</v>
      </c>
      <c r="D40" s="2" t="s">
        <v>157</v>
      </c>
      <c r="E40" s="65">
        <v>1957217.86</v>
      </c>
      <c r="F40" s="65">
        <v>0</v>
      </c>
      <c r="G40" s="66">
        <v>6.6960000000000006E-2</v>
      </c>
      <c r="H40" s="65">
        <f t="shared" si="3"/>
        <v>131055.31</v>
      </c>
      <c r="I40" s="65">
        <v>100846.64</v>
      </c>
      <c r="J40" s="247">
        <f t="shared" si="2"/>
        <v>30208.67</v>
      </c>
      <c r="M40" s="52"/>
      <c r="N40" s="52"/>
      <c r="O40" s="52"/>
      <c r="P40" s="52"/>
      <c r="Q40" s="52"/>
      <c r="R40" s="52"/>
      <c r="S40" s="52"/>
    </row>
    <row r="41" spans="1:19">
      <c r="A41" s="1"/>
      <c r="D41" s="151" t="s">
        <v>23</v>
      </c>
      <c r="E41" s="250">
        <f>SUM(E26:E40)</f>
        <v>16072313.219999999</v>
      </c>
      <c r="F41" s="250">
        <f>SUM(F26:F40)</f>
        <v>0</v>
      </c>
      <c r="G41" s="250"/>
      <c r="H41" s="250">
        <f>SUM(H26:H40)</f>
        <v>752971.25</v>
      </c>
      <c r="I41" s="250">
        <f>SUM(I26:I40)</f>
        <v>587372.90999999992</v>
      </c>
      <c r="J41" s="250">
        <f>SUM(J26:J40)</f>
        <v>165598.34000000003</v>
      </c>
      <c r="N41" s="52"/>
      <c r="O41" s="52"/>
      <c r="P41" s="52"/>
      <c r="Q41" s="52"/>
      <c r="R41" s="52"/>
      <c r="S41" s="52"/>
    </row>
    <row r="42" spans="1:19">
      <c r="A42" s="1"/>
      <c r="C42" s="80"/>
      <c r="D42" s="252" t="s">
        <v>161</v>
      </c>
      <c r="E42" s="253">
        <f>E23+E41</f>
        <v>243239059.94000003</v>
      </c>
      <c r="F42" s="253">
        <f>F23+F41</f>
        <v>0</v>
      </c>
      <c r="G42" s="253"/>
      <c r="H42" s="253">
        <f>H23+H41</f>
        <v>9850588.879999999</v>
      </c>
      <c r="I42" s="253">
        <f>I23+I41</f>
        <v>9520952.5899999999</v>
      </c>
      <c r="J42" s="253">
        <f>J23+J41</f>
        <v>345931.91000000056</v>
      </c>
      <c r="M42" s="52"/>
      <c r="N42" s="52"/>
      <c r="O42" s="52"/>
      <c r="P42" s="52"/>
      <c r="Q42" s="52"/>
      <c r="R42" s="52"/>
      <c r="S42" s="52"/>
    </row>
    <row r="43" spans="1:19">
      <c r="D43" s="81"/>
      <c r="E43" s="65"/>
      <c r="F43" s="65"/>
      <c r="G43" s="65"/>
      <c r="H43" s="65"/>
      <c r="I43" s="65"/>
      <c r="J43" s="65"/>
      <c r="N43" s="52"/>
      <c r="O43" s="52"/>
      <c r="P43" s="52"/>
      <c r="Q43" s="52"/>
      <c r="R43" s="52"/>
      <c r="S43" s="52"/>
    </row>
    <row r="44" spans="1:19" ht="29.25" customHeight="1">
      <c r="A44" s="49"/>
      <c r="B44" s="62"/>
      <c r="C44" s="63" t="s">
        <v>160</v>
      </c>
      <c r="E44" s="65"/>
      <c r="F44" s="65"/>
      <c r="G44" s="65"/>
      <c r="H44" s="65"/>
      <c r="I44" s="65"/>
      <c r="J44" s="65"/>
      <c r="K44" s="62"/>
      <c r="M44" s="52"/>
      <c r="N44" s="52"/>
      <c r="O44" s="52"/>
      <c r="P44" s="52"/>
      <c r="Q44" s="52"/>
      <c r="R44" s="52"/>
      <c r="S44" s="52"/>
    </row>
    <row r="45" spans="1:19" ht="12.75" customHeight="1">
      <c r="A45" s="49"/>
      <c r="B45" s="62"/>
      <c r="C45" s="51">
        <v>392</v>
      </c>
      <c r="D45" s="2" t="s">
        <v>130</v>
      </c>
      <c r="E45" s="65">
        <v>6847056.4099999992</v>
      </c>
      <c r="F45" s="65">
        <v>0</v>
      </c>
      <c r="G45" s="66">
        <v>0.15870000000000001</v>
      </c>
      <c r="H45" s="65">
        <f t="shared" ref="H45" si="4">ROUND(((+E45-F45)*G45),2)</f>
        <v>1086627.8500000001</v>
      </c>
      <c r="I45" s="65">
        <v>684637.1</v>
      </c>
      <c r="J45" s="247">
        <f t="shared" ref="J45" si="5">H45-I45</f>
        <v>401990.75000000012</v>
      </c>
      <c r="K45" s="62"/>
      <c r="N45" s="52"/>
      <c r="O45" s="52"/>
      <c r="P45" s="52"/>
      <c r="Q45" s="52"/>
      <c r="R45" s="52"/>
      <c r="S45" s="52"/>
    </row>
    <row r="46" spans="1:19">
      <c r="M46" s="52"/>
      <c r="N46" s="52"/>
      <c r="O46" s="52"/>
      <c r="P46" s="52"/>
      <c r="Q46" s="52"/>
      <c r="R46" s="52"/>
      <c r="S46" s="52"/>
    </row>
    <row r="47" spans="1:19" ht="13.5" thickBot="1">
      <c r="C47" s="3"/>
      <c r="D47" s="3" t="s">
        <v>15</v>
      </c>
      <c r="E47" s="254">
        <f>E42+E45</f>
        <v>250086116.35000002</v>
      </c>
      <c r="F47" s="254">
        <f>F42+F45</f>
        <v>0</v>
      </c>
      <c r="G47" s="3"/>
      <c r="H47" s="254">
        <f>H42+H45</f>
        <v>10937216.729999999</v>
      </c>
      <c r="I47" s="254">
        <f>I42+I45</f>
        <v>10205589.689999999</v>
      </c>
      <c r="J47" s="255">
        <f>J42+J45</f>
        <v>747922.66000000061</v>
      </c>
      <c r="N47" s="52"/>
      <c r="O47" s="52"/>
      <c r="P47" s="52"/>
      <c r="Q47" s="52"/>
      <c r="R47" s="52"/>
      <c r="S47" s="52"/>
    </row>
    <row r="48" spans="1:19" ht="13.5" thickTop="1">
      <c r="M48" s="52"/>
      <c r="N48" s="52"/>
      <c r="O48" s="52"/>
      <c r="P48" s="52"/>
      <c r="Q48" s="52"/>
      <c r="R48" s="52"/>
      <c r="S48" s="52"/>
    </row>
    <row r="49" spans="3:19" ht="25.5" customHeight="1">
      <c r="C49" s="263" t="s">
        <v>159</v>
      </c>
      <c r="D49" s="263"/>
      <c r="E49" s="263"/>
      <c r="F49" s="263"/>
      <c r="G49" s="263"/>
      <c r="H49" s="263"/>
      <c r="I49" s="263"/>
      <c r="J49" s="263"/>
      <c r="N49" s="52"/>
      <c r="O49" s="52"/>
      <c r="P49" s="52"/>
      <c r="Q49" s="52"/>
      <c r="R49" s="52"/>
      <c r="S49" s="52"/>
    </row>
    <row r="50" spans="3:19">
      <c r="C50" s="61"/>
      <c r="D50" s="61"/>
      <c r="E50" s="61"/>
      <c r="F50" s="61"/>
      <c r="G50" s="61"/>
      <c r="H50" s="61"/>
      <c r="I50" s="61"/>
      <c r="J50" s="61"/>
      <c r="M50" s="52"/>
      <c r="N50" s="52"/>
      <c r="O50" s="52"/>
      <c r="P50" s="52"/>
      <c r="Q50" s="52"/>
      <c r="R50" s="52"/>
      <c r="S50" s="52"/>
    </row>
    <row r="51" spans="3:19">
      <c r="N51" s="52"/>
      <c r="O51" s="52"/>
      <c r="P51" s="52"/>
      <c r="Q51" s="52"/>
      <c r="R51" s="52"/>
      <c r="S51" s="52"/>
    </row>
    <row r="52" spans="3:19" ht="12.75" customHeight="1">
      <c r="M52" s="52"/>
      <c r="N52" s="52"/>
      <c r="O52" s="52"/>
      <c r="P52" s="52"/>
      <c r="Q52" s="52"/>
      <c r="R52" s="52"/>
      <c r="S52" s="52"/>
    </row>
    <row r="53" spans="3:19">
      <c r="N53" s="52"/>
      <c r="O53" s="52"/>
      <c r="P53" s="52"/>
      <c r="Q53" s="52"/>
      <c r="R53" s="52"/>
      <c r="S53" s="52"/>
    </row>
    <row r="54" spans="3:19">
      <c r="M54" s="52"/>
      <c r="N54" s="52"/>
      <c r="O54" s="52"/>
      <c r="P54" s="52"/>
      <c r="Q54" s="52"/>
      <c r="R54" s="52"/>
      <c r="S54" s="52"/>
    </row>
    <row r="55" spans="3:19" ht="14.25" customHeight="1">
      <c r="N55" s="52"/>
      <c r="O55" s="52"/>
      <c r="P55" s="52"/>
      <c r="Q55" s="52"/>
      <c r="R55" s="52"/>
      <c r="S55" s="52"/>
    </row>
    <row r="56" spans="3:19">
      <c r="M56" s="52"/>
      <c r="N56" s="52"/>
      <c r="O56" s="52"/>
      <c r="P56" s="52"/>
      <c r="Q56" s="52"/>
      <c r="R56" s="52"/>
      <c r="S56" s="52"/>
    </row>
    <row r="57" spans="3:19">
      <c r="N57" s="52"/>
      <c r="O57" s="52"/>
      <c r="P57" s="52"/>
      <c r="Q57" s="52"/>
      <c r="R57" s="52"/>
      <c r="S57" s="52"/>
    </row>
    <row r="58" spans="3:19">
      <c r="M58" s="52"/>
      <c r="N58" s="52"/>
      <c r="O58" s="52"/>
      <c r="P58" s="52"/>
      <c r="Q58" s="52"/>
      <c r="R58" s="52"/>
      <c r="S58" s="52"/>
    </row>
    <row r="59" spans="3:19" ht="12" customHeight="1"/>
  </sheetData>
  <mergeCells count="4">
    <mergeCell ref="A3:J3"/>
    <mergeCell ref="A4:J4"/>
    <mergeCell ref="A6:J6"/>
    <mergeCell ref="C49:J49"/>
  </mergeCells>
  <printOptions horizontalCentered="1"/>
  <pageMargins left="1" right="0.75" top="0.75" bottom="0.5" header="0.5" footer="0.5"/>
  <pageSetup scale="68" orientation="portrait" r:id="rId1"/>
  <headerFooter alignWithMargins="0">
    <oddFooter>&amp;RRevised Exhibit JW-2
Page &amp;P of &amp;N</oddFooter>
  </headerFooter>
  <ignoredErrors>
    <ignoredError sqref="C9:J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2553-5017-47AD-8822-DF84A75D58EA}">
  <sheetPr>
    <pageSetUpPr fitToPage="1"/>
  </sheetPr>
  <dimension ref="A1:O36"/>
  <sheetViews>
    <sheetView view="pageBreakPreview" zoomScaleNormal="100" zoomScaleSheetLayoutView="100" workbookViewId="0">
      <selection activeCell="I40" sqref="I40"/>
    </sheetView>
  </sheetViews>
  <sheetFormatPr defaultColWidth="9.140625" defaultRowHeight="12.75"/>
  <cols>
    <col min="1" max="1" width="4" style="11" customWidth="1"/>
    <col min="2" max="2" width="35.28515625" style="11" customWidth="1"/>
    <col min="3" max="5" width="18.140625" style="11" customWidth="1"/>
    <col min="6" max="6" width="7.28515625" style="11" customWidth="1"/>
    <col min="7" max="12" width="18.140625" style="11" customWidth="1"/>
    <col min="13" max="13" width="10.5703125" style="11" bestFit="1" customWidth="1"/>
    <col min="14" max="16384" width="9.140625" style="11"/>
  </cols>
  <sheetData>
    <row r="1" spans="1:15" ht="15" customHeight="1">
      <c r="E1" s="5"/>
      <c r="F1" s="5" t="s">
        <v>319</v>
      </c>
      <c r="G1" s="5"/>
    </row>
    <row r="2" spans="1:15" ht="20.25" customHeight="1">
      <c r="G2" s="5"/>
      <c r="H2" s="5"/>
    </row>
    <row r="3" spans="1:15">
      <c r="G3" s="5"/>
      <c r="H3" s="5"/>
    </row>
    <row r="4" spans="1:15">
      <c r="B4" s="259" t="s">
        <v>244</v>
      </c>
      <c r="C4" s="259"/>
      <c r="D4" s="259"/>
      <c r="E4" s="259"/>
      <c r="F4" s="259"/>
      <c r="G4" s="7"/>
      <c r="H4" s="7"/>
      <c r="I4" s="7"/>
      <c r="J4" s="7"/>
      <c r="K4" s="7"/>
      <c r="L4" s="7"/>
      <c r="M4" s="7"/>
      <c r="N4" s="7"/>
      <c r="O4" s="7"/>
    </row>
    <row r="5" spans="1:15">
      <c r="B5" s="259" t="s">
        <v>248</v>
      </c>
      <c r="C5" s="259"/>
      <c r="D5" s="259"/>
      <c r="E5" s="259"/>
      <c r="F5" s="259"/>
      <c r="G5" s="7"/>
      <c r="H5" s="7"/>
      <c r="I5" s="7"/>
      <c r="J5" s="7"/>
      <c r="K5" s="7"/>
      <c r="L5" s="7"/>
    </row>
    <row r="7" spans="1:15" s="6" customFormat="1" ht="15" customHeight="1">
      <c r="B7" s="260" t="s">
        <v>305</v>
      </c>
      <c r="C7" s="260"/>
      <c r="D7" s="260"/>
      <c r="E7" s="260"/>
      <c r="F7" s="260"/>
      <c r="G7" s="8"/>
      <c r="H7" s="8"/>
      <c r="I7" s="8"/>
      <c r="J7" s="8"/>
      <c r="K7" s="8"/>
      <c r="L7" s="8"/>
    </row>
    <row r="10" spans="1:15">
      <c r="A10" s="15">
        <v>1</v>
      </c>
      <c r="B10" s="84" t="s">
        <v>306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</row>
    <row r="11" spans="1:15" ht="25.5">
      <c r="A11" s="15">
        <v>2</v>
      </c>
      <c r="B11" s="189" t="s">
        <v>307</v>
      </c>
      <c r="C11" s="193" t="s">
        <v>320</v>
      </c>
      <c r="D11" s="77">
        <v>2024</v>
      </c>
      <c r="E11" s="193" t="s">
        <v>308</v>
      </c>
      <c r="F11" s="193" t="s">
        <v>133</v>
      </c>
      <c r="G11" s="194"/>
      <c r="H11" s="194"/>
      <c r="I11" s="194"/>
      <c r="J11" s="194"/>
      <c r="K11" s="194"/>
      <c r="L11" s="194"/>
    </row>
    <row r="12" spans="1:15">
      <c r="A12" s="15">
        <v>3</v>
      </c>
      <c r="B12" s="11" t="s">
        <v>309</v>
      </c>
      <c r="C12" s="195"/>
      <c r="D12" s="195">
        <f>51224.04+36928.96+38108.87+36985.7+35792.62+39360.13+36636.07+36636.07+35454.26+36607.24+35426.36+36707.53+31514.75+18091.8+17508.2+18091.8</f>
        <v>541074.4</v>
      </c>
      <c r="E12" s="196">
        <f>+D12-C12</f>
        <v>541074.4</v>
      </c>
      <c r="F12" s="197"/>
      <c r="G12" s="197"/>
      <c r="H12" s="197"/>
      <c r="I12" s="197"/>
      <c r="J12" s="197"/>
      <c r="K12" s="197"/>
      <c r="L12" s="197"/>
      <c r="M12" s="197"/>
    </row>
    <row r="13" spans="1:15">
      <c r="A13" s="15">
        <v>4</v>
      </c>
      <c r="B13" s="11" t="s">
        <v>310</v>
      </c>
      <c r="C13" s="195">
        <v>2982234.5</v>
      </c>
      <c r="D13" s="195">
        <f>220432.95+220432.89+243236.28+225787.21+233313.45+225787.24+223541.98+230993.37+223541.97+228653.03+221277.18+228653.03</f>
        <v>2725650.58</v>
      </c>
      <c r="E13" s="196">
        <f t="shared" ref="E13:E15" si="0">+D13-C13</f>
        <v>-256583.91999999993</v>
      </c>
      <c r="F13" s="197"/>
      <c r="G13" s="197"/>
      <c r="H13" s="197"/>
      <c r="I13" s="197"/>
      <c r="J13" s="197"/>
      <c r="K13" s="197"/>
      <c r="L13" s="197"/>
    </row>
    <row r="14" spans="1:15">
      <c r="A14" s="15">
        <v>5</v>
      </c>
      <c r="B14" s="11" t="s">
        <v>311</v>
      </c>
      <c r="C14" s="195">
        <v>304630.23</v>
      </c>
      <c r="D14" s="195">
        <f>24053.08+24053.06+23194.05+23194.05+23194.06+22321+22321+22321.02+21433.7+21433.7+21433.7+20531.91</f>
        <v>269484.33</v>
      </c>
      <c r="E14" s="196">
        <f t="shared" si="0"/>
        <v>-35145.899999999965</v>
      </c>
      <c r="F14" s="197"/>
      <c r="G14" s="197"/>
      <c r="H14" s="197"/>
      <c r="I14" s="197"/>
      <c r="J14" s="197"/>
      <c r="K14" s="197"/>
      <c r="L14" s="197"/>
    </row>
    <row r="15" spans="1:15">
      <c r="A15" s="15">
        <v>6</v>
      </c>
      <c r="B15" s="11" t="s">
        <v>321</v>
      </c>
      <c r="C15" s="195">
        <v>615270.75</v>
      </c>
      <c r="D15" s="195">
        <f>48888.12+45346.82+48059.03+46096.79+47215.67+45282.77+46372+45946.09+44054.87+45099.38+43228.82+44364.46</f>
        <v>549954.82000000007</v>
      </c>
      <c r="E15" s="196">
        <f t="shared" si="0"/>
        <v>-65315.929999999935</v>
      </c>
      <c r="F15" s="197"/>
      <c r="G15" s="197"/>
      <c r="H15" s="197"/>
      <c r="I15" s="197"/>
      <c r="J15" s="197"/>
      <c r="K15" s="197"/>
      <c r="L15" s="197"/>
    </row>
    <row r="16" spans="1:15">
      <c r="A16" s="15">
        <v>7</v>
      </c>
      <c r="B16" s="68" t="s">
        <v>23</v>
      </c>
      <c r="C16" s="198">
        <f>SUM(C12:C15)</f>
        <v>3902135.48</v>
      </c>
      <c r="D16" s="198">
        <f t="shared" ref="D16:E16" si="1">SUM(D12:D15)</f>
        <v>4086164.13</v>
      </c>
      <c r="E16" s="198">
        <f t="shared" si="1"/>
        <v>184028.6500000002</v>
      </c>
      <c r="F16" s="199" t="s">
        <v>134</v>
      </c>
      <c r="G16" s="197"/>
      <c r="H16" s="197"/>
      <c r="I16" s="197"/>
      <c r="J16" s="197"/>
      <c r="K16" s="197"/>
      <c r="L16" s="197"/>
    </row>
    <row r="17" spans="1:15">
      <c r="A17" s="15">
        <v>8</v>
      </c>
      <c r="C17" s="195"/>
      <c r="D17" s="195"/>
      <c r="E17" s="196"/>
      <c r="F17" s="200"/>
      <c r="G17" s="197"/>
      <c r="H17" s="197"/>
      <c r="I17" s="197"/>
      <c r="J17" s="197"/>
      <c r="K17" s="197"/>
      <c r="L17" s="197"/>
    </row>
    <row r="18" spans="1:15">
      <c r="A18" s="15">
        <v>9</v>
      </c>
      <c r="C18" s="195"/>
      <c r="D18" s="195"/>
      <c r="E18" s="196"/>
      <c r="F18" s="200"/>
      <c r="G18" s="197"/>
      <c r="H18" s="197"/>
      <c r="I18" s="197"/>
      <c r="J18" s="197"/>
      <c r="K18" s="197"/>
      <c r="L18" s="197"/>
    </row>
    <row r="19" spans="1:15">
      <c r="A19" s="15">
        <v>10</v>
      </c>
      <c r="C19" s="195"/>
      <c r="D19" s="195"/>
      <c r="E19" s="196"/>
      <c r="F19" s="200"/>
      <c r="G19" s="197"/>
      <c r="H19" s="197"/>
      <c r="I19" s="197"/>
      <c r="J19" s="197"/>
      <c r="K19" s="197"/>
      <c r="L19" s="197"/>
    </row>
    <row r="20" spans="1:15">
      <c r="A20" s="15">
        <v>11</v>
      </c>
      <c r="B20" s="84" t="s">
        <v>312</v>
      </c>
      <c r="C20" s="195"/>
      <c r="D20" s="195"/>
      <c r="E20" s="196"/>
      <c r="F20" s="200"/>
      <c r="G20" s="197"/>
      <c r="H20" s="197"/>
      <c r="I20" s="197"/>
      <c r="J20" s="197"/>
      <c r="K20" s="197"/>
      <c r="L20" s="197"/>
    </row>
    <row r="21" spans="1:15" ht="25.5">
      <c r="A21" s="15">
        <v>12</v>
      </c>
      <c r="B21" s="189" t="s">
        <v>313</v>
      </c>
      <c r="C21" s="201" t="s">
        <v>320</v>
      </c>
      <c r="D21" s="77">
        <v>2024</v>
      </c>
      <c r="E21" s="201" t="s">
        <v>308</v>
      </c>
      <c r="F21" s="200"/>
      <c r="G21" s="197"/>
      <c r="H21" s="197"/>
      <c r="I21" s="197"/>
      <c r="J21" s="197"/>
      <c r="K21" s="197"/>
      <c r="L21" s="197"/>
    </row>
    <row r="22" spans="1:15">
      <c r="A22" s="15">
        <v>13</v>
      </c>
      <c r="B22" s="11" t="s">
        <v>314</v>
      </c>
      <c r="C22" s="195">
        <v>0</v>
      </c>
      <c r="D22" s="195">
        <v>1191.78</v>
      </c>
      <c r="E22" s="196">
        <f>+D22-C22</f>
        <v>1191.78</v>
      </c>
      <c r="F22" s="200"/>
      <c r="G22" s="197"/>
      <c r="H22" s="197"/>
      <c r="I22" s="197"/>
      <c r="J22" s="197"/>
      <c r="K22" s="197"/>
      <c r="L22" s="197"/>
    </row>
    <row r="23" spans="1:15">
      <c r="A23" s="15">
        <v>14</v>
      </c>
      <c r="B23" s="11" t="s">
        <v>325</v>
      </c>
      <c r="C23" s="195">
        <v>7785.28</v>
      </c>
      <c r="D23" s="195">
        <v>40554.720000000001</v>
      </c>
      <c r="E23" s="196">
        <f t="shared" ref="E23:E24" si="2">+D23-C23</f>
        <v>32769.440000000002</v>
      </c>
      <c r="F23" s="200"/>
      <c r="G23" s="197"/>
      <c r="H23" s="197"/>
      <c r="I23" s="197"/>
      <c r="J23" s="197"/>
      <c r="K23" s="197"/>
      <c r="L23" s="197"/>
    </row>
    <row r="24" spans="1:15">
      <c r="A24" s="15">
        <v>15</v>
      </c>
      <c r="B24" s="11" t="s">
        <v>315</v>
      </c>
      <c r="C24" s="195">
        <v>64093.73</v>
      </c>
      <c r="D24" s="195">
        <v>85579.18</v>
      </c>
      <c r="E24" s="196">
        <f t="shared" si="2"/>
        <v>21485.44999999999</v>
      </c>
      <c r="F24" s="200"/>
      <c r="G24" s="197"/>
      <c r="H24" s="197"/>
      <c r="I24" s="197"/>
      <c r="J24" s="197"/>
      <c r="K24" s="197"/>
      <c r="L24" s="197"/>
    </row>
    <row r="25" spans="1:15">
      <c r="A25" s="15">
        <v>16</v>
      </c>
      <c r="B25" s="11" t="s">
        <v>23</v>
      </c>
      <c r="C25" s="198">
        <f>SUM(C22:C24)</f>
        <v>71879.010000000009</v>
      </c>
      <c r="D25" s="198">
        <f t="shared" ref="D25:E25" si="3">SUM(D22:D24)</f>
        <v>127325.68</v>
      </c>
      <c r="E25" s="198">
        <f t="shared" si="3"/>
        <v>55446.669999999991</v>
      </c>
      <c r="F25" s="199" t="s">
        <v>135</v>
      </c>
      <c r="G25" s="197"/>
      <c r="H25" s="197"/>
      <c r="I25" s="197"/>
      <c r="J25" s="197"/>
      <c r="K25" s="197"/>
      <c r="L25" s="197"/>
    </row>
    <row r="26" spans="1:15">
      <c r="A26" s="15">
        <v>17</v>
      </c>
      <c r="C26" s="202"/>
      <c r="D26" s="202"/>
      <c r="E26" s="196"/>
      <c r="F26" s="203"/>
      <c r="G26" s="204"/>
      <c r="H26" s="204"/>
      <c r="I26" s="204"/>
      <c r="J26" s="197"/>
      <c r="K26" s="197"/>
      <c r="L26" s="197"/>
      <c r="M26" s="197"/>
    </row>
    <row r="27" spans="1:15" ht="13.5" thickBot="1">
      <c r="A27" s="15">
        <v>18</v>
      </c>
      <c r="B27" s="20" t="s">
        <v>15</v>
      </c>
      <c r="C27" s="205">
        <f>C25+C16</f>
        <v>3974014.49</v>
      </c>
      <c r="D27" s="205">
        <f t="shared" ref="D27" si="4">D25+D16</f>
        <v>4213489.8099999996</v>
      </c>
      <c r="E27" s="206">
        <f>E25+E16</f>
        <v>239475.32000000018</v>
      </c>
      <c r="F27" s="203"/>
      <c r="G27" s="204"/>
      <c r="H27" s="204"/>
      <c r="I27" s="204"/>
      <c r="J27" s="197"/>
      <c r="K27" s="197"/>
      <c r="L27" s="197"/>
    </row>
    <row r="28" spans="1:15" ht="13.5" thickTop="1">
      <c r="A28" s="15">
        <v>19</v>
      </c>
      <c r="C28" s="204"/>
      <c r="D28" s="204"/>
      <c r="E28" s="207"/>
      <c r="F28" s="203"/>
      <c r="G28" s="204"/>
      <c r="H28" s="204"/>
      <c r="I28" s="204"/>
      <c r="J28" s="197"/>
      <c r="K28" s="197"/>
      <c r="L28" s="197"/>
    </row>
    <row r="29" spans="1:15">
      <c r="A29" s="15">
        <v>20</v>
      </c>
      <c r="B29" s="208" t="s">
        <v>316</v>
      </c>
      <c r="C29" s="23"/>
      <c r="D29" s="25"/>
      <c r="E29" s="25"/>
      <c r="F29" s="23"/>
      <c r="G29" s="23"/>
      <c r="H29" s="23"/>
    </row>
    <row r="30" spans="1:15">
      <c r="A30" s="15">
        <v>21</v>
      </c>
      <c r="B30" s="208" t="s">
        <v>317</v>
      </c>
      <c r="C30" s="23"/>
      <c r="D30" s="23"/>
      <c r="E30" s="23"/>
      <c r="F30" s="23"/>
      <c r="G30" s="23"/>
      <c r="H30" s="23"/>
    </row>
    <row r="31" spans="1:15">
      <c r="C31" s="23"/>
      <c r="D31" s="23"/>
      <c r="E31" s="23"/>
      <c r="F31" s="23"/>
      <c r="G31" s="23"/>
      <c r="H31" s="23"/>
    </row>
    <row r="32" spans="1:15" ht="28.5" customHeight="1">
      <c r="B32" s="261" t="s">
        <v>318</v>
      </c>
      <c r="C32" s="261"/>
      <c r="D32" s="261"/>
      <c r="E32" s="261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3:8">
      <c r="C33" s="23"/>
      <c r="D33" s="23"/>
      <c r="E33" s="23"/>
      <c r="F33" s="23"/>
      <c r="G33" s="23"/>
      <c r="H33" s="23"/>
    </row>
    <row r="34" spans="3:8">
      <c r="C34" s="23"/>
      <c r="D34" s="23"/>
      <c r="E34" s="23"/>
      <c r="F34" s="23"/>
      <c r="G34" s="23"/>
      <c r="H34" s="23"/>
    </row>
    <row r="35" spans="3:8">
      <c r="C35" s="23"/>
      <c r="D35" s="23"/>
      <c r="E35" s="23"/>
      <c r="F35" s="23"/>
      <c r="G35" s="23"/>
      <c r="H35" s="23"/>
    </row>
    <row r="36" spans="3:8">
      <c r="C36" s="23"/>
      <c r="D36" s="23"/>
      <c r="E36" s="23"/>
      <c r="F36" s="23"/>
      <c r="G36" s="23"/>
      <c r="H36" s="23"/>
    </row>
  </sheetData>
  <mergeCells count="4">
    <mergeCell ref="B4:F4"/>
    <mergeCell ref="B5:F5"/>
    <mergeCell ref="B7:F7"/>
    <mergeCell ref="B32:E32"/>
  </mergeCells>
  <printOptions horizontalCentered="1"/>
  <pageMargins left="0.7" right="0.7" top="0.75" bottom="0.75" header="0.3" footer="0.3"/>
  <pageSetup scale="89" orientation="portrait" r:id="rId1"/>
  <headerFooter>
    <oddFooter>&amp;RExhibit JW-2
Page &amp;P of &amp;N</oddFooter>
  </headerFooter>
  <ignoredErrors>
    <ignoredError sqref="D12:D16 C16 E16 C25:E27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D5760-4AD0-4EAD-B580-95C79D93D81D}">
  <sheetPr>
    <pageSetUpPr fitToPage="1"/>
  </sheetPr>
  <dimension ref="A1:O21"/>
  <sheetViews>
    <sheetView view="pageBreakPreview" zoomScaleNormal="100" zoomScaleSheetLayoutView="100" workbookViewId="0">
      <selection activeCell="E12" sqref="E12"/>
    </sheetView>
  </sheetViews>
  <sheetFormatPr defaultColWidth="9.140625" defaultRowHeight="12.75"/>
  <cols>
    <col min="1" max="1" width="4" style="11" customWidth="1"/>
    <col min="2" max="2" width="35.28515625" style="11" customWidth="1"/>
    <col min="3" max="5" width="18.140625" style="11" customWidth="1"/>
    <col min="6" max="6" width="7.28515625" style="11" customWidth="1"/>
    <col min="7" max="12" width="18.140625" style="11" customWidth="1"/>
    <col min="13" max="13" width="10.5703125" style="11" bestFit="1" customWidth="1"/>
    <col min="14" max="16384" width="9.140625" style="11"/>
  </cols>
  <sheetData>
    <row r="1" spans="1:15" ht="15" customHeight="1">
      <c r="E1" s="5"/>
      <c r="F1" s="5" t="s">
        <v>365</v>
      </c>
      <c r="G1" s="5"/>
    </row>
    <row r="2" spans="1:15" ht="20.25" customHeight="1">
      <c r="G2" s="5"/>
      <c r="H2" s="5"/>
    </row>
    <row r="3" spans="1:15">
      <c r="G3" s="5"/>
      <c r="H3" s="5"/>
    </row>
    <row r="4" spans="1:15">
      <c r="B4" s="259" t="s">
        <v>244</v>
      </c>
      <c r="C4" s="259"/>
      <c r="D4" s="259"/>
      <c r="E4" s="259"/>
      <c r="F4" s="259"/>
      <c r="G4" s="7"/>
      <c r="H4" s="7"/>
      <c r="I4" s="7"/>
      <c r="J4" s="7"/>
      <c r="K4" s="7"/>
      <c r="L4" s="7"/>
      <c r="M4" s="7"/>
      <c r="N4" s="7"/>
      <c r="O4" s="7"/>
    </row>
    <row r="5" spans="1:15">
      <c r="B5" s="259" t="s">
        <v>248</v>
      </c>
      <c r="C5" s="259"/>
      <c r="D5" s="259"/>
      <c r="E5" s="259"/>
      <c r="F5" s="259"/>
      <c r="G5" s="7"/>
      <c r="H5" s="7"/>
      <c r="I5" s="7"/>
      <c r="J5" s="7"/>
      <c r="K5" s="7"/>
      <c r="L5" s="7"/>
    </row>
    <row r="7" spans="1:15" s="6" customFormat="1" ht="15" customHeight="1">
      <c r="B7" s="260" t="s">
        <v>33</v>
      </c>
      <c r="C7" s="260"/>
      <c r="D7" s="260"/>
      <c r="E7" s="260"/>
      <c r="F7" s="260"/>
      <c r="G7" s="8"/>
      <c r="H7" s="8"/>
      <c r="I7" s="8"/>
      <c r="J7" s="8"/>
      <c r="K7" s="8"/>
      <c r="L7" s="8"/>
    </row>
    <row r="8" spans="1:15" s="6" customFormat="1" ht="15" customHeight="1">
      <c r="B8" s="64"/>
      <c r="C8" s="64"/>
      <c r="D8" s="64"/>
      <c r="E8" s="64"/>
      <c r="F8" s="64"/>
      <c r="G8" s="8"/>
      <c r="H8" s="8"/>
      <c r="I8" s="8"/>
      <c r="J8" s="8"/>
      <c r="K8" s="8"/>
      <c r="L8" s="8"/>
    </row>
    <row r="10" spans="1:15">
      <c r="A10" s="26" t="s">
        <v>22</v>
      </c>
      <c r="B10" s="26" t="s">
        <v>42</v>
      </c>
      <c r="C10" s="26"/>
      <c r="D10" s="256" t="s">
        <v>2</v>
      </c>
    </row>
    <row r="11" spans="1:15">
      <c r="A11" s="15">
        <v>1</v>
      </c>
      <c r="B11" s="11" t="s">
        <v>367</v>
      </c>
      <c r="D11" s="14">
        <f>RevReq!C36</f>
        <v>1736666</v>
      </c>
    </row>
    <row r="12" spans="1:15">
      <c r="A12" s="15"/>
      <c r="D12" s="14"/>
    </row>
    <row r="13" spans="1:15">
      <c r="A13" s="15">
        <v>2</v>
      </c>
      <c r="B13" s="11" t="s">
        <v>368</v>
      </c>
      <c r="D13" s="14">
        <v>0</v>
      </c>
    </row>
    <row r="14" spans="1:15">
      <c r="A14" s="15"/>
      <c r="D14" s="14"/>
    </row>
    <row r="15" spans="1:15">
      <c r="A15" s="15">
        <v>3</v>
      </c>
      <c r="B15" s="11" t="s">
        <v>16</v>
      </c>
      <c r="D15" s="14">
        <f>D13-D11</f>
        <v>-1736666</v>
      </c>
    </row>
    <row r="16" spans="1:15">
      <c r="C16" s="23"/>
      <c r="D16" s="23"/>
      <c r="E16" s="23"/>
      <c r="F16" s="23"/>
      <c r="G16" s="23"/>
      <c r="H16" s="23"/>
    </row>
    <row r="17" spans="2:15" ht="28.5" customHeight="1">
      <c r="B17" s="261" t="s">
        <v>366</v>
      </c>
      <c r="C17" s="261"/>
      <c r="D17" s="261"/>
      <c r="E17" s="261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>
      <c r="C18" s="23"/>
      <c r="D18" s="23"/>
      <c r="E18" s="23"/>
      <c r="F18" s="23"/>
      <c r="G18" s="23"/>
      <c r="H18" s="23"/>
    </row>
    <row r="19" spans="2:15">
      <c r="C19" s="23"/>
      <c r="D19" s="23"/>
      <c r="E19" s="23"/>
      <c r="F19" s="23"/>
      <c r="G19" s="23"/>
      <c r="H19" s="23"/>
    </row>
    <row r="20" spans="2:15">
      <c r="C20" s="23"/>
      <c r="D20" s="23"/>
      <c r="E20" s="23"/>
      <c r="F20" s="23"/>
      <c r="G20" s="23"/>
      <c r="H20" s="23"/>
    </row>
    <row r="21" spans="2:15">
      <c r="C21" s="23"/>
      <c r="D21" s="23"/>
      <c r="E21" s="23"/>
      <c r="F21" s="23"/>
      <c r="G21" s="23"/>
      <c r="H21" s="23"/>
    </row>
  </sheetData>
  <mergeCells count="4">
    <mergeCell ref="B4:F4"/>
    <mergeCell ref="B5:F5"/>
    <mergeCell ref="B7:F7"/>
    <mergeCell ref="B17:E17"/>
  </mergeCells>
  <printOptions horizontalCentered="1"/>
  <pageMargins left="0.7" right="0.7" top="0.75" bottom="0.75" header="0.3" footer="0.3"/>
  <pageSetup scale="89" orientation="portrait" r:id="rId1"/>
  <headerFooter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F3DF-46B1-4356-B56C-B101587D66DF}">
  <sheetPr>
    <pageSetUpPr fitToPage="1"/>
  </sheetPr>
  <dimension ref="A1:K33"/>
  <sheetViews>
    <sheetView view="pageBreakPreview" topLeftCell="A4" zoomScaleNormal="140" zoomScaleSheetLayoutView="100" workbookViewId="0">
      <pane xSplit="3" ySplit="2" topLeftCell="D6" activePane="bottomRight" state="frozen"/>
      <selection activeCell="I40" sqref="I40"/>
      <selection pane="topRight" activeCell="I40" sqref="I40"/>
      <selection pane="bottomLeft" activeCell="I40" sqref="I40"/>
      <selection pane="bottomRight" activeCell="D40" sqref="D40"/>
    </sheetView>
  </sheetViews>
  <sheetFormatPr defaultColWidth="9.140625" defaultRowHeight="12.75"/>
  <cols>
    <col min="1" max="1" width="3.5703125" style="11" customWidth="1"/>
    <col min="2" max="2" width="9.140625" style="10"/>
    <col min="3" max="3" width="37.42578125" style="11" bestFit="1" customWidth="1"/>
    <col min="4" max="4" width="13.5703125" style="11" bestFit="1" customWidth="1"/>
    <col min="5" max="5" width="14" style="11" customWidth="1"/>
    <col min="6" max="6" width="11.85546875" style="11" customWidth="1"/>
    <col min="7" max="7" width="13.5703125" style="11" customWidth="1"/>
    <col min="8" max="16384" width="9.140625" style="11"/>
  </cols>
  <sheetData>
    <row r="1" spans="1:11">
      <c r="A1" s="257" t="s">
        <v>244</v>
      </c>
      <c r="B1" s="257"/>
      <c r="C1" s="257"/>
      <c r="D1" s="257"/>
      <c r="E1" s="257"/>
      <c r="F1" s="257"/>
      <c r="G1" s="257"/>
    </row>
    <row r="2" spans="1:11">
      <c r="A2" s="257" t="s">
        <v>183</v>
      </c>
      <c r="B2" s="257"/>
      <c r="C2" s="257"/>
      <c r="D2" s="257"/>
      <c r="E2" s="257"/>
      <c r="F2" s="257"/>
      <c r="G2" s="257"/>
    </row>
    <row r="4" spans="1:11" ht="47.25" customHeight="1">
      <c r="B4" s="52" t="s">
        <v>192</v>
      </c>
      <c r="C4" s="31" t="s">
        <v>42</v>
      </c>
      <c r="D4" s="31" t="s">
        <v>24</v>
      </c>
      <c r="E4" s="31" t="s">
        <v>25</v>
      </c>
      <c r="F4" s="31" t="s">
        <v>185</v>
      </c>
      <c r="G4" s="31" t="s">
        <v>186</v>
      </c>
    </row>
    <row r="5" spans="1:11">
      <c r="B5" s="58" t="s">
        <v>22</v>
      </c>
      <c r="C5" s="59">
        <v>1</v>
      </c>
      <c r="D5" s="59">
        <f>C5+1</f>
        <v>2</v>
      </c>
      <c r="E5" s="59">
        <f>D5+1</f>
        <v>3</v>
      </c>
      <c r="F5" s="59">
        <f>E5+1</f>
        <v>4</v>
      </c>
      <c r="G5" s="59">
        <f>F5+1</f>
        <v>5</v>
      </c>
    </row>
    <row r="6" spans="1:11">
      <c r="B6" s="11"/>
      <c r="C6" s="83"/>
      <c r="D6" s="83"/>
      <c r="E6" s="83"/>
      <c r="F6" s="83"/>
      <c r="G6" s="83"/>
    </row>
    <row r="7" spans="1:11">
      <c r="A7" s="15">
        <v>1</v>
      </c>
      <c r="B7" s="10">
        <v>1.01</v>
      </c>
      <c r="C7" s="11" t="s">
        <v>182</v>
      </c>
      <c r="D7" s="46">
        <v>0</v>
      </c>
      <c r="E7" s="46">
        <f>'1.01 401k'!N16</f>
        <v>-175667.90999999997</v>
      </c>
      <c r="F7" s="46">
        <v>0</v>
      </c>
      <c r="G7" s="23">
        <f>D7-E7+F7</f>
        <v>175667.90999999997</v>
      </c>
    </row>
    <row r="8" spans="1:11">
      <c r="A8" s="15">
        <f>A7+1</f>
        <v>2</v>
      </c>
      <c r="B8" s="10">
        <v>1.02</v>
      </c>
      <c r="C8" s="11" t="s">
        <v>177</v>
      </c>
      <c r="D8" s="46">
        <v>0</v>
      </c>
      <c r="E8" s="46">
        <f>'1.02 Health'!G21</f>
        <v>-182518.55200000014</v>
      </c>
      <c r="F8" s="46">
        <v>0</v>
      </c>
      <c r="G8" s="23">
        <f t="shared" ref="G8:G24" si="0">D8-E8+F8</f>
        <v>182518.55200000014</v>
      </c>
    </row>
    <row r="9" spans="1:11">
      <c r="A9" s="15">
        <f t="shared" ref="A9:A25" si="1">A8+1</f>
        <v>3</v>
      </c>
      <c r="B9" s="10">
        <v>1.03</v>
      </c>
      <c r="C9" s="11" t="s">
        <v>251</v>
      </c>
      <c r="D9" s="46">
        <v>0</v>
      </c>
      <c r="E9" s="46">
        <f>'1.03 LifeInsur'!C20</f>
        <v>-35011.949999999997</v>
      </c>
      <c r="F9" s="46">
        <v>0</v>
      </c>
      <c r="G9" s="23">
        <f t="shared" si="0"/>
        <v>35011.949999999997</v>
      </c>
    </row>
    <row r="10" spans="1:11">
      <c r="A10" s="15">
        <f t="shared" si="1"/>
        <v>4</v>
      </c>
      <c r="B10" s="10">
        <v>1.04</v>
      </c>
      <c r="C10" s="11" t="s">
        <v>180</v>
      </c>
      <c r="D10" s="46">
        <v>0</v>
      </c>
      <c r="E10" s="46">
        <f>'1.04 DonaAdsDues'!I24</f>
        <v>-265253.65999999997</v>
      </c>
      <c r="F10" s="46">
        <v>0</v>
      </c>
      <c r="G10" s="23">
        <f t="shared" si="0"/>
        <v>265253.65999999997</v>
      </c>
    </row>
    <row r="11" spans="1:11">
      <c r="A11" s="15">
        <f t="shared" si="1"/>
        <v>5</v>
      </c>
      <c r="B11" s="10">
        <v>1.05</v>
      </c>
      <c r="C11" s="11" t="s">
        <v>184</v>
      </c>
      <c r="D11" s="46">
        <f>'1.05 FAC'!F31</f>
        <v>-10697269.029999999</v>
      </c>
      <c r="E11" s="46">
        <f>'1.05 FAC'!H31</f>
        <v>-9903961</v>
      </c>
      <c r="F11" s="46">
        <v>0</v>
      </c>
      <c r="G11" s="23">
        <f t="shared" si="0"/>
        <v>-793308.02999999933</v>
      </c>
    </row>
    <row r="12" spans="1:11">
      <c r="A12" s="15">
        <f t="shared" si="1"/>
        <v>6</v>
      </c>
      <c r="B12" s="10">
        <v>1.06</v>
      </c>
      <c r="C12" s="11" t="s">
        <v>127</v>
      </c>
      <c r="D12" s="46">
        <f>'1.06 ES'!F31</f>
        <v>-10846788.98</v>
      </c>
      <c r="E12" s="46">
        <f>'1.06 ES'!H31</f>
        <v>-11043657</v>
      </c>
      <c r="F12" s="46">
        <v>0</v>
      </c>
      <c r="G12" s="23">
        <f t="shared" si="0"/>
        <v>196868.01999999955</v>
      </c>
    </row>
    <row r="13" spans="1:11">
      <c r="A13" s="15">
        <f t="shared" si="1"/>
        <v>7</v>
      </c>
      <c r="B13" s="10">
        <v>1.07</v>
      </c>
      <c r="C13" s="11" t="s">
        <v>118</v>
      </c>
      <c r="D13" s="46"/>
      <c r="E13" s="46">
        <f>'1.07 Wages and Salaries'!J24</f>
        <v>812582.41692101886</v>
      </c>
      <c r="F13" s="46"/>
      <c r="G13" s="23">
        <f t="shared" si="0"/>
        <v>-812582.41692101886</v>
      </c>
      <c r="K13" s="129"/>
    </row>
    <row r="14" spans="1:11">
      <c r="A14" s="15">
        <f t="shared" si="1"/>
        <v>8</v>
      </c>
      <c r="B14" s="10">
        <v>1.08</v>
      </c>
      <c r="C14" s="11" t="s">
        <v>250</v>
      </c>
      <c r="D14" s="46"/>
      <c r="E14" s="46">
        <f>'1.08 BOD'!J29</f>
        <v>-44375.5</v>
      </c>
      <c r="F14" s="46">
        <v>0</v>
      </c>
      <c r="G14" s="23">
        <f t="shared" si="0"/>
        <v>44375.5</v>
      </c>
    </row>
    <row r="15" spans="1:11">
      <c r="A15" s="15">
        <f t="shared" si="1"/>
        <v>9</v>
      </c>
      <c r="B15" s="10">
        <v>1.0900000000000001</v>
      </c>
      <c r="C15" s="11" t="s">
        <v>249</v>
      </c>
      <c r="D15" s="46">
        <f>'1.09 YearEndCust'!F48</f>
        <v>-201803.59</v>
      </c>
      <c r="E15" s="46">
        <f>'1.09 YearEndCust'!G48</f>
        <v>-180405.18</v>
      </c>
      <c r="F15" s="46">
        <v>0</v>
      </c>
      <c r="G15" s="23">
        <f t="shared" si="0"/>
        <v>-21398.410000000003</v>
      </c>
    </row>
    <row r="16" spans="1:11">
      <c r="A16" s="15">
        <f t="shared" si="1"/>
        <v>10</v>
      </c>
      <c r="B16" s="29">
        <v>1.1000000000000001</v>
      </c>
      <c r="C16" s="11" t="s">
        <v>32</v>
      </c>
      <c r="D16" s="46"/>
      <c r="E16" s="46">
        <f>'1.10 RCE'!E25</f>
        <v>17000</v>
      </c>
      <c r="F16" s="46"/>
      <c r="G16" s="23">
        <f t="shared" si="0"/>
        <v>-17000</v>
      </c>
    </row>
    <row r="17" spans="1:7">
      <c r="A17" s="15">
        <f t="shared" si="1"/>
        <v>11</v>
      </c>
      <c r="B17" s="10">
        <v>1.1100000000000001</v>
      </c>
      <c r="C17" s="11" t="s">
        <v>252</v>
      </c>
      <c r="D17" s="46"/>
      <c r="E17" s="46">
        <f>'1.11 Depr'!J47</f>
        <v>747922.66000000061</v>
      </c>
      <c r="F17" s="46">
        <v>0</v>
      </c>
      <c r="G17" s="23">
        <f t="shared" si="0"/>
        <v>-747922.66000000061</v>
      </c>
    </row>
    <row r="18" spans="1:7">
      <c r="A18" s="15">
        <f t="shared" si="1"/>
        <v>12</v>
      </c>
      <c r="B18" s="10">
        <v>1.1200000000000001</v>
      </c>
      <c r="C18" s="11" t="s">
        <v>283</v>
      </c>
      <c r="D18" s="46"/>
      <c r="E18" s="46">
        <f>'1.12 Interest'!E27</f>
        <v>239475.32000000018</v>
      </c>
      <c r="F18" s="46">
        <v>0</v>
      </c>
      <c r="G18" s="23">
        <f t="shared" si="0"/>
        <v>-239475.32000000018</v>
      </c>
    </row>
    <row r="19" spans="1:7">
      <c r="A19" s="15">
        <f t="shared" si="1"/>
        <v>13</v>
      </c>
      <c r="B19" s="10">
        <v>1.1299999999999999</v>
      </c>
      <c r="C19" s="11" t="s">
        <v>77</v>
      </c>
      <c r="D19" s="46"/>
      <c r="E19" s="46"/>
      <c r="F19" s="46">
        <f>-RevReq!C36</f>
        <v>-1736666</v>
      </c>
      <c r="G19" s="23">
        <f t="shared" si="0"/>
        <v>-1736666</v>
      </c>
    </row>
    <row r="20" spans="1:7" hidden="1">
      <c r="A20" s="15">
        <f t="shared" si="1"/>
        <v>14</v>
      </c>
      <c r="D20" s="46"/>
      <c r="E20" s="46"/>
      <c r="F20" s="46"/>
      <c r="G20" s="23">
        <f t="shared" si="0"/>
        <v>0</v>
      </c>
    </row>
    <row r="21" spans="1:7" hidden="1">
      <c r="A21" s="15">
        <f t="shared" si="1"/>
        <v>15</v>
      </c>
      <c r="D21" s="46"/>
      <c r="E21" s="46"/>
      <c r="F21" s="46"/>
      <c r="G21" s="23">
        <f t="shared" si="0"/>
        <v>0</v>
      </c>
    </row>
    <row r="22" spans="1:7" hidden="1">
      <c r="A22" s="15">
        <f t="shared" si="1"/>
        <v>16</v>
      </c>
      <c r="D22" s="46"/>
      <c r="E22" s="46"/>
      <c r="F22" s="46"/>
      <c r="G22" s="23">
        <f t="shared" si="0"/>
        <v>0</v>
      </c>
    </row>
    <row r="23" spans="1:7" hidden="1">
      <c r="A23" s="15">
        <f t="shared" si="1"/>
        <v>17</v>
      </c>
      <c r="D23" s="46"/>
      <c r="E23" s="46"/>
      <c r="F23" s="46"/>
      <c r="G23" s="23">
        <f t="shared" si="0"/>
        <v>0</v>
      </c>
    </row>
    <row r="24" spans="1:7">
      <c r="A24" s="15">
        <f t="shared" si="1"/>
        <v>18</v>
      </c>
      <c r="D24" s="46"/>
      <c r="E24" s="46"/>
      <c r="F24" s="46"/>
      <c r="G24" s="23">
        <f t="shared" si="0"/>
        <v>0</v>
      </c>
    </row>
    <row r="25" spans="1:7" s="79" customFormat="1" ht="21.75" customHeight="1" thickBot="1">
      <c r="A25" s="15">
        <f t="shared" si="1"/>
        <v>19</v>
      </c>
      <c r="B25" s="109"/>
      <c r="C25" s="110" t="s">
        <v>47</v>
      </c>
      <c r="D25" s="111">
        <f>SUM(D7:D24)</f>
        <v>-21745861.599999998</v>
      </c>
      <c r="E25" s="111">
        <f t="shared" ref="E25:G25" si="2">SUM(E7:E24)</f>
        <v>-20013870.35507898</v>
      </c>
      <c r="F25" s="111">
        <f t="shared" si="2"/>
        <v>-1736666</v>
      </c>
      <c r="G25" s="111">
        <f t="shared" si="2"/>
        <v>-3468657.2449210193</v>
      </c>
    </row>
    <row r="26" spans="1:7" ht="13.5" thickTop="1"/>
    <row r="29" spans="1:7">
      <c r="D29" s="23"/>
      <c r="E29" s="23"/>
      <c r="F29" s="23"/>
      <c r="G29" s="23"/>
    </row>
    <row r="30" spans="1:7" ht="14.25">
      <c r="D30" s="70"/>
      <c r="E30" s="70"/>
      <c r="F30" s="70"/>
      <c r="G30" s="70"/>
    </row>
    <row r="32" spans="1:7">
      <c r="D32" s="237"/>
      <c r="E32" s="237"/>
      <c r="F32" s="237"/>
      <c r="G32" s="237"/>
    </row>
    <row r="33" spans="4:7" ht="14.25">
      <c r="D33" s="70"/>
      <c r="E33" s="70"/>
      <c r="F33" s="70"/>
      <c r="G33" s="70"/>
    </row>
  </sheetData>
  <mergeCells count="2">
    <mergeCell ref="A1:G1"/>
    <mergeCell ref="A2:G2"/>
  </mergeCells>
  <conditionalFormatting sqref="D30:G30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33:G33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5" bottom="0.75" header="0.3" footer="0.3"/>
  <pageSetup scale="87" orientation="portrait" r:id="rId1"/>
  <headerFooter>
    <oddFooter>&amp;RExhibit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AH152"/>
  <sheetViews>
    <sheetView defaultGridColor="0" view="pageBreakPreview" topLeftCell="A21" colorId="22" zoomScaleNormal="87" zoomScaleSheetLayoutView="100" workbookViewId="0">
      <selection activeCell="F47" sqref="F47:F48"/>
    </sheetView>
  </sheetViews>
  <sheetFormatPr defaultColWidth="12.5703125" defaultRowHeight="14.25"/>
  <cols>
    <col min="1" max="1" width="6.140625" style="94" customWidth="1"/>
    <col min="2" max="2" width="33.140625" style="92" customWidth="1"/>
    <col min="3" max="3" width="11.42578125" style="92" customWidth="1"/>
    <col min="4" max="4" width="12.28515625" style="92" customWidth="1"/>
    <col min="5" max="5" width="13" style="92" bestFit="1" customWidth="1"/>
    <col min="6" max="6" width="13" style="92" customWidth="1"/>
    <col min="7" max="7" width="13.5703125" style="92" customWidth="1"/>
    <col min="8" max="8" width="15.42578125" style="92" customWidth="1"/>
    <col min="9" max="9" width="12.42578125" style="92" customWidth="1"/>
    <col min="10" max="10" width="12.85546875" style="92" bestFit="1" customWidth="1"/>
    <col min="11" max="11" width="12.5703125" style="92" customWidth="1"/>
    <col min="12" max="12" width="14.7109375" style="92" bestFit="1" customWidth="1"/>
    <col min="13" max="13" width="15.140625" style="92" customWidth="1"/>
    <col min="14" max="14" width="10" style="92" bestFit="1" customWidth="1"/>
    <col min="15" max="15" width="11.85546875" style="92" bestFit="1" customWidth="1"/>
    <col min="16" max="16" width="13.28515625" style="92" hidden="1" customWidth="1"/>
    <col min="17" max="17" width="12" style="92" hidden="1" customWidth="1"/>
    <col min="18" max="18" width="14.42578125" style="92" hidden="1" customWidth="1"/>
    <col min="19" max="19" width="11.42578125" style="92" hidden="1" customWidth="1"/>
    <col min="20" max="20" width="11.28515625" style="92" hidden="1" customWidth="1"/>
    <col min="21" max="21" width="15.140625" style="92" customWidth="1"/>
    <col min="22" max="22" width="3.5703125" style="92" customWidth="1"/>
    <col min="23" max="23" width="15.5703125" style="92" bestFit="1" customWidth="1"/>
    <col min="24" max="24" width="12.7109375" style="92" bestFit="1" customWidth="1"/>
    <col min="25" max="16384" width="12.5703125" style="92"/>
  </cols>
  <sheetData>
    <row r="1" spans="1:34" ht="15">
      <c r="A1" s="93"/>
      <c r="B1" s="107" t="s">
        <v>244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4" ht="15">
      <c r="A2" s="93"/>
      <c r="B2" s="107" t="s">
        <v>193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s="94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</row>
    <row r="4" spans="1:34">
      <c r="A4" s="93"/>
      <c r="B4" s="90" t="s">
        <v>190</v>
      </c>
      <c r="C4" s="93">
        <f>AdjsList!B7</f>
        <v>1.01</v>
      </c>
      <c r="D4" s="93">
        <f>AdjsList!B8</f>
        <v>1.02</v>
      </c>
      <c r="E4" s="93">
        <f>AdjsList!B9</f>
        <v>1.03</v>
      </c>
      <c r="F4" s="93">
        <f>AdjsList!B10</f>
        <v>1.04</v>
      </c>
      <c r="G4" s="93">
        <f>AdjsList!B11</f>
        <v>1.05</v>
      </c>
      <c r="H4" s="93">
        <f>AdjsList!B12</f>
        <v>1.06</v>
      </c>
      <c r="I4" s="93">
        <f>AdjsList!B13</f>
        <v>1.07</v>
      </c>
      <c r="J4" s="93">
        <f>AdjsList!B14</f>
        <v>1.08</v>
      </c>
      <c r="K4" s="93">
        <f>AdjsList!B15</f>
        <v>1.0900000000000001</v>
      </c>
      <c r="L4" s="95">
        <f>AdjsList!B16</f>
        <v>1.1000000000000001</v>
      </c>
      <c r="M4" s="93">
        <f>AdjsList!B17</f>
        <v>1.1100000000000001</v>
      </c>
      <c r="N4" s="93">
        <f>AdjsList!B18</f>
        <v>1.1200000000000001</v>
      </c>
      <c r="O4" s="93">
        <f>AdjsList!B19</f>
        <v>1.1299999999999999</v>
      </c>
      <c r="P4" s="93"/>
      <c r="Q4" s="93"/>
      <c r="R4" s="93"/>
      <c r="S4" s="93"/>
      <c r="T4" s="93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34">
      <c r="A5" s="93"/>
      <c r="B5" s="91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6"/>
      <c r="R5" s="96"/>
      <c r="S5" s="93"/>
      <c r="T5" s="93"/>
      <c r="U5" s="93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</row>
    <row r="6" spans="1:34" s="98" customFormat="1" ht="57">
      <c r="A6" s="97"/>
      <c r="B6" s="108" t="s">
        <v>191</v>
      </c>
      <c r="C6" s="97" t="str">
        <f>AdjsList!C7</f>
        <v>Retirement Plan &amp; 401(k)</v>
      </c>
      <c r="D6" s="97" t="str">
        <f>AdjsList!C8</f>
        <v>Employee Healthcare</v>
      </c>
      <c r="E6" s="97" t="str">
        <f>AdjsList!C9</f>
        <v>Employee Life Insurance Premiums</v>
      </c>
      <c r="F6" s="97" t="str">
        <f>AdjsList!C10</f>
        <v>Donations, Promotional Advertising, &amp; Dues</v>
      </c>
      <c r="G6" s="97" t="str">
        <f>AdjsList!C11</f>
        <v>Fuel Adjustment Clause</v>
      </c>
      <c r="H6" s="97" t="str">
        <f>AdjsList!C12</f>
        <v>Environmental Surcharge</v>
      </c>
      <c r="I6" s="97" t="str">
        <f>AdjsList!C13</f>
        <v>Wages &amp; Salaries</v>
      </c>
      <c r="J6" s="97" t="str">
        <f>AdjsList!C14</f>
        <v>Board of Directors Fees</v>
      </c>
      <c r="K6" s="97" t="str">
        <f>AdjsList!C15</f>
        <v>Year End Customers</v>
      </c>
      <c r="L6" s="97" t="str">
        <f>AdjsList!C16</f>
        <v>Rate Case Expenses</v>
      </c>
      <c r="M6" s="97" t="str">
        <f>AdjsList!C17</f>
        <v>Depreciation Expense</v>
      </c>
      <c r="N6" s="97" t="str">
        <f>AdjsList!C18</f>
        <v>Interest</v>
      </c>
      <c r="O6" s="97" t="str">
        <f>AdjsList!C19</f>
        <v>GTCC</v>
      </c>
      <c r="P6" s="97"/>
      <c r="Q6" s="97"/>
      <c r="R6" s="97"/>
      <c r="S6" s="97"/>
      <c r="T6" s="97"/>
      <c r="U6" s="97" t="s">
        <v>15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</row>
    <row r="7" spans="1:34">
      <c r="A7" s="93">
        <v>1</v>
      </c>
      <c r="B7" s="9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91"/>
      <c r="W7" s="91"/>
      <c r="X7" s="91"/>
      <c r="Y7" s="70"/>
      <c r="Z7" s="70"/>
      <c r="AA7" s="70"/>
      <c r="AB7" s="70"/>
      <c r="AC7" s="70"/>
      <c r="AD7" s="70"/>
      <c r="AE7" s="70"/>
      <c r="AF7" s="70"/>
      <c r="AG7" s="70"/>
      <c r="AH7" s="91"/>
    </row>
    <row r="8" spans="1:34">
      <c r="A8" s="93">
        <f t="shared" ref="A8:A42" si="0">(A7+1)</f>
        <v>2</v>
      </c>
      <c r="B8" s="99" t="s">
        <v>98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91"/>
      <c r="W8" s="91"/>
      <c r="X8" s="91"/>
      <c r="Y8" s="70"/>
      <c r="Z8" s="70"/>
      <c r="AA8" s="70"/>
      <c r="AB8" s="70"/>
      <c r="AC8" s="70"/>
      <c r="AD8" s="70"/>
      <c r="AE8" s="70"/>
      <c r="AF8" s="70"/>
      <c r="AG8" s="70"/>
      <c r="AH8" s="91"/>
    </row>
    <row r="9" spans="1:34">
      <c r="A9" s="93">
        <f t="shared" si="0"/>
        <v>3</v>
      </c>
      <c r="B9" s="91" t="s">
        <v>107</v>
      </c>
      <c r="C9" s="70"/>
      <c r="D9" s="70"/>
      <c r="E9" s="70"/>
      <c r="F9" s="70"/>
      <c r="G9" s="70"/>
      <c r="H9" s="70"/>
      <c r="I9" s="70"/>
      <c r="J9" s="70"/>
      <c r="K9" s="70">
        <f>AdjsList!D15</f>
        <v>-201803.59</v>
      </c>
      <c r="L9" s="70"/>
      <c r="M9" s="70"/>
      <c r="N9" s="70"/>
      <c r="O9" s="70"/>
      <c r="P9" s="70"/>
      <c r="Q9" s="70"/>
      <c r="R9" s="70"/>
      <c r="S9" s="70"/>
      <c r="T9" s="70"/>
      <c r="U9" s="70">
        <f>SUM(C9:T9)</f>
        <v>-201803.59</v>
      </c>
      <c r="V9" s="91"/>
      <c r="W9" s="91"/>
      <c r="X9" s="91"/>
      <c r="Y9" s="70"/>
      <c r="Z9" s="70"/>
      <c r="AA9" s="70"/>
      <c r="AB9" s="70"/>
      <c r="AC9" s="70"/>
      <c r="AD9" s="70"/>
      <c r="AE9" s="70"/>
      <c r="AF9" s="70"/>
      <c r="AG9" s="70"/>
      <c r="AH9" s="91"/>
    </row>
    <row r="10" spans="1:34">
      <c r="A10" s="93">
        <f t="shared" si="0"/>
        <v>4</v>
      </c>
      <c r="B10" s="91" t="s">
        <v>108</v>
      </c>
      <c r="C10" s="70"/>
      <c r="D10" s="70"/>
      <c r="E10" s="70"/>
      <c r="F10" s="70"/>
      <c r="G10" s="70">
        <f>AdjsList!D11</f>
        <v>-10697269.029999999</v>
      </c>
      <c r="H10" s="70">
        <f>AdjsList!D12</f>
        <v>-10846788.98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>
        <f t="shared" ref="U10:U42" si="1">SUM(C10:T10)</f>
        <v>-21544058.009999998</v>
      </c>
      <c r="V10" s="91"/>
      <c r="W10" s="100"/>
      <c r="X10" s="100"/>
      <c r="Y10" s="70"/>
      <c r="Z10" s="70"/>
      <c r="AA10" s="70"/>
      <c r="AB10" s="70"/>
      <c r="AC10" s="70"/>
      <c r="AD10" s="70"/>
      <c r="AE10" s="70"/>
      <c r="AF10" s="70"/>
      <c r="AG10" s="70"/>
      <c r="AH10" s="91"/>
    </row>
    <row r="11" spans="1:34">
      <c r="A11" s="93">
        <f t="shared" si="0"/>
        <v>5</v>
      </c>
      <c r="B11" s="91" t="s">
        <v>109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101">
        <f t="shared" si="1"/>
        <v>0</v>
      </c>
      <c r="V11" s="91"/>
      <c r="W11" s="91"/>
      <c r="X11" s="91"/>
      <c r="Y11" s="70"/>
      <c r="Z11" s="70"/>
      <c r="AA11" s="70"/>
      <c r="AB11" s="70"/>
      <c r="AC11" s="70"/>
      <c r="AD11" s="70"/>
      <c r="AE11" s="70"/>
      <c r="AF11" s="70"/>
      <c r="AG11" s="70"/>
      <c r="AH11" s="91"/>
    </row>
    <row r="12" spans="1:34">
      <c r="A12" s="93">
        <f t="shared" si="0"/>
        <v>6</v>
      </c>
      <c r="B12" s="102" t="s">
        <v>101</v>
      </c>
      <c r="C12" s="103">
        <f t="shared" ref="C12:S12" si="2">SUM(C7:C11)</f>
        <v>0</v>
      </c>
      <c r="D12" s="103">
        <f t="shared" si="2"/>
        <v>0</v>
      </c>
      <c r="E12" s="103">
        <f t="shared" si="2"/>
        <v>0</v>
      </c>
      <c r="F12" s="103">
        <f t="shared" si="2"/>
        <v>0</v>
      </c>
      <c r="G12" s="103">
        <f t="shared" si="2"/>
        <v>-10697269.029999999</v>
      </c>
      <c r="H12" s="103">
        <f t="shared" si="2"/>
        <v>-10846788.98</v>
      </c>
      <c r="I12" s="103">
        <f t="shared" si="2"/>
        <v>0</v>
      </c>
      <c r="J12" s="103">
        <f t="shared" si="2"/>
        <v>0</v>
      </c>
      <c r="K12" s="103">
        <f t="shared" si="2"/>
        <v>-201803.59</v>
      </c>
      <c r="L12" s="103">
        <f t="shared" si="2"/>
        <v>0</v>
      </c>
      <c r="M12" s="103">
        <f t="shared" si="2"/>
        <v>0</v>
      </c>
      <c r="N12" s="103">
        <f t="shared" si="2"/>
        <v>0</v>
      </c>
      <c r="O12" s="103">
        <f t="shared" si="2"/>
        <v>0</v>
      </c>
      <c r="P12" s="103">
        <f t="shared" si="2"/>
        <v>0</v>
      </c>
      <c r="Q12" s="103">
        <f t="shared" si="2"/>
        <v>0</v>
      </c>
      <c r="R12" s="103">
        <f t="shared" si="2"/>
        <v>0</v>
      </c>
      <c r="S12" s="103">
        <f t="shared" si="2"/>
        <v>0</v>
      </c>
      <c r="T12" s="103"/>
      <c r="U12" s="103">
        <f t="shared" si="1"/>
        <v>-21745861.599999998</v>
      </c>
      <c r="V12" s="91"/>
      <c r="W12" s="70"/>
      <c r="X12" s="91"/>
      <c r="Y12" s="70"/>
      <c r="Z12" s="70"/>
      <c r="AA12" s="70"/>
      <c r="AB12" s="70"/>
      <c r="AC12" s="70"/>
      <c r="AD12" s="70"/>
      <c r="AE12" s="70"/>
      <c r="AF12" s="70"/>
      <c r="AG12" s="70"/>
      <c r="AH12" s="91"/>
    </row>
    <row r="13" spans="1:34">
      <c r="A13" s="93">
        <f t="shared" si="0"/>
        <v>7</v>
      </c>
      <c r="B13" s="91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91"/>
      <c r="W13" s="91"/>
      <c r="X13" s="91"/>
      <c r="Y13" s="70"/>
      <c r="Z13" s="70"/>
      <c r="AA13" s="70"/>
      <c r="AB13" s="70"/>
      <c r="AC13" s="70"/>
      <c r="AD13" s="70"/>
      <c r="AE13" s="70"/>
      <c r="AF13" s="70"/>
      <c r="AG13" s="70"/>
      <c r="AH13" s="91"/>
    </row>
    <row r="14" spans="1:34">
      <c r="A14" s="93">
        <f t="shared" si="0"/>
        <v>8</v>
      </c>
      <c r="B14" s="99" t="s">
        <v>79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91"/>
      <c r="W14" s="91"/>
      <c r="X14" s="91"/>
      <c r="Y14" s="70"/>
      <c r="Z14" s="70"/>
      <c r="AA14" s="70"/>
      <c r="AB14" s="70"/>
      <c r="AC14" s="70"/>
      <c r="AD14" s="70"/>
      <c r="AE14" s="70"/>
      <c r="AF14" s="70"/>
      <c r="AG14" s="70"/>
      <c r="AH14" s="91"/>
    </row>
    <row r="15" spans="1:34">
      <c r="A15" s="93">
        <f t="shared" si="0"/>
        <v>9</v>
      </c>
      <c r="B15" s="91" t="s">
        <v>80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>
        <f t="shared" si="1"/>
        <v>0</v>
      </c>
      <c r="V15" s="91"/>
      <c r="W15" s="91"/>
      <c r="X15" s="91"/>
      <c r="Y15" s="70"/>
      <c r="Z15" s="70"/>
      <c r="AA15" s="70"/>
      <c r="AB15" s="70"/>
      <c r="AC15" s="70"/>
      <c r="AD15" s="70"/>
      <c r="AE15" s="70"/>
      <c r="AF15" s="70"/>
      <c r="AG15" s="70"/>
      <c r="AH15" s="91"/>
    </row>
    <row r="16" spans="1:34">
      <c r="A16" s="93">
        <f t="shared" si="0"/>
        <v>10</v>
      </c>
      <c r="B16" s="91" t="s">
        <v>102</v>
      </c>
      <c r="C16" s="70"/>
      <c r="D16" s="70"/>
      <c r="E16" s="70"/>
      <c r="F16" s="70"/>
      <c r="G16" s="70">
        <f>AdjsList!E11</f>
        <v>-9903961</v>
      </c>
      <c r="H16" s="70">
        <f>AdjsList!E12</f>
        <v>-11043657</v>
      </c>
      <c r="I16" s="70"/>
      <c r="J16" s="70"/>
      <c r="K16" s="70">
        <f>AdjsList!E15</f>
        <v>-180405.18</v>
      </c>
      <c r="L16" s="70"/>
      <c r="M16" s="70"/>
      <c r="N16" s="70"/>
      <c r="O16" s="70"/>
      <c r="P16" s="70"/>
      <c r="Q16" s="70"/>
      <c r="R16" s="70"/>
      <c r="S16" s="70"/>
      <c r="T16" s="70"/>
      <c r="U16" s="70">
        <f t="shared" si="1"/>
        <v>-21128023.18</v>
      </c>
      <c r="V16" s="91"/>
      <c r="W16" s="91"/>
      <c r="X16" s="91"/>
      <c r="Y16" s="70"/>
      <c r="Z16" s="70"/>
      <c r="AA16" s="70"/>
      <c r="AB16" s="70"/>
      <c r="AC16" s="70"/>
      <c r="AD16" s="70"/>
      <c r="AE16" s="70"/>
      <c r="AF16" s="70"/>
      <c r="AG16" s="70"/>
      <c r="AH16" s="91"/>
    </row>
    <row r="17" spans="1:34">
      <c r="A17" s="93">
        <f t="shared" si="0"/>
        <v>11</v>
      </c>
      <c r="B17" s="91" t="s">
        <v>99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>
        <f t="shared" si="1"/>
        <v>0</v>
      </c>
      <c r="V17" s="91"/>
      <c r="W17" s="91"/>
      <c r="X17" s="91"/>
      <c r="Y17" s="70"/>
      <c r="Z17" s="70"/>
      <c r="AA17" s="70"/>
      <c r="AB17" s="70"/>
      <c r="AC17" s="70"/>
      <c r="AD17" s="70"/>
      <c r="AE17" s="70"/>
      <c r="AF17" s="70"/>
      <c r="AG17" s="70"/>
      <c r="AH17" s="91"/>
    </row>
    <row r="18" spans="1:34">
      <c r="A18" s="93">
        <f t="shared" si="0"/>
        <v>12</v>
      </c>
      <c r="B18" s="91" t="s">
        <v>110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>
        <f t="shared" si="1"/>
        <v>0</v>
      </c>
      <c r="V18" s="91"/>
      <c r="W18" s="91"/>
      <c r="X18" s="91"/>
      <c r="Y18" s="70"/>
      <c r="Z18" s="70"/>
      <c r="AA18" s="70"/>
      <c r="AB18" s="70"/>
      <c r="AC18" s="70"/>
      <c r="AD18" s="70"/>
      <c r="AE18" s="70"/>
      <c r="AF18" s="70"/>
      <c r="AG18" s="70"/>
      <c r="AH18" s="91"/>
    </row>
    <row r="19" spans="1:34">
      <c r="A19" s="93">
        <f t="shared" si="0"/>
        <v>13</v>
      </c>
      <c r="B19" s="91" t="s">
        <v>111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>
        <f t="shared" si="1"/>
        <v>0</v>
      </c>
      <c r="V19" s="91"/>
      <c r="W19" s="91"/>
      <c r="X19" s="91"/>
      <c r="Y19" s="70"/>
      <c r="Z19" s="70"/>
      <c r="AA19" s="70"/>
      <c r="AB19" s="70"/>
      <c r="AC19" s="70"/>
      <c r="AD19" s="70"/>
      <c r="AE19" s="70"/>
      <c r="AF19" s="70"/>
      <c r="AG19" s="70"/>
      <c r="AH19" s="91"/>
    </row>
    <row r="20" spans="1:34">
      <c r="A20" s="93">
        <f t="shared" si="0"/>
        <v>14</v>
      </c>
      <c r="B20" s="91" t="s">
        <v>112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>
        <f t="shared" si="1"/>
        <v>0</v>
      </c>
      <c r="V20" s="91"/>
      <c r="W20" s="91"/>
      <c r="X20" s="91"/>
      <c r="Y20" s="70"/>
      <c r="Z20" s="70"/>
      <c r="AA20" s="70"/>
      <c r="AB20" s="70"/>
      <c r="AC20" s="70"/>
      <c r="AD20" s="70"/>
      <c r="AE20" s="70"/>
      <c r="AF20" s="70"/>
      <c r="AG20" s="70"/>
      <c r="AH20" s="91"/>
    </row>
    <row r="21" spans="1:34">
      <c r="A21" s="93">
        <f t="shared" si="0"/>
        <v>15</v>
      </c>
      <c r="B21" s="91" t="s">
        <v>84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>
        <f t="shared" si="1"/>
        <v>0</v>
      </c>
      <c r="V21" s="91"/>
      <c r="W21" s="91"/>
      <c r="X21" s="91"/>
      <c r="Y21" s="70"/>
      <c r="Z21" s="70"/>
      <c r="AA21" s="70"/>
      <c r="AB21" s="70"/>
      <c r="AC21" s="70"/>
      <c r="AD21" s="70"/>
      <c r="AE21" s="70"/>
      <c r="AF21" s="70"/>
      <c r="AG21" s="70"/>
      <c r="AH21" s="91"/>
    </row>
    <row r="22" spans="1:34">
      <c r="A22" s="93">
        <f t="shared" si="0"/>
        <v>16</v>
      </c>
      <c r="B22" s="91" t="s">
        <v>113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>
        <f t="shared" si="1"/>
        <v>0</v>
      </c>
      <c r="V22" s="91"/>
      <c r="W22" s="91"/>
      <c r="X22" s="91"/>
      <c r="Y22" s="70"/>
      <c r="Z22" s="70"/>
      <c r="AA22" s="70"/>
      <c r="AB22" s="70"/>
      <c r="AC22" s="70"/>
      <c r="AD22" s="70"/>
      <c r="AE22" s="70"/>
      <c r="AF22" s="70"/>
      <c r="AG22" s="70"/>
      <c r="AH22" s="91"/>
    </row>
    <row r="23" spans="1:34">
      <c r="A23" s="93">
        <f t="shared" si="0"/>
        <v>17</v>
      </c>
      <c r="B23" s="91" t="s">
        <v>114</v>
      </c>
      <c r="C23" s="70">
        <f>AdjsList!E7</f>
        <v>-175667.90999999997</v>
      </c>
      <c r="D23" s="70">
        <f>AdjsList!E8</f>
        <v>-182518.55200000014</v>
      </c>
      <c r="E23" s="70">
        <f>AdjsList!E9</f>
        <v>-35011.949999999997</v>
      </c>
      <c r="F23" s="70">
        <f>AdjsList!E10</f>
        <v>-265253.65999999997</v>
      </c>
      <c r="G23" s="70"/>
      <c r="H23" s="70"/>
      <c r="I23" s="70">
        <f>AdjsList!E13</f>
        <v>812582.41692101886</v>
      </c>
      <c r="J23" s="70">
        <f>AdjsList!E14</f>
        <v>-44375.5</v>
      </c>
      <c r="K23" s="70"/>
      <c r="L23" s="70">
        <f>AdjsList!E16</f>
        <v>17000</v>
      </c>
      <c r="M23" s="70"/>
      <c r="N23" s="70"/>
      <c r="O23" s="70"/>
      <c r="P23" s="70"/>
      <c r="Q23" s="70"/>
      <c r="R23" s="70"/>
      <c r="S23" s="70"/>
      <c r="T23" s="70"/>
      <c r="U23" s="70">
        <f t="shared" si="1"/>
        <v>126754.8449210187</v>
      </c>
      <c r="V23" s="91"/>
      <c r="W23" s="91"/>
      <c r="X23" s="91"/>
      <c r="Y23" s="70"/>
      <c r="Z23" s="70"/>
      <c r="AA23" s="70"/>
      <c r="AB23" s="70"/>
      <c r="AC23" s="70"/>
      <c r="AD23" s="70"/>
      <c r="AE23" s="70"/>
      <c r="AF23" s="70"/>
      <c r="AG23" s="70"/>
      <c r="AH23" s="91"/>
    </row>
    <row r="24" spans="1:34">
      <c r="A24" s="93">
        <f t="shared" si="0"/>
        <v>18</v>
      </c>
      <c r="B24" s="102" t="s">
        <v>103</v>
      </c>
      <c r="C24" s="103">
        <f t="shared" ref="C24:S24" si="3">SUM(C15:C23)</f>
        <v>-175667.90999999997</v>
      </c>
      <c r="D24" s="103">
        <f t="shared" si="3"/>
        <v>-182518.55200000014</v>
      </c>
      <c r="E24" s="103">
        <f t="shared" si="3"/>
        <v>-35011.949999999997</v>
      </c>
      <c r="F24" s="103">
        <f t="shared" si="3"/>
        <v>-265253.65999999997</v>
      </c>
      <c r="G24" s="103">
        <f t="shared" si="3"/>
        <v>-9903961</v>
      </c>
      <c r="H24" s="103">
        <f t="shared" si="3"/>
        <v>-11043657</v>
      </c>
      <c r="I24" s="103">
        <f t="shared" si="3"/>
        <v>812582.41692101886</v>
      </c>
      <c r="J24" s="103">
        <f t="shared" si="3"/>
        <v>-44375.5</v>
      </c>
      <c r="K24" s="103">
        <f t="shared" si="3"/>
        <v>-180405.18</v>
      </c>
      <c r="L24" s="103">
        <f t="shared" si="3"/>
        <v>17000</v>
      </c>
      <c r="M24" s="103">
        <f t="shared" si="3"/>
        <v>0</v>
      </c>
      <c r="N24" s="103">
        <f t="shared" si="3"/>
        <v>0</v>
      </c>
      <c r="O24" s="103">
        <f t="shared" si="3"/>
        <v>0</v>
      </c>
      <c r="P24" s="103">
        <f t="shared" si="3"/>
        <v>0</v>
      </c>
      <c r="Q24" s="103">
        <f t="shared" si="3"/>
        <v>0</v>
      </c>
      <c r="R24" s="103">
        <f t="shared" si="3"/>
        <v>0</v>
      </c>
      <c r="S24" s="103">
        <f t="shared" si="3"/>
        <v>0</v>
      </c>
      <c r="T24" s="103">
        <f t="shared" ref="T24" si="4">SUM(T15:T23)</f>
        <v>0</v>
      </c>
      <c r="U24" s="103">
        <f t="shared" si="1"/>
        <v>-21001268.335078981</v>
      </c>
      <c r="V24" s="91"/>
      <c r="W24" s="70"/>
      <c r="X24" s="91"/>
      <c r="Y24" s="70"/>
      <c r="Z24" s="70"/>
      <c r="AA24" s="70"/>
      <c r="AB24" s="70"/>
      <c r="AC24" s="70"/>
      <c r="AD24" s="70"/>
      <c r="AE24" s="70"/>
      <c r="AF24" s="70"/>
      <c r="AG24" s="70"/>
      <c r="AH24" s="91"/>
    </row>
    <row r="25" spans="1:34">
      <c r="A25" s="93">
        <f t="shared" si="0"/>
        <v>19</v>
      </c>
      <c r="B25" s="91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91"/>
      <c r="W25" s="91"/>
      <c r="X25" s="91"/>
      <c r="Y25" s="70"/>
      <c r="Z25" s="70"/>
      <c r="AA25" s="70"/>
      <c r="AB25" s="70"/>
      <c r="AC25" s="70"/>
      <c r="AD25" s="70"/>
      <c r="AE25" s="70"/>
      <c r="AF25" s="70"/>
      <c r="AG25" s="70"/>
      <c r="AH25" s="91"/>
    </row>
    <row r="26" spans="1:34">
      <c r="A26" s="93">
        <f t="shared" si="0"/>
        <v>20</v>
      </c>
      <c r="B26" s="91" t="s">
        <v>30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>
        <f>AdjsList!E17</f>
        <v>747922.66000000061</v>
      </c>
      <c r="N26" s="70"/>
      <c r="O26" s="70"/>
      <c r="P26" s="70"/>
      <c r="Q26" s="70"/>
      <c r="R26" s="70"/>
      <c r="S26" s="70"/>
      <c r="T26" s="70"/>
      <c r="U26" s="70">
        <f t="shared" si="1"/>
        <v>747922.66000000061</v>
      </c>
      <c r="V26" s="91"/>
      <c r="W26" s="91"/>
      <c r="X26" s="91"/>
      <c r="Y26" s="70"/>
      <c r="Z26" s="70"/>
      <c r="AA26" s="70"/>
      <c r="AB26" s="70"/>
      <c r="AC26" s="70"/>
      <c r="AD26" s="70"/>
      <c r="AE26" s="70"/>
      <c r="AF26" s="70"/>
      <c r="AG26" s="70"/>
      <c r="AH26" s="91"/>
    </row>
    <row r="27" spans="1:34">
      <c r="A27" s="93">
        <f t="shared" si="0"/>
        <v>21</v>
      </c>
      <c r="B27" s="91" t="s">
        <v>89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>
        <f t="shared" si="1"/>
        <v>0</v>
      </c>
      <c r="V27" s="91"/>
      <c r="W27" s="91"/>
      <c r="X27" s="91"/>
      <c r="Y27" s="70"/>
      <c r="Z27" s="70"/>
      <c r="AA27" s="70"/>
      <c r="AB27" s="70"/>
      <c r="AC27" s="70"/>
      <c r="AD27" s="70"/>
      <c r="AE27" s="70"/>
      <c r="AF27" s="70"/>
      <c r="AG27" s="70"/>
      <c r="AH27" s="91"/>
    </row>
    <row r="28" spans="1:34">
      <c r="A28" s="93">
        <f t="shared" si="0"/>
        <v>22</v>
      </c>
      <c r="B28" s="91" t="s">
        <v>105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>
        <f>AdjsList!E18</f>
        <v>239475.32000000018</v>
      </c>
      <c r="O28" s="70"/>
      <c r="P28" s="70"/>
      <c r="Q28" s="70"/>
      <c r="R28" s="70"/>
      <c r="S28" s="70"/>
      <c r="T28" s="70"/>
      <c r="U28" s="70">
        <f t="shared" si="1"/>
        <v>239475.32000000018</v>
      </c>
      <c r="V28" s="91"/>
      <c r="W28" s="91"/>
      <c r="X28" s="91"/>
      <c r="Y28" s="70"/>
      <c r="Z28" s="70"/>
      <c r="AA28" s="70"/>
      <c r="AB28" s="70"/>
      <c r="AC28" s="70"/>
      <c r="AD28" s="70"/>
      <c r="AE28" s="70"/>
      <c r="AF28" s="70"/>
      <c r="AG28" s="70"/>
      <c r="AH28" s="91"/>
    </row>
    <row r="29" spans="1:34">
      <c r="A29" s="93">
        <f>(A28+1)</f>
        <v>23</v>
      </c>
      <c r="B29" s="91" t="s">
        <v>106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>
        <f t="shared" si="1"/>
        <v>0</v>
      </c>
      <c r="V29" s="91"/>
      <c r="W29" s="91"/>
      <c r="X29" s="91"/>
      <c r="Y29" s="70"/>
      <c r="Z29" s="70"/>
      <c r="AA29" s="70"/>
      <c r="AB29" s="70"/>
      <c r="AC29" s="70"/>
      <c r="AD29" s="70"/>
      <c r="AE29" s="70"/>
      <c r="AF29" s="70"/>
      <c r="AG29" s="70"/>
      <c r="AH29" s="91"/>
    </row>
    <row r="30" spans="1:34">
      <c r="A30" s="93">
        <f>(A29+1)</f>
        <v>24</v>
      </c>
      <c r="B30" s="91" t="s">
        <v>91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>
        <f t="shared" si="1"/>
        <v>0</v>
      </c>
      <c r="V30" s="91"/>
      <c r="W30" s="91"/>
      <c r="X30" s="91"/>
      <c r="Y30" s="70"/>
      <c r="Z30" s="70"/>
      <c r="AA30" s="70"/>
      <c r="AB30" s="70"/>
      <c r="AC30" s="70"/>
      <c r="AD30" s="70"/>
      <c r="AE30" s="70"/>
      <c r="AF30" s="70"/>
      <c r="AG30" s="70"/>
      <c r="AH30" s="91"/>
    </row>
    <row r="31" spans="1:34">
      <c r="A31" s="93">
        <f t="shared" si="0"/>
        <v>25</v>
      </c>
      <c r="B31" s="102" t="s">
        <v>35</v>
      </c>
      <c r="C31" s="103">
        <f t="shared" ref="C31:S31" si="5">SUM(C24:C30)</f>
        <v>-175667.90999999997</v>
      </c>
      <c r="D31" s="103">
        <f t="shared" si="5"/>
        <v>-182518.55200000014</v>
      </c>
      <c r="E31" s="103">
        <f t="shared" si="5"/>
        <v>-35011.949999999997</v>
      </c>
      <c r="F31" s="103">
        <f t="shared" si="5"/>
        <v>-265253.65999999997</v>
      </c>
      <c r="G31" s="103">
        <f t="shared" si="5"/>
        <v>-9903961</v>
      </c>
      <c r="H31" s="103">
        <f t="shared" si="5"/>
        <v>-11043657</v>
      </c>
      <c r="I31" s="103">
        <f t="shared" si="5"/>
        <v>812582.41692101886</v>
      </c>
      <c r="J31" s="103">
        <f t="shared" si="5"/>
        <v>-44375.5</v>
      </c>
      <c r="K31" s="103">
        <f t="shared" si="5"/>
        <v>-180405.18</v>
      </c>
      <c r="L31" s="103">
        <f t="shared" si="5"/>
        <v>17000</v>
      </c>
      <c r="M31" s="103">
        <f t="shared" si="5"/>
        <v>747922.66000000061</v>
      </c>
      <c r="N31" s="103">
        <f t="shared" si="5"/>
        <v>239475.32000000018</v>
      </c>
      <c r="O31" s="103">
        <f t="shared" si="5"/>
        <v>0</v>
      </c>
      <c r="P31" s="103">
        <f t="shared" si="5"/>
        <v>0</v>
      </c>
      <c r="Q31" s="103">
        <f t="shared" si="5"/>
        <v>0</v>
      </c>
      <c r="R31" s="103">
        <f t="shared" si="5"/>
        <v>0</v>
      </c>
      <c r="S31" s="103">
        <f t="shared" si="5"/>
        <v>0</v>
      </c>
      <c r="T31" s="103">
        <f t="shared" ref="T31" si="6">SUM(T24:T30)</f>
        <v>0</v>
      </c>
      <c r="U31" s="103">
        <f t="shared" si="1"/>
        <v>-20013870.35507898</v>
      </c>
      <c r="V31" s="91"/>
      <c r="W31" s="70"/>
      <c r="X31" s="91"/>
      <c r="Y31" s="70"/>
      <c r="Z31" s="70"/>
      <c r="AA31" s="70"/>
      <c r="AB31" s="70"/>
      <c r="AC31" s="70"/>
      <c r="AD31" s="70"/>
      <c r="AE31" s="70"/>
      <c r="AF31" s="70"/>
      <c r="AG31" s="70"/>
      <c r="AH31" s="91"/>
    </row>
    <row r="32" spans="1:34">
      <c r="A32" s="93">
        <f t="shared" si="0"/>
        <v>26</v>
      </c>
      <c r="B32" s="91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91"/>
      <c r="W32" s="91"/>
      <c r="X32" s="91"/>
      <c r="Y32" s="70"/>
      <c r="Z32" s="70"/>
      <c r="AA32" s="70"/>
      <c r="AB32" s="70"/>
      <c r="AC32" s="70"/>
      <c r="AD32" s="70"/>
      <c r="AE32" s="70"/>
      <c r="AF32" s="70"/>
      <c r="AG32" s="70"/>
      <c r="AH32" s="91"/>
    </row>
    <row r="33" spans="1:34">
      <c r="A33" s="93">
        <f t="shared" si="0"/>
        <v>27</v>
      </c>
      <c r="B33" s="91" t="s">
        <v>92</v>
      </c>
      <c r="C33" s="70">
        <f t="shared" ref="C33:S33" si="7">(+C12-C31)</f>
        <v>175667.90999999997</v>
      </c>
      <c r="D33" s="70">
        <f t="shared" si="7"/>
        <v>182518.55200000014</v>
      </c>
      <c r="E33" s="70">
        <f t="shared" si="7"/>
        <v>35011.949999999997</v>
      </c>
      <c r="F33" s="70">
        <f t="shared" si="7"/>
        <v>265253.65999999997</v>
      </c>
      <c r="G33" s="70">
        <f t="shared" si="7"/>
        <v>-793308.02999999933</v>
      </c>
      <c r="H33" s="70">
        <f t="shared" si="7"/>
        <v>196868.01999999955</v>
      </c>
      <c r="I33" s="70">
        <f t="shared" si="7"/>
        <v>-812582.41692101886</v>
      </c>
      <c r="J33" s="70">
        <f t="shared" si="7"/>
        <v>44375.5</v>
      </c>
      <c r="K33" s="70">
        <f t="shared" si="7"/>
        <v>-21398.410000000003</v>
      </c>
      <c r="L33" s="70">
        <f t="shared" si="7"/>
        <v>-17000</v>
      </c>
      <c r="M33" s="70">
        <f t="shared" si="7"/>
        <v>-747922.66000000061</v>
      </c>
      <c r="N33" s="70">
        <f t="shared" si="7"/>
        <v>-239475.32000000018</v>
      </c>
      <c r="O33" s="70">
        <f t="shared" si="7"/>
        <v>0</v>
      </c>
      <c r="P33" s="70">
        <f t="shared" si="7"/>
        <v>0</v>
      </c>
      <c r="Q33" s="70">
        <f t="shared" si="7"/>
        <v>0</v>
      </c>
      <c r="R33" s="70">
        <f t="shared" si="7"/>
        <v>0</v>
      </c>
      <c r="S33" s="70">
        <f t="shared" si="7"/>
        <v>0</v>
      </c>
      <c r="T33" s="70">
        <f t="shared" ref="T33" si="8">(+T12-T31)</f>
        <v>0</v>
      </c>
      <c r="U33" s="70">
        <f t="shared" si="1"/>
        <v>-1731991.2449210193</v>
      </c>
      <c r="V33" s="91"/>
      <c r="W33" s="91"/>
      <c r="X33" s="91"/>
      <c r="Y33" s="70"/>
      <c r="Z33" s="70"/>
      <c r="AA33" s="70"/>
      <c r="AB33" s="70"/>
      <c r="AC33" s="70"/>
      <c r="AD33" s="70"/>
      <c r="AE33" s="70"/>
      <c r="AF33" s="70"/>
      <c r="AG33" s="70"/>
      <c r="AH33" s="91"/>
    </row>
    <row r="34" spans="1:34">
      <c r="A34" s="93">
        <f t="shared" si="0"/>
        <v>28</v>
      </c>
      <c r="B34" s="91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91"/>
      <c r="W34" s="91"/>
      <c r="X34" s="91"/>
      <c r="Y34" s="70"/>
      <c r="Z34" s="70"/>
      <c r="AA34" s="70"/>
      <c r="AB34" s="70"/>
      <c r="AC34" s="70"/>
      <c r="AD34" s="70"/>
      <c r="AE34" s="70"/>
      <c r="AF34" s="70"/>
      <c r="AG34" s="70"/>
      <c r="AH34" s="91"/>
    </row>
    <row r="35" spans="1:34">
      <c r="A35" s="93">
        <f t="shared" si="0"/>
        <v>29</v>
      </c>
      <c r="B35" s="91" t="s">
        <v>36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>
        <f t="shared" si="1"/>
        <v>0</v>
      </c>
      <c r="V35" s="91"/>
      <c r="W35" s="91"/>
      <c r="X35" s="91"/>
      <c r="Y35" s="70"/>
      <c r="Z35" s="70"/>
      <c r="AA35" s="70"/>
      <c r="AB35" s="70"/>
      <c r="AC35" s="70"/>
      <c r="AD35" s="70"/>
      <c r="AE35" s="70"/>
      <c r="AF35" s="70"/>
      <c r="AG35" s="70"/>
      <c r="AH35" s="91"/>
    </row>
    <row r="36" spans="1:34">
      <c r="A36" s="93" t="s">
        <v>246</v>
      </c>
      <c r="B36" s="91" t="s">
        <v>247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91"/>
      <c r="W36" s="91"/>
      <c r="X36" s="91"/>
      <c r="Y36" s="70"/>
      <c r="Z36" s="70"/>
      <c r="AA36" s="70"/>
      <c r="AB36" s="70"/>
      <c r="AC36" s="70"/>
      <c r="AD36" s="70"/>
      <c r="AE36" s="70"/>
      <c r="AF36" s="70"/>
      <c r="AG36" s="70"/>
      <c r="AH36" s="91"/>
    </row>
    <row r="37" spans="1:34">
      <c r="A37" s="93">
        <f>(A35+1)</f>
        <v>30</v>
      </c>
      <c r="B37" s="91" t="s">
        <v>37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>
        <f t="shared" si="1"/>
        <v>0</v>
      </c>
      <c r="V37" s="91"/>
      <c r="W37" s="91"/>
      <c r="X37" s="91"/>
      <c r="Y37" s="70"/>
      <c r="Z37" s="70"/>
      <c r="AA37" s="70"/>
      <c r="AB37" s="70"/>
      <c r="AC37" s="70"/>
      <c r="AD37" s="70"/>
      <c r="AE37" s="70"/>
      <c r="AF37" s="70"/>
      <c r="AG37" s="70"/>
      <c r="AH37" s="91"/>
    </row>
    <row r="38" spans="1:34">
      <c r="A38" s="93">
        <f t="shared" si="0"/>
        <v>31</v>
      </c>
      <c r="B38" s="91" t="s">
        <v>33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>
        <f>AdjsList!F19</f>
        <v>-1736666</v>
      </c>
      <c r="P38" s="70"/>
      <c r="Q38" s="70"/>
      <c r="R38" s="70"/>
      <c r="S38" s="70"/>
      <c r="T38" s="70"/>
      <c r="U38" s="70">
        <f t="shared" si="1"/>
        <v>-1736666</v>
      </c>
      <c r="V38" s="91"/>
      <c r="W38" s="91"/>
      <c r="X38" s="91"/>
      <c r="Y38" s="70"/>
      <c r="Z38" s="70"/>
      <c r="AA38" s="70"/>
      <c r="AB38" s="70"/>
      <c r="AC38" s="70"/>
      <c r="AD38" s="70"/>
      <c r="AE38" s="70"/>
      <c r="AF38" s="70"/>
      <c r="AG38" s="70"/>
      <c r="AH38" s="91"/>
    </row>
    <row r="39" spans="1:34">
      <c r="A39" s="93">
        <f t="shared" si="0"/>
        <v>32</v>
      </c>
      <c r="B39" s="91" t="s">
        <v>93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>
        <f t="shared" si="1"/>
        <v>0</v>
      </c>
      <c r="V39" s="91"/>
      <c r="W39" s="91"/>
      <c r="X39" s="91"/>
      <c r="Y39" s="70"/>
      <c r="Z39" s="70"/>
      <c r="AA39" s="70"/>
      <c r="AB39" s="70"/>
      <c r="AC39" s="70"/>
      <c r="AD39" s="70"/>
      <c r="AE39" s="70"/>
      <c r="AF39" s="70"/>
      <c r="AG39" s="70"/>
      <c r="AH39" s="91"/>
    </row>
    <row r="40" spans="1:34">
      <c r="A40" s="93">
        <f t="shared" si="0"/>
        <v>33</v>
      </c>
      <c r="B40" s="102" t="s">
        <v>104</v>
      </c>
      <c r="C40" s="103">
        <f t="shared" ref="C40:S40" si="9">SUM(C35:C39)</f>
        <v>0</v>
      </c>
      <c r="D40" s="103">
        <f t="shared" si="9"/>
        <v>0</v>
      </c>
      <c r="E40" s="103">
        <f t="shared" si="9"/>
        <v>0</v>
      </c>
      <c r="F40" s="103">
        <f t="shared" si="9"/>
        <v>0</v>
      </c>
      <c r="G40" s="103">
        <f t="shared" si="9"/>
        <v>0</v>
      </c>
      <c r="H40" s="103">
        <f t="shared" si="9"/>
        <v>0</v>
      </c>
      <c r="I40" s="103">
        <f t="shared" si="9"/>
        <v>0</v>
      </c>
      <c r="J40" s="103">
        <f t="shared" si="9"/>
        <v>0</v>
      </c>
      <c r="K40" s="103">
        <f t="shared" si="9"/>
        <v>0</v>
      </c>
      <c r="L40" s="103">
        <f t="shared" si="9"/>
        <v>0</v>
      </c>
      <c r="M40" s="103">
        <f t="shared" si="9"/>
        <v>0</v>
      </c>
      <c r="N40" s="103">
        <f t="shared" si="9"/>
        <v>0</v>
      </c>
      <c r="O40" s="103">
        <f t="shared" si="9"/>
        <v>-1736666</v>
      </c>
      <c r="P40" s="103">
        <f t="shared" si="9"/>
        <v>0</v>
      </c>
      <c r="Q40" s="103">
        <f t="shared" si="9"/>
        <v>0</v>
      </c>
      <c r="R40" s="103">
        <f t="shared" si="9"/>
        <v>0</v>
      </c>
      <c r="S40" s="103">
        <f t="shared" si="9"/>
        <v>0</v>
      </c>
      <c r="T40" s="103">
        <f t="shared" ref="T40" si="10">SUM(T35:T39)</f>
        <v>0</v>
      </c>
      <c r="U40" s="103">
        <f t="shared" si="1"/>
        <v>-1736666</v>
      </c>
      <c r="V40" s="91"/>
      <c r="W40" s="70"/>
      <c r="X40" s="91"/>
      <c r="Y40" s="70"/>
      <c r="Z40" s="70"/>
      <c r="AA40" s="70"/>
      <c r="AB40" s="70"/>
      <c r="AC40" s="70"/>
      <c r="AD40" s="70"/>
      <c r="AE40" s="70"/>
      <c r="AF40" s="70"/>
      <c r="AG40" s="70"/>
      <c r="AH40" s="91"/>
    </row>
    <row r="41" spans="1:34">
      <c r="A41" s="93">
        <f t="shared" si="0"/>
        <v>34</v>
      </c>
      <c r="B41" s="91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91"/>
      <c r="W41" s="91"/>
      <c r="X41" s="91"/>
      <c r="Y41" s="70"/>
      <c r="Z41" s="70"/>
      <c r="AA41" s="70"/>
      <c r="AB41" s="70"/>
      <c r="AC41" s="70"/>
      <c r="AD41" s="70"/>
      <c r="AE41" s="70"/>
      <c r="AF41" s="70"/>
      <c r="AG41" s="70"/>
      <c r="AH41" s="91"/>
    </row>
    <row r="42" spans="1:34" ht="15" thickBot="1">
      <c r="A42" s="93">
        <f t="shared" si="0"/>
        <v>35</v>
      </c>
      <c r="B42" s="105" t="s">
        <v>94</v>
      </c>
      <c r="C42" s="106">
        <f t="shared" ref="C42:S42" si="11">+C33+C40</f>
        <v>175667.90999999997</v>
      </c>
      <c r="D42" s="106">
        <f t="shared" si="11"/>
        <v>182518.55200000014</v>
      </c>
      <c r="E42" s="106">
        <f t="shared" si="11"/>
        <v>35011.949999999997</v>
      </c>
      <c r="F42" s="106">
        <f t="shared" si="11"/>
        <v>265253.65999999997</v>
      </c>
      <c r="G42" s="106">
        <f t="shared" si="11"/>
        <v>-793308.02999999933</v>
      </c>
      <c r="H42" s="106">
        <f t="shared" si="11"/>
        <v>196868.01999999955</v>
      </c>
      <c r="I42" s="106">
        <f t="shared" si="11"/>
        <v>-812582.41692101886</v>
      </c>
      <c r="J42" s="106">
        <f t="shared" si="11"/>
        <v>44375.5</v>
      </c>
      <c r="K42" s="106">
        <f t="shared" si="11"/>
        <v>-21398.410000000003</v>
      </c>
      <c r="L42" s="106">
        <f t="shared" si="11"/>
        <v>-17000</v>
      </c>
      <c r="M42" s="106">
        <f t="shared" si="11"/>
        <v>-747922.66000000061</v>
      </c>
      <c r="N42" s="106">
        <f t="shared" si="11"/>
        <v>-239475.32000000018</v>
      </c>
      <c r="O42" s="106">
        <f t="shared" si="11"/>
        <v>-1736666</v>
      </c>
      <c r="P42" s="106">
        <f t="shared" si="11"/>
        <v>0</v>
      </c>
      <c r="Q42" s="106">
        <f t="shared" si="11"/>
        <v>0</v>
      </c>
      <c r="R42" s="106">
        <f t="shared" si="11"/>
        <v>0</v>
      </c>
      <c r="S42" s="106">
        <f t="shared" si="11"/>
        <v>0</v>
      </c>
      <c r="T42" s="106">
        <f t="shared" ref="T42" si="12">+T33+T40</f>
        <v>0</v>
      </c>
      <c r="U42" s="106">
        <f t="shared" si="1"/>
        <v>-3468657.2449210193</v>
      </c>
      <c r="V42" s="91"/>
      <c r="W42" s="70"/>
      <c r="X42" s="91"/>
      <c r="Y42" s="70"/>
      <c r="Z42" s="70"/>
      <c r="AA42" s="70"/>
      <c r="AB42" s="70"/>
      <c r="AC42" s="70"/>
      <c r="AD42" s="70"/>
      <c r="AE42" s="70"/>
      <c r="AF42" s="70"/>
      <c r="AG42" s="70"/>
      <c r="AH42" s="91"/>
    </row>
    <row r="43" spans="1:34" ht="18" customHeight="1" thickTop="1">
      <c r="A43" s="93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</row>
    <row r="44" spans="1:34" ht="18" customHeight="1">
      <c r="A44" s="93"/>
      <c r="B44" s="91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91"/>
      <c r="W44" s="70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</row>
    <row r="45" spans="1:34" ht="18" customHeight="1">
      <c r="A45" s="93"/>
      <c r="B45" s="91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91"/>
      <c r="W45" s="70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</row>
    <row r="46" spans="1:34" ht="18" customHeight="1">
      <c r="A46" s="93"/>
      <c r="B46" s="91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91"/>
      <c r="W46" s="70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</row>
    <row r="47" spans="1:34" ht="18" customHeight="1">
      <c r="A47" s="93"/>
      <c r="B47" s="91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91"/>
      <c r="W47" s="70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</row>
    <row r="48" spans="1:34" ht="18" customHeight="1">
      <c r="A48" s="93"/>
      <c r="B48" s="91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91"/>
      <c r="W48" s="70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</row>
    <row r="49" spans="1:34" ht="18" customHeight="1">
      <c r="A49" s="93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</row>
    <row r="50" spans="1:34" ht="18" customHeight="1">
      <c r="A50" s="93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</row>
    <row r="51" spans="1:34">
      <c r="A51" s="93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</row>
    <row r="52" spans="1:34">
      <c r="A52" s="93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</row>
    <row r="53" spans="1:34">
      <c r="A53" s="93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</row>
    <row r="54" spans="1:34">
      <c r="A54" s="93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</row>
    <row r="55" spans="1:34">
      <c r="A55" s="93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</row>
    <row r="56" spans="1:34">
      <c r="A56" s="93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</row>
    <row r="57" spans="1:34">
      <c r="A57" s="93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</row>
    <row r="58" spans="1:34">
      <c r="A58" s="93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</row>
    <row r="59" spans="1:34">
      <c r="A59" s="93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</row>
    <row r="60" spans="1:34">
      <c r="A60" s="93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</row>
    <row r="61" spans="1:34">
      <c r="A61" s="93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</row>
    <row r="62" spans="1:34">
      <c r="A62" s="93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</row>
    <row r="63" spans="1:34">
      <c r="A63" s="93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</row>
    <row r="64" spans="1:34">
      <c r="A64" s="93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</row>
    <row r="65" spans="1:34">
      <c r="A65" s="93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</row>
    <row r="66" spans="1:34">
      <c r="A66" s="93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</row>
    <row r="67" spans="1:34">
      <c r="A67" s="93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</row>
    <row r="68" spans="1:34">
      <c r="A68" s="93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</row>
    <row r="69" spans="1:34">
      <c r="A69" s="93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</row>
    <row r="70" spans="1:34">
      <c r="A70" s="93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</row>
    <row r="71" spans="1:34">
      <c r="A71" s="93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</row>
    <row r="72" spans="1:34">
      <c r="A72" s="93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</row>
    <row r="73" spans="1:34">
      <c r="A73" s="93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</row>
    <row r="74" spans="1:34">
      <c r="A74" s="93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</row>
    <row r="75" spans="1:34">
      <c r="A75" s="93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</row>
    <row r="76" spans="1:34">
      <c r="A76" s="93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</row>
    <row r="77" spans="1:34">
      <c r="A77" s="93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</row>
    <row r="78" spans="1:34">
      <c r="A78" s="93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</row>
    <row r="79" spans="1:34">
      <c r="A79" s="93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</row>
    <row r="80" spans="1:34">
      <c r="A80" s="93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</row>
    <row r="81" spans="1:34">
      <c r="A81" s="93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</row>
    <row r="82" spans="1:34">
      <c r="A82" s="93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</row>
    <row r="83" spans="1:34">
      <c r="A83" s="93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</row>
    <row r="84" spans="1:34">
      <c r="A84" s="93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</row>
    <row r="85" spans="1:34">
      <c r="A85" s="93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</row>
    <row r="86" spans="1:34">
      <c r="A86" s="93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</row>
    <row r="87" spans="1:34">
      <c r="A87" s="93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</row>
    <row r="88" spans="1:34">
      <c r="A88" s="93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</row>
    <row r="89" spans="1:34">
      <c r="A89" s="93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</row>
    <row r="90" spans="1:34">
      <c r="A90" s="93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</row>
    <row r="91" spans="1:34">
      <c r="A91" s="93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</row>
    <row r="92" spans="1:34">
      <c r="A92" s="93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</row>
    <row r="93" spans="1:34">
      <c r="A93" s="93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</row>
    <row r="94" spans="1:34">
      <c r="A94" s="93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</row>
    <row r="95" spans="1:34">
      <c r="A95" s="93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</row>
    <row r="96" spans="1:34">
      <c r="A96" s="93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</row>
    <row r="97" spans="1:34">
      <c r="A97" s="93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</row>
    <row r="98" spans="1:34">
      <c r="A98" s="93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</row>
    <row r="99" spans="1:34">
      <c r="A99" s="93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</row>
    <row r="100" spans="1:34">
      <c r="A100" s="93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</row>
    <row r="101" spans="1:34">
      <c r="A101" s="93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</row>
    <row r="102" spans="1:34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</row>
    <row r="103" spans="1:34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</row>
    <row r="104" spans="1:34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</row>
    <row r="105" spans="1:34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</row>
    <row r="106" spans="1:34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</row>
    <row r="107" spans="1:34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</row>
    <row r="108" spans="1:34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</row>
    <row r="109" spans="1:34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</row>
    <row r="110" spans="1:34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</row>
    <row r="111" spans="1:34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</row>
    <row r="112" spans="1:34"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</row>
    <row r="113" spans="2:28"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</row>
    <row r="114" spans="2:28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</row>
    <row r="115" spans="2:28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</row>
    <row r="116" spans="2:28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</row>
    <row r="117" spans="2:28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</row>
    <row r="118" spans="2:28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</row>
    <row r="119" spans="2:28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</row>
    <row r="120" spans="2:28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</row>
    <row r="121" spans="2:28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</row>
    <row r="122" spans="2:28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  <row r="123" spans="2:28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</row>
    <row r="124" spans="2:28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</row>
    <row r="125" spans="2:28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</row>
    <row r="126" spans="2:28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</row>
    <row r="127" spans="2:28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</row>
    <row r="128" spans="2:28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29" spans="2:28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</row>
    <row r="130" spans="2:28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</row>
    <row r="131" spans="2:28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</row>
    <row r="132" spans="2:28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</row>
    <row r="133" spans="2:28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</row>
    <row r="134" spans="2:28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</row>
    <row r="135" spans="2:28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</row>
    <row r="136" spans="2:28"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</row>
    <row r="137" spans="2:28"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</row>
    <row r="138" spans="2:28"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</row>
    <row r="139" spans="2:28"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</row>
    <row r="140" spans="2:28"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</row>
    <row r="141" spans="2:28"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</row>
    <row r="142" spans="2:28"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</row>
    <row r="143" spans="2:28"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</row>
    <row r="144" spans="2:28"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</row>
    <row r="145" spans="2:28"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</row>
    <row r="146" spans="2:28"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</row>
    <row r="147" spans="2:28">
      <c r="V147" s="91"/>
      <c r="W147" s="91"/>
      <c r="X147" s="91"/>
      <c r="Y147" s="91"/>
      <c r="Z147" s="91"/>
      <c r="AA147" s="91"/>
      <c r="AB147" s="91"/>
    </row>
    <row r="148" spans="2:28">
      <c r="V148" s="91"/>
      <c r="W148" s="91"/>
      <c r="X148" s="91"/>
      <c r="Y148" s="91"/>
      <c r="Z148" s="91"/>
      <c r="AA148" s="91"/>
      <c r="AB148" s="91"/>
    </row>
    <row r="149" spans="2:28">
      <c r="V149" s="91"/>
      <c r="W149" s="91"/>
      <c r="X149" s="91"/>
      <c r="Y149" s="91"/>
      <c r="Z149" s="91"/>
      <c r="AA149" s="91"/>
      <c r="AB149" s="91"/>
    </row>
    <row r="150" spans="2:28">
      <c r="V150" s="91"/>
      <c r="W150" s="91"/>
      <c r="X150" s="91"/>
      <c r="Y150" s="91"/>
      <c r="Z150" s="91"/>
      <c r="AA150" s="91"/>
      <c r="AB150" s="91"/>
    </row>
    <row r="151" spans="2:28">
      <c r="V151" s="91"/>
      <c r="W151" s="91"/>
      <c r="X151" s="91"/>
      <c r="Y151" s="91"/>
      <c r="Z151" s="91"/>
      <c r="AA151" s="91"/>
      <c r="AB151" s="91"/>
    </row>
    <row r="152" spans="2:28">
      <c r="W152" s="91"/>
    </row>
  </sheetData>
  <conditionalFormatting sqref="C48:U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W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W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W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W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W44:W48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25" right="0.25" top="0.75" bottom="0.75" header="0.3" footer="0.3"/>
  <pageSetup scale="60" orientation="landscape" r:id="rId1"/>
  <headerFooter>
    <oddFooter>&amp;RRevised Exhibit  JW-2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9"/>
  <sheetViews>
    <sheetView view="pageBreakPreview" topLeftCell="A45" zoomScaleNormal="100" zoomScaleSheetLayoutView="100" workbookViewId="0">
      <selection activeCell="I40" sqref="I40"/>
    </sheetView>
  </sheetViews>
  <sheetFormatPr defaultRowHeight="15"/>
  <cols>
    <col min="1" max="1" width="9.140625" style="88"/>
    <col min="2" max="2" width="1.5703125" style="88" customWidth="1"/>
    <col min="3" max="3" width="38.42578125" bestFit="1" customWidth="1"/>
    <col min="4" max="4" width="15.5703125" style="126" bestFit="1" customWidth="1"/>
    <col min="5" max="5" width="16.28515625" style="121" bestFit="1" customWidth="1"/>
    <col min="6" max="6" width="18.28515625" customWidth="1"/>
    <col min="7" max="7" width="4.5703125" customWidth="1"/>
    <col min="8" max="8" width="13.42578125" bestFit="1" customWidth="1"/>
    <col min="9" max="9" width="5.85546875" customWidth="1"/>
  </cols>
  <sheetData>
    <row r="1" spans="1:7">
      <c r="A1" s="258" t="s">
        <v>244</v>
      </c>
      <c r="B1" s="258"/>
      <c r="C1" s="258"/>
      <c r="D1" s="258"/>
      <c r="E1" s="258"/>
      <c r="F1" s="258"/>
      <c r="G1" s="36"/>
    </row>
    <row r="2" spans="1:7">
      <c r="A2" s="258" t="s">
        <v>194</v>
      </c>
      <c r="B2" s="258"/>
      <c r="C2" s="258"/>
      <c r="D2" s="258"/>
      <c r="E2" s="258"/>
      <c r="F2" s="258"/>
      <c r="G2" s="36"/>
    </row>
    <row r="3" spans="1:7">
      <c r="A3" s="36"/>
      <c r="B3" s="36"/>
      <c r="C3" s="36"/>
      <c r="D3" s="50"/>
      <c r="E3" s="118"/>
      <c r="F3" s="36"/>
      <c r="G3" s="36"/>
    </row>
    <row r="4" spans="1:7">
      <c r="A4" s="10"/>
      <c r="B4" s="10"/>
      <c r="C4" s="11"/>
      <c r="D4" s="55"/>
      <c r="E4" s="119"/>
      <c r="F4" s="84"/>
      <c r="G4" s="86"/>
    </row>
    <row r="5" spans="1:7">
      <c r="A5" s="84" t="s">
        <v>0</v>
      </c>
      <c r="B5" s="84"/>
      <c r="C5" s="84" t="s">
        <v>1</v>
      </c>
      <c r="D5" s="55" t="s">
        <v>115</v>
      </c>
      <c r="E5" s="119" t="s">
        <v>242</v>
      </c>
      <c r="F5" s="84" t="s">
        <v>117</v>
      </c>
      <c r="G5" s="86"/>
    </row>
    <row r="6" spans="1:7" s="114" customFormat="1">
      <c r="A6" s="112" t="s">
        <v>22</v>
      </c>
      <c r="B6" s="112"/>
      <c r="C6" s="113">
        <v>1</v>
      </c>
      <c r="D6" s="113">
        <f>C6+1</f>
        <v>2</v>
      </c>
      <c r="E6" s="113">
        <f>D6+1</f>
        <v>3</v>
      </c>
      <c r="F6" s="113" t="s">
        <v>26</v>
      </c>
    </row>
    <row r="7" spans="1:7">
      <c r="A7" s="10">
        <v>1</v>
      </c>
      <c r="B7" s="117" t="s">
        <v>195</v>
      </c>
      <c r="C7" s="11"/>
      <c r="D7" s="2"/>
      <c r="E7" s="25"/>
      <c r="F7" s="11"/>
    </row>
    <row r="8" spans="1:7">
      <c r="A8" s="10">
        <f>A7+1</f>
        <v>2</v>
      </c>
      <c r="B8" s="10"/>
      <c r="C8" s="11" t="s">
        <v>196</v>
      </c>
      <c r="D8" s="242">
        <v>306484213</v>
      </c>
      <c r="E8" s="115">
        <v>0</v>
      </c>
      <c r="F8" s="115">
        <f>D8+E8</f>
        <v>306484213</v>
      </c>
    </row>
    <row r="9" spans="1:7">
      <c r="A9" s="10">
        <f t="shared" ref="A9:A67" si="0">A8+1</f>
        <v>3</v>
      </c>
      <c r="B9" s="10"/>
      <c r="C9" s="11" t="s">
        <v>197</v>
      </c>
      <c r="D9" s="242">
        <v>280140</v>
      </c>
      <c r="E9" s="115">
        <v>0</v>
      </c>
      <c r="F9" s="115">
        <f>D9+E9</f>
        <v>280140</v>
      </c>
    </row>
    <row r="10" spans="1:7">
      <c r="A10" s="10">
        <f t="shared" si="0"/>
        <v>4</v>
      </c>
      <c r="B10" s="10"/>
      <c r="C10" s="11" t="s">
        <v>198</v>
      </c>
      <c r="D10" s="242">
        <f>D8+D9</f>
        <v>306764353</v>
      </c>
      <c r="E10" s="115">
        <v>0</v>
      </c>
      <c r="F10" s="115">
        <f>D10+E10</f>
        <v>306764353</v>
      </c>
    </row>
    <row r="11" spans="1:7">
      <c r="A11" s="10">
        <f t="shared" si="0"/>
        <v>5</v>
      </c>
      <c r="B11" s="10"/>
      <c r="C11" s="11" t="s">
        <v>199</v>
      </c>
      <c r="D11" s="242">
        <v>117918680</v>
      </c>
      <c r="E11" s="115">
        <v>0</v>
      </c>
      <c r="F11" s="115">
        <f>D11+E11</f>
        <v>117918680</v>
      </c>
    </row>
    <row r="12" spans="1:7">
      <c r="A12" s="10">
        <f t="shared" si="0"/>
        <v>6</v>
      </c>
      <c r="B12" s="10"/>
      <c r="C12" s="16" t="s">
        <v>200</v>
      </c>
      <c r="D12" s="241">
        <f>D10-D11</f>
        <v>188845673</v>
      </c>
      <c r="E12" s="120">
        <f t="shared" ref="E12:F12" si="1">SUM(E10:E11)</f>
        <v>0</v>
      </c>
      <c r="F12" s="120">
        <f t="shared" si="1"/>
        <v>424683033</v>
      </c>
    </row>
    <row r="13" spans="1:7">
      <c r="A13" s="10">
        <f t="shared" si="0"/>
        <v>7</v>
      </c>
      <c r="B13" s="10"/>
      <c r="C13" s="11"/>
      <c r="D13" s="242"/>
      <c r="E13" s="115"/>
      <c r="F13" s="115"/>
    </row>
    <row r="14" spans="1:7">
      <c r="A14" s="10">
        <f>A12+1</f>
        <v>7</v>
      </c>
      <c r="B14" s="10"/>
      <c r="C14" s="11" t="s">
        <v>360</v>
      </c>
      <c r="D14" s="242">
        <v>7202818</v>
      </c>
      <c r="E14" s="115">
        <v>0</v>
      </c>
      <c r="F14" s="115">
        <f t="shared" ref="F14:F19" si="2">D14+E14</f>
        <v>7202818</v>
      </c>
    </row>
    <row r="15" spans="1:7">
      <c r="A15" s="10">
        <f>A13+1</f>
        <v>8</v>
      </c>
      <c r="B15" s="10"/>
      <c r="C15" s="11" t="s">
        <v>201</v>
      </c>
      <c r="D15" s="242">
        <v>68750318</v>
      </c>
      <c r="E15" s="115">
        <v>0</v>
      </c>
      <c r="F15" s="115">
        <f t="shared" si="2"/>
        <v>68750318</v>
      </c>
    </row>
    <row r="16" spans="1:7">
      <c r="A16" s="10">
        <f t="shared" si="0"/>
        <v>9</v>
      </c>
      <c r="B16" s="10"/>
      <c r="C16" s="11" t="s">
        <v>202</v>
      </c>
      <c r="D16" s="242">
        <v>0</v>
      </c>
      <c r="E16" s="115">
        <v>0</v>
      </c>
      <c r="F16" s="115">
        <f t="shared" si="2"/>
        <v>0</v>
      </c>
    </row>
    <row r="17" spans="1:6">
      <c r="A17" s="10">
        <f>A15+1</f>
        <v>9</v>
      </c>
      <c r="B17" s="10"/>
      <c r="C17" s="11" t="s">
        <v>203</v>
      </c>
      <c r="D17" s="242">
        <v>1618958</v>
      </c>
      <c r="E17" s="115">
        <v>0</v>
      </c>
      <c r="F17" s="115">
        <f t="shared" si="2"/>
        <v>1618958</v>
      </c>
    </row>
    <row r="18" spans="1:6">
      <c r="A18" s="10">
        <f>A16+1</f>
        <v>10</v>
      </c>
      <c r="B18" s="10"/>
      <c r="C18" s="11" t="s">
        <v>361</v>
      </c>
      <c r="D18" s="242">
        <v>314815</v>
      </c>
      <c r="E18" s="115">
        <v>0</v>
      </c>
      <c r="F18" s="115">
        <f t="shared" si="2"/>
        <v>314815</v>
      </c>
    </row>
    <row r="19" spans="1:6">
      <c r="A19" s="10">
        <f t="shared" si="0"/>
        <v>11</v>
      </c>
      <c r="B19" s="10"/>
      <c r="C19" s="11" t="s">
        <v>204</v>
      </c>
      <c r="D19" s="242">
        <v>5</v>
      </c>
      <c r="E19" s="115">
        <v>0</v>
      </c>
      <c r="F19" s="115">
        <f t="shared" si="2"/>
        <v>5</v>
      </c>
    </row>
    <row r="20" spans="1:6">
      <c r="A20" s="10">
        <f t="shared" si="0"/>
        <v>12</v>
      </c>
      <c r="B20" s="10"/>
      <c r="C20" s="16" t="s">
        <v>205</v>
      </c>
      <c r="D20" s="241">
        <f>SUM(D14:D19)</f>
        <v>77886914</v>
      </c>
      <c r="E20" s="120">
        <f t="shared" ref="E20:F20" si="3">SUM(E15:E19)</f>
        <v>0</v>
      </c>
      <c r="F20" s="120">
        <f t="shared" si="3"/>
        <v>70684096</v>
      </c>
    </row>
    <row r="21" spans="1:6">
      <c r="A21" s="10">
        <f t="shared" si="0"/>
        <v>13</v>
      </c>
      <c r="B21" s="10"/>
      <c r="C21" s="11"/>
      <c r="D21" s="242"/>
      <c r="E21" s="115"/>
      <c r="F21" s="115"/>
    </row>
    <row r="22" spans="1:6">
      <c r="A22" s="10">
        <f t="shared" si="0"/>
        <v>14</v>
      </c>
      <c r="B22" s="10"/>
      <c r="C22" s="11" t="s">
        <v>206</v>
      </c>
      <c r="D22" s="242">
        <v>3889710</v>
      </c>
      <c r="E22" s="115">
        <v>0</v>
      </c>
      <c r="F22" s="115">
        <f t="shared" ref="F22:F31" si="4">D22+E22</f>
        <v>3889710</v>
      </c>
    </row>
    <row r="23" spans="1:6">
      <c r="A23" s="10">
        <f t="shared" si="0"/>
        <v>15</v>
      </c>
      <c r="B23" s="10"/>
      <c r="C23" s="11" t="s">
        <v>207</v>
      </c>
      <c r="D23" s="242">
        <v>0</v>
      </c>
      <c r="E23" s="115">
        <v>0</v>
      </c>
      <c r="F23" s="115">
        <f t="shared" si="4"/>
        <v>0</v>
      </c>
    </row>
    <row r="24" spans="1:6">
      <c r="A24" s="10">
        <f t="shared" si="0"/>
        <v>16</v>
      </c>
      <c r="B24" s="10"/>
      <c r="C24" s="11" t="s">
        <v>208</v>
      </c>
      <c r="D24" s="242">
        <v>570</v>
      </c>
      <c r="E24" s="115">
        <v>0</v>
      </c>
      <c r="F24" s="115">
        <f t="shared" si="4"/>
        <v>570</v>
      </c>
    </row>
    <row r="25" spans="1:6">
      <c r="A25" s="10">
        <f t="shared" si="0"/>
        <v>17</v>
      </c>
      <c r="B25" s="10"/>
      <c r="C25" s="11" t="s">
        <v>209</v>
      </c>
      <c r="D25" s="242">
        <v>0</v>
      </c>
      <c r="E25" s="115">
        <v>0</v>
      </c>
      <c r="F25" s="115">
        <f t="shared" si="4"/>
        <v>0</v>
      </c>
    </row>
    <row r="26" spans="1:6">
      <c r="A26" s="10">
        <f t="shared" si="0"/>
        <v>18</v>
      </c>
      <c r="B26" s="10"/>
      <c r="C26" s="11" t="s">
        <v>211</v>
      </c>
      <c r="D26" s="242">
        <v>15493740</v>
      </c>
      <c r="E26" s="115">
        <v>0</v>
      </c>
      <c r="F26" s="115">
        <f t="shared" si="4"/>
        <v>15493740</v>
      </c>
    </row>
    <row r="27" spans="1:6">
      <c r="A27" s="10">
        <f t="shared" si="0"/>
        <v>19</v>
      </c>
      <c r="B27" s="10"/>
      <c r="C27" s="11" t="s">
        <v>210</v>
      </c>
      <c r="D27" s="242">
        <v>2214322</v>
      </c>
      <c r="E27" s="115">
        <v>0</v>
      </c>
      <c r="F27" s="115">
        <f t="shared" si="4"/>
        <v>2214322</v>
      </c>
    </row>
    <row r="28" spans="1:6">
      <c r="A28" s="10">
        <f t="shared" si="0"/>
        <v>20</v>
      </c>
      <c r="B28" s="10"/>
      <c r="C28" s="11" t="s">
        <v>212</v>
      </c>
      <c r="D28" s="242">
        <v>0</v>
      </c>
      <c r="E28" s="115">
        <v>0</v>
      </c>
      <c r="F28" s="115">
        <f t="shared" si="4"/>
        <v>0</v>
      </c>
    </row>
    <row r="29" spans="1:6">
      <c r="A29" s="10">
        <f t="shared" si="0"/>
        <v>21</v>
      </c>
      <c r="B29" s="10"/>
      <c r="C29" s="11" t="s">
        <v>213</v>
      </c>
      <c r="D29" s="242">
        <v>4325058</v>
      </c>
      <c r="E29" s="115">
        <v>0</v>
      </c>
      <c r="F29" s="115">
        <f t="shared" si="4"/>
        <v>4325058</v>
      </c>
    </row>
    <row r="30" spans="1:6">
      <c r="A30" s="10">
        <f t="shared" si="0"/>
        <v>22</v>
      </c>
      <c r="B30" s="10"/>
      <c r="C30" s="11" t="s">
        <v>214</v>
      </c>
      <c r="D30" s="242">
        <v>306904</v>
      </c>
      <c r="E30" s="115">
        <v>0</v>
      </c>
      <c r="F30" s="115">
        <f t="shared" si="4"/>
        <v>306904</v>
      </c>
    </row>
    <row r="31" spans="1:6">
      <c r="A31" s="10">
        <f t="shared" si="0"/>
        <v>23</v>
      </c>
      <c r="B31" s="10"/>
      <c r="C31" s="11" t="s">
        <v>215</v>
      </c>
      <c r="D31" s="242">
        <v>11880</v>
      </c>
      <c r="E31" s="115">
        <v>0</v>
      </c>
      <c r="F31" s="115">
        <f t="shared" si="4"/>
        <v>11880</v>
      </c>
    </row>
    <row r="32" spans="1:6">
      <c r="A32" s="10">
        <f t="shared" si="0"/>
        <v>24</v>
      </c>
      <c r="B32" s="10"/>
      <c r="C32" s="16" t="s">
        <v>216</v>
      </c>
      <c r="D32" s="241">
        <f>SUM(D22:D31)</f>
        <v>26242184</v>
      </c>
      <c r="E32" s="120">
        <f t="shared" ref="E32:F32" si="5">SUM(E22:E31)</f>
        <v>0</v>
      </c>
      <c r="F32" s="120">
        <f t="shared" si="5"/>
        <v>26242184</v>
      </c>
    </row>
    <row r="33" spans="1:6">
      <c r="A33" s="10">
        <f t="shared" si="0"/>
        <v>25</v>
      </c>
      <c r="B33" s="10"/>
      <c r="C33" s="11"/>
      <c r="D33" s="242"/>
      <c r="E33" s="115"/>
      <c r="F33" s="115"/>
    </row>
    <row r="34" spans="1:6">
      <c r="A34" s="10">
        <f t="shared" si="0"/>
        <v>26</v>
      </c>
      <c r="B34" s="10"/>
      <c r="C34" s="11" t="s">
        <v>217</v>
      </c>
      <c r="D34" s="242">
        <v>1224377</v>
      </c>
      <c r="E34" s="115">
        <v>0</v>
      </c>
      <c r="F34" s="115">
        <f>D34+E34</f>
        <v>1224377</v>
      </c>
    </row>
    <row r="35" spans="1:6">
      <c r="A35" s="10">
        <f t="shared" si="0"/>
        <v>27</v>
      </c>
      <c r="B35" s="10"/>
      <c r="C35" s="11" t="s">
        <v>218</v>
      </c>
      <c r="D35" s="242">
        <v>3587930</v>
      </c>
      <c r="E35" s="115">
        <v>0</v>
      </c>
      <c r="F35" s="115">
        <f>D35+E35</f>
        <v>3587930</v>
      </c>
    </row>
    <row r="36" spans="1:6">
      <c r="A36" s="10">
        <f t="shared" si="0"/>
        <v>28</v>
      </c>
      <c r="B36" s="10"/>
      <c r="C36" s="11"/>
      <c r="D36" s="46"/>
      <c r="E36" s="115"/>
      <c r="F36" s="115"/>
    </row>
    <row r="37" spans="1:6" ht="15.75" thickBot="1">
      <c r="A37" s="10">
        <f t="shared" si="0"/>
        <v>29</v>
      </c>
      <c r="B37" s="10"/>
      <c r="C37" s="20" t="s">
        <v>219</v>
      </c>
      <c r="D37" s="243">
        <f>D35+D34+D32+D20+D12</f>
        <v>297787078</v>
      </c>
      <c r="E37" s="122">
        <f t="shared" ref="E37:F37" si="6">E35+E34+E32+E20+E12</f>
        <v>0</v>
      </c>
      <c r="F37" s="122">
        <f t="shared" si="6"/>
        <v>526421620</v>
      </c>
    </row>
    <row r="38" spans="1:6" ht="15.75" thickTop="1">
      <c r="A38" s="10">
        <f t="shared" si="0"/>
        <v>30</v>
      </c>
      <c r="B38" s="10"/>
      <c r="C38" s="11"/>
      <c r="D38" s="244"/>
      <c r="E38" s="115"/>
      <c r="F38" s="115"/>
    </row>
    <row r="39" spans="1:6">
      <c r="A39" s="10">
        <f t="shared" si="0"/>
        <v>31</v>
      </c>
      <c r="B39" s="116" t="s">
        <v>220</v>
      </c>
      <c r="C39" s="11"/>
      <c r="D39" s="242"/>
      <c r="E39" s="115"/>
      <c r="F39" s="115"/>
    </row>
    <row r="40" spans="1:6">
      <c r="A40" s="10">
        <f t="shared" si="0"/>
        <v>32</v>
      </c>
      <c r="B40" s="10"/>
      <c r="C40" s="11" t="s">
        <v>221</v>
      </c>
      <c r="D40" s="242">
        <v>956565</v>
      </c>
      <c r="E40" s="25">
        <v>0</v>
      </c>
      <c r="F40" s="115">
        <f>D40+E40</f>
        <v>956565</v>
      </c>
    </row>
    <row r="41" spans="1:6">
      <c r="A41" s="10">
        <f t="shared" si="0"/>
        <v>33</v>
      </c>
      <c r="B41" s="10"/>
      <c r="C41" s="11" t="s">
        <v>222</v>
      </c>
      <c r="D41" s="242">
        <v>126086210</v>
      </c>
      <c r="E41" s="115">
        <v>0</v>
      </c>
      <c r="F41" s="115">
        <f>D41+E41</f>
        <v>126086210</v>
      </c>
    </row>
    <row r="42" spans="1:6">
      <c r="A42" s="10">
        <f t="shared" si="0"/>
        <v>34</v>
      </c>
      <c r="B42" s="10"/>
      <c r="C42" s="11" t="s">
        <v>223</v>
      </c>
      <c r="D42" s="242">
        <v>-1600254</v>
      </c>
      <c r="E42" s="115">
        <v>0</v>
      </c>
      <c r="F42" s="115">
        <f>D42+E42</f>
        <v>-1600254</v>
      </c>
    </row>
    <row r="43" spans="1:6">
      <c r="A43" s="10">
        <f t="shared" si="0"/>
        <v>35</v>
      </c>
      <c r="B43" s="10"/>
      <c r="C43" s="11" t="s">
        <v>224</v>
      </c>
      <c r="D43" s="242">
        <v>0</v>
      </c>
      <c r="E43" s="115">
        <v>0</v>
      </c>
      <c r="F43" s="115">
        <f>D43+E43</f>
        <v>0</v>
      </c>
    </row>
    <row r="44" spans="1:6">
      <c r="A44" s="10">
        <f t="shared" si="0"/>
        <v>36</v>
      </c>
      <c r="B44" s="10"/>
      <c r="C44" s="11" t="s">
        <v>225</v>
      </c>
      <c r="D44" s="242">
        <v>7985821</v>
      </c>
      <c r="E44" s="115">
        <v>0</v>
      </c>
      <c r="F44" s="115">
        <f>D44+E44</f>
        <v>7985821</v>
      </c>
    </row>
    <row r="45" spans="1:6">
      <c r="A45" s="10">
        <f t="shared" si="0"/>
        <v>37</v>
      </c>
      <c r="B45" s="10"/>
      <c r="C45" s="16" t="s">
        <v>226</v>
      </c>
      <c r="D45" s="241">
        <f>SUM(D40:D44)</f>
        <v>133428342</v>
      </c>
      <c r="E45" s="120">
        <f t="shared" ref="E45:F45" si="7">SUM(E40:E44)</f>
        <v>0</v>
      </c>
      <c r="F45" s="120">
        <f t="shared" si="7"/>
        <v>133428342</v>
      </c>
    </row>
    <row r="46" spans="1:6">
      <c r="A46" s="10">
        <f t="shared" si="0"/>
        <v>38</v>
      </c>
      <c r="B46" s="10"/>
      <c r="C46" s="11"/>
      <c r="D46" s="242"/>
      <c r="E46" s="115"/>
      <c r="F46" s="115"/>
    </row>
    <row r="47" spans="1:6">
      <c r="A47" s="10">
        <f t="shared" si="0"/>
        <v>39</v>
      </c>
      <c r="B47" s="10"/>
      <c r="C47" s="11" t="s">
        <v>227</v>
      </c>
      <c r="D47" s="242">
        <v>0</v>
      </c>
      <c r="E47" s="115">
        <v>0</v>
      </c>
      <c r="F47" s="115">
        <f t="shared" ref="F47:F52" si="8">D47+E47</f>
        <v>0</v>
      </c>
    </row>
    <row r="48" spans="1:6">
      <c r="A48" s="10">
        <f t="shared" si="0"/>
        <v>40</v>
      </c>
      <c r="B48" s="10"/>
      <c r="C48" s="11" t="s">
        <v>228</v>
      </c>
      <c r="D48" s="242">
        <v>107368588</v>
      </c>
      <c r="E48" s="115">
        <v>0</v>
      </c>
      <c r="F48" s="115">
        <f t="shared" si="8"/>
        <v>107368588</v>
      </c>
    </row>
    <row r="49" spans="1:6">
      <c r="A49" s="10">
        <f t="shared" si="0"/>
        <v>41</v>
      </c>
      <c r="B49" s="10"/>
      <c r="C49" s="11" t="s">
        <v>229</v>
      </c>
      <c r="D49" s="242">
        <v>0</v>
      </c>
      <c r="E49" s="115">
        <v>0</v>
      </c>
      <c r="F49" s="115">
        <f t="shared" si="8"/>
        <v>0</v>
      </c>
    </row>
    <row r="50" spans="1:6">
      <c r="A50" s="10">
        <f t="shared" si="0"/>
        <v>42</v>
      </c>
      <c r="B50" s="10"/>
      <c r="C50" s="11" t="s">
        <v>230</v>
      </c>
      <c r="D50" s="242">
        <v>18728536</v>
      </c>
      <c r="E50" s="115">
        <v>0</v>
      </c>
      <c r="F50" s="115">
        <f t="shared" si="8"/>
        <v>18728536</v>
      </c>
    </row>
    <row r="51" spans="1:6">
      <c r="A51" s="10">
        <f>A49+1</f>
        <v>42</v>
      </c>
      <c r="B51" s="10"/>
      <c r="C51" s="11" t="s">
        <v>231</v>
      </c>
      <c r="D51" s="242">
        <v>730704</v>
      </c>
      <c r="E51" s="115">
        <v>0</v>
      </c>
      <c r="F51" s="115">
        <f t="shared" si="8"/>
        <v>730704</v>
      </c>
    </row>
    <row r="52" spans="1:6">
      <c r="A52" s="10">
        <f>A50+1</f>
        <v>43</v>
      </c>
      <c r="B52" s="10"/>
      <c r="C52" s="11" t="s">
        <v>362</v>
      </c>
      <c r="D52" s="242">
        <v>119011</v>
      </c>
      <c r="E52" s="115">
        <v>0</v>
      </c>
      <c r="F52" s="115">
        <f t="shared" si="8"/>
        <v>119011</v>
      </c>
    </row>
    <row r="53" spans="1:6">
      <c r="A53" s="10">
        <f t="shared" si="0"/>
        <v>44</v>
      </c>
      <c r="B53" s="10"/>
      <c r="C53" s="16" t="s">
        <v>232</v>
      </c>
      <c r="D53" s="241">
        <v>126708817</v>
      </c>
      <c r="E53" s="120">
        <f t="shared" ref="E53:F53" si="9">SUM(E47:E52)</f>
        <v>0</v>
      </c>
      <c r="F53" s="120">
        <f t="shared" si="9"/>
        <v>126946839</v>
      </c>
    </row>
    <row r="54" spans="1:6">
      <c r="A54" s="10">
        <f t="shared" si="0"/>
        <v>45</v>
      </c>
      <c r="B54" s="10"/>
      <c r="C54" s="11"/>
      <c r="D54" s="242"/>
      <c r="E54" s="115"/>
      <c r="F54" s="115"/>
    </row>
    <row r="55" spans="1:6">
      <c r="A55" s="10">
        <f t="shared" si="0"/>
        <v>46</v>
      </c>
      <c r="B55" s="10"/>
      <c r="C55" s="11" t="s">
        <v>233</v>
      </c>
      <c r="D55" s="242">
        <v>9166144</v>
      </c>
      <c r="E55" s="115">
        <v>0</v>
      </c>
      <c r="F55" s="115">
        <f>D55+E55</f>
        <v>9166144</v>
      </c>
    </row>
    <row r="56" spans="1:6">
      <c r="A56" s="10">
        <f t="shared" si="0"/>
        <v>47</v>
      </c>
      <c r="B56" s="10"/>
      <c r="C56" s="11"/>
      <c r="D56" s="242"/>
      <c r="E56" s="115"/>
      <c r="F56" s="115"/>
    </row>
    <row r="57" spans="1:6">
      <c r="A57" s="10">
        <f t="shared" si="0"/>
        <v>48</v>
      </c>
      <c r="B57" s="10"/>
      <c r="C57" s="11" t="s">
        <v>234</v>
      </c>
      <c r="D57" s="242">
        <v>6000000</v>
      </c>
      <c r="E57" s="115">
        <v>0</v>
      </c>
      <c r="F57" s="115">
        <f t="shared" ref="F57:F62" si="10">D57+E57</f>
        <v>6000000</v>
      </c>
    </row>
    <row r="58" spans="1:6">
      <c r="A58" s="10">
        <f t="shared" si="0"/>
        <v>49</v>
      </c>
      <c r="B58" s="10"/>
      <c r="C58" s="11" t="s">
        <v>235</v>
      </c>
      <c r="D58" s="242">
        <v>10898914</v>
      </c>
      <c r="E58" s="115">
        <v>0</v>
      </c>
      <c r="F58" s="115">
        <f t="shared" si="10"/>
        <v>10898914</v>
      </c>
    </row>
    <row r="59" spans="1:6">
      <c r="A59" s="10">
        <f>A56+1</f>
        <v>48</v>
      </c>
      <c r="B59" s="10"/>
      <c r="C59" s="11" t="s">
        <v>236</v>
      </c>
      <c r="D59" s="242">
        <v>1587572</v>
      </c>
      <c r="E59" s="115">
        <v>0</v>
      </c>
      <c r="F59" s="115">
        <f t="shared" si="10"/>
        <v>1587572</v>
      </c>
    </row>
    <row r="60" spans="1:6">
      <c r="A60" s="10">
        <f>A57+1</f>
        <v>49</v>
      </c>
      <c r="B60" s="10"/>
      <c r="C60" s="11" t="s">
        <v>363</v>
      </c>
      <c r="D60" s="242">
        <v>6829584</v>
      </c>
      <c r="E60" s="115">
        <v>0</v>
      </c>
      <c r="F60" s="115">
        <f t="shared" si="10"/>
        <v>6829584</v>
      </c>
    </row>
    <row r="61" spans="1:6">
      <c r="A61" s="10">
        <f>A58+1</f>
        <v>50</v>
      </c>
      <c r="B61" s="10"/>
      <c r="C61" s="11" t="s">
        <v>364</v>
      </c>
      <c r="D61" s="242">
        <v>111111</v>
      </c>
      <c r="E61" s="115">
        <v>0</v>
      </c>
      <c r="F61" s="115">
        <f t="shared" si="10"/>
        <v>111111</v>
      </c>
    </row>
    <row r="62" spans="1:6">
      <c r="A62" s="10">
        <f t="shared" si="0"/>
        <v>51</v>
      </c>
      <c r="B62" s="10"/>
      <c r="C62" s="11" t="s">
        <v>237</v>
      </c>
      <c r="D62" s="242">
        <v>2367898</v>
      </c>
      <c r="E62" s="115">
        <v>0</v>
      </c>
      <c r="F62" s="115">
        <f t="shared" si="10"/>
        <v>2367898</v>
      </c>
    </row>
    <row r="63" spans="1:6">
      <c r="A63" s="10">
        <f t="shared" si="0"/>
        <v>52</v>
      </c>
      <c r="B63" s="10"/>
      <c r="C63" s="16" t="s">
        <v>238</v>
      </c>
      <c r="D63" s="241">
        <f>SUM(D57:D62)</f>
        <v>27795079</v>
      </c>
      <c r="E63" s="120">
        <f t="shared" ref="E63:F63" si="11">SUM(E57:E62)</f>
        <v>0</v>
      </c>
      <c r="F63" s="120">
        <f t="shared" si="11"/>
        <v>27795079</v>
      </c>
    </row>
    <row r="64" spans="1:6">
      <c r="A64" s="10">
        <f t="shared" si="0"/>
        <v>53</v>
      </c>
      <c r="B64" s="10"/>
      <c r="C64" s="11"/>
      <c r="D64" s="242"/>
      <c r="E64" s="115"/>
      <c r="F64" s="115"/>
    </row>
    <row r="65" spans="1:6">
      <c r="A65" s="10">
        <f t="shared" si="0"/>
        <v>54</v>
      </c>
      <c r="B65" s="10"/>
      <c r="C65" s="11" t="s">
        <v>239</v>
      </c>
      <c r="D65" s="242">
        <v>0</v>
      </c>
      <c r="E65" s="115">
        <v>0</v>
      </c>
      <c r="F65" s="115">
        <f>D65+E65</f>
        <v>0</v>
      </c>
    </row>
    <row r="66" spans="1:6">
      <c r="A66" s="10">
        <f t="shared" si="0"/>
        <v>55</v>
      </c>
      <c r="B66" s="10"/>
      <c r="C66" s="11" t="s">
        <v>240</v>
      </c>
      <c r="D66" s="242">
        <v>688696</v>
      </c>
      <c r="E66" s="115">
        <v>0</v>
      </c>
      <c r="F66" s="115">
        <f>D66+E66</f>
        <v>688696</v>
      </c>
    </row>
    <row r="67" spans="1:6" ht="15.75" thickBot="1">
      <c r="A67" s="10">
        <f t="shared" si="0"/>
        <v>56</v>
      </c>
      <c r="B67" s="10"/>
      <c r="C67" s="20" t="s">
        <v>241</v>
      </c>
      <c r="D67" s="243">
        <f>D66+D65+D63+D55+D53+D45</f>
        <v>297787078</v>
      </c>
      <c r="E67" s="122">
        <f t="shared" ref="E67:F67" si="12">E66+E65+E63+E55+E53+E45</f>
        <v>0</v>
      </c>
      <c r="F67" s="122">
        <f t="shared" si="12"/>
        <v>298025100</v>
      </c>
    </row>
    <row r="68" spans="1:6" ht="15.75" thickTop="1">
      <c r="A68" s="10"/>
      <c r="B68" s="10"/>
      <c r="C68" s="11"/>
      <c r="D68" s="242"/>
      <c r="E68" s="115"/>
      <c r="F68" s="115"/>
    </row>
    <row r="69" spans="1:6">
      <c r="D69" s="245"/>
    </row>
  </sheetData>
  <mergeCells count="2">
    <mergeCell ref="A1:F1"/>
    <mergeCell ref="A2:F2"/>
  </mergeCells>
  <printOptions horizontalCentered="1"/>
  <pageMargins left="1" right="0.75" top="0.75" bottom="0.75" header="0.3" footer="0.3"/>
  <pageSetup scale="69" orientation="portrait" r:id="rId1"/>
  <headerFooter>
    <oddFooter>&amp;RRevised Exhibit  JW-2
Page &amp;P of &amp;N</oddFooter>
  </headerFooter>
  <ignoredErrors>
    <ignoredError sqref="F6" numberStoredAsText="1"/>
    <ignoredError sqref="E12 E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9026-20EA-412D-870D-7022A3F97064}">
  <sheetPr>
    <pageSetUpPr fitToPage="1"/>
  </sheetPr>
  <dimension ref="A1:P21"/>
  <sheetViews>
    <sheetView view="pageBreakPreview" zoomScaleNormal="75" zoomScaleSheetLayoutView="100" workbookViewId="0">
      <selection activeCell="I40" sqref="I40"/>
    </sheetView>
  </sheetViews>
  <sheetFormatPr defaultColWidth="9.140625" defaultRowHeight="14.25"/>
  <cols>
    <col min="1" max="1" width="13.42578125" style="135" customWidth="1"/>
    <col min="2" max="4" width="10.28515625" style="135" bestFit="1" customWidth="1"/>
    <col min="5" max="5" width="10.85546875" style="135" customWidth="1"/>
    <col min="6" max="6" width="10.5703125" style="135" customWidth="1"/>
    <col min="7" max="7" width="10.28515625" style="135" bestFit="1" customWidth="1"/>
    <col min="8" max="8" width="10.140625" style="135" customWidth="1"/>
    <col min="9" max="9" width="11.85546875" style="135" customWidth="1"/>
    <col min="10" max="10" width="10.85546875" style="135" customWidth="1"/>
    <col min="11" max="11" width="10.42578125" style="135" customWidth="1"/>
    <col min="12" max="12" width="10.7109375" style="135" customWidth="1"/>
    <col min="13" max="13" width="10.28515625" style="135" bestFit="1" customWidth="1"/>
    <col min="14" max="14" width="26.5703125" style="135" customWidth="1"/>
    <col min="15" max="15" width="2.28515625" style="135" customWidth="1"/>
    <col min="16" max="16384" width="9.140625" style="135"/>
  </cols>
  <sheetData>
    <row r="1" spans="1:16" s="11" customFormat="1" ht="15" customHeight="1">
      <c r="G1" s="5"/>
      <c r="N1" s="5" t="s">
        <v>28</v>
      </c>
    </row>
    <row r="2" spans="1:16" s="11" customFormat="1" ht="20.25" customHeight="1">
      <c r="G2" s="5"/>
      <c r="H2" s="5"/>
    </row>
    <row r="3" spans="1:16" s="11" customFormat="1" ht="12.75">
      <c r="G3" s="5"/>
      <c r="H3" s="5"/>
    </row>
    <row r="4" spans="1:16" s="11" customFormat="1" ht="12.75">
      <c r="A4" s="259" t="s">
        <v>244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7"/>
    </row>
    <row r="5" spans="1:16" s="11" customFormat="1" ht="12.75">
      <c r="A5" s="259" t="s">
        <v>248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16" s="11" customFormat="1" ht="12.75"/>
    <row r="7" spans="1:16" s="6" customFormat="1" ht="15" customHeight="1">
      <c r="A7" s="260" t="s">
        <v>264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16" s="11" customFormat="1" ht="12.75"/>
    <row r="10" spans="1:16" ht="15">
      <c r="A10" s="133"/>
      <c r="B10" s="133" t="s">
        <v>7</v>
      </c>
      <c r="C10" s="133" t="s">
        <v>8</v>
      </c>
      <c r="D10" s="133" t="s">
        <v>9</v>
      </c>
      <c r="E10" s="133" t="s">
        <v>10</v>
      </c>
      <c r="F10" s="133" t="s">
        <v>11</v>
      </c>
      <c r="G10" s="133" t="s">
        <v>12</v>
      </c>
      <c r="H10" s="133" t="s">
        <v>13</v>
      </c>
      <c r="I10" s="133" t="s">
        <v>14</v>
      </c>
      <c r="J10" s="133" t="s">
        <v>3</v>
      </c>
      <c r="K10" s="133" t="s">
        <v>4</v>
      </c>
      <c r="L10" s="133" t="s">
        <v>5</v>
      </c>
      <c r="M10" s="133" t="s">
        <v>6</v>
      </c>
      <c r="N10" s="133" t="s">
        <v>47</v>
      </c>
      <c r="O10" s="133"/>
      <c r="P10" s="134"/>
    </row>
    <row r="11" spans="1:16">
      <c r="A11" s="139" t="s">
        <v>47</v>
      </c>
      <c r="B11" s="140">
        <v>13490.77</v>
      </c>
      <c r="C11" s="140">
        <v>13117</v>
      </c>
      <c r="D11" s="140">
        <v>13186.22</v>
      </c>
      <c r="E11" s="140">
        <v>13372.53</v>
      </c>
      <c r="F11" s="140">
        <v>13416.14</v>
      </c>
      <c r="G11" s="140">
        <v>19925.150000000001</v>
      </c>
      <c r="H11" s="140">
        <v>13864.26</v>
      </c>
      <c r="I11" s="140">
        <v>13379.01</v>
      </c>
      <c r="J11" s="140">
        <v>13858.57</v>
      </c>
      <c r="K11" s="140">
        <v>13795.5</v>
      </c>
      <c r="L11" s="140">
        <v>20628.18</v>
      </c>
      <c r="M11" s="140">
        <v>13634.58</v>
      </c>
      <c r="N11" s="140">
        <f>SUM(B11:M11)</f>
        <v>175667.90999999997</v>
      </c>
    </row>
    <row r="12" spans="1:16"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6"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1:16">
      <c r="B14" s="141"/>
      <c r="C14" s="141"/>
      <c r="D14" s="141"/>
      <c r="E14" s="141"/>
      <c r="F14" s="141"/>
      <c r="G14" s="141"/>
      <c r="H14" s="141"/>
      <c r="I14" s="141"/>
      <c r="J14" s="141" t="s">
        <v>265</v>
      </c>
      <c r="L14" s="141"/>
      <c r="M14" s="141"/>
      <c r="N14" s="141">
        <f>N11</f>
        <v>175667.90999999997</v>
      </c>
    </row>
    <row r="15" spans="1:16">
      <c r="B15" s="141"/>
      <c r="C15" s="141"/>
      <c r="D15" s="141"/>
      <c r="E15" s="141"/>
      <c r="F15" s="141"/>
      <c r="G15" s="141"/>
      <c r="H15" s="141"/>
      <c r="I15" s="141"/>
      <c r="J15" s="141" t="s">
        <v>266</v>
      </c>
      <c r="L15" s="141"/>
      <c r="M15" s="141"/>
      <c r="N15" s="140">
        <v>0</v>
      </c>
    </row>
    <row r="16" spans="1:16">
      <c r="B16" s="141"/>
      <c r="C16" s="141"/>
      <c r="D16" s="141"/>
      <c r="E16" s="141"/>
      <c r="F16" s="141"/>
      <c r="G16" s="141"/>
      <c r="H16" s="141"/>
      <c r="I16" s="141"/>
      <c r="J16" s="142" t="s">
        <v>16</v>
      </c>
      <c r="K16" s="143"/>
      <c r="L16" s="142"/>
      <c r="M16" s="142"/>
      <c r="N16" s="142">
        <f>N15-N14</f>
        <v>-175667.90999999997</v>
      </c>
    </row>
    <row r="18" spans="1:14" ht="14.25" customHeight="1">
      <c r="A18" s="261" t="s">
        <v>267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</row>
    <row r="19" spans="1:14">
      <c r="A19" s="261" t="s">
        <v>268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</row>
    <row r="20" spans="1:14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</sheetData>
  <mergeCells count="5">
    <mergeCell ref="A4:N4"/>
    <mergeCell ref="A5:N5"/>
    <mergeCell ref="A7:N7"/>
    <mergeCell ref="A18:N18"/>
    <mergeCell ref="A19:N19"/>
  </mergeCells>
  <printOptions horizontalCentered="1"/>
  <pageMargins left="0.7" right="0.7" top="0.75" bottom="0.75" header="0.3" footer="0.3"/>
  <pageSetup scale="73" orientation="landscape" r:id="rId1"/>
  <headerFooter>
    <oddFooter>&amp;RExhibit JW-2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C5EA-D409-4D95-9059-1663425602D4}">
  <sheetPr>
    <pageSetUpPr fitToPage="1"/>
  </sheetPr>
  <dimension ref="A1:L27"/>
  <sheetViews>
    <sheetView view="pageBreakPreview" zoomScaleNormal="100" zoomScaleSheetLayoutView="100" workbookViewId="0">
      <selection activeCell="J23" sqref="J23"/>
    </sheetView>
  </sheetViews>
  <sheetFormatPr defaultColWidth="8.85546875" defaultRowHeight="15"/>
  <cols>
    <col min="1" max="1" width="4.42578125" style="146" customWidth="1"/>
    <col min="2" max="2" width="22.140625" style="126" customWidth="1"/>
    <col min="3" max="3" width="12.7109375" style="147" customWidth="1"/>
    <col min="4" max="7" width="12.7109375" style="126" customWidth="1"/>
    <col min="8" max="9" width="8.85546875" style="126"/>
    <col min="10" max="10" width="10.5703125" style="126" bestFit="1" customWidth="1"/>
    <col min="11" max="11" width="9" style="126" bestFit="1" customWidth="1"/>
    <col min="12" max="12" width="9.42578125" style="126" bestFit="1" customWidth="1"/>
    <col min="13" max="13" width="10.5703125" style="126" bestFit="1" customWidth="1"/>
    <col min="14" max="16384" width="8.85546875" style="126"/>
  </cols>
  <sheetData>
    <row r="1" spans="1:12">
      <c r="D1" s="56"/>
      <c r="G1" s="56" t="s">
        <v>27</v>
      </c>
    </row>
    <row r="2" spans="1:12">
      <c r="E2" s="56"/>
    </row>
    <row r="3" spans="1:12">
      <c r="B3" s="262" t="s">
        <v>244</v>
      </c>
      <c r="C3" s="262"/>
      <c r="D3" s="262"/>
      <c r="E3" s="262"/>
      <c r="F3" s="262"/>
      <c r="G3" s="262"/>
      <c r="H3" s="148"/>
      <c r="I3" s="148"/>
    </row>
    <row r="4" spans="1:12">
      <c r="B4" s="262" t="str">
        <f>RevReq!A3</f>
        <v>For the 12 Months Ended December 31, 2023</v>
      </c>
      <c r="C4" s="262"/>
      <c r="D4" s="262"/>
      <c r="E4" s="262"/>
      <c r="F4" s="262"/>
      <c r="G4" s="262"/>
    </row>
    <row r="6" spans="1:12">
      <c r="B6" s="260" t="s">
        <v>181</v>
      </c>
      <c r="C6" s="260"/>
      <c r="D6" s="260"/>
      <c r="E6" s="260"/>
      <c r="F6" s="260"/>
      <c r="G6" s="260"/>
      <c r="H6" s="57"/>
    </row>
    <row r="8" spans="1:12" ht="15" customHeight="1">
      <c r="B8" s="76" t="s">
        <v>167</v>
      </c>
      <c r="C8" s="128" t="s">
        <v>173</v>
      </c>
      <c r="D8" s="55" t="s">
        <v>170</v>
      </c>
      <c r="E8" s="55" t="s">
        <v>171</v>
      </c>
      <c r="F8" s="55" t="s">
        <v>168</v>
      </c>
      <c r="G8" s="55" t="s">
        <v>169</v>
      </c>
      <c r="H8" s="2"/>
    </row>
    <row r="9" spans="1:12">
      <c r="A9" s="149" t="s">
        <v>22</v>
      </c>
      <c r="B9" s="150" t="s">
        <v>19</v>
      </c>
      <c r="C9" s="150" t="s">
        <v>21</v>
      </c>
      <c r="D9" s="150" t="s">
        <v>20</v>
      </c>
      <c r="E9" s="150" t="s">
        <v>26</v>
      </c>
      <c r="F9" s="150" t="s">
        <v>51</v>
      </c>
      <c r="G9" s="150" t="s">
        <v>52</v>
      </c>
      <c r="H9" s="2"/>
    </row>
    <row r="10" spans="1:12">
      <c r="B10" s="2"/>
      <c r="C10" s="151"/>
      <c r="D10" s="2"/>
      <c r="E10" s="2"/>
      <c r="F10" s="2"/>
      <c r="G10" s="8"/>
      <c r="H10" s="2"/>
    </row>
    <row r="11" spans="1:12">
      <c r="B11" s="72" t="s">
        <v>176</v>
      </c>
      <c r="C11" s="152"/>
      <c r="D11" s="1"/>
      <c r="E11" s="53"/>
      <c r="F11" s="54"/>
      <c r="G11" s="8"/>
      <c r="H11" s="2"/>
    </row>
    <row r="12" spans="1:12">
      <c r="A12" s="146">
        <f>1</f>
        <v>1</v>
      </c>
      <c r="B12" s="2" t="s">
        <v>136</v>
      </c>
      <c r="C12" s="131">
        <v>841876.16</v>
      </c>
      <c r="D12" s="153">
        <v>0</v>
      </c>
      <c r="E12" s="154">
        <f>C12*D12</f>
        <v>0</v>
      </c>
      <c r="F12" s="153">
        <v>1</v>
      </c>
      <c r="G12" s="154">
        <f>C12*F12</f>
        <v>841876.16</v>
      </c>
      <c r="H12" s="2"/>
    </row>
    <row r="13" spans="1:12">
      <c r="A13" s="146">
        <f>A12+1</f>
        <v>2</v>
      </c>
      <c r="B13" s="2" t="s">
        <v>166</v>
      </c>
      <c r="C13" s="155">
        <v>926601</v>
      </c>
      <c r="D13" s="156">
        <f>E13/C13</f>
        <v>0.3047360190632214</v>
      </c>
      <c r="E13" s="157">
        <v>282368.7</v>
      </c>
      <c r="F13" s="156">
        <f>G13/C13</f>
        <v>0.69526365717282845</v>
      </c>
      <c r="G13" s="157">
        <f>1486108-841876</f>
        <v>644232</v>
      </c>
      <c r="H13" s="2"/>
      <c r="J13" s="245"/>
      <c r="K13" s="245"/>
      <c r="L13" s="245"/>
    </row>
    <row r="14" spans="1:12">
      <c r="A14" s="146">
        <f t="shared" ref="A14:A21" si="0">A13+1</f>
        <v>3</v>
      </c>
      <c r="B14" s="48" t="s">
        <v>47</v>
      </c>
      <c r="C14" s="158">
        <f>SUM(C12:C13)</f>
        <v>1768477.1600000001</v>
      </c>
      <c r="D14" s="159"/>
      <c r="E14" s="159">
        <f>SUM(E12:E13)</f>
        <v>282368.7</v>
      </c>
      <c r="F14" s="160"/>
      <c r="G14" s="159">
        <f>SUM(G12:G13)</f>
        <v>1486108.1600000001</v>
      </c>
      <c r="H14" s="2"/>
    </row>
    <row r="15" spans="1:12">
      <c r="A15" s="146">
        <f t="shared" si="0"/>
        <v>4</v>
      </c>
      <c r="B15" s="2"/>
      <c r="C15" s="131"/>
      <c r="D15" s="46"/>
      <c r="E15" s="46"/>
      <c r="F15" s="161"/>
      <c r="G15" s="75"/>
      <c r="H15" s="2"/>
    </row>
    <row r="16" spans="1:12">
      <c r="A16" s="146">
        <f t="shared" si="0"/>
        <v>5</v>
      </c>
      <c r="B16" s="73" t="s">
        <v>172</v>
      </c>
      <c r="C16" s="131"/>
      <c r="D16" s="46"/>
      <c r="E16" s="46"/>
      <c r="F16" s="161"/>
      <c r="G16" s="75"/>
      <c r="H16" s="2"/>
      <c r="L16" s="47"/>
    </row>
    <row r="17" spans="1:12">
      <c r="A17" s="146">
        <f t="shared" si="0"/>
        <v>6</v>
      </c>
      <c r="B17" s="2" t="s">
        <v>136</v>
      </c>
      <c r="C17" s="131">
        <f>C12</f>
        <v>841876.16</v>
      </c>
      <c r="D17" s="153">
        <v>0.2</v>
      </c>
      <c r="E17" s="154">
        <f>C17*D17</f>
        <v>168375.23200000002</v>
      </c>
      <c r="F17" s="153">
        <f>1-D17</f>
        <v>0.8</v>
      </c>
      <c r="G17" s="154">
        <f>C17*F17</f>
        <v>673500.92800000007</v>
      </c>
      <c r="H17" s="2"/>
      <c r="L17" s="162"/>
    </row>
    <row r="18" spans="1:12">
      <c r="A18" s="146">
        <f t="shared" si="0"/>
        <v>7</v>
      </c>
      <c r="B18" s="2" t="s">
        <v>166</v>
      </c>
      <c r="C18" s="131">
        <f>C13</f>
        <v>926601</v>
      </c>
      <c r="D18" s="156">
        <v>0.32</v>
      </c>
      <c r="E18" s="157">
        <f>C18*D18</f>
        <v>296512.32</v>
      </c>
      <c r="F18" s="153">
        <f t="shared" ref="F18" si="1">1-D18</f>
        <v>0.67999999999999994</v>
      </c>
      <c r="G18" s="157">
        <f>C18*F18</f>
        <v>630088.67999999993</v>
      </c>
      <c r="H18" s="2"/>
      <c r="L18" s="162"/>
    </row>
    <row r="19" spans="1:12">
      <c r="A19" s="146">
        <f t="shared" si="0"/>
        <v>8</v>
      </c>
      <c r="B19" s="48" t="s">
        <v>47</v>
      </c>
      <c r="C19" s="158">
        <f>SUM(C17:C18)</f>
        <v>1768477.1600000001</v>
      </c>
      <c r="D19" s="159"/>
      <c r="E19" s="159">
        <f>SUM(E17:E18)</f>
        <v>464887.55200000003</v>
      </c>
      <c r="F19" s="159"/>
      <c r="G19" s="159">
        <f>SUM(G17:G18)</f>
        <v>1303589.608</v>
      </c>
      <c r="H19" s="2"/>
      <c r="L19" s="82"/>
    </row>
    <row r="20" spans="1:12">
      <c r="A20" s="146">
        <f t="shared" si="0"/>
        <v>9</v>
      </c>
      <c r="B20" s="2"/>
      <c r="C20" s="131"/>
      <c r="D20" s="46"/>
      <c r="E20" s="46"/>
      <c r="F20" s="46"/>
      <c r="G20" s="46"/>
      <c r="H20" s="2"/>
    </row>
    <row r="21" spans="1:12" ht="15.75" thickBot="1">
      <c r="A21" s="146">
        <f t="shared" si="0"/>
        <v>10</v>
      </c>
      <c r="B21" s="74" t="s">
        <v>16</v>
      </c>
      <c r="C21" s="163"/>
      <c r="D21" s="71"/>
      <c r="E21" s="71"/>
      <c r="F21" s="71"/>
      <c r="G21" s="164">
        <f>G19-G14</f>
        <v>-182518.55200000014</v>
      </c>
      <c r="H21" s="2"/>
    </row>
    <row r="22" spans="1:12" ht="15.75" thickTop="1"/>
    <row r="24" spans="1:12" ht="33.6" customHeight="1">
      <c r="B24" s="263" t="s">
        <v>269</v>
      </c>
      <c r="C24" s="263"/>
      <c r="D24" s="263"/>
      <c r="E24" s="263"/>
      <c r="F24" s="263"/>
      <c r="G24" s="263"/>
    </row>
    <row r="25" spans="1:12">
      <c r="B25" s="165"/>
      <c r="C25" s="166"/>
      <c r="D25" s="167"/>
      <c r="E25" s="167"/>
      <c r="F25" s="167"/>
      <c r="G25" s="167"/>
    </row>
    <row r="26" spans="1:12">
      <c r="B26" s="2"/>
      <c r="C26" s="166"/>
      <c r="D26" s="167"/>
      <c r="E26" s="167"/>
      <c r="F26" s="167"/>
      <c r="G26" s="167"/>
    </row>
    <row r="27" spans="1:12">
      <c r="B27" s="2"/>
      <c r="C27" s="166"/>
      <c r="D27" s="167"/>
      <c r="E27" s="167"/>
      <c r="F27" s="167"/>
      <c r="G27" s="167"/>
    </row>
  </sheetData>
  <mergeCells count="4">
    <mergeCell ref="B3:G3"/>
    <mergeCell ref="B4:G4"/>
    <mergeCell ref="B6:G6"/>
    <mergeCell ref="B24:G24"/>
  </mergeCells>
  <printOptions horizontalCentered="1"/>
  <pageMargins left="0.7" right="0.7" top="0.75" bottom="0.75" header="0.3" footer="0.3"/>
  <pageSetup orientation="portrait" r:id="rId1"/>
  <headerFooter>
    <oddFooter>&amp;R&amp;"Times New Roman,Regular"Exhibit JW-2
Page &amp;P of &amp;N</oddFooter>
  </headerFooter>
  <ignoredErrors>
    <ignoredError sqref="B9:G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B9238-6938-4882-BBD6-A5534370D172}">
  <sheetPr>
    <pageSetUpPr fitToPage="1"/>
  </sheetPr>
  <dimension ref="A1:K144"/>
  <sheetViews>
    <sheetView tabSelected="1" view="pageBreakPreview" zoomScaleNormal="100" zoomScaleSheetLayoutView="100" workbookViewId="0">
      <selection activeCell="F11" sqref="F11"/>
    </sheetView>
  </sheetViews>
  <sheetFormatPr defaultColWidth="9.140625" defaultRowHeight="14.25"/>
  <cols>
    <col min="1" max="1" width="5.7109375" style="135" customWidth="1"/>
    <col min="2" max="2" width="29.140625" style="135" customWidth="1"/>
    <col min="3" max="3" width="14.5703125" style="135" customWidth="1"/>
    <col min="4" max="4" width="16.85546875" style="135" customWidth="1"/>
    <col min="5" max="5" width="9.140625" style="135"/>
    <col min="6" max="6" width="11.28515625" style="135" bestFit="1" customWidth="1"/>
    <col min="7" max="7" width="9.140625" style="135"/>
    <col min="8" max="8" width="11.28515625" style="135" bestFit="1" customWidth="1"/>
    <col min="9" max="16384" width="9.140625" style="135"/>
  </cols>
  <sheetData>
    <row r="1" spans="1:11" s="11" customFormat="1" ht="15" customHeight="1">
      <c r="D1" s="5" t="s">
        <v>121</v>
      </c>
    </row>
    <row r="2" spans="1:11" s="11" customFormat="1" ht="20.25" customHeight="1">
      <c r="D2" s="5"/>
    </row>
    <row r="3" spans="1:11" s="11" customFormat="1" ht="12.75">
      <c r="D3" s="5"/>
    </row>
    <row r="4" spans="1:11" s="11" customFormat="1" ht="12.75">
      <c r="B4" s="259" t="s">
        <v>244</v>
      </c>
      <c r="C4" s="259"/>
      <c r="D4" s="259"/>
      <c r="E4" s="7"/>
      <c r="F4" s="7"/>
      <c r="G4" s="7"/>
      <c r="H4" s="7"/>
      <c r="I4" s="7"/>
      <c r="J4" s="7"/>
      <c r="K4" s="7"/>
    </row>
    <row r="5" spans="1:11" s="11" customFormat="1" ht="12.75">
      <c r="B5" s="259" t="s">
        <v>248</v>
      </c>
      <c r="C5" s="259"/>
      <c r="D5" s="259"/>
      <c r="E5" s="7"/>
      <c r="F5" s="7"/>
      <c r="G5" s="7"/>
      <c r="H5" s="7"/>
    </row>
    <row r="6" spans="1:11" s="11" customFormat="1" ht="12.75"/>
    <row r="7" spans="1:11" s="6" customFormat="1" ht="15" customHeight="1">
      <c r="B7" s="260" t="s">
        <v>270</v>
      </c>
      <c r="C7" s="260"/>
      <c r="D7" s="260"/>
      <c r="E7" s="8"/>
      <c r="F7" s="8"/>
      <c r="G7" s="8"/>
      <c r="H7" s="8"/>
    </row>
    <row r="8" spans="1:11" s="11" customFormat="1" ht="22.5" customHeight="1"/>
    <row r="9" spans="1:11" ht="15">
      <c r="B9" s="134" t="s">
        <v>134</v>
      </c>
      <c r="C9" s="134" t="s">
        <v>135</v>
      </c>
    </row>
    <row r="10" spans="1:11" ht="15">
      <c r="B10" s="134"/>
      <c r="C10" s="134"/>
    </row>
    <row r="11" spans="1:11" ht="31.5" customHeight="1">
      <c r="B11" s="133"/>
      <c r="C11" s="169" t="s">
        <v>272</v>
      </c>
    </row>
    <row r="12" spans="1:11">
      <c r="A12" s="135">
        <v>1</v>
      </c>
      <c r="B12" s="136" t="s">
        <v>47</v>
      </c>
      <c r="C12" s="170">
        <v>35011.949999999997</v>
      </c>
    </row>
    <row r="13" spans="1:11">
      <c r="A13" s="135">
        <v>2</v>
      </c>
      <c r="B13" s="136"/>
    </row>
    <row r="14" spans="1:11">
      <c r="A14" s="135">
        <v>3</v>
      </c>
      <c r="B14" s="136"/>
    </row>
    <row r="15" spans="1:11">
      <c r="A15" s="135">
        <v>4</v>
      </c>
      <c r="B15" s="136"/>
    </row>
    <row r="16" spans="1:11">
      <c r="A16" s="135">
        <v>5</v>
      </c>
      <c r="B16" s="136" t="s">
        <v>38</v>
      </c>
      <c r="C16" s="145">
        <f>C12</f>
        <v>35011.949999999997</v>
      </c>
    </row>
    <row r="17" spans="1:4">
      <c r="A17" s="135">
        <v>6</v>
      </c>
      <c r="B17" s="136"/>
    </row>
    <row r="18" spans="1:4">
      <c r="A18" s="135">
        <v>7</v>
      </c>
      <c r="B18" s="136" t="s">
        <v>165</v>
      </c>
      <c r="C18" s="145">
        <v>0</v>
      </c>
    </row>
    <row r="19" spans="1:4">
      <c r="A19" s="135">
        <v>8</v>
      </c>
      <c r="B19" s="136"/>
    </row>
    <row r="20" spans="1:4" ht="15">
      <c r="A20" s="135">
        <v>9</v>
      </c>
      <c r="B20" s="134" t="s">
        <v>16</v>
      </c>
      <c r="C20" s="145">
        <f>C18-C16</f>
        <v>-35011.949999999997</v>
      </c>
    </row>
    <row r="22" spans="1:4">
      <c r="D22" s="229"/>
    </row>
    <row r="144" spans="2:4" s="11" customFormat="1" ht="30" customHeight="1">
      <c r="B144" s="135"/>
      <c r="C144" s="135"/>
      <c r="D144" s="135"/>
    </row>
  </sheetData>
  <mergeCells count="3">
    <mergeCell ref="B4:D4"/>
    <mergeCell ref="B5:D5"/>
    <mergeCell ref="B7:D7"/>
  </mergeCells>
  <printOptions horizontalCentered="1"/>
  <pageMargins left="0.7" right="0.7" top="0.75" bottom="0.75" header="0.3" footer="0.3"/>
  <pageSetup orientation="portrait" r:id="rId1"/>
  <headerFooter>
    <oddFooter>&amp;RExhibit JW-2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959A-8071-4155-BCDF-02FEB31962FE}">
  <sheetPr>
    <pageSetUpPr fitToPage="1"/>
  </sheetPr>
  <dimension ref="A1:L41"/>
  <sheetViews>
    <sheetView view="pageBreakPreview" zoomScaleNormal="100" zoomScaleSheetLayoutView="100" workbookViewId="0">
      <selection activeCell="I40" sqref="I40"/>
    </sheetView>
  </sheetViews>
  <sheetFormatPr defaultColWidth="9.140625" defaultRowHeight="14.25"/>
  <cols>
    <col min="1" max="1" width="8" style="135" bestFit="1" customWidth="1"/>
    <col min="2" max="2" width="11.7109375" style="135" bestFit="1" customWidth="1"/>
    <col min="3" max="3" width="14.28515625" style="135" customWidth="1"/>
    <col min="4" max="4" width="15.28515625" style="135" customWidth="1"/>
    <col min="5" max="5" width="13.140625" style="135" customWidth="1"/>
    <col min="6" max="6" width="14.42578125" style="135" customWidth="1"/>
    <col min="7" max="7" width="12.5703125" style="135" customWidth="1"/>
    <col min="8" max="8" width="12.140625" style="135" bestFit="1" customWidth="1"/>
    <col min="9" max="9" width="13.28515625" style="135" customWidth="1"/>
    <col min="10" max="16384" width="9.140625" style="135"/>
  </cols>
  <sheetData>
    <row r="1" spans="1:12" s="11" customFormat="1" ht="15" customHeight="1">
      <c r="I1" s="5" t="s">
        <v>120</v>
      </c>
    </row>
    <row r="2" spans="1:12" s="11" customFormat="1" ht="20.25" customHeight="1"/>
    <row r="3" spans="1:12" s="11" customFormat="1" ht="12.75"/>
    <row r="4" spans="1:12" s="11" customFormat="1" ht="12.75">
      <c r="A4" s="259" t="s">
        <v>244</v>
      </c>
      <c r="B4" s="259"/>
      <c r="C4" s="259"/>
      <c r="D4" s="259"/>
      <c r="E4" s="259"/>
      <c r="F4" s="259"/>
      <c r="G4" s="259"/>
      <c r="H4" s="259"/>
      <c r="I4" s="259"/>
      <c r="J4" s="7"/>
      <c r="K4" s="7"/>
      <c r="L4" s="7"/>
    </row>
    <row r="5" spans="1:12" s="11" customFormat="1" ht="12.75">
      <c r="A5" s="259" t="s">
        <v>248</v>
      </c>
      <c r="B5" s="259"/>
      <c r="C5" s="259"/>
      <c r="D5" s="259"/>
      <c r="E5" s="259"/>
      <c r="F5" s="259"/>
      <c r="G5" s="259"/>
      <c r="H5" s="259"/>
      <c r="I5" s="259"/>
    </row>
    <row r="6" spans="1:12" s="11" customFormat="1" ht="12.75"/>
    <row r="7" spans="1:12" s="6" customFormat="1" ht="15" customHeight="1">
      <c r="A7" s="260" t="s">
        <v>179</v>
      </c>
      <c r="B7" s="260"/>
      <c r="C7" s="260"/>
      <c r="D7" s="260"/>
      <c r="E7" s="260"/>
      <c r="F7" s="260"/>
      <c r="G7" s="260"/>
      <c r="H7" s="260"/>
      <c r="I7" s="260"/>
    </row>
    <row r="8" spans="1:12" s="6" customFormat="1" ht="15" customHeight="1">
      <c r="A8" s="64"/>
      <c r="B8" s="64"/>
      <c r="C8" s="64"/>
      <c r="D8" s="64"/>
      <c r="E8" s="64"/>
      <c r="F8" s="64"/>
      <c r="G8" s="64"/>
      <c r="H8" s="64"/>
      <c r="I8" s="64"/>
    </row>
    <row r="9" spans="1:12" ht="42.75" customHeight="1">
      <c r="A9" s="171"/>
      <c r="B9" s="168" t="s">
        <v>31</v>
      </c>
      <c r="C9" s="168" t="s">
        <v>273</v>
      </c>
      <c r="D9" s="168" t="s">
        <v>274</v>
      </c>
      <c r="E9" s="168" t="s">
        <v>275</v>
      </c>
      <c r="F9" s="168" t="s">
        <v>282</v>
      </c>
      <c r="G9" s="168" t="s">
        <v>276</v>
      </c>
      <c r="H9" s="168" t="s">
        <v>281</v>
      </c>
      <c r="I9" s="168" t="s">
        <v>15</v>
      </c>
    </row>
    <row r="10" spans="1:12" ht="15">
      <c r="A10" s="171" t="s">
        <v>18</v>
      </c>
      <c r="B10" s="173">
        <v>426</v>
      </c>
      <c r="C10" s="173">
        <v>913</v>
      </c>
      <c r="D10" s="172">
        <v>930.23</v>
      </c>
      <c r="E10" s="172">
        <v>930.23</v>
      </c>
      <c r="F10" s="172">
        <v>926.01</v>
      </c>
      <c r="G10" s="172" t="s">
        <v>277</v>
      </c>
      <c r="H10" s="172">
        <v>930.22</v>
      </c>
      <c r="I10" s="134" t="s">
        <v>278</v>
      </c>
    </row>
    <row r="11" spans="1:12" s="134" customFormat="1" ht="15">
      <c r="A11" s="133" t="s">
        <v>134</v>
      </c>
      <c r="B11" s="133" t="s">
        <v>135</v>
      </c>
      <c r="C11" s="133" t="s">
        <v>174</v>
      </c>
      <c r="D11" s="133" t="s">
        <v>175</v>
      </c>
      <c r="E11" s="133" t="s">
        <v>187</v>
      </c>
      <c r="F11" s="133" t="s">
        <v>188</v>
      </c>
      <c r="G11" s="133" t="s">
        <v>271</v>
      </c>
      <c r="H11" s="133" t="s">
        <v>279</v>
      </c>
      <c r="I11" s="133" t="s">
        <v>280</v>
      </c>
    </row>
    <row r="12" spans="1:12">
      <c r="A12" s="135" t="s">
        <v>7</v>
      </c>
      <c r="B12" s="174">
        <v>-4536.2</v>
      </c>
      <c r="C12" s="137">
        <v>-3652.3</v>
      </c>
      <c r="D12" s="174"/>
      <c r="E12" s="174"/>
      <c r="F12" s="174"/>
      <c r="G12" s="174"/>
      <c r="H12" s="174"/>
      <c r="I12" s="175">
        <f t="shared" ref="I12:I23" si="0">SUM(B12:H12)</f>
        <v>-8188.5</v>
      </c>
    </row>
    <row r="13" spans="1:12">
      <c r="A13" s="135" t="s">
        <v>8</v>
      </c>
      <c r="B13" s="176">
        <v>-4650.68</v>
      </c>
      <c r="C13" s="177">
        <v>-4181.26</v>
      </c>
      <c r="D13" s="176"/>
      <c r="E13" s="176"/>
      <c r="F13" s="176"/>
      <c r="G13" s="174"/>
      <c r="H13" s="174">
        <v>-129773.36</v>
      </c>
      <c r="I13" s="175">
        <f t="shared" si="0"/>
        <v>-138605.29999999999</v>
      </c>
    </row>
    <row r="14" spans="1:12">
      <c r="A14" s="135" t="s">
        <v>9</v>
      </c>
      <c r="B14" s="176">
        <f>-4664-6050</f>
        <v>-10714</v>
      </c>
      <c r="C14" s="177">
        <v>-4908.83</v>
      </c>
      <c r="D14" s="176"/>
      <c r="E14" s="176"/>
      <c r="F14" s="176"/>
      <c r="G14" s="174"/>
      <c r="H14" s="174"/>
      <c r="I14" s="175">
        <f t="shared" si="0"/>
        <v>-15622.83</v>
      </c>
    </row>
    <row r="15" spans="1:12">
      <c r="A15" s="135" t="s">
        <v>10</v>
      </c>
      <c r="B15" s="176">
        <v>-5099.76</v>
      </c>
      <c r="C15" s="177">
        <v>-3364.91</v>
      </c>
      <c r="D15" s="176"/>
      <c r="E15" s="176">
        <f>-10875.6+3780</f>
        <v>-7095.6</v>
      </c>
      <c r="F15" s="176"/>
      <c r="G15" s="174"/>
      <c r="H15" s="174"/>
      <c r="I15" s="175">
        <f t="shared" si="0"/>
        <v>-15560.27</v>
      </c>
    </row>
    <row r="16" spans="1:12">
      <c r="A16" s="135" t="s">
        <v>11</v>
      </c>
      <c r="B16" s="176">
        <v>-5350</v>
      </c>
      <c r="C16" s="177">
        <v>-5605.02</v>
      </c>
      <c r="D16" s="176"/>
      <c r="E16" s="176"/>
      <c r="F16" s="176"/>
      <c r="G16" s="174"/>
      <c r="H16" s="174"/>
      <c r="I16" s="175">
        <f t="shared" si="0"/>
        <v>-10955.02</v>
      </c>
    </row>
    <row r="17" spans="1:9">
      <c r="A17" s="135" t="s">
        <v>12</v>
      </c>
      <c r="B17" s="176">
        <f>-1250-1850</f>
        <v>-3100</v>
      </c>
      <c r="C17" s="177">
        <v>-3737.6</v>
      </c>
      <c r="D17" s="176"/>
      <c r="E17" s="176"/>
      <c r="F17" s="176"/>
      <c r="G17" s="174"/>
      <c r="H17" s="174"/>
      <c r="I17" s="175">
        <f t="shared" si="0"/>
        <v>-6837.6</v>
      </c>
    </row>
    <row r="18" spans="1:9">
      <c r="A18" s="135" t="s">
        <v>13</v>
      </c>
      <c r="B18" s="176">
        <v>-5600</v>
      </c>
      <c r="C18" s="177">
        <v>-539</v>
      </c>
      <c r="D18" s="176"/>
      <c r="E18" s="176"/>
      <c r="F18" s="176"/>
      <c r="G18" s="174"/>
      <c r="H18" s="174"/>
      <c r="I18" s="175">
        <f t="shared" si="0"/>
        <v>-6139</v>
      </c>
    </row>
    <row r="19" spans="1:9">
      <c r="A19" s="135" t="s">
        <v>14</v>
      </c>
      <c r="B19" s="176">
        <f>-1000-4250</f>
        <v>-5250</v>
      </c>
      <c r="C19" s="177">
        <v>0</v>
      </c>
      <c r="D19" s="176"/>
      <c r="E19" s="176"/>
      <c r="F19" s="176"/>
      <c r="G19" s="174">
        <v>-57558</v>
      </c>
      <c r="H19" s="174"/>
      <c r="I19" s="175">
        <f t="shared" si="0"/>
        <v>-62808</v>
      </c>
    </row>
    <row r="20" spans="1:9">
      <c r="A20" s="135" t="s">
        <v>3</v>
      </c>
      <c r="B20" s="176">
        <f>-1500-2500-2750</f>
        <v>-6750</v>
      </c>
      <c r="C20" s="177">
        <v>0</v>
      </c>
      <c r="D20" s="176">
        <v>-1000</v>
      </c>
      <c r="E20" s="176">
        <v>-7997.79</v>
      </c>
      <c r="F20" s="176">
        <v>-3837.5</v>
      </c>
      <c r="G20" s="174"/>
      <c r="H20" s="174"/>
      <c r="I20" s="175">
        <f t="shared" si="0"/>
        <v>-19585.29</v>
      </c>
    </row>
    <row r="21" spans="1:9">
      <c r="A21" s="135" t="s">
        <v>4</v>
      </c>
      <c r="B21" s="178">
        <v>-965</v>
      </c>
      <c r="C21" s="177">
        <v>0</v>
      </c>
      <c r="D21" s="178"/>
      <c r="E21" s="178"/>
      <c r="F21" s="178">
        <f>-21011.75-1</f>
        <v>-21012.75</v>
      </c>
      <c r="G21" s="174"/>
      <c r="H21" s="174"/>
      <c r="I21" s="175">
        <f t="shared" si="0"/>
        <v>-21977.75</v>
      </c>
    </row>
    <row r="22" spans="1:9">
      <c r="A22" s="135" t="s">
        <v>5</v>
      </c>
      <c r="B22" s="178">
        <v>-250</v>
      </c>
      <c r="C22" s="177">
        <v>0</v>
      </c>
      <c r="D22" s="178"/>
      <c r="E22" s="178">
        <v>1890</v>
      </c>
      <c r="F22" s="178">
        <v>7239.85</v>
      </c>
      <c r="G22" s="176"/>
      <c r="H22" s="174"/>
      <c r="I22" s="175">
        <f t="shared" si="0"/>
        <v>8879.85</v>
      </c>
    </row>
    <row r="23" spans="1:9">
      <c r="A23" s="135" t="s">
        <v>6</v>
      </c>
      <c r="B23" s="179">
        <v>-2600</v>
      </c>
      <c r="C23" s="180">
        <v>0</v>
      </c>
      <c r="D23" s="179"/>
      <c r="E23" s="179"/>
      <c r="F23" s="179">
        <v>-103.95</v>
      </c>
      <c r="G23" s="181"/>
      <c r="H23" s="181">
        <v>34850</v>
      </c>
      <c r="I23" s="175">
        <f t="shared" si="0"/>
        <v>32146.05</v>
      </c>
    </row>
    <row r="24" spans="1:9">
      <c r="A24" s="135" t="s">
        <v>47</v>
      </c>
      <c r="B24" s="137">
        <f>SUM(B12:B23)</f>
        <v>-54865.64</v>
      </c>
      <c r="C24" s="137">
        <f t="shared" ref="C24:H24" si="1">SUM(C12:C23)</f>
        <v>-25988.92</v>
      </c>
      <c r="D24" s="137">
        <f>SUM(D12:D23)</f>
        <v>-1000</v>
      </c>
      <c r="E24" s="137">
        <f t="shared" si="1"/>
        <v>-13203.39</v>
      </c>
      <c r="F24" s="137">
        <f t="shared" si="1"/>
        <v>-17714.350000000002</v>
      </c>
      <c r="G24" s="137">
        <f t="shared" si="1"/>
        <v>-57558</v>
      </c>
      <c r="H24" s="137">
        <f t="shared" si="1"/>
        <v>-94923.36</v>
      </c>
      <c r="I24" s="182">
        <f>SUM(I12:I23)</f>
        <v>-265253.65999999997</v>
      </c>
    </row>
    <row r="25" spans="1:9">
      <c r="B25" s="138"/>
      <c r="C25" s="138"/>
      <c r="D25" s="138"/>
      <c r="E25" s="138"/>
      <c r="F25" s="138"/>
    </row>
    <row r="26" spans="1:9">
      <c r="B26" s="138"/>
      <c r="C26" s="138"/>
      <c r="D26" s="138"/>
      <c r="E26" s="138"/>
      <c r="F26" s="138"/>
    </row>
    <row r="27" spans="1:9" ht="27.75" customHeight="1">
      <c r="A27" s="261" t="s">
        <v>178</v>
      </c>
      <c r="B27" s="261"/>
      <c r="C27" s="261"/>
      <c r="D27" s="261"/>
      <c r="E27" s="261"/>
      <c r="F27" s="261"/>
      <c r="G27" s="261"/>
      <c r="H27" s="261"/>
      <c r="I27" s="261"/>
    </row>
    <row r="28" spans="1:9">
      <c r="B28" s="138"/>
      <c r="C28" s="138"/>
      <c r="D28" s="138"/>
      <c r="E28" s="138"/>
      <c r="F28" s="138"/>
      <c r="G28" s="138"/>
      <c r="H28" s="138"/>
    </row>
    <row r="29" spans="1:9">
      <c r="B29" s="138"/>
      <c r="C29" s="138"/>
      <c r="D29" s="138"/>
      <c r="E29" s="138"/>
      <c r="F29" s="138"/>
      <c r="G29" s="138"/>
      <c r="H29" s="138"/>
    </row>
    <row r="30" spans="1:9">
      <c r="B30" s="138"/>
      <c r="C30" s="138"/>
      <c r="D30" s="138"/>
      <c r="E30" s="138"/>
      <c r="F30" s="138"/>
      <c r="G30" s="138"/>
      <c r="H30" s="138"/>
    </row>
    <row r="31" spans="1:9">
      <c r="B31" s="138"/>
      <c r="C31" s="138"/>
      <c r="D31" s="138"/>
      <c r="E31" s="138"/>
      <c r="F31" s="138"/>
      <c r="G31" s="138"/>
      <c r="H31" s="138"/>
    </row>
    <row r="32" spans="1:9">
      <c r="B32" s="138"/>
      <c r="C32" s="138"/>
      <c r="D32" s="138"/>
      <c r="E32" s="138"/>
      <c r="F32" s="138"/>
      <c r="G32" s="138"/>
      <c r="H32" s="138"/>
    </row>
    <row r="33" spans="2:8">
      <c r="B33" s="138"/>
      <c r="C33" s="138"/>
      <c r="D33" s="138"/>
      <c r="E33" s="138"/>
      <c r="F33" s="138"/>
      <c r="G33" s="138"/>
      <c r="H33" s="138"/>
    </row>
    <row r="34" spans="2:8">
      <c r="B34" s="138"/>
      <c r="C34" s="138"/>
      <c r="D34" s="138"/>
      <c r="E34" s="138"/>
      <c r="F34" s="138"/>
      <c r="G34" s="138"/>
      <c r="H34" s="138"/>
    </row>
    <row r="35" spans="2:8">
      <c r="B35" s="138"/>
      <c r="C35" s="138"/>
      <c r="D35" s="138"/>
      <c r="E35" s="138"/>
      <c r="F35" s="138"/>
      <c r="G35" s="138"/>
      <c r="H35" s="138"/>
    </row>
    <row r="36" spans="2:8">
      <c r="B36" s="138"/>
      <c r="C36" s="138"/>
      <c r="D36" s="138"/>
      <c r="E36" s="138"/>
      <c r="F36" s="138"/>
      <c r="G36" s="138"/>
      <c r="H36" s="138"/>
    </row>
    <row r="37" spans="2:8">
      <c r="B37" s="138"/>
      <c r="C37" s="138"/>
      <c r="D37" s="138"/>
      <c r="E37" s="138"/>
      <c r="F37" s="138"/>
      <c r="G37" s="138"/>
      <c r="H37" s="138"/>
    </row>
    <row r="38" spans="2:8">
      <c r="B38" s="138"/>
      <c r="C38" s="138"/>
      <c r="D38" s="138"/>
      <c r="E38" s="138"/>
      <c r="F38" s="138"/>
      <c r="G38" s="138"/>
      <c r="H38" s="138"/>
    </row>
    <row r="39" spans="2:8">
      <c r="B39" s="138"/>
      <c r="C39" s="138"/>
      <c r="D39" s="138"/>
      <c r="E39" s="138"/>
      <c r="F39" s="138"/>
      <c r="G39" s="138"/>
      <c r="H39" s="138"/>
    </row>
    <row r="40" spans="2:8">
      <c r="B40" s="138"/>
    </row>
    <row r="41" spans="2:8">
      <c r="B41" s="138"/>
    </row>
  </sheetData>
  <mergeCells count="4">
    <mergeCell ref="A4:I4"/>
    <mergeCell ref="A5:I5"/>
    <mergeCell ref="A7:I7"/>
    <mergeCell ref="A27:I27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  <ignoredErrors>
    <ignoredError sqref="B14:I23 I12:I13" unlockedFormula="1"/>
    <ignoredError sqref="G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291C-A566-48CD-95BD-7AAF758CC5BD}">
  <sheetPr>
    <pageSetUpPr fitToPage="1"/>
  </sheetPr>
  <dimension ref="A1:O37"/>
  <sheetViews>
    <sheetView view="pageBreakPreview" zoomScaleNormal="100" zoomScaleSheetLayoutView="100" workbookViewId="0">
      <selection activeCell="H2" sqref="H2"/>
    </sheetView>
  </sheetViews>
  <sheetFormatPr defaultColWidth="9.140625" defaultRowHeight="12.75"/>
  <cols>
    <col min="1" max="1" width="5.85546875" style="11" customWidth="1"/>
    <col min="2" max="2" width="2.28515625" style="11" customWidth="1"/>
    <col min="3" max="3" width="11.7109375" style="11" customWidth="1"/>
    <col min="4" max="4" width="10.85546875" style="11" customWidth="1"/>
    <col min="5" max="5" width="5.85546875" style="11" customWidth="1"/>
    <col min="6" max="6" width="15.28515625" style="11" customWidth="1"/>
    <col min="7" max="7" width="3.28515625" style="11" customWidth="1"/>
    <col min="8" max="8" width="15.7109375" style="11" customWidth="1"/>
    <col min="9" max="9" width="9.140625" style="11"/>
    <col min="10" max="10" width="10.5703125" style="11" bestFit="1" customWidth="1"/>
    <col min="11" max="16384" width="9.140625" style="11"/>
  </cols>
  <sheetData>
    <row r="1" spans="1:15">
      <c r="G1" s="5"/>
      <c r="H1" s="5" t="s">
        <v>119</v>
      </c>
    </row>
    <row r="2" spans="1:15" ht="20.25" customHeight="1">
      <c r="G2" s="5"/>
      <c r="H2" s="5"/>
    </row>
    <row r="3" spans="1:15">
      <c r="G3" s="5"/>
      <c r="H3" s="5"/>
    </row>
    <row r="4" spans="1:15">
      <c r="A4" s="259" t="s">
        <v>244</v>
      </c>
      <c r="B4" s="259"/>
      <c r="C4" s="259"/>
      <c r="D4" s="259"/>
      <c r="E4" s="259"/>
      <c r="F4" s="259"/>
      <c r="G4" s="259"/>
      <c r="H4" s="259"/>
      <c r="J4" s="7"/>
      <c r="K4" s="7"/>
      <c r="L4" s="7"/>
      <c r="M4" s="7"/>
      <c r="N4" s="7"/>
      <c r="O4" s="7"/>
    </row>
    <row r="5" spans="1:15">
      <c r="A5" s="259" t="s">
        <v>248</v>
      </c>
      <c r="B5" s="259"/>
      <c r="C5" s="259"/>
      <c r="D5" s="259"/>
      <c r="E5" s="259"/>
      <c r="F5" s="259"/>
      <c r="G5" s="259"/>
      <c r="H5" s="259"/>
    </row>
    <row r="7" spans="1:15" s="6" customFormat="1" ht="15" customHeight="1">
      <c r="A7" s="260" t="s">
        <v>128</v>
      </c>
      <c r="B7" s="260"/>
      <c r="C7" s="260"/>
      <c r="D7" s="260"/>
      <c r="E7" s="260"/>
      <c r="F7" s="260"/>
      <c r="G7" s="260"/>
      <c r="H7" s="260"/>
    </row>
    <row r="9" spans="1:15">
      <c r="A9" s="10" t="s">
        <v>0</v>
      </c>
      <c r="C9" s="10" t="s">
        <v>17</v>
      </c>
      <c r="D9" s="10" t="s">
        <v>18</v>
      </c>
      <c r="E9" s="10"/>
      <c r="F9" s="10" t="s">
        <v>24</v>
      </c>
      <c r="G9" s="10"/>
      <c r="H9" s="10" t="s">
        <v>25</v>
      </c>
    </row>
    <row r="10" spans="1:15">
      <c r="A10" s="12" t="s">
        <v>22</v>
      </c>
      <c r="C10" s="13" t="s">
        <v>19</v>
      </c>
      <c r="D10" s="13" t="s">
        <v>21</v>
      </c>
      <c r="E10" s="10"/>
      <c r="F10" s="13" t="s">
        <v>20</v>
      </c>
      <c r="G10" s="13"/>
      <c r="H10" s="13" t="s">
        <v>26</v>
      </c>
    </row>
    <row r="11" spans="1:15">
      <c r="A11" s="10"/>
    </row>
    <row r="12" spans="1:15">
      <c r="A12" s="10"/>
    </row>
    <row r="13" spans="1:15">
      <c r="A13" s="10">
        <v>1</v>
      </c>
      <c r="C13" s="10">
        <v>2023</v>
      </c>
      <c r="D13" s="1" t="s">
        <v>7</v>
      </c>
      <c r="E13" s="14"/>
      <c r="F13" s="60">
        <v>1190497.9900000002</v>
      </c>
      <c r="G13" s="60"/>
      <c r="H13" s="60">
        <v>2123950</v>
      </c>
    </row>
    <row r="14" spans="1:15">
      <c r="A14" s="10">
        <v>2</v>
      </c>
      <c r="C14" s="10">
        <v>2023</v>
      </c>
      <c r="D14" s="1" t="s">
        <v>8</v>
      </c>
      <c r="E14" s="14"/>
      <c r="F14" s="60">
        <v>543995.92000000004</v>
      </c>
      <c r="G14" s="60"/>
      <c r="H14" s="60">
        <v>914070</v>
      </c>
    </row>
    <row r="15" spans="1:15">
      <c r="A15" s="10">
        <v>3</v>
      </c>
      <c r="C15" s="10">
        <v>2023</v>
      </c>
      <c r="D15" s="1" t="s">
        <v>9</v>
      </c>
      <c r="E15" s="14"/>
      <c r="F15" s="60">
        <v>1587837.77</v>
      </c>
      <c r="G15" s="60"/>
      <c r="H15" s="60">
        <v>758222</v>
      </c>
    </row>
    <row r="16" spans="1:15">
      <c r="A16" s="10">
        <v>4</v>
      </c>
      <c r="C16" s="10">
        <v>2023</v>
      </c>
      <c r="D16" s="1" t="s">
        <v>10</v>
      </c>
      <c r="E16" s="14"/>
      <c r="F16" s="60">
        <v>911199.61000000022</v>
      </c>
      <c r="G16" s="60"/>
      <c r="H16" s="60">
        <v>632203</v>
      </c>
    </row>
    <row r="17" spans="1:10">
      <c r="A17" s="10">
        <v>5</v>
      </c>
      <c r="C17" s="10">
        <v>2023</v>
      </c>
      <c r="D17" s="1" t="s">
        <v>11</v>
      </c>
      <c r="E17" s="14"/>
      <c r="F17" s="60">
        <v>846818.32000000007</v>
      </c>
      <c r="G17" s="60"/>
      <c r="H17" s="60">
        <v>759497</v>
      </c>
    </row>
    <row r="18" spans="1:10">
      <c r="A18" s="10">
        <v>6</v>
      </c>
      <c r="C18" s="10">
        <v>2023</v>
      </c>
      <c r="D18" s="1" t="s">
        <v>12</v>
      </c>
      <c r="E18" s="14"/>
      <c r="F18" s="60">
        <v>831571.51</v>
      </c>
      <c r="G18" s="60"/>
      <c r="H18" s="60">
        <v>324280</v>
      </c>
    </row>
    <row r="19" spans="1:10">
      <c r="A19" s="10">
        <v>7</v>
      </c>
      <c r="C19" s="10">
        <v>2023</v>
      </c>
      <c r="D19" s="1" t="s">
        <v>13</v>
      </c>
      <c r="E19" s="14"/>
      <c r="F19" s="60">
        <v>1207151.1200000001</v>
      </c>
      <c r="G19" s="60"/>
      <c r="H19" s="60">
        <v>593556</v>
      </c>
    </row>
    <row r="20" spans="1:10">
      <c r="A20" s="10">
        <v>8</v>
      </c>
      <c r="C20" s="10">
        <v>2023</v>
      </c>
      <c r="D20" s="1" t="s">
        <v>14</v>
      </c>
      <c r="E20" s="14"/>
      <c r="F20" s="60">
        <v>377330.62000000011</v>
      </c>
      <c r="G20" s="60"/>
      <c r="H20" s="60">
        <v>934402</v>
      </c>
    </row>
    <row r="21" spans="1:10">
      <c r="A21" s="10">
        <v>9</v>
      </c>
      <c r="C21" s="10">
        <v>2023</v>
      </c>
      <c r="D21" s="1" t="s">
        <v>3</v>
      </c>
      <c r="E21" s="14"/>
      <c r="F21" s="60">
        <v>275895.10000000009</v>
      </c>
      <c r="G21" s="60"/>
      <c r="H21" s="60">
        <v>743602</v>
      </c>
    </row>
    <row r="22" spans="1:10">
      <c r="A22" s="10">
        <v>10</v>
      </c>
      <c r="C22" s="10">
        <v>2023</v>
      </c>
      <c r="D22" s="1" t="s">
        <v>4</v>
      </c>
      <c r="E22" s="14"/>
      <c r="F22" s="60">
        <v>659647.54</v>
      </c>
      <c r="G22" s="60"/>
      <c r="H22" s="60">
        <v>790757</v>
      </c>
    </row>
    <row r="23" spans="1:10">
      <c r="A23" s="10">
        <v>11</v>
      </c>
      <c r="C23" s="10">
        <v>2023</v>
      </c>
      <c r="D23" s="1" t="s">
        <v>5</v>
      </c>
      <c r="E23" s="14"/>
      <c r="F23" s="60">
        <v>951641.16000000015</v>
      </c>
      <c r="G23" s="60"/>
      <c r="H23" s="60">
        <v>694954</v>
      </c>
    </row>
    <row r="24" spans="1:10">
      <c r="A24" s="10">
        <v>12</v>
      </c>
      <c r="C24" s="10">
        <v>2023</v>
      </c>
      <c r="D24" s="1" t="s">
        <v>6</v>
      </c>
      <c r="E24" s="14"/>
      <c r="F24" s="60">
        <v>1313682.3699999999</v>
      </c>
      <c r="G24" s="60"/>
      <c r="H24" s="60">
        <v>634468</v>
      </c>
    </row>
    <row r="25" spans="1:10">
      <c r="A25" s="10">
        <v>13</v>
      </c>
      <c r="C25" s="16"/>
      <c r="D25" s="4" t="s">
        <v>15</v>
      </c>
      <c r="E25" s="17"/>
      <c r="F25" s="17">
        <f>SUM(F13:F24)</f>
        <v>10697269.029999999</v>
      </c>
      <c r="G25" s="17"/>
      <c r="H25" s="17">
        <f>SUM(H13:H24)</f>
        <v>9903961</v>
      </c>
    </row>
    <row r="26" spans="1:10">
      <c r="A26" s="10">
        <v>14</v>
      </c>
      <c r="D26" s="2"/>
      <c r="E26" s="18"/>
      <c r="F26" s="18"/>
      <c r="G26" s="18"/>
    </row>
    <row r="27" spans="1:10">
      <c r="A27" s="10">
        <v>15</v>
      </c>
      <c r="C27" s="2" t="s">
        <v>38</v>
      </c>
      <c r="D27" s="2"/>
      <c r="E27" s="18"/>
      <c r="F27" s="19">
        <f>F25</f>
        <v>10697269.029999999</v>
      </c>
      <c r="G27" s="19"/>
      <c r="H27" s="19">
        <f>H25</f>
        <v>9903961</v>
      </c>
    </row>
    <row r="28" spans="1:10">
      <c r="A28" s="10">
        <v>16</v>
      </c>
      <c r="C28" s="2"/>
      <c r="D28" s="2"/>
      <c r="E28" s="18"/>
      <c r="F28" s="18"/>
      <c r="G28" s="18"/>
    </row>
    <row r="29" spans="1:10">
      <c r="A29" s="10">
        <v>17</v>
      </c>
      <c r="C29" s="2" t="s">
        <v>39</v>
      </c>
      <c r="E29" s="14"/>
      <c r="F29" s="14">
        <v>0</v>
      </c>
      <c r="G29" s="14"/>
      <c r="H29" s="14">
        <v>0</v>
      </c>
    </row>
    <row r="30" spans="1:10">
      <c r="A30" s="10">
        <v>18</v>
      </c>
      <c r="C30" s="2"/>
    </row>
    <row r="31" spans="1:10" ht="13.5" thickBot="1">
      <c r="A31" s="10">
        <v>19</v>
      </c>
      <c r="C31" s="3" t="s">
        <v>16</v>
      </c>
      <c r="D31" s="20"/>
      <c r="E31" s="21"/>
      <c r="F31" s="22">
        <f>ROUND(F29-F27,2)</f>
        <v>-10697269.029999999</v>
      </c>
      <c r="G31" s="21"/>
      <c r="H31" s="22">
        <f>ROUND(H29-H27,2)</f>
        <v>-9903961</v>
      </c>
      <c r="J31" s="27"/>
    </row>
    <row r="32" spans="1:10" ht="13.5" thickTop="1"/>
    <row r="34" spans="3:8" ht="30" customHeight="1">
      <c r="C34" s="261" t="s">
        <v>40</v>
      </c>
      <c r="D34" s="261"/>
      <c r="E34" s="261"/>
      <c r="F34" s="261"/>
      <c r="G34" s="261"/>
      <c r="H34" s="261"/>
    </row>
    <row r="35" spans="3:8">
      <c r="F35" s="27"/>
      <c r="H35" s="27"/>
    </row>
    <row r="37" spans="3:8">
      <c r="F37" s="27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10: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RevReq</vt:lpstr>
      <vt:lpstr>AdjsList</vt:lpstr>
      <vt:lpstr>Adj IS</vt:lpstr>
      <vt:lpstr>Adj BS</vt:lpstr>
      <vt:lpstr>1.01 401k</vt:lpstr>
      <vt:lpstr>1.02 Health</vt:lpstr>
      <vt:lpstr>1.03 LifeInsur</vt:lpstr>
      <vt:lpstr>1.04 DonaAdsDues</vt:lpstr>
      <vt:lpstr>1.05 FAC</vt:lpstr>
      <vt:lpstr>1.06 ES</vt:lpstr>
      <vt:lpstr>1.07 Wages and Salaries</vt:lpstr>
      <vt:lpstr>1.08 BOD</vt:lpstr>
      <vt:lpstr>1.09 YearEndCust</vt:lpstr>
      <vt:lpstr>1.10 RCE</vt:lpstr>
      <vt:lpstr>1.11 Depr</vt:lpstr>
      <vt:lpstr>1.12 Interest</vt:lpstr>
      <vt:lpstr>1.13 GTCC</vt:lpstr>
      <vt:lpstr>'1.01 401k'!Print_Area</vt:lpstr>
      <vt:lpstr>'1.02 Health'!Print_Area</vt:lpstr>
      <vt:lpstr>'1.03 LifeInsur'!Print_Area</vt:lpstr>
      <vt:lpstr>'1.04 DonaAdsDues'!Print_Area</vt:lpstr>
      <vt:lpstr>'1.05 FAC'!Print_Area</vt:lpstr>
      <vt:lpstr>'1.06 ES'!Print_Area</vt:lpstr>
      <vt:lpstr>'1.07 Wages and Salaries'!Print_Area</vt:lpstr>
      <vt:lpstr>'1.08 BOD'!Print_Area</vt:lpstr>
      <vt:lpstr>'1.09 YearEndCust'!Print_Area</vt:lpstr>
      <vt:lpstr>'1.10 RCE'!Print_Area</vt:lpstr>
      <vt:lpstr>'1.11 Depr'!Print_Area</vt:lpstr>
      <vt:lpstr>'1.12 Interest'!Print_Area</vt:lpstr>
      <vt:lpstr>'1.13 GTCC'!Print_Area</vt:lpstr>
      <vt:lpstr>'Adj BS'!Print_Area</vt:lpstr>
      <vt:lpstr>'Adj IS'!Print_Area</vt:lpstr>
      <vt:lpstr>AdjsList!Print_Area</vt:lpstr>
      <vt:lpstr>RevReq!Print_Area</vt:lpstr>
      <vt:lpstr>'1.09 YearEndCust'!Print_Titles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2024-10-16T20:38:12Z</cp:lastPrinted>
  <dcterms:created xsi:type="dcterms:W3CDTF">2012-11-02T18:45:21Z</dcterms:created>
  <dcterms:modified xsi:type="dcterms:W3CDTF">2024-10-16T20:38:12Z</dcterms:modified>
</cp:coreProperties>
</file>