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JEC/Rate Case 2024/COS and Rates/"/>
    </mc:Choice>
  </mc:AlternateContent>
  <xr:revisionPtr revIDLastSave="56" documentId="8_{A9AC3D5B-3229-4EBA-8A74-B3B0572034AC}" xr6:coauthVersionLast="47" xr6:coauthVersionMax="47" xr10:uidLastSave="{A2F45BC1-ACAD-4489-9036-505EE9C8887B}"/>
  <bookViews>
    <workbookView xWindow="-120" yWindow="-120" windowWidth="29040" windowHeight="15720" tabRatio="741" firstSheet="2" activeTab="2" xr2:uid="{00000000-000D-0000-FFFF-FFFF00000000}"/>
  </bookViews>
  <sheets>
    <sheet name="Residential NonTOU" sheetId="24" state="hidden" r:id="rId1"/>
    <sheet name="Resid. - TOU" sheetId="28" state="hidden" r:id="rId2"/>
    <sheet name="Present and Proposed Rates" sheetId="61" r:id="rId3"/>
    <sheet name="10" sheetId="60" r:id="rId4"/>
    <sheet name="11" sheetId="65" r:id="rId5"/>
    <sheet name="20" sheetId="66" r:id="rId6"/>
    <sheet name="22" sheetId="67" r:id="rId7"/>
    <sheet name="40" sheetId="68" r:id="rId8"/>
    <sheet name="46" sheetId="75" r:id="rId9"/>
    <sheet name="47" sheetId="76" r:id="rId10"/>
    <sheet name="50" sheetId="77" r:id="rId11"/>
    <sheet name="52" sheetId="78" r:id="rId12"/>
    <sheet name="Lighting" sheetId="43" r:id="rId13"/>
    <sheet name="Summary" sheetId="13" r:id="rId14"/>
    <sheet name="ResIncr" sheetId="79" r:id="rId15"/>
    <sheet name="Notice Tables" sheetId="70" r:id="rId16"/>
    <sheet name="Billing Determ" sheetId="74" r:id="rId17"/>
    <sheet name="List" sheetId="73" r:id="rId18"/>
  </sheets>
  <definedNames>
    <definedName name="_xlnm.Print_Area" localSheetId="3">'10'!$A$1:$U$28</definedName>
    <definedName name="_xlnm.Print_Area" localSheetId="4">'11'!$A$1:$S$30</definedName>
    <definedName name="_xlnm.Print_Area" localSheetId="5">'20'!$A$1:$T$31</definedName>
    <definedName name="_xlnm.Print_Area" localSheetId="6">'22'!$A$1:$T$30</definedName>
    <definedName name="_xlnm.Print_Area" localSheetId="7">'40'!$A$1:$T$34</definedName>
    <definedName name="_xlnm.Print_Area" localSheetId="8">'46'!$A$1:$T$34</definedName>
    <definedName name="_xlnm.Print_Area" localSheetId="9">'47'!$A$1:$T$35</definedName>
    <definedName name="_xlnm.Print_Area" localSheetId="10">'50'!$A$1:$T$28</definedName>
    <definedName name="_xlnm.Print_Area" localSheetId="11">'52'!$A$1:$T$28</definedName>
    <definedName name="_xlnm.Print_Area" localSheetId="12">Lighting!$A$1:$V$66</definedName>
    <definedName name="_xlnm.Print_Area" localSheetId="15">'Notice Tables'!$A$1:$F$60</definedName>
    <definedName name="_xlnm.Print_Area" localSheetId="2">'Present and Proposed Rates'!$A$1:$Q$40</definedName>
    <definedName name="_xlnm.Print_Area" localSheetId="1">'Resid. - TOU'!$A$1:$H$35</definedName>
    <definedName name="_xlnm.Print_Area" localSheetId="0">'Residential NonTOU'!$A$1:$W$28</definedName>
    <definedName name="_xlnm.Print_Area" localSheetId="14">ResIncr!$A$1:$M$38</definedName>
    <definedName name="_xlnm.Print_Area" localSheetId="13">Summary!$A$1:$K$22</definedName>
    <definedName name="_xlnm.Print_Titles" localSheetId="14">ResIncr!$1:$1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60" l="1"/>
  <c r="U20" i="60"/>
  <c r="U19" i="60"/>
  <c r="U18" i="60"/>
  <c r="U15" i="60"/>
  <c r="U11" i="60"/>
  <c r="D29" i="60"/>
  <c r="H60" i="43"/>
  <c r="D15" i="78"/>
  <c r="D15" i="77"/>
  <c r="D17" i="76"/>
  <c r="D17" i="75"/>
  <c r="D17" i="68"/>
  <c r="D17" i="67"/>
  <c r="D17" i="66"/>
  <c r="D17" i="65"/>
  <c r="D15" i="60"/>
  <c r="E20" i="13"/>
  <c r="F204" i="74" l="1"/>
  <c r="G204" i="74"/>
  <c r="H204" i="74"/>
  <c r="I204" i="74"/>
  <c r="J204" i="74"/>
  <c r="K204" i="74"/>
  <c r="L204" i="74"/>
  <c r="M204" i="74"/>
  <c r="N204" i="74"/>
  <c r="O204" i="74"/>
  <c r="P204" i="74"/>
  <c r="E204" i="74"/>
  <c r="F202" i="74"/>
  <c r="G202" i="74"/>
  <c r="H202" i="74"/>
  <c r="I202" i="74"/>
  <c r="J202" i="74"/>
  <c r="K202" i="74"/>
  <c r="L202" i="74"/>
  <c r="M202" i="74"/>
  <c r="N202" i="74"/>
  <c r="O202" i="74"/>
  <c r="P202" i="74"/>
  <c r="E202" i="74"/>
  <c r="E194" i="74"/>
  <c r="F194" i="74"/>
  <c r="G194" i="74"/>
  <c r="H194" i="74"/>
  <c r="I194" i="74"/>
  <c r="J194" i="74"/>
  <c r="K194" i="74"/>
  <c r="K203" i="74" s="1"/>
  <c r="L194" i="74"/>
  <c r="R194" i="74" s="1"/>
  <c r="M194" i="74"/>
  <c r="N194" i="74"/>
  <c r="O194" i="74"/>
  <c r="P194" i="74"/>
  <c r="E195" i="74"/>
  <c r="F195" i="74"/>
  <c r="F203" i="74" s="1"/>
  <c r="G195" i="74"/>
  <c r="Q195" i="74" s="1"/>
  <c r="H195" i="74"/>
  <c r="I195" i="74"/>
  <c r="J195" i="74"/>
  <c r="K195" i="74"/>
  <c r="L195" i="74"/>
  <c r="M195" i="74"/>
  <c r="N195" i="74"/>
  <c r="O195" i="74"/>
  <c r="O203" i="74" s="1"/>
  <c r="P195" i="74"/>
  <c r="E196" i="74"/>
  <c r="F196" i="74"/>
  <c r="G196" i="74"/>
  <c r="Q196" i="74" s="1"/>
  <c r="H196" i="74"/>
  <c r="I196" i="74"/>
  <c r="J196" i="74"/>
  <c r="K196" i="74"/>
  <c r="R196" i="74" s="1"/>
  <c r="L196" i="74"/>
  <c r="M196" i="74"/>
  <c r="N196" i="74"/>
  <c r="O196" i="74"/>
  <c r="P196" i="74"/>
  <c r="E197" i="74"/>
  <c r="F197" i="74"/>
  <c r="R197" i="74" s="1"/>
  <c r="G197" i="74"/>
  <c r="H197" i="74"/>
  <c r="I197" i="74"/>
  <c r="J197" i="74"/>
  <c r="K197" i="74"/>
  <c r="L197" i="74"/>
  <c r="M197" i="74"/>
  <c r="N197" i="74"/>
  <c r="O197" i="74"/>
  <c r="P197" i="74"/>
  <c r="E198" i="74"/>
  <c r="F198" i="74"/>
  <c r="G198" i="74"/>
  <c r="H198" i="74"/>
  <c r="I198" i="74"/>
  <c r="J198" i="74"/>
  <c r="K198" i="74"/>
  <c r="L198" i="74"/>
  <c r="R198" i="74" s="1"/>
  <c r="M198" i="74"/>
  <c r="N198" i="74"/>
  <c r="O198" i="74"/>
  <c r="P198" i="74"/>
  <c r="E199" i="74"/>
  <c r="F199" i="74"/>
  <c r="R199" i="74" s="1"/>
  <c r="G199" i="74"/>
  <c r="Q199" i="74" s="1"/>
  <c r="H199" i="74"/>
  <c r="I199" i="74"/>
  <c r="J199" i="74"/>
  <c r="K199" i="74"/>
  <c r="L199" i="74"/>
  <c r="M199" i="74"/>
  <c r="N199" i="74"/>
  <c r="O199" i="74"/>
  <c r="P199" i="74"/>
  <c r="E200" i="74"/>
  <c r="F200" i="74"/>
  <c r="G200" i="74"/>
  <c r="Q200" i="74" s="1"/>
  <c r="H200" i="74"/>
  <c r="I200" i="74"/>
  <c r="J200" i="74"/>
  <c r="K200" i="74"/>
  <c r="R200" i="74" s="1"/>
  <c r="L200" i="74"/>
  <c r="M200" i="74"/>
  <c r="N200" i="74"/>
  <c r="O200" i="74"/>
  <c r="P200" i="74"/>
  <c r="E201" i="74"/>
  <c r="F201" i="74"/>
  <c r="R201" i="74" s="1"/>
  <c r="G201" i="74"/>
  <c r="H201" i="74"/>
  <c r="I201" i="74"/>
  <c r="J201" i="74"/>
  <c r="K201" i="74"/>
  <c r="L201" i="74"/>
  <c r="M201" i="74"/>
  <c r="N201" i="74"/>
  <c r="O201" i="74"/>
  <c r="P201" i="74"/>
  <c r="F193" i="74"/>
  <c r="G193" i="74"/>
  <c r="H193" i="74"/>
  <c r="I193" i="74"/>
  <c r="J193" i="74"/>
  <c r="K193" i="74"/>
  <c r="L193" i="74"/>
  <c r="M193" i="74"/>
  <c r="N193" i="74"/>
  <c r="O193" i="74"/>
  <c r="P193" i="74"/>
  <c r="E193" i="74"/>
  <c r="N203" i="74"/>
  <c r="M203" i="74"/>
  <c r="I203" i="74"/>
  <c r="E203" i="74"/>
  <c r="Q198" i="74"/>
  <c r="Q194" i="74"/>
  <c r="F188" i="74"/>
  <c r="G188" i="74"/>
  <c r="H188" i="74"/>
  <c r="I188" i="74"/>
  <c r="J188" i="74"/>
  <c r="K188" i="74"/>
  <c r="L188" i="74"/>
  <c r="M188" i="74"/>
  <c r="N188" i="74"/>
  <c r="O188" i="74"/>
  <c r="P188" i="74"/>
  <c r="E188" i="74"/>
  <c r="F186" i="74"/>
  <c r="G186" i="74"/>
  <c r="H186" i="74"/>
  <c r="I186" i="74"/>
  <c r="J186" i="74"/>
  <c r="K186" i="74"/>
  <c r="L186" i="74"/>
  <c r="M186" i="74"/>
  <c r="N186" i="74"/>
  <c r="O186" i="74"/>
  <c r="P186" i="74"/>
  <c r="E186" i="74"/>
  <c r="F177" i="74"/>
  <c r="G177" i="74"/>
  <c r="H177" i="74"/>
  <c r="I177" i="74"/>
  <c r="J177" i="74"/>
  <c r="Q177" i="74" s="1"/>
  <c r="K177" i="74"/>
  <c r="L177" i="74"/>
  <c r="M177" i="74"/>
  <c r="N177" i="74"/>
  <c r="O177" i="74"/>
  <c r="P177" i="74"/>
  <c r="F178" i="74"/>
  <c r="G178" i="74"/>
  <c r="G187" i="74" s="1"/>
  <c r="H178" i="74"/>
  <c r="I178" i="74"/>
  <c r="J178" i="74"/>
  <c r="J187" i="74" s="1"/>
  <c r="K178" i="74"/>
  <c r="L178" i="74"/>
  <c r="M178" i="74"/>
  <c r="N178" i="74"/>
  <c r="O178" i="74"/>
  <c r="O187" i="74" s="1"/>
  <c r="P178" i="74"/>
  <c r="F179" i="74"/>
  <c r="F187" i="74" s="1"/>
  <c r="G179" i="74"/>
  <c r="Q179" i="74" s="1"/>
  <c r="H179" i="74"/>
  <c r="I179" i="74"/>
  <c r="J179" i="74"/>
  <c r="K179" i="74"/>
  <c r="L179" i="74"/>
  <c r="M179" i="74"/>
  <c r="N179" i="74"/>
  <c r="N187" i="74" s="1"/>
  <c r="O179" i="74"/>
  <c r="P179" i="74"/>
  <c r="F180" i="74"/>
  <c r="G180" i="74"/>
  <c r="H180" i="74"/>
  <c r="I180" i="74"/>
  <c r="R180" i="74" s="1"/>
  <c r="J180" i="74"/>
  <c r="K180" i="74"/>
  <c r="L180" i="74"/>
  <c r="L187" i="74" s="1"/>
  <c r="M180" i="74"/>
  <c r="N180" i="74"/>
  <c r="O180" i="74"/>
  <c r="P180" i="74"/>
  <c r="F181" i="74"/>
  <c r="Q181" i="74" s="1"/>
  <c r="G181" i="74"/>
  <c r="H181" i="74"/>
  <c r="H187" i="74" s="1"/>
  <c r="I181" i="74"/>
  <c r="J181" i="74"/>
  <c r="K181" i="74"/>
  <c r="L181" i="74"/>
  <c r="M181" i="74"/>
  <c r="N181" i="74"/>
  <c r="O181" i="74"/>
  <c r="P181" i="74"/>
  <c r="P187" i="74" s="1"/>
  <c r="F182" i="74"/>
  <c r="Q182" i="74" s="1"/>
  <c r="G182" i="74"/>
  <c r="H182" i="74"/>
  <c r="I182" i="74"/>
  <c r="J182" i="74"/>
  <c r="K182" i="74"/>
  <c r="L182" i="74"/>
  <c r="M182" i="74"/>
  <c r="N182" i="74"/>
  <c r="O182" i="74"/>
  <c r="P182" i="74"/>
  <c r="F183" i="74"/>
  <c r="G183" i="74"/>
  <c r="H183" i="74"/>
  <c r="I183" i="74"/>
  <c r="J183" i="74"/>
  <c r="K183" i="74"/>
  <c r="L183" i="74"/>
  <c r="M183" i="74"/>
  <c r="N183" i="74"/>
  <c r="O183" i="74"/>
  <c r="P183" i="74"/>
  <c r="F184" i="74"/>
  <c r="G184" i="74"/>
  <c r="H184" i="74"/>
  <c r="I184" i="74"/>
  <c r="J184" i="74"/>
  <c r="K184" i="74"/>
  <c r="L184" i="74"/>
  <c r="M184" i="74"/>
  <c r="N184" i="74"/>
  <c r="O184" i="74"/>
  <c r="P184" i="74"/>
  <c r="F185" i="74"/>
  <c r="G185" i="74"/>
  <c r="H185" i="74"/>
  <c r="I185" i="74"/>
  <c r="J185" i="74"/>
  <c r="K185" i="74"/>
  <c r="L185" i="74"/>
  <c r="M185" i="74"/>
  <c r="N185" i="74"/>
  <c r="O185" i="74"/>
  <c r="P185" i="74"/>
  <c r="R186" i="74"/>
  <c r="Q186" i="74"/>
  <c r="E178" i="74"/>
  <c r="E179" i="74"/>
  <c r="E180" i="74"/>
  <c r="E181" i="74"/>
  <c r="E182" i="74"/>
  <c r="E183" i="74"/>
  <c r="E184" i="74"/>
  <c r="E185" i="74"/>
  <c r="E177" i="74"/>
  <c r="I187" i="74"/>
  <c r="R181" i="74"/>
  <c r="R177" i="74"/>
  <c r="H54" i="43"/>
  <c r="H55" i="43" s="1"/>
  <c r="H53" i="43"/>
  <c r="H51" i="43"/>
  <c r="H49" i="43"/>
  <c r="H58" i="43" l="1"/>
  <c r="G203" i="74"/>
  <c r="P203" i="74"/>
  <c r="H203" i="74"/>
  <c r="R202" i="74"/>
  <c r="Q202" i="74"/>
  <c r="R195" i="74"/>
  <c r="J203" i="74"/>
  <c r="Q197" i="74"/>
  <c r="Q201" i="74"/>
  <c r="L203" i="74"/>
  <c r="Q193" i="74"/>
  <c r="R193" i="74"/>
  <c r="M187" i="74"/>
  <c r="K187" i="74"/>
  <c r="Q178" i="74"/>
  <c r="R178" i="74"/>
  <c r="R182" i="74"/>
  <c r="Q185" i="74"/>
  <c r="Q183" i="74"/>
  <c r="R179" i="74"/>
  <c r="Q180" i="74"/>
  <c r="Q187" i="74" s="1"/>
  <c r="R184" i="74"/>
  <c r="R185" i="74"/>
  <c r="R183" i="74"/>
  <c r="Q184" i="74"/>
  <c r="E187" i="74"/>
  <c r="H10" i="61"/>
  <c r="R203" i="74" l="1"/>
  <c r="Q203" i="74"/>
  <c r="R187" i="74"/>
  <c r="G16" i="61" l="1"/>
  <c r="G18" i="61"/>
  <c r="G12" i="61"/>
  <c r="H12" i="61" l="1"/>
  <c r="H30" i="61"/>
  <c r="H29" i="61"/>
  <c r="H28" i="61"/>
  <c r="H27" i="61"/>
  <c r="H26" i="61"/>
  <c r="H25" i="61"/>
  <c r="H24" i="61"/>
  <c r="H23" i="61"/>
  <c r="H22" i="61"/>
  <c r="H21" i="61"/>
  <c r="H20" i="61"/>
  <c r="H19" i="61"/>
  <c r="H18" i="61"/>
  <c r="H17" i="61"/>
  <c r="H16" i="61"/>
  <c r="H15" i="61"/>
  <c r="H14" i="61"/>
  <c r="H13" i="61"/>
  <c r="G30" i="61"/>
  <c r="G28" i="61"/>
  <c r="G24" i="61"/>
  <c r="G21" i="61"/>
  <c r="G14" i="61"/>
  <c r="G10" i="61"/>
  <c r="V9" i="61"/>
  <c r="B10" i="79"/>
  <c r="B11" i="79" s="1"/>
  <c r="B12" i="79" s="1"/>
  <c r="B13" i="79" s="1"/>
  <c r="B14" i="79" s="1"/>
  <c r="B15" i="79" s="1"/>
  <c r="B16" i="79" s="1"/>
  <c r="B17" i="79" s="1"/>
  <c r="B18" i="79" s="1"/>
  <c r="B19" i="79" s="1"/>
  <c r="B20" i="79" s="1"/>
  <c r="B21" i="79" s="1"/>
  <c r="B22" i="79" s="1"/>
  <c r="B23" i="79" s="1"/>
  <c r="B24" i="79" s="1"/>
  <c r="B25" i="79" s="1"/>
  <c r="B26" i="79" s="1"/>
  <c r="B27" i="79" s="1"/>
  <c r="B28" i="79" s="1"/>
  <c r="B29" i="79" s="1"/>
  <c r="B30" i="79" s="1"/>
  <c r="B31" i="79" s="1"/>
  <c r="B32" i="79" s="1"/>
  <c r="B33" i="79" s="1"/>
  <c r="B34" i="79" s="1"/>
  <c r="B35" i="79" s="1"/>
  <c r="B36" i="79" s="1"/>
  <c r="B37" i="79" s="1"/>
  <c r="B38" i="79" s="1"/>
  <c r="B9" i="79"/>
  <c r="U7" i="74" l="1"/>
  <c r="U8" i="74"/>
  <c r="U9" i="74"/>
  <c r="U10" i="74"/>
  <c r="U11" i="74"/>
  <c r="U12" i="74"/>
  <c r="U13" i="74"/>
  <c r="U14" i="74"/>
  <c r="U15" i="74"/>
  <c r="U6" i="74"/>
  <c r="AJ14" i="43" l="1"/>
  <c r="AN14" i="43" s="1"/>
  <c r="AK14" i="43"/>
  <c r="AL14" i="43"/>
  <c r="AM14" i="43"/>
  <c r="AJ15" i="43"/>
  <c r="AK15" i="43"/>
  <c r="AN15" i="43" s="1"/>
  <c r="AL15" i="43"/>
  <c r="AM15" i="43"/>
  <c r="AJ16" i="43"/>
  <c r="AN16" i="43" s="1"/>
  <c r="AK16" i="43"/>
  <c r="AL16" i="43"/>
  <c r="AM16" i="43"/>
  <c r="AJ17" i="43"/>
  <c r="AK17" i="43"/>
  <c r="AN17" i="43" s="1"/>
  <c r="AL17" i="43"/>
  <c r="AM17" i="43"/>
  <c r="AJ18" i="43"/>
  <c r="AN18" i="43" s="1"/>
  <c r="AK18" i="43"/>
  <c r="AL18" i="43"/>
  <c r="AM18" i="43"/>
  <c r="AJ19" i="43"/>
  <c r="AN19" i="43" s="1"/>
  <c r="AK19" i="43"/>
  <c r="AL19" i="43"/>
  <c r="AM19" i="43"/>
  <c r="AJ20" i="43"/>
  <c r="AK20" i="43"/>
  <c r="AL20" i="43"/>
  <c r="AM20" i="43"/>
  <c r="AJ21" i="43"/>
  <c r="AN21" i="43" s="1"/>
  <c r="AK21" i="43"/>
  <c r="AL21" i="43"/>
  <c r="AM21" i="43"/>
  <c r="AJ22" i="43"/>
  <c r="AK22" i="43"/>
  <c r="AL22" i="43"/>
  <c r="AM22" i="43"/>
  <c r="AJ23" i="43"/>
  <c r="AK23" i="43"/>
  <c r="AL23" i="43"/>
  <c r="AM23" i="43"/>
  <c r="AJ24" i="43"/>
  <c r="AK24" i="43"/>
  <c r="AL24" i="43"/>
  <c r="AM24" i="43"/>
  <c r="AJ25" i="43"/>
  <c r="AK25" i="43"/>
  <c r="AL25" i="43"/>
  <c r="AM25" i="43"/>
  <c r="AJ26" i="43"/>
  <c r="AK26" i="43"/>
  <c r="AL26" i="43"/>
  <c r="AM26" i="43"/>
  <c r="AN26" i="43"/>
  <c r="AJ27" i="43"/>
  <c r="AK27" i="43"/>
  <c r="AL27" i="43"/>
  <c r="AM27" i="43"/>
  <c r="AJ28" i="43"/>
  <c r="AK28" i="43"/>
  <c r="AL28" i="43"/>
  <c r="AM28" i="43"/>
  <c r="AJ29" i="43"/>
  <c r="AK29" i="43"/>
  <c r="AL29" i="43"/>
  <c r="AM29" i="43"/>
  <c r="AJ30" i="43"/>
  <c r="AK30" i="43"/>
  <c r="AL30" i="43"/>
  <c r="AM30" i="43"/>
  <c r="AJ31" i="43"/>
  <c r="AK31" i="43"/>
  <c r="AL31" i="43"/>
  <c r="AM31" i="43"/>
  <c r="AJ32" i="43"/>
  <c r="AK32" i="43"/>
  <c r="AL32" i="43"/>
  <c r="AM32" i="43"/>
  <c r="AJ33" i="43"/>
  <c r="AK33" i="43"/>
  <c r="AL33" i="43"/>
  <c r="AM33" i="43"/>
  <c r="AJ34" i="43"/>
  <c r="AN34" i="43" s="1"/>
  <c r="AK34" i="43"/>
  <c r="AL34" i="43"/>
  <c r="AM34" i="43"/>
  <c r="AJ35" i="43"/>
  <c r="AK35" i="43"/>
  <c r="AN35" i="43" s="1"/>
  <c r="AL35" i="43"/>
  <c r="AM35" i="43"/>
  <c r="AJ36" i="43"/>
  <c r="AK36" i="43"/>
  <c r="AL36" i="43"/>
  <c r="AN36" i="43" s="1"/>
  <c r="AM36" i="43"/>
  <c r="AJ37" i="43"/>
  <c r="AK37" i="43"/>
  <c r="AL37" i="43"/>
  <c r="AM37" i="43"/>
  <c r="AJ38" i="43"/>
  <c r="AK38" i="43"/>
  <c r="AL38" i="43"/>
  <c r="AM38" i="43"/>
  <c r="AJ39" i="43"/>
  <c r="AK39" i="43"/>
  <c r="AL39" i="43"/>
  <c r="AM39" i="43"/>
  <c r="AJ40" i="43"/>
  <c r="AK40" i="43"/>
  <c r="AL40" i="43"/>
  <c r="AM40" i="43"/>
  <c r="AJ41" i="43"/>
  <c r="AK41" i="43"/>
  <c r="AN41" i="43" s="1"/>
  <c r="AL41" i="43"/>
  <c r="AM41" i="43"/>
  <c r="AJ42" i="43"/>
  <c r="AK42" i="43"/>
  <c r="AN42" i="43" s="1"/>
  <c r="AL42" i="43"/>
  <c r="AM42" i="43"/>
  <c r="AJ43" i="43"/>
  <c r="AK43" i="43"/>
  <c r="AL43" i="43"/>
  <c r="AM43" i="43"/>
  <c r="AJ44" i="43"/>
  <c r="AK44" i="43"/>
  <c r="AN44" i="43" s="1"/>
  <c r="AL44" i="43"/>
  <c r="AM44" i="43"/>
  <c r="AK13" i="43"/>
  <c r="AK47" i="43" s="1"/>
  <c r="AK49" i="43" s="1"/>
  <c r="AL13" i="43"/>
  <c r="AL47" i="43" s="1"/>
  <c r="AL49" i="43" s="1"/>
  <c r="AM13" i="43"/>
  <c r="AM47" i="43" s="1"/>
  <c r="AM49" i="43" s="1"/>
  <c r="AJ13" i="43"/>
  <c r="AJ47" i="43" s="1"/>
  <c r="AJ49" i="43" s="1"/>
  <c r="Y47" i="43"/>
  <c r="Y49" i="43" s="1"/>
  <c r="Z47" i="43"/>
  <c r="Z49" i="43" s="1"/>
  <c r="AA47" i="43"/>
  <c r="AA49" i="43" s="1"/>
  <c r="AB47" i="43"/>
  <c r="AB49" i="43"/>
  <c r="AC14" i="43"/>
  <c r="AD14" i="43"/>
  <c r="AE14" i="43"/>
  <c r="AF14" i="43"/>
  <c r="AC15" i="43"/>
  <c r="AD15" i="43"/>
  <c r="AE15" i="43"/>
  <c r="AF15" i="43"/>
  <c r="AC16" i="43"/>
  <c r="AD16" i="43"/>
  <c r="AE16" i="43"/>
  <c r="AF16" i="43"/>
  <c r="AC17" i="43"/>
  <c r="AD17" i="43"/>
  <c r="AE17" i="43"/>
  <c r="AF17" i="43"/>
  <c r="AC18" i="43"/>
  <c r="AD18" i="43"/>
  <c r="AG18" i="43" s="1"/>
  <c r="AE18" i="43"/>
  <c r="AF18" i="43"/>
  <c r="AC19" i="43"/>
  <c r="AG19" i="43" s="1"/>
  <c r="AD19" i="43"/>
  <c r="AE19" i="43"/>
  <c r="AF19" i="43"/>
  <c r="AC20" i="43"/>
  <c r="AG20" i="43" s="1"/>
  <c r="AD20" i="43"/>
  <c r="AE20" i="43"/>
  <c r="AF20" i="43"/>
  <c r="AC21" i="43"/>
  <c r="AD21" i="43"/>
  <c r="AE21" i="43"/>
  <c r="AF21" i="43"/>
  <c r="AC22" i="43"/>
  <c r="AD22" i="43"/>
  <c r="AE22" i="43"/>
  <c r="AF22" i="43"/>
  <c r="AC23" i="43"/>
  <c r="AD23" i="43"/>
  <c r="AE23" i="43"/>
  <c r="AF23" i="43"/>
  <c r="AC24" i="43"/>
  <c r="AD24" i="43"/>
  <c r="AG24" i="43" s="1"/>
  <c r="AE24" i="43"/>
  <c r="AF24" i="43"/>
  <c r="AC25" i="43"/>
  <c r="AD25" i="43"/>
  <c r="AE25" i="43"/>
  <c r="AF25" i="43"/>
  <c r="AC26" i="43"/>
  <c r="AD26" i="43"/>
  <c r="AG26" i="43" s="1"/>
  <c r="AE26" i="43"/>
  <c r="AF26" i="43"/>
  <c r="AC27" i="43"/>
  <c r="AG27" i="43" s="1"/>
  <c r="AD27" i="43"/>
  <c r="AE27" i="43"/>
  <c r="AF27" i="43"/>
  <c r="AC28" i="43"/>
  <c r="AD28" i="43"/>
  <c r="AE28" i="43"/>
  <c r="AF28" i="43"/>
  <c r="AC29" i="43"/>
  <c r="AD29" i="43"/>
  <c r="AE29" i="43"/>
  <c r="AF29" i="43"/>
  <c r="AC30" i="43"/>
  <c r="AD30" i="43"/>
  <c r="AE30" i="43"/>
  <c r="AF30" i="43"/>
  <c r="AC31" i="43"/>
  <c r="AD31" i="43"/>
  <c r="AE31" i="43"/>
  <c r="AF31" i="43"/>
  <c r="AC32" i="43"/>
  <c r="AD32" i="43"/>
  <c r="AG32" i="43" s="1"/>
  <c r="AE32" i="43"/>
  <c r="AF32" i="43"/>
  <c r="AC33" i="43"/>
  <c r="AD33" i="43"/>
  <c r="AE33" i="43"/>
  <c r="AF33" i="43"/>
  <c r="AC34" i="43"/>
  <c r="AD34" i="43"/>
  <c r="AG34" i="43" s="1"/>
  <c r="AE34" i="43"/>
  <c r="AF34" i="43"/>
  <c r="AC35" i="43"/>
  <c r="AG35" i="43" s="1"/>
  <c r="AD35" i="43"/>
  <c r="AE35" i="43"/>
  <c r="AF35" i="43"/>
  <c r="AC36" i="43"/>
  <c r="AD36" i="43"/>
  <c r="AE36" i="43"/>
  <c r="AF36" i="43"/>
  <c r="AC37" i="43"/>
  <c r="AD37" i="43"/>
  <c r="AE37" i="43"/>
  <c r="AF37" i="43"/>
  <c r="AC38" i="43"/>
  <c r="AD38" i="43"/>
  <c r="AE38" i="43"/>
  <c r="AF38" i="43"/>
  <c r="AC39" i="43"/>
  <c r="AD39" i="43"/>
  <c r="AE39" i="43"/>
  <c r="AF39" i="43"/>
  <c r="AC40" i="43"/>
  <c r="AD40" i="43"/>
  <c r="AG40" i="43" s="1"/>
  <c r="AE40" i="43"/>
  <c r="AF40" i="43"/>
  <c r="AC41" i="43"/>
  <c r="AD41" i="43"/>
  <c r="AE41" i="43"/>
  <c r="AF41" i="43"/>
  <c r="AC42" i="43"/>
  <c r="AD42" i="43"/>
  <c r="AG42" i="43" s="1"/>
  <c r="AE42" i="43"/>
  <c r="AF42" i="43"/>
  <c r="AC43" i="43"/>
  <c r="AG43" i="43" s="1"/>
  <c r="AD43" i="43"/>
  <c r="AE43" i="43"/>
  <c r="AF43" i="43"/>
  <c r="AC44" i="43"/>
  <c r="AG44" i="43" s="1"/>
  <c r="AD44" i="43"/>
  <c r="AE44" i="43"/>
  <c r="AF44" i="43"/>
  <c r="AF13" i="43"/>
  <c r="AE13" i="43"/>
  <c r="AD13" i="43"/>
  <c r="AC13" i="43"/>
  <c r="AG36" i="43"/>
  <c r="X14" i="43"/>
  <c r="X15" i="43"/>
  <c r="X16" i="43"/>
  <c r="X17" i="43"/>
  <c r="X18" i="43"/>
  <c r="X19" i="43"/>
  <c r="X20" i="43"/>
  <c r="X21" i="43"/>
  <c r="X22" i="43"/>
  <c r="X23" i="43"/>
  <c r="X24" i="43"/>
  <c r="X25" i="43"/>
  <c r="X26" i="43"/>
  <c r="X27" i="43"/>
  <c r="X28" i="43"/>
  <c r="X29" i="43"/>
  <c r="X30" i="43"/>
  <c r="X31" i="43"/>
  <c r="X32" i="43"/>
  <c r="X34" i="43"/>
  <c r="X35" i="43"/>
  <c r="X36" i="43"/>
  <c r="X37" i="43"/>
  <c r="X38" i="43"/>
  <c r="X39" i="43"/>
  <c r="X40" i="43"/>
  <c r="X41" i="43"/>
  <c r="X13" i="43"/>
  <c r="AN39" i="43" l="1"/>
  <c r="AN27" i="43"/>
  <c r="AG16" i="43"/>
  <c r="AN33" i="43"/>
  <c r="AN31" i="43"/>
  <c r="AN25" i="43"/>
  <c r="AN23" i="43"/>
  <c r="AN28" i="43"/>
  <c r="AN40" i="43"/>
  <c r="AN38" i="43"/>
  <c r="AN20" i="43"/>
  <c r="AG28" i="43"/>
  <c r="AG22" i="43"/>
  <c r="AG39" i="43"/>
  <c r="AG31" i="43"/>
  <c r="AG23" i="43"/>
  <c r="AG15" i="43"/>
  <c r="AN37" i="43"/>
  <c r="AN32" i="43"/>
  <c r="AN30" i="43"/>
  <c r="AG38" i="43"/>
  <c r="AG30" i="43"/>
  <c r="AG41" i="43"/>
  <c r="AG37" i="43"/>
  <c r="AG33" i="43"/>
  <c r="AG29" i="43"/>
  <c r="AG25" i="43"/>
  <c r="AG21" i="43"/>
  <c r="AG17" i="43"/>
  <c r="AN13" i="43"/>
  <c r="AN43" i="43"/>
  <c r="AN29" i="43"/>
  <c r="AN24" i="43"/>
  <c r="AN22" i="43"/>
  <c r="AC47" i="43"/>
  <c r="AC49" i="43" s="1"/>
  <c r="AF47" i="43"/>
  <c r="AF49" i="43" s="1"/>
  <c r="AE47" i="43"/>
  <c r="AE49" i="43" s="1"/>
  <c r="AG14" i="43"/>
  <c r="AD47" i="43"/>
  <c r="AD49" i="43" s="1"/>
  <c r="AG13" i="43"/>
  <c r="AN47" i="43" l="1"/>
  <c r="AN49" i="43" s="1"/>
  <c r="AG47" i="43"/>
  <c r="AG49" i="43" s="1"/>
  <c r="E86" i="74" l="1"/>
  <c r="A1" i="73" l="1"/>
  <c r="E60" i="70"/>
  <c r="F8" i="70"/>
  <c r="F9" i="70"/>
  <c r="C9" i="79"/>
  <c r="I7" i="79"/>
  <c r="H7" i="79"/>
  <c r="A1" i="79"/>
  <c r="H11" i="79" l="1"/>
  <c r="H39" i="79"/>
  <c r="I9" i="79"/>
  <c r="C10" i="79"/>
  <c r="C11" i="79" s="1"/>
  <c r="C12" i="79" s="1"/>
  <c r="C13" i="79" s="1"/>
  <c r="C14" i="79" s="1"/>
  <c r="C15" i="79" s="1"/>
  <c r="C16" i="79" s="1"/>
  <c r="C17" i="79" s="1"/>
  <c r="C18" i="79" s="1"/>
  <c r="C19" i="79" s="1"/>
  <c r="C20" i="79" s="1"/>
  <c r="C21" i="79" s="1"/>
  <c r="C22" i="79" s="1"/>
  <c r="C23" i="79" s="1"/>
  <c r="C24" i="79" s="1"/>
  <c r="C25" i="79" s="1"/>
  <c r="C26" i="79" s="1"/>
  <c r="C27" i="79" s="1"/>
  <c r="C28" i="79" s="1"/>
  <c r="C29" i="79" s="1"/>
  <c r="C30" i="79" s="1"/>
  <c r="C31" i="79" s="1"/>
  <c r="C32" i="79" s="1"/>
  <c r="C33" i="79" s="1"/>
  <c r="C34" i="79" s="1"/>
  <c r="C35" i="79" s="1"/>
  <c r="C36" i="79" s="1"/>
  <c r="C37" i="79" s="1"/>
  <c r="C38" i="79" s="1"/>
  <c r="H9" i="79"/>
  <c r="H8" i="79"/>
  <c r="I14" i="79"/>
  <c r="H10" i="79"/>
  <c r="H12" i="79"/>
  <c r="I18" i="79"/>
  <c r="H38" i="79"/>
  <c r="H34" i="79"/>
  <c r="H30" i="79"/>
  <c r="H26" i="79"/>
  <c r="H22" i="79"/>
  <c r="H18" i="79"/>
  <c r="H14" i="79"/>
  <c r="H37" i="79"/>
  <c r="H33" i="79"/>
  <c r="H29" i="79"/>
  <c r="H25" i="79"/>
  <c r="H21" i="79"/>
  <c r="H17" i="79"/>
  <c r="H13" i="79"/>
  <c r="H36" i="79"/>
  <c r="H32" i="79"/>
  <c r="H28" i="79"/>
  <c r="H16" i="79"/>
  <c r="H24" i="79"/>
  <c r="H27" i="79"/>
  <c r="H35" i="79"/>
  <c r="I13" i="79"/>
  <c r="I8" i="79"/>
  <c r="H19" i="79"/>
  <c r="H20" i="79"/>
  <c r="H31" i="79"/>
  <c r="H15" i="79"/>
  <c r="H23" i="79"/>
  <c r="I15" i="79" l="1"/>
  <c r="I16" i="79"/>
  <c r="I11" i="79"/>
  <c r="I10" i="79"/>
  <c r="I17" i="79"/>
  <c r="I12" i="79"/>
  <c r="I19" i="79" l="1"/>
  <c r="I20" i="79" l="1"/>
  <c r="I21" i="79" l="1"/>
  <c r="I22" i="79" l="1"/>
  <c r="I23" i="79" l="1"/>
  <c r="I24" i="79" l="1"/>
  <c r="I25" i="79" l="1"/>
  <c r="I26" i="79" l="1"/>
  <c r="I27" i="79" l="1"/>
  <c r="I28" i="79" l="1"/>
  <c r="I29" i="79" l="1"/>
  <c r="I30" i="79" l="1"/>
  <c r="I31" i="79" l="1"/>
  <c r="I32" i="79" l="1"/>
  <c r="I33" i="79" l="1"/>
  <c r="I34" i="79" l="1"/>
  <c r="I35" i="79" l="1"/>
  <c r="I36" i="79" l="1"/>
  <c r="I37" i="79" l="1"/>
  <c r="I38" i="79" l="1"/>
  <c r="G22" i="67" l="1"/>
  <c r="J22" i="67" s="1"/>
  <c r="S22" i="67" s="1"/>
  <c r="T22" i="67" s="1"/>
  <c r="G22" i="65"/>
  <c r="U66" i="43"/>
  <c r="Q31" i="61" s="1"/>
  <c r="E59" i="70" s="1"/>
  <c r="P172" i="74"/>
  <c r="O172" i="74"/>
  <c r="N172" i="74"/>
  <c r="M172" i="74"/>
  <c r="L172" i="74"/>
  <c r="K172" i="74"/>
  <c r="J172" i="74"/>
  <c r="I172" i="74"/>
  <c r="H172" i="74"/>
  <c r="G172" i="74"/>
  <c r="F172" i="74"/>
  <c r="E172" i="74"/>
  <c r="R171" i="74"/>
  <c r="Q171" i="74"/>
  <c r="R170" i="74"/>
  <c r="Q170" i="74"/>
  <c r="R169" i="74"/>
  <c r="Q169" i="74"/>
  <c r="R168" i="74"/>
  <c r="Q168" i="74"/>
  <c r="R167" i="74"/>
  <c r="Q167" i="74"/>
  <c r="R166" i="74"/>
  <c r="Q166" i="74"/>
  <c r="Q165" i="74"/>
  <c r="R164" i="74"/>
  <c r="Q164" i="74"/>
  <c r="Q163" i="74"/>
  <c r="R162" i="74"/>
  <c r="Q162" i="74"/>
  <c r="P157" i="74"/>
  <c r="O157" i="74"/>
  <c r="N157" i="74"/>
  <c r="M157" i="74"/>
  <c r="L157" i="74"/>
  <c r="K157" i="74"/>
  <c r="J157" i="74"/>
  <c r="I157" i="74"/>
  <c r="H157" i="74"/>
  <c r="G157" i="74"/>
  <c r="F157" i="74"/>
  <c r="E157" i="74"/>
  <c r="Q156" i="74"/>
  <c r="Q155" i="74"/>
  <c r="R154" i="74"/>
  <c r="Q154" i="74"/>
  <c r="Q153" i="74"/>
  <c r="Q152" i="74"/>
  <c r="R151" i="74"/>
  <c r="Q151" i="74"/>
  <c r="Q150" i="74"/>
  <c r="R149" i="74"/>
  <c r="Q149" i="74"/>
  <c r="Q148" i="74"/>
  <c r="R147" i="74"/>
  <c r="Q147" i="74"/>
  <c r="P142" i="74"/>
  <c r="P95" i="74" s="1"/>
  <c r="O142" i="74"/>
  <c r="O95" i="74" s="1"/>
  <c r="N142" i="74"/>
  <c r="M142" i="74"/>
  <c r="M95" i="74" s="1"/>
  <c r="L142" i="74"/>
  <c r="L95" i="74" s="1"/>
  <c r="K142" i="74"/>
  <c r="K95" i="74" s="1"/>
  <c r="J142" i="74"/>
  <c r="J95" i="74" s="1"/>
  <c r="I142" i="74"/>
  <c r="I95" i="74" s="1"/>
  <c r="H142" i="74"/>
  <c r="H95" i="74" s="1"/>
  <c r="G142" i="74"/>
  <c r="G95" i="74" s="1"/>
  <c r="F142" i="74"/>
  <c r="F95" i="74" s="1"/>
  <c r="E142" i="74"/>
  <c r="E95" i="74" s="1"/>
  <c r="Q141" i="74"/>
  <c r="Q140" i="74"/>
  <c r="R139" i="74"/>
  <c r="Q139" i="74"/>
  <c r="Q138" i="74"/>
  <c r="Q137" i="74"/>
  <c r="R136" i="74"/>
  <c r="Q136" i="74"/>
  <c r="Q135" i="74"/>
  <c r="R134" i="74"/>
  <c r="Q134" i="74"/>
  <c r="Q133" i="74"/>
  <c r="R132" i="74"/>
  <c r="Q132" i="74"/>
  <c r="P127" i="74"/>
  <c r="O127" i="74"/>
  <c r="N127" i="74"/>
  <c r="M127" i="74"/>
  <c r="L127" i="74"/>
  <c r="K127" i="74"/>
  <c r="J127" i="74"/>
  <c r="I127" i="74"/>
  <c r="H127" i="74"/>
  <c r="G127" i="74"/>
  <c r="F127" i="74"/>
  <c r="E127" i="74"/>
  <c r="R126" i="74"/>
  <c r="Q126" i="74"/>
  <c r="R125" i="74"/>
  <c r="Q125" i="74"/>
  <c r="R124" i="74"/>
  <c r="Q124" i="74"/>
  <c r="R123" i="74"/>
  <c r="Q123" i="74"/>
  <c r="R122" i="74"/>
  <c r="Q122" i="74"/>
  <c r="R121" i="74"/>
  <c r="Q121" i="74"/>
  <c r="R120" i="74"/>
  <c r="Q120" i="74"/>
  <c r="R119" i="74"/>
  <c r="Q119" i="74"/>
  <c r="R118" i="74"/>
  <c r="Q118" i="74"/>
  <c r="R117" i="74"/>
  <c r="Q117" i="74"/>
  <c r="P111" i="74"/>
  <c r="O111" i="74"/>
  <c r="N111" i="74"/>
  <c r="M111" i="74"/>
  <c r="L111" i="74"/>
  <c r="K111" i="74"/>
  <c r="J111" i="74"/>
  <c r="I111" i="74"/>
  <c r="H111" i="74"/>
  <c r="G111" i="74"/>
  <c r="F111" i="74"/>
  <c r="E111" i="74"/>
  <c r="R110" i="74"/>
  <c r="Q110" i="74"/>
  <c r="R109" i="74"/>
  <c r="Q109" i="74"/>
  <c r="R108" i="74"/>
  <c r="Q108" i="74"/>
  <c r="R107" i="74"/>
  <c r="Q107" i="74"/>
  <c r="R106" i="74"/>
  <c r="Q106" i="74"/>
  <c r="R105" i="74"/>
  <c r="Q105" i="74"/>
  <c r="R104" i="74"/>
  <c r="Q104" i="74"/>
  <c r="R103" i="74"/>
  <c r="Q103" i="74"/>
  <c r="R102" i="74"/>
  <c r="Q102" i="74"/>
  <c r="R101" i="74"/>
  <c r="Q101" i="74"/>
  <c r="N95" i="74"/>
  <c r="P94" i="74"/>
  <c r="O94" i="74"/>
  <c r="N94" i="74"/>
  <c r="M94" i="74"/>
  <c r="L94" i="74"/>
  <c r="K94" i="74"/>
  <c r="J94" i="74"/>
  <c r="I94" i="74"/>
  <c r="H94" i="74"/>
  <c r="G94" i="74"/>
  <c r="F94" i="74"/>
  <c r="E94" i="74"/>
  <c r="P93" i="74"/>
  <c r="O93" i="74"/>
  <c r="N93" i="74"/>
  <c r="M93" i="74"/>
  <c r="L93" i="74"/>
  <c r="K93" i="74"/>
  <c r="J93" i="74"/>
  <c r="I93" i="74"/>
  <c r="H93" i="74"/>
  <c r="G93" i="74"/>
  <c r="F93" i="74"/>
  <c r="E93" i="74"/>
  <c r="P92" i="74"/>
  <c r="O92" i="74"/>
  <c r="N92" i="74"/>
  <c r="M92" i="74"/>
  <c r="L92" i="74"/>
  <c r="K92" i="74"/>
  <c r="J92" i="74"/>
  <c r="I92" i="74"/>
  <c r="H92" i="74"/>
  <c r="G92" i="74"/>
  <c r="F92" i="74"/>
  <c r="E92" i="74"/>
  <c r="P91" i="74"/>
  <c r="O91" i="74"/>
  <c r="N91" i="74"/>
  <c r="M91" i="74"/>
  <c r="L91" i="74"/>
  <c r="K91" i="74"/>
  <c r="J91" i="74"/>
  <c r="I91" i="74"/>
  <c r="H91" i="74"/>
  <c r="G91" i="74"/>
  <c r="F91" i="74"/>
  <c r="E91" i="74"/>
  <c r="P90" i="74"/>
  <c r="O90" i="74"/>
  <c r="N90" i="74"/>
  <c r="M90" i="74"/>
  <c r="L90" i="74"/>
  <c r="K90" i="74"/>
  <c r="J90" i="74"/>
  <c r="I90" i="74"/>
  <c r="H90" i="74"/>
  <c r="G90" i="74"/>
  <c r="F90" i="74"/>
  <c r="E90" i="74"/>
  <c r="P89" i="74"/>
  <c r="O89" i="74"/>
  <c r="N89" i="74"/>
  <c r="M89" i="74"/>
  <c r="L89" i="74"/>
  <c r="K89" i="74"/>
  <c r="J89" i="74"/>
  <c r="I89" i="74"/>
  <c r="H89" i="74"/>
  <c r="G89" i="74"/>
  <c r="F89" i="74"/>
  <c r="E89" i="74"/>
  <c r="P88" i="74"/>
  <c r="O88" i="74"/>
  <c r="N88" i="74"/>
  <c r="M88" i="74"/>
  <c r="L88" i="74"/>
  <c r="K88" i="74"/>
  <c r="J88" i="74"/>
  <c r="I88" i="74"/>
  <c r="H88" i="74"/>
  <c r="G88" i="74"/>
  <c r="F88" i="74"/>
  <c r="E88" i="74"/>
  <c r="P87" i="74"/>
  <c r="O87" i="74"/>
  <c r="N87" i="74"/>
  <c r="M87" i="74"/>
  <c r="L87" i="74"/>
  <c r="K87" i="74"/>
  <c r="J87" i="74"/>
  <c r="I87" i="74"/>
  <c r="H87" i="74"/>
  <c r="G87" i="74"/>
  <c r="F87" i="74"/>
  <c r="E87" i="74"/>
  <c r="P86" i="74"/>
  <c r="O86" i="74"/>
  <c r="N86" i="74"/>
  <c r="M86" i="74"/>
  <c r="L86" i="74"/>
  <c r="K86" i="74"/>
  <c r="J86" i="74"/>
  <c r="I86" i="74"/>
  <c r="H86" i="74"/>
  <c r="G86" i="74"/>
  <c r="F86" i="74"/>
  <c r="P82" i="74"/>
  <c r="O82" i="74"/>
  <c r="N82" i="74"/>
  <c r="M82" i="74"/>
  <c r="L82" i="74"/>
  <c r="K82" i="74"/>
  <c r="J82" i="74"/>
  <c r="I82" i="74"/>
  <c r="H82" i="74"/>
  <c r="G82" i="74"/>
  <c r="F82" i="74"/>
  <c r="E82" i="74"/>
  <c r="R81" i="74"/>
  <c r="Q81" i="74"/>
  <c r="R80" i="74"/>
  <c r="Q80" i="74"/>
  <c r="R79" i="74"/>
  <c r="Q79" i="74"/>
  <c r="R78" i="74"/>
  <c r="Q78" i="74"/>
  <c r="R77" i="74"/>
  <c r="R76" i="74"/>
  <c r="Q76" i="74"/>
  <c r="R75" i="74"/>
  <c r="Q75" i="74"/>
  <c r="R74" i="74"/>
  <c r="Q74" i="74"/>
  <c r="R73" i="74"/>
  <c r="Q73" i="74"/>
  <c r="R72" i="74"/>
  <c r="P68" i="74"/>
  <c r="O68" i="74"/>
  <c r="N68" i="74"/>
  <c r="M68" i="74"/>
  <c r="L68" i="74"/>
  <c r="K68" i="74"/>
  <c r="J68" i="74"/>
  <c r="I68" i="74"/>
  <c r="H68" i="74"/>
  <c r="G68" i="74"/>
  <c r="F68" i="74"/>
  <c r="E68" i="74"/>
  <c r="R67" i="74"/>
  <c r="Q67" i="74"/>
  <c r="R66" i="74"/>
  <c r="Q66" i="74"/>
  <c r="R65" i="74"/>
  <c r="Q65" i="74"/>
  <c r="R64" i="74"/>
  <c r="Q64" i="74"/>
  <c r="R63" i="74"/>
  <c r="Q63" i="74"/>
  <c r="R62" i="74"/>
  <c r="Q62" i="74"/>
  <c r="R61" i="74"/>
  <c r="Q61" i="74"/>
  <c r="R60" i="74"/>
  <c r="Q60" i="74"/>
  <c r="R59" i="74"/>
  <c r="Q59" i="74"/>
  <c r="R58" i="74"/>
  <c r="Q58" i="74"/>
  <c r="P53" i="74"/>
  <c r="O53" i="74"/>
  <c r="N53" i="74"/>
  <c r="M53" i="74"/>
  <c r="L53" i="74"/>
  <c r="K53" i="74"/>
  <c r="J53" i="74"/>
  <c r="I53" i="74"/>
  <c r="H53" i="74"/>
  <c r="G53" i="74"/>
  <c r="F53" i="74"/>
  <c r="E53" i="74"/>
  <c r="R52" i="74"/>
  <c r="Q52" i="74"/>
  <c r="R51" i="74"/>
  <c r="Q51" i="74"/>
  <c r="R50" i="74"/>
  <c r="Q50" i="74"/>
  <c r="P46" i="74"/>
  <c r="O46" i="74"/>
  <c r="N46" i="74"/>
  <c r="M46" i="74"/>
  <c r="L46" i="74"/>
  <c r="K46" i="74"/>
  <c r="J46" i="74"/>
  <c r="I46" i="74"/>
  <c r="H46" i="74"/>
  <c r="G46" i="74"/>
  <c r="F46" i="74"/>
  <c r="E46" i="74"/>
  <c r="R45" i="74"/>
  <c r="Q45" i="74"/>
  <c r="R44" i="74"/>
  <c r="Q44" i="74"/>
  <c r="R43" i="74"/>
  <c r="Q43" i="74"/>
  <c r="P39" i="74"/>
  <c r="O39" i="74"/>
  <c r="N39" i="74"/>
  <c r="M39" i="74"/>
  <c r="L39" i="74"/>
  <c r="K39" i="74"/>
  <c r="J39" i="74"/>
  <c r="I39" i="74"/>
  <c r="H39" i="74"/>
  <c r="G39" i="74"/>
  <c r="F39" i="74"/>
  <c r="E39" i="74"/>
  <c r="R38" i="74"/>
  <c r="Q38" i="74"/>
  <c r="R37" i="74"/>
  <c r="Q37" i="74"/>
  <c r="R36" i="74"/>
  <c r="Q36" i="74"/>
  <c r="R30" i="74"/>
  <c r="R29" i="74"/>
  <c r="Q29" i="74"/>
  <c r="Q28" i="74"/>
  <c r="R27" i="74"/>
  <c r="Q27" i="74"/>
  <c r="R26" i="74"/>
  <c r="R25" i="74"/>
  <c r="Q25" i="74"/>
  <c r="R24" i="74"/>
  <c r="R23" i="74"/>
  <c r="Q23" i="74"/>
  <c r="Q22" i="74"/>
  <c r="P31" i="74"/>
  <c r="O31" i="74"/>
  <c r="N31" i="74"/>
  <c r="M31" i="74"/>
  <c r="L31" i="74"/>
  <c r="K31" i="74"/>
  <c r="J31" i="74"/>
  <c r="I31" i="74"/>
  <c r="H31" i="74"/>
  <c r="G31" i="74"/>
  <c r="F31" i="74"/>
  <c r="E31" i="74"/>
  <c r="P16" i="74"/>
  <c r="P17" i="74" s="1"/>
  <c r="O16" i="74"/>
  <c r="O17" i="74" s="1"/>
  <c r="N16" i="74"/>
  <c r="N17" i="74" s="1"/>
  <c r="M16" i="74"/>
  <c r="M17" i="74" s="1"/>
  <c r="L16" i="74"/>
  <c r="L17" i="74" s="1"/>
  <c r="K16" i="74"/>
  <c r="K17" i="74" s="1"/>
  <c r="J16" i="74"/>
  <c r="J17" i="74" s="1"/>
  <c r="I16" i="74"/>
  <c r="I17" i="74" s="1"/>
  <c r="H16" i="74"/>
  <c r="H17" i="74" s="1"/>
  <c r="G16" i="74"/>
  <c r="G17" i="74" s="1"/>
  <c r="F16" i="74"/>
  <c r="F17" i="74" s="1"/>
  <c r="E16" i="74"/>
  <c r="E17" i="74" s="1"/>
  <c r="Q15" i="74"/>
  <c r="R14" i="74"/>
  <c r="Q14" i="74"/>
  <c r="R13" i="74"/>
  <c r="Q13" i="74"/>
  <c r="R12" i="74"/>
  <c r="Q12" i="74"/>
  <c r="R11" i="74"/>
  <c r="Q11" i="74"/>
  <c r="R10" i="74"/>
  <c r="Q10" i="74"/>
  <c r="R9" i="74"/>
  <c r="Q9" i="74"/>
  <c r="R8" i="74"/>
  <c r="Q8" i="74"/>
  <c r="R7" i="74"/>
  <c r="Q7" i="74"/>
  <c r="R6" i="74"/>
  <c r="Q6" i="74"/>
  <c r="J22" i="65"/>
  <c r="R22" i="65" s="1"/>
  <c r="S22" i="65" s="1"/>
  <c r="H14" i="43"/>
  <c r="H15" i="43"/>
  <c r="H16" i="43"/>
  <c r="H18" i="43"/>
  <c r="H19" i="43"/>
  <c r="H20" i="43"/>
  <c r="H21" i="43"/>
  <c r="H22" i="43"/>
  <c r="H23" i="43"/>
  <c r="H24" i="43"/>
  <c r="H25" i="43"/>
  <c r="H27" i="43"/>
  <c r="H28" i="43"/>
  <c r="H29" i="43"/>
  <c r="H30" i="43"/>
  <c r="H31" i="43"/>
  <c r="H32" i="43"/>
  <c r="H13" i="43"/>
  <c r="M96" i="74" l="1"/>
  <c r="E96" i="74"/>
  <c r="R82" i="74"/>
  <c r="R68" i="74"/>
  <c r="R53" i="74"/>
  <c r="I96" i="74"/>
  <c r="R39" i="74"/>
  <c r="K96" i="74"/>
  <c r="H96" i="74"/>
  <c r="L96" i="74"/>
  <c r="P96" i="74"/>
  <c r="Q142" i="74"/>
  <c r="Q172" i="74"/>
  <c r="R16" i="74"/>
  <c r="R17" i="74" s="1"/>
  <c r="Q46" i="74"/>
  <c r="Q68" i="74"/>
  <c r="Q82" i="74"/>
  <c r="Q87" i="74"/>
  <c r="R88" i="74"/>
  <c r="Q89" i="74"/>
  <c r="Q90" i="74"/>
  <c r="Q91" i="74"/>
  <c r="R92" i="74"/>
  <c r="Q93" i="74"/>
  <c r="Q94" i="74"/>
  <c r="F96" i="74"/>
  <c r="N96" i="74"/>
  <c r="R91" i="74"/>
  <c r="R93" i="74"/>
  <c r="R157" i="74"/>
  <c r="Q16" i="74"/>
  <c r="Q17" i="74" s="1"/>
  <c r="R46" i="74"/>
  <c r="R111" i="74"/>
  <c r="R127" i="74"/>
  <c r="R142" i="74"/>
  <c r="R172" i="74"/>
  <c r="J96" i="74"/>
  <c r="R87" i="74"/>
  <c r="R89" i="74"/>
  <c r="Q39" i="74"/>
  <c r="Q53" i="74"/>
  <c r="G96" i="74"/>
  <c r="O96" i="74"/>
  <c r="Q111" i="74"/>
  <c r="Q127" i="74"/>
  <c r="Q157" i="74"/>
  <c r="Q95" i="74"/>
  <c r="L62" i="43" s="1"/>
  <c r="D16" i="13" s="1"/>
  <c r="R95" i="74"/>
  <c r="R21" i="74"/>
  <c r="Q24" i="74"/>
  <c r="Q26" i="74"/>
  <c r="Q30" i="74"/>
  <c r="Q88" i="74"/>
  <c r="Q92" i="74"/>
  <c r="R22" i="74"/>
  <c r="R28" i="74"/>
  <c r="R86" i="74"/>
  <c r="R90" i="74"/>
  <c r="R94" i="74"/>
  <c r="Q86" i="74"/>
  <c r="Q21" i="74"/>
  <c r="H47" i="43"/>
  <c r="Q96" i="74" l="1"/>
  <c r="Q31" i="74"/>
  <c r="R96" i="74"/>
  <c r="R31" i="74"/>
  <c r="G9" i="61" l="1"/>
  <c r="E7" i="79" l="1"/>
  <c r="E9" i="70"/>
  <c r="E8" i="70"/>
  <c r="D7" i="79"/>
  <c r="D39" i="79" s="1"/>
  <c r="E15" i="78"/>
  <c r="E11" i="78"/>
  <c r="A3" i="43"/>
  <c r="A2" i="43"/>
  <c r="R14" i="43"/>
  <c r="R15" i="43"/>
  <c r="R16" i="43"/>
  <c r="R18" i="43"/>
  <c r="R19" i="43"/>
  <c r="R20" i="43"/>
  <c r="R21" i="43"/>
  <c r="R22" i="43"/>
  <c r="R23" i="43"/>
  <c r="R24" i="43"/>
  <c r="R25" i="43"/>
  <c r="R27" i="43"/>
  <c r="R28" i="43"/>
  <c r="R29" i="43"/>
  <c r="R30" i="43"/>
  <c r="R31" i="43"/>
  <c r="R32" i="43"/>
  <c r="R34" i="43"/>
  <c r="R35" i="43"/>
  <c r="R36" i="43"/>
  <c r="R37" i="43"/>
  <c r="R38" i="43"/>
  <c r="R39" i="43"/>
  <c r="R40" i="43"/>
  <c r="R41" i="43"/>
  <c r="R42" i="43"/>
  <c r="R43" i="43"/>
  <c r="R44" i="43"/>
  <c r="R45" i="43"/>
  <c r="R13" i="43"/>
  <c r="O14" i="43"/>
  <c r="S15" i="43"/>
  <c r="O16" i="43"/>
  <c r="O18" i="43"/>
  <c r="S19" i="43"/>
  <c r="S20" i="43"/>
  <c r="O21" i="43"/>
  <c r="O22" i="43"/>
  <c r="O23" i="43"/>
  <c r="S24" i="43"/>
  <c r="O25" i="43"/>
  <c r="O27" i="43"/>
  <c r="S28" i="43"/>
  <c r="U28" i="43" s="1"/>
  <c r="S29" i="43"/>
  <c r="O30" i="43"/>
  <c r="O31" i="43"/>
  <c r="O32" i="43"/>
  <c r="S34" i="43"/>
  <c r="O35" i="43"/>
  <c r="O36" i="43"/>
  <c r="O37" i="43"/>
  <c r="S38" i="43"/>
  <c r="O39" i="43"/>
  <c r="O40" i="43"/>
  <c r="S41" i="43"/>
  <c r="S42" i="43"/>
  <c r="O43" i="43"/>
  <c r="O44" i="43"/>
  <c r="S45" i="43"/>
  <c r="S13" i="43"/>
  <c r="L14" i="43"/>
  <c r="L15" i="43"/>
  <c r="L16" i="43"/>
  <c r="L18" i="43"/>
  <c r="L19" i="43"/>
  <c r="L20" i="43"/>
  <c r="L21" i="43"/>
  <c r="L22" i="43"/>
  <c r="L23" i="43"/>
  <c r="L24" i="43"/>
  <c r="L25" i="43"/>
  <c r="L27" i="43"/>
  <c r="L28" i="43"/>
  <c r="L29" i="43"/>
  <c r="L30" i="43"/>
  <c r="L31" i="43"/>
  <c r="L32" i="43"/>
  <c r="L34" i="43"/>
  <c r="L35" i="43"/>
  <c r="L36" i="43"/>
  <c r="L37" i="43"/>
  <c r="L38" i="43"/>
  <c r="L39" i="43"/>
  <c r="L40" i="43"/>
  <c r="L41" i="43"/>
  <c r="L42" i="43"/>
  <c r="L43" i="43"/>
  <c r="L44" i="43"/>
  <c r="L45" i="43"/>
  <c r="L13" i="43"/>
  <c r="U19" i="43" l="1"/>
  <c r="D31" i="79"/>
  <c r="D33" i="79"/>
  <c r="D38" i="79"/>
  <c r="D26" i="79"/>
  <c r="D19" i="79"/>
  <c r="D13" i="79"/>
  <c r="D36" i="79"/>
  <c r="D20" i="79"/>
  <c r="D32" i="79"/>
  <c r="D9" i="79"/>
  <c r="D10" i="79"/>
  <c r="D27" i="79"/>
  <c r="D23" i="79"/>
  <c r="D8" i="79"/>
  <c r="D12" i="79"/>
  <c r="D16" i="79"/>
  <c r="D18" i="79"/>
  <c r="D35" i="79"/>
  <c r="D17" i="79"/>
  <c r="D34" i="79"/>
  <c r="D14" i="79"/>
  <c r="D21" i="79"/>
  <c r="D15" i="79"/>
  <c r="D25" i="79"/>
  <c r="D11" i="79"/>
  <c r="D22" i="79"/>
  <c r="D24" i="79"/>
  <c r="D29" i="79"/>
  <c r="D30" i="79"/>
  <c r="D28" i="79"/>
  <c r="D37" i="79"/>
  <c r="S37" i="43"/>
  <c r="U37" i="43" s="1"/>
  <c r="V37" i="43" s="1"/>
  <c r="E12" i="79"/>
  <c r="E8" i="79"/>
  <c r="E17" i="79"/>
  <c r="E9" i="79"/>
  <c r="E15" i="79"/>
  <c r="E14" i="79"/>
  <c r="E10" i="79"/>
  <c r="E13" i="79"/>
  <c r="E11" i="79"/>
  <c r="E18" i="79"/>
  <c r="E16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O13" i="43"/>
  <c r="L47" i="43"/>
  <c r="O45" i="43"/>
  <c r="U42" i="43"/>
  <c r="U38" i="43"/>
  <c r="V38" i="43" s="1"/>
  <c r="U34" i="43"/>
  <c r="U24" i="43"/>
  <c r="V24" i="43" s="1"/>
  <c r="U20" i="43"/>
  <c r="U15" i="43"/>
  <c r="O28" i="43"/>
  <c r="V28" i="43" s="1"/>
  <c r="O38" i="43"/>
  <c r="O20" i="43"/>
  <c r="O19" i="43"/>
  <c r="S32" i="43"/>
  <c r="U32" i="43" s="1"/>
  <c r="V32" i="43" s="1"/>
  <c r="S23" i="43"/>
  <c r="U23" i="43" s="1"/>
  <c r="V23" i="43" s="1"/>
  <c r="O29" i="43"/>
  <c r="S14" i="43"/>
  <c r="U14" i="43" s="1"/>
  <c r="V14" i="43" s="1"/>
  <c r="S44" i="43"/>
  <c r="U44" i="43" s="1"/>
  <c r="V44" i="43" s="1"/>
  <c r="U41" i="43"/>
  <c r="S36" i="43"/>
  <c r="U36" i="43" s="1"/>
  <c r="V36" i="43" s="1"/>
  <c r="U13" i="43"/>
  <c r="V13" i="43" s="1"/>
  <c r="O42" i="43"/>
  <c r="O34" i="43"/>
  <c r="O24" i="43"/>
  <c r="O15" i="43"/>
  <c r="U45" i="43"/>
  <c r="V45" i="43" s="1"/>
  <c r="S40" i="43"/>
  <c r="U40" i="43" s="1"/>
  <c r="V40" i="43" s="1"/>
  <c r="O41" i="43"/>
  <c r="S43" i="43"/>
  <c r="U43" i="43" s="1"/>
  <c r="V43" i="43" s="1"/>
  <c r="S35" i="43"/>
  <c r="U35" i="43" s="1"/>
  <c r="V35" i="43" s="1"/>
  <c r="S31" i="43"/>
  <c r="U31" i="43" s="1"/>
  <c r="V31" i="43" s="1"/>
  <c r="S25" i="43"/>
  <c r="U25" i="43" s="1"/>
  <c r="V25" i="43" s="1"/>
  <c r="S22" i="43"/>
  <c r="U22" i="43" s="1"/>
  <c r="V22" i="43" s="1"/>
  <c r="S16" i="43"/>
  <c r="U16" i="43" s="1"/>
  <c r="V16" i="43" s="1"/>
  <c r="U29" i="43"/>
  <c r="V29" i="43" s="1"/>
  <c r="S39" i="43"/>
  <c r="U39" i="43" s="1"/>
  <c r="V39" i="43" s="1"/>
  <c r="S30" i="43"/>
  <c r="U30" i="43" s="1"/>
  <c r="V30" i="43" s="1"/>
  <c r="S27" i="43"/>
  <c r="U27" i="43" s="1"/>
  <c r="V27" i="43" s="1"/>
  <c r="S21" i="43"/>
  <c r="U21" i="43" s="1"/>
  <c r="V21" i="43" s="1"/>
  <c r="S18" i="43"/>
  <c r="U18" i="43" s="1"/>
  <c r="V18" i="43" s="1"/>
  <c r="V41" i="43" l="1"/>
  <c r="V42" i="43"/>
  <c r="V34" i="43"/>
  <c r="V15" i="43"/>
  <c r="V19" i="43"/>
  <c r="V20" i="43"/>
  <c r="L54" i="43"/>
  <c r="G26" i="75" s="1"/>
  <c r="L55" i="43"/>
  <c r="G27" i="76" s="1"/>
  <c r="L56" i="43"/>
  <c r="G20" i="77" s="1"/>
  <c r="L57" i="43"/>
  <c r="G20" i="78" s="1"/>
  <c r="L51" i="43"/>
  <c r="G22" i="66" s="1"/>
  <c r="J22" i="66" s="1"/>
  <c r="S22" i="66" s="1"/>
  <c r="T22" i="66" s="1"/>
  <c r="L53" i="43"/>
  <c r="G26" i="68" s="1"/>
  <c r="L49" i="43"/>
  <c r="G20" i="60" s="1"/>
  <c r="J20" i="60" s="1"/>
  <c r="S20" i="60" s="1"/>
  <c r="T20" i="60" s="1"/>
  <c r="O47" i="43"/>
  <c r="U47" i="43"/>
  <c r="V47" i="43" s="1"/>
  <c r="G31" i="76"/>
  <c r="D13" i="13" s="1"/>
  <c r="G27" i="66"/>
  <c r="D9" i="13" s="1"/>
  <c r="A16" i="13"/>
  <c r="B16" i="13"/>
  <c r="A8" i="13"/>
  <c r="B8" i="13"/>
  <c r="A9" i="13"/>
  <c r="B9" i="13"/>
  <c r="A10" i="13"/>
  <c r="B10" i="13"/>
  <c r="A11" i="13"/>
  <c r="B11" i="13"/>
  <c r="A12" i="13"/>
  <c r="B12" i="13"/>
  <c r="A13" i="13"/>
  <c r="B13" i="13"/>
  <c r="A14" i="13"/>
  <c r="B14" i="13"/>
  <c r="A15" i="13"/>
  <c r="B15" i="13"/>
  <c r="B7" i="13"/>
  <c r="A7" i="13"/>
  <c r="Q17" i="76"/>
  <c r="G18" i="78"/>
  <c r="Q15" i="78"/>
  <c r="Q11" i="78"/>
  <c r="I15" i="78"/>
  <c r="G29" i="61"/>
  <c r="I11" i="78" s="1"/>
  <c r="A3" i="78"/>
  <c r="A2" i="78"/>
  <c r="Q15" i="77"/>
  <c r="E15" i="77"/>
  <c r="E11" i="77"/>
  <c r="G19" i="77"/>
  <c r="J19" i="77" s="1"/>
  <c r="S19" i="77" s="1"/>
  <c r="T19" i="77" s="1"/>
  <c r="A3" i="77"/>
  <c r="A2" i="77"/>
  <c r="C29" i="61"/>
  <c r="C27" i="61"/>
  <c r="B29" i="61"/>
  <c r="B27" i="61"/>
  <c r="C31" i="61"/>
  <c r="B31" i="61"/>
  <c r="G27" i="61"/>
  <c r="I11" i="77" s="1"/>
  <c r="G25" i="76"/>
  <c r="E22" i="76"/>
  <c r="G22" i="76" s="1"/>
  <c r="E21" i="76"/>
  <c r="E17" i="76"/>
  <c r="E12" i="76"/>
  <c r="Q12" i="76"/>
  <c r="G26" i="61"/>
  <c r="Q22" i="76" s="1"/>
  <c r="G25" i="61"/>
  <c r="I17" i="76"/>
  <c r="G23" i="61"/>
  <c r="I12" i="76" s="1"/>
  <c r="B23" i="61"/>
  <c r="C23" i="61"/>
  <c r="A3" i="76"/>
  <c r="A2" i="76"/>
  <c r="G24" i="75"/>
  <c r="E21" i="75"/>
  <c r="E17" i="75"/>
  <c r="E12" i="75"/>
  <c r="G22" i="61"/>
  <c r="Q21" i="75" s="1"/>
  <c r="Q17" i="75"/>
  <c r="G20" i="61"/>
  <c r="I12" i="75" s="1"/>
  <c r="C20" i="61"/>
  <c r="B20" i="61"/>
  <c r="A3" i="75"/>
  <c r="A2" i="75"/>
  <c r="G25" i="68"/>
  <c r="Q21" i="68"/>
  <c r="G19" i="61"/>
  <c r="I21" i="68" s="1"/>
  <c r="I17" i="68"/>
  <c r="G17" i="61"/>
  <c r="I12" i="68" s="1"/>
  <c r="E21" i="68"/>
  <c r="E17" i="68"/>
  <c r="E12" i="68"/>
  <c r="A3" i="68"/>
  <c r="A2" i="68"/>
  <c r="C17" i="61"/>
  <c r="B17" i="61"/>
  <c r="G21" i="67"/>
  <c r="E17" i="67"/>
  <c r="Q12" i="67"/>
  <c r="E12" i="67"/>
  <c r="A3" i="67"/>
  <c r="A2" i="67"/>
  <c r="G21" i="66"/>
  <c r="A3" i="66"/>
  <c r="A2" i="66"/>
  <c r="C15" i="61"/>
  <c r="B15" i="61"/>
  <c r="C13" i="61"/>
  <c r="B13" i="61"/>
  <c r="Q17" i="67"/>
  <c r="I17" i="67"/>
  <c r="I15" i="61"/>
  <c r="G15" i="61"/>
  <c r="J15" i="61" s="1"/>
  <c r="G13" i="61"/>
  <c r="J13" i="61" s="1"/>
  <c r="G20" i="65"/>
  <c r="A3" i="65"/>
  <c r="A2" i="65"/>
  <c r="G11" i="61"/>
  <c r="G18" i="60"/>
  <c r="G19" i="78"/>
  <c r="G26" i="76"/>
  <c r="G25" i="75"/>
  <c r="G21" i="65"/>
  <c r="G18" i="77"/>
  <c r="G24" i="68"/>
  <c r="G20" i="67"/>
  <c r="G20" i="66"/>
  <c r="G24" i="78"/>
  <c r="D15" i="13" s="1"/>
  <c r="G30" i="68"/>
  <c r="D11" i="13" s="1"/>
  <c r="D21" i="68"/>
  <c r="P21" i="68" s="1"/>
  <c r="D11" i="78"/>
  <c r="G11" i="78" s="1"/>
  <c r="D11" i="77"/>
  <c r="D12" i="76"/>
  <c r="D12" i="75"/>
  <c r="D12" i="68"/>
  <c r="D12" i="67"/>
  <c r="D12" i="66"/>
  <c r="D11" i="60"/>
  <c r="A3" i="60"/>
  <c r="A2" i="60"/>
  <c r="C11" i="61"/>
  <c r="C9" i="61"/>
  <c r="B11" i="61"/>
  <c r="B9" i="61"/>
  <c r="I29" i="61" l="1"/>
  <c r="J29" i="61"/>
  <c r="Q12" i="75"/>
  <c r="J27" i="76"/>
  <c r="S27" i="76" s="1"/>
  <c r="T27" i="76" s="1"/>
  <c r="J26" i="75"/>
  <c r="S26" i="75" s="1"/>
  <c r="T26" i="75" s="1"/>
  <c r="I22" i="76"/>
  <c r="J22" i="76" s="1"/>
  <c r="J26" i="68"/>
  <c r="S26" i="68"/>
  <c r="T26" i="68" s="1"/>
  <c r="I21" i="75"/>
  <c r="J20" i="78"/>
  <c r="S20" i="78" s="1"/>
  <c r="T20" i="78" s="1"/>
  <c r="I21" i="76"/>
  <c r="J21" i="76" s="1"/>
  <c r="Q21" i="76"/>
  <c r="J20" i="77"/>
  <c r="S20" i="77" s="1"/>
  <c r="T20" i="77" s="1"/>
  <c r="C11" i="13"/>
  <c r="D54" i="70"/>
  <c r="D58" i="70"/>
  <c r="D55" i="70"/>
  <c r="C9" i="13"/>
  <c r="D52" i="70"/>
  <c r="C13" i="13"/>
  <c r="D56" i="70"/>
  <c r="C10" i="13"/>
  <c r="D53" i="70"/>
  <c r="C14" i="13"/>
  <c r="D57" i="70"/>
  <c r="G15" i="78"/>
  <c r="G22" i="78" s="1"/>
  <c r="C15" i="13"/>
  <c r="J25" i="75"/>
  <c r="S25" i="75" s="1"/>
  <c r="T25" i="75" s="1"/>
  <c r="O17" i="65"/>
  <c r="C8" i="13"/>
  <c r="C12" i="13"/>
  <c r="P17" i="75"/>
  <c r="S17" i="75" s="1"/>
  <c r="T17" i="75" s="1"/>
  <c r="J26" i="76"/>
  <c r="S26" i="76" s="1"/>
  <c r="T26" i="76" s="1"/>
  <c r="J19" i="78"/>
  <c r="S19" i="78" s="1"/>
  <c r="T19" i="78" s="1"/>
  <c r="J12" i="75"/>
  <c r="D21" i="75"/>
  <c r="P21" i="75" s="1"/>
  <c r="S21" i="75" s="1"/>
  <c r="D12" i="65"/>
  <c r="O12" i="65" s="1"/>
  <c r="G19" i="60"/>
  <c r="J19" i="60" s="1"/>
  <c r="S19" i="60" s="1"/>
  <c r="T19" i="60" s="1"/>
  <c r="J11" i="77"/>
  <c r="J30" i="61"/>
  <c r="J11" i="78"/>
  <c r="J15" i="78"/>
  <c r="J18" i="78" s="1"/>
  <c r="S18" i="78" s="1"/>
  <c r="T18" i="78" s="1"/>
  <c r="P11" i="78"/>
  <c r="S11" i="78" s="1"/>
  <c r="T11" i="78" s="1"/>
  <c r="P15" i="78"/>
  <c r="S15" i="78" s="1"/>
  <c r="I15" i="77"/>
  <c r="J15" i="77" s="1"/>
  <c r="J27" i="61"/>
  <c r="Q11" i="77"/>
  <c r="P11" i="77"/>
  <c r="P15" i="77"/>
  <c r="S15" i="77" s="1"/>
  <c r="G11" i="77"/>
  <c r="G15" i="77"/>
  <c r="I28" i="61"/>
  <c r="J28" i="61"/>
  <c r="I27" i="61"/>
  <c r="I30" i="61"/>
  <c r="P22" i="76"/>
  <c r="S22" i="76" s="1"/>
  <c r="J12" i="76"/>
  <c r="J17" i="76"/>
  <c r="J25" i="76" s="1"/>
  <c r="S25" i="76" s="1"/>
  <c r="T25" i="76" s="1"/>
  <c r="I17" i="75"/>
  <c r="J17" i="75" s="1"/>
  <c r="J24" i="75" s="1"/>
  <c r="S24" i="75" s="1"/>
  <c r="T24" i="75" s="1"/>
  <c r="P12" i="76"/>
  <c r="S12" i="76" s="1"/>
  <c r="P17" i="76"/>
  <c r="P21" i="76"/>
  <c r="G12" i="76"/>
  <c r="G17" i="76"/>
  <c r="G21" i="76"/>
  <c r="P12" i="75"/>
  <c r="S12" i="75" s="1"/>
  <c r="T12" i="75" s="1"/>
  <c r="G12" i="75"/>
  <c r="G17" i="75"/>
  <c r="I12" i="67"/>
  <c r="J12" i="67" s="1"/>
  <c r="J16" i="61"/>
  <c r="I14" i="61"/>
  <c r="J14" i="61"/>
  <c r="I13" i="61"/>
  <c r="I16" i="61"/>
  <c r="G26" i="65"/>
  <c r="D8" i="13" s="1"/>
  <c r="G26" i="67"/>
  <c r="D10" i="13" s="1"/>
  <c r="G30" i="75"/>
  <c r="D12" i="13" s="1"/>
  <c r="G24" i="77"/>
  <c r="D14" i="13" s="1"/>
  <c r="I26" i="61"/>
  <c r="J24" i="61"/>
  <c r="J19" i="61"/>
  <c r="I10" i="61"/>
  <c r="J23" i="61"/>
  <c r="I31" i="61"/>
  <c r="J21" i="68"/>
  <c r="J17" i="68"/>
  <c r="J12" i="68"/>
  <c r="J25" i="68"/>
  <c r="J17" i="67"/>
  <c r="J21" i="67"/>
  <c r="S21" i="67" s="1"/>
  <c r="T21" i="67" s="1"/>
  <c r="I17" i="66"/>
  <c r="J17" i="66" s="1"/>
  <c r="J20" i="66" s="1"/>
  <c r="S20" i="66" s="1"/>
  <c r="T20" i="66" s="1"/>
  <c r="I12" i="66"/>
  <c r="J12" i="66" s="1"/>
  <c r="J21" i="66"/>
  <c r="S21" i="66" s="1"/>
  <c r="T21" i="66" s="1"/>
  <c r="I17" i="65"/>
  <c r="J17" i="65" s="1"/>
  <c r="I12" i="65"/>
  <c r="J21" i="65"/>
  <c r="R21" i="65" s="1"/>
  <c r="S21" i="65" s="1"/>
  <c r="I15" i="60"/>
  <c r="I11" i="60"/>
  <c r="J11" i="60" s="1"/>
  <c r="J22" i="61"/>
  <c r="J12" i="61"/>
  <c r="J11" i="61"/>
  <c r="J9" i="61"/>
  <c r="P17" i="65"/>
  <c r="P12" i="65"/>
  <c r="Q11" i="60"/>
  <c r="S25" i="68"/>
  <c r="T25" i="68" s="1"/>
  <c r="P17" i="68"/>
  <c r="P12" i="68"/>
  <c r="P17" i="67"/>
  <c r="S17" i="67" s="1"/>
  <c r="T17" i="67" s="1"/>
  <c r="P12" i="67"/>
  <c r="G21" i="68"/>
  <c r="G17" i="68"/>
  <c r="G12" i="68"/>
  <c r="G17" i="67"/>
  <c r="G12" i="67"/>
  <c r="E17" i="66"/>
  <c r="G17" i="66" s="1"/>
  <c r="E12" i="66"/>
  <c r="G12" i="66" s="1"/>
  <c r="E17" i="65"/>
  <c r="G17" i="65" s="1"/>
  <c r="E12" i="65"/>
  <c r="E15" i="60"/>
  <c r="E11" i="60"/>
  <c r="P17" i="66"/>
  <c r="P12" i="66"/>
  <c r="P11" i="60"/>
  <c r="I22" i="61"/>
  <c r="I12" i="61"/>
  <c r="I11" i="61"/>
  <c r="I9" i="61"/>
  <c r="D17" i="28"/>
  <c r="T17" i="28" s="1"/>
  <c r="W17" i="28" s="1"/>
  <c r="W21" i="28" s="1"/>
  <c r="E18" i="24"/>
  <c r="G18" i="24" s="1"/>
  <c r="D20" i="28"/>
  <c r="G20" i="28"/>
  <c r="D19" i="28"/>
  <c r="G19" i="28" s="1"/>
  <c r="G106" i="28"/>
  <c r="E106" i="28"/>
  <c r="D106" i="28"/>
  <c r="C106" i="28"/>
  <c r="G88" i="28"/>
  <c r="E88" i="28"/>
  <c r="D88" i="28"/>
  <c r="C88" i="28"/>
  <c r="D18" i="28"/>
  <c r="T18" i="28" s="1"/>
  <c r="W18" i="28" s="1"/>
  <c r="G70" i="28"/>
  <c r="E70" i="28"/>
  <c r="D70" i="28"/>
  <c r="C70" i="28"/>
  <c r="U12" i="24"/>
  <c r="U18" i="28"/>
  <c r="U12" i="28"/>
  <c r="M22" i="28"/>
  <c r="T24" i="28"/>
  <c r="W24" i="28" s="1"/>
  <c r="U19" i="24"/>
  <c r="M19" i="24"/>
  <c r="G52" i="28"/>
  <c r="G28" i="28" s="1"/>
  <c r="O24" i="28"/>
  <c r="E66" i="24"/>
  <c r="E46" i="24"/>
  <c r="D46" i="24"/>
  <c r="D16" i="24" s="1"/>
  <c r="G16" i="24" s="1"/>
  <c r="E52" i="28"/>
  <c r="F66" i="24"/>
  <c r="D66" i="24"/>
  <c r="C66" i="24"/>
  <c r="F46" i="24"/>
  <c r="C46" i="24"/>
  <c r="D12" i="24" s="1"/>
  <c r="D52" i="28"/>
  <c r="D12" i="28"/>
  <c r="G12" i="28" s="1"/>
  <c r="H17" i="13"/>
  <c r="C52" i="28"/>
  <c r="L16" i="24"/>
  <c r="L17" i="24" s="1"/>
  <c r="O17" i="24" s="1"/>
  <c r="O16" i="24"/>
  <c r="L18" i="24"/>
  <c r="T16" i="24" s="1"/>
  <c r="I19" i="61"/>
  <c r="G24" i="24"/>
  <c r="J20" i="61"/>
  <c r="J24" i="68" l="1"/>
  <c r="S24" i="68" s="1"/>
  <c r="T24" i="68" s="1"/>
  <c r="C7" i="13"/>
  <c r="C39" i="79"/>
  <c r="T15" i="77"/>
  <c r="J18" i="77"/>
  <c r="S18" i="77" s="1"/>
  <c r="T18" i="77" s="1"/>
  <c r="J20" i="65"/>
  <c r="R20" i="65" s="1"/>
  <c r="S20" i="65" s="1"/>
  <c r="T12" i="76"/>
  <c r="T15" i="78"/>
  <c r="J20" i="67"/>
  <c r="J24" i="67" s="1"/>
  <c r="M15" i="61" s="1"/>
  <c r="T22" i="76"/>
  <c r="J25" i="61"/>
  <c r="I25" i="61"/>
  <c r="S21" i="76"/>
  <c r="T21" i="76" s="1"/>
  <c r="G12" i="24"/>
  <c r="G22" i="24" s="1"/>
  <c r="G26" i="24" s="1"/>
  <c r="G28" i="24" s="1"/>
  <c r="L12" i="24"/>
  <c r="W16" i="24"/>
  <c r="T18" i="24"/>
  <c r="W18" i="24" s="1"/>
  <c r="T17" i="24"/>
  <c r="W17" i="24" s="1"/>
  <c r="G18" i="28"/>
  <c r="O18" i="24"/>
  <c r="O19" i="24" s="1"/>
  <c r="L12" i="28"/>
  <c r="G17" i="28"/>
  <c r="D21" i="28"/>
  <c r="L17" i="28" s="1"/>
  <c r="D51" i="70"/>
  <c r="G24" i="67"/>
  <c r="E10" i="13" s="1"/>
  <c r="F10" i="13" s="1"/>
  <c r="G10" i="13" s="1"/>
  <c r="J29" i="76"/>
  <c r="M23" i="61" s="1"/>
  <c r="S28" i="75"/>
  <c r="P15" i="60"/>
  <c r="D50" i="70"/>
  <c r="G22" i="77"/>
  <c r="G29" i="76"/>
  <c r="E13" i="13" s="1"/>
  <c r="J28" i="68"/>
  <c r="G15" i="60"/>
  <c r="J22" i="78"/>
  <c r="S22" i="78"/>
  <c r="G28" i="68"/>
  <c r="E11" i="13" s="1"/>
  <c r="F11" i="13" s="1"/>
  <c r="G11" i="13" s="1"/>
  <c r="J22" i="77"/>
  <c r="C17" i="13"/>
  <c r="C19" i="13" s="1"/>
  <c r="C21" i="13" s="1"/>
  <c r="C22" i="13" s="1"/>
  <c r="G25" i="66"/>
  <c r="E9" i="13" s="1"/>
  <c r="F9" i="13" s="1"/>
  <c r="G9" i="13" s="1"/>
  <c r="J12" i="65"/>
  <c r="J24" i="65" s="1"/>
  <c r="J21" i="75"/>
  <c r="T21" i="75" s="1"/>
  <c r="J25" i="66"/>
  <c r="G21" i="75"/>
  <c r="G12" i="65"/>
  <c r="G24" i="60"/>
  <c r="D7" i="13" s="1"/>
  <c r="D17" i="13" s="1"/>
  <c r="S11" i="77"/>
  <c r="T11" i="77" s="1"/>
  <c r="G26" i="78"/>
  <c r="G28" i="78" s="1"/>
  <c r="E15" i="13"/>
  <c r="L29" i="61"/>
  <c r="I23" i="61"/>
  <c r="S17" i="76"/>
  <c r="T17" i="76" s="1"/>
  <c r="I21" i="61"/>
  <c r="J21" i="61"/>
  <c r="Q12" i="66"/>
  <c r="S12" i="66" s="1"/>
  <c r="T12" i="66" s="1"/>
  <c r="Q12" i="68"/>
  <c r="S12" i="68" s="1"/>
  <c r="T12" i="68" s="1"/>
  <c r="J18" i="61"/>
  <c r="Q17" i="68"/>
  <c r="S17" i="68" s="1"/>
  <c r="T17" i="68" s="1"/>
  <c r="Q17" i="66"/>
  <c r="S17" i="66" s="1"/>
  <c r="T17" i="66" s="1"/>
  <c r="J17" i="61"/>
  <c r="S21" i="68"/>
  <c r="T21" i="68" s="1"/>
  <c r="I34" i="61"/>
  <c r="I17" i="61"/>
  <c r="S12" i="67"/>
  <c r="I20" i="61"/>
  <c r="R12" i="65"/>
  <c r="R17" i="65"/>
  <c r="S17" i="65" s="1"/>
  <c r="I35" i="61"/>
  <c r="I33" i="61"/>
  <c r="J10" i="61"/>
  <c r="I32" i="61"/>
  <c r="J26" i="61"/>
  <c r="Q15" i="60"/>
  <c r="I24" i="61"/>
  <c r="I18" i="61"/>
  <c r="S11" i="60"/>
  <c r="T11" i="60" s="1"/>
  <c r="G11" i="60"/>
  <c r="J15" i="60"/>
  <c r="I39" i="79" l="1"/>
  <c r="E39" i="79"/>
  <c r="T12" i="67"/>
  <c r="S20" i="67"/>
  <c r="T20" i="67" s="1"/>
  <c r="T22" i="78"/>
  <c r="J18" i="60"/>
  <c r="S12" i="65"/>
  <c r="S29" i="76"/>
  <c r="W19" i="24"/>
  <c r="L18" i="28"/>
  <c r="O18" i="28" s="1"/>
  <c r="O17" i="28"/>
  <c r="L21" i="28"/>
  <c r="O21" i="28" s="1"/>
  <c r="O12" i="24"/>
  <c r="O23" i="24" s="1"/>
  <c r="O25" i="24" s="1"/>
  <c r="O27" i="24" s="1"/>
  <c r="T12" i="24"/>
  <c r="W12" i="24" s="1"/>
  <c r="W23" i="24" s="1"/>
  <c r="W25" i="24" s="1"/>
  <c r="W27" i="24" s="1"/>
  <c r="G21" i="28"/>
  <c r="G26" i="28" s="1"/>
  <c r="G30" i="28" s="1"/>
  <c r="G32" i="28" s="1"/>
  <c r="O12" i="28"/>
  <c r="T12" i="28"/>
  <c r="W12" i="28" s="1"/>
  <c r="W27" i="28" s="1"/>
  <c r="G28" i="75"/>
  <c r="G32" i="75" s="1"/>
  <c r="G34" i="75" s="1"/>
  <c r="S28" i="68"/>
  <c r="T28" i="68" s="1"/>
  <c r="R24" i="65"/>
  <c r="G24" i="65"/>
  <c r="E8" i="13" s="1"/>
  <c r="S22" i="77"/>
  <c r="J28" i="75"/>
  <c r="M20" i="61" s="1"/>
  <c r="S25" i="66"/>
  <c r="G22" i="60"/>
  <c r="J26" i="77"/>
  <c r="J28" i="77" s="1"/>
  <c r="M27" i="61"/>
  <c r="G26" i="77"/>
  <c r="G28" i="77" s="1"/>
  <c r="E14" i="13"/>
  <c r="L27" i="61"/>
  <c r="I15" i="13"/>
  <c r="J15" i="13" s="1"/>
  <c r="F15" i="13"/>
  <c r="G15" i="13" s="1"/>
  <c r="I13" i="13"/>
  <c r="J13" i="13" s="1"/>
  <c r="F13" i="13"/>
  <c r="G13" i="13" s="1"/>
  <c r="G32" i="68"/>
  <c r="G34" i="68" s="1"/>
  <c r="D19" i="13"/>
  <c r="D21" i="13" s="1"/>
  <c r="D22" i="13" s="1"/>
  <c r="J26" i="78"/>
  <c r="J28" i="78" s="1"/>
  <c r="M29" i="61"/>
  <c r="S24" i="78"/>
  <c r="O29" i="61" s="1"/>
  <c r="D41" i="70" s="1"/>
  <c r="N29" i="61"/>
  <c r="N20" i="61"/>
  <c r="G33" i="76"/>
  <c r="G35" i="76" s="1"/>
  <c r="L23" i="61"/>
  <c r="J33" i="76"/>
  <c r="J35" i="76" s="1"/>
  <c r="L17" i="61"/>
  <c r="M17" i="61"/>
  <c r="G28" i="67"/>
  <c r="G30" i="67" s="1"/>
  <c r="L15" i="61"/>
  <c r="G29" i="66"/>
  <c r="G31" i="66" s="1"/>
  <c r="L13" i="61"/>
  <c r="M13" i="61"/>
  <c r="I9" i="13"/>
  <c r="J9" i="13" s="1"/>
  <c r="J32" i="68"/>
  <c r="J34" i="68" s="1"/>
  <c r="J29" i="66"/>
  <c r="J31" i="66" s="1"/>
  <c r="I11" i="13"/>
  <c r="J11" i="13" s="1"/>
  <c r="S15" i="60"/>
  <c r="J28" i="67"/>
  <c r="J30" i="67" s="1"/>
  <c r="M11" i="61"/>
  <c r="F7" i="79" l="1"/>
  <c r="S18" i="60"/>
  <c r="T18" i="60" s="1"/>
  <c r="J22" i="60"/>
  <c r="M9" i="61" s="1"/>
  <c r="S22" i="60"/>
  <c r="T15" i="60"/>
  <c r="S24" i="67"/>
  <c r="S24" i="77"/>
  <c r="S28" i="77" s="1"/>
  <c r="Q27" i="61" s="1"/>
  <c r="E57" i="70" s="1"/>
  <c r="T22" i="77"/>
  <c r="S31" i="76"/>
  <c r="S35" i="76" s="1"/>
  <c r="Q23" i="61" s="1"/>
  <c r="E56" i="70" s="1"/>
  <c r="T29" i="76"/>
  <c r="T28" i="75"/>
  <c r="N13" i="61"/>
  <c r="T25" i="66"/>
  <c r="N11" i="61"/>
  <c r="S24" i="65"/>
  <c r="N23" i="61"/>
  <c r="S30" i="75"/>
  <c r="O20" i="61" s="1"/>
  <c r="D38" i="70" s="1"/>
  <c r="G28" i="65"/>
  <c r="G30" i="65" s="1"/>
  <c r="O22" i="28"/>
  <c r="O27" i="28" s="1"/>
  <c r="O29" i="28" s="1"/>
  <c r="O31" i="28" s="1"/>
  <c r="E12" i="13"/>
  <c r="W29" i="28"/>
  <c r="W31" i="28" s="1"/>
  <c r="J32" i="75"/>
  <c r="J34" i="75" s="1"/>
  <c r="L11" i="61"/>
  <c r="J28" i="65"/>
  <c r="J30" i="65" s="1"/>
  <c r="F8" i="13"/>
  <c r="G8" i="13" s="1"/>
  <c r="I8" i="13"/>
  <c r="J8" i="13" s="1"/>
  <c r="N27" i="61"/>
  <c r="E7" i="13"/>
  <c r="L9" i="61"/>
  <c r="L20" i="61"/>
  <c r="I14" i="13"/>
  <c r="J14" i="13" s="1"/>
  <c r="F14" i="13"/>
  <c r="G14" i="13" s="1"/>
  <c r="S28" i="78"/>
  <c r="Q29" i="61" s="1"/>
  <c r="E58" i="70" s="1"/>
  <c r="S26" i="78"/>
  <c r="P29" i="61" s="1"/>
  <c r="N17" i="61"/>
  <c r="S27" i="66"/>
  <c r="S31" i="66" s="1"/>
  <c r="S30" i="68"/>
  <c r="R26" i="65"/>
  <c r="O11" i="61" s="1"/>
  <c r="D34" i="70" s="1"/>
  <c r="I10" i="13"/>
  <c r="J10" i="13" s="1"/>
  <c r="G26" i="60"/>
  <c r="G28" i="60" s="1"/>
  <c r="O23" i="61" l="1"/>
  <c r="D39" i="70" s="1"/>
  <c r="S33" i="76"/>
  <c r="P23" i="61" s="1"/>
  <c r="E39" i="70" s="1"/>
  <c r="J26" i="60"/>
  <c r="J28" i="60" s="1"/>
  <c r="T22" i="60"/>
  <c r="S26" i="77"/>
  <c r="P27" i="61" s="1"/>
  <c r="F57" i="70" s="1"/>
  <c r="T24" i="67"/>
  <c r="S26" i="67"/>
  <c r="N15" i="61"/>
  <c r="S24" i="60"/>
  <c r="O9" i="61" s="1"/>
  <c r="D33" i="70" s="1"/>
  <c r="N9" i="61"/>
  <c r="O27" i="61"/>
  <c r="D40" i="70" s="1"/>
  <c r="F9" i="79"/>
  <c r="G9" i="79" s="1"/>
  <c r="F16" i="79"/>
  <c r="G16" i="79" s="1"/>
  <c r="F36" i="79"/>
  <c r="G36" i="79" s="1"/>
  <c r="F30" i="79"/>
  <c r="G30" i="79" s="1"/>
  <c r="F26" i="79"/>
  <c r="G26" i="79" s="1"/>
  <c r="F28" i="79"/>
  <c r="G28" i="79" s="1"/>
  <c r="F18" i="79"/>
  <c r="G18" i="79" s="1"/>
  <c r="F19" i="79"/>
  <c r="G19" i="79" s="1"/>
  <c r="F21" i="79"/>
  <c r="G21" i="79" s="1"/>
  <c r="J7" i="79"/>
  <c r="F29" i="79"/>
  <c r="G29" i="79" s="1"/>
  <c r="F24" i="79"/>
  <c r="G24" i="79" s="1"/>
  <c r="F25" i="79"/>
  <c r="G25" i="79" s="1"/>
  <c r="F34" i="79"/>
  <c r="G34" i="79" s="1"/>
  <c r="F8" i="79"/>
  <c r="G8" i="79" s="1"/>
  <c r="F15" i="79"/>
  <c r="G15" i="79" s="1"/>
  <c r="F20" i="79"/>
  <c r="G20" i="79" s="1"/>
  <c r="F13" i="79"/>
  <c r="G13" i="79" s="1"/>
  <c r="F10" i="79"/>
  <c r="G10" i="79" s="1"/>
  <c r="F22" i="79"/>
  <c r="G22" i="79" s="1"/>
  <c r="F12" i="79"/>
  <c r="G12" i="79" s="1"/>
  <c r="F35" i="79"/>
  <c r="G35" i="79" s="1"/>
  <c r="F14" i="79"/>
  <c r="G14" i="79" s="1"/>
  <c r="F27" i="79"/>
  <c r="G27" i="79" s="1"/>
  <c r="F33" i="79"/>
  <c r="G33" i="79" s="1"/>
  <c r="F39" i="79"/>
  <c r="G39" i="79" s="1"/>
  <c r="F32" i="79"/>
  <c r="G32" i="79" s="1"/>
  <c r="F17" i="79"/>
  <c r="G17" i="79" s="1"/>
  <c r="F38" i="79"/>
  <c r="G38" i="79" s="1"/>
  <c r="F31" i="79"/>
  <c r="G31" i="79" s="1"/>
  <c r="F37" i="79"/>
  <c r="G37" i="79" s="1"/>
  <c r="F11" i="79"/>
  <c r="G11" i="79" s="1"/>
  <c r="F23" i="79"/>
  <c r="G23" i="79" s="1"/>
  <c r="S34" i="75"/>
  <c r="Q20" i="61" s="1"/>
  <c r="E55" i="70" s="1"/>
  <c r="S32" i="75"/>
  <c r="P20" i="61" s="1"/>
  <c r="F55" i="70" s="1"/>
  <c r="I12" i="13"/>
  <c r="J12" i="13" s="1"/>
  <c r="F12" i="13"/>
  <c r="G12" i="13" s="1"/>
  <c r="F56" i="70"/>
  <c r="F58" i="70"/>
  <c r="E41" i="70"/>
  <c r="F7" i="13"/>
  <c r="G7" i="13" s="1"/>
  <c r="I7" i="13"/>
  <c r="J7" i="13" s="1"/>
  <c r="S34" i="68"/>
  <c r="O17" i="61"/>
  <c r="D37" i="70" s="1"/>
  <c r="S29" i="66"/>
  <c r="P13" i="61" s="1"/>
  <c r="O13" i="61"/>
  <c r="D35" i="70" s="1"/>
  <c r="S32" i="68"/>
  <c r="Q13" i="61"/>
  <c r="E52" i="70" s="1"/>
  <c r="R28" i="65"/>
  <c r="P11" i="61" s="1"/>
  <c r="R30" i="65"/>
  <c r="E40" i="70" l="1"/>
  <c r="S28" i="60"/>
  <c r="Q9" i="61" s="1"/>
  <c r="E50" i="70" s="1"/>
  <c r="S26" i="60"/>
  <c r="P9" i="61" s="1"/>
  <c r="E33" i="70" s="1"/>
  <c r="J16" i="79"/>
  <c r="K16" i="79" s="1"/>
  <c r="L16" i="79" s="1"/>
  <c r="M16" i="79" s="1"/>
  <c r="J32" i="79"/>
  <c r="K32" i="79" s="1"/>
  <c r="L32" i="79" s="1"/>
  <c r="M32" i="79" s="1"/>
  <c r="J9" i="79"/>
  <c r="K9" i="79" s="1"/>
  <c r="L9" i="79" s="1"/>
  <c r="M9" i="79" s="1"/>
  <c r="J35" i="79"/>
  <c r="K35" i="79" s="1"/>
  <c r="L35" i="79" s="1"/>
  <c r="M35" i="79" s="1"/>
  <c r="J38" i="79"/>
  <c r="K38" i="79" s="1"/>
  <c r="L38" i="79" s="1"/>
  <c r="M38" i="79" s="1"/>
  <c r="J36" i="79"/>
  <c r="K36" i="79" s="1"/>
  <c r="L36" i="79" s="1"/>
  <c r="M36" i="79" s="1"/>
  <c r="J8" i="79"/>
  <c r="K8" i="79" s="1"/>
  <c r="L8" i="79" s="1"/>
  <c r="M8" i="79" s="1"/>
  <c r="J27" i="79"/>
  <c r="K27" i="79" s="1"/>
  <c r="L27" i="79" s="1"/>
  <c r="M27" i="79" s="1"/>
  <c r="J20" i="79"/>
  <c r="K20" i="79" s="1"/>
  <c r="L20" i="79" s="1"/>
  <c r="M20" i="79" s="1"/>
  <c r="J24" i="79"/>
  <c r="K24" i="79" s="1"/>
  <c r="L24" i="79" s="1"/>
  <c r="M24" i="79" s="1"/>
  <c r="J12" i="79"/>
  <c r="K12" i="79" s="1"/>
  <c r="L12" i="79" s="1"/>
  <c r="M12" i="79" s="1"/>
  <c r="J14" i="79"/>
  <c r="K14" i="79" s="1"/>
  <c r="L14" i="79" s="1"/>
  <c r="M14" i="79" s="1"/>
  <c r="J15" i="79"/>
  <c r="K15" i="79" s="1"/>
  <c r="L15" i="79" s="1"/>
  <c r="M15" i="79" s="1"/>
  <c r="J31" i="79"/>
  <c r="K31" i="79" s="1"/>
  <c r="L31" i="79" s="1"/>
  <c r="M31" i="79" s="1"/>
  <c r="J17" i="79"/>
  <c r="K17" i="79" s="1"/>
  <c r="L17" i="79" s="1"/>
  <c r="M17" i="79" s="1"/>
  <c r="J37" i="79"/>
  <c r="K37" i="79" s="1"/>
  <c r="L37" i="79" s="1"/>
  <c r="M37" i="79" s="1"/>
  <c r="J26" i="79"/>
  <c r="K26" i="79" s="1"/>
  <c r="L26" i="79" s="1"/>
  <c r="M26" i="79" s="1"/>
  <c r="J22" i="79"/>
  <c r="K22" i="79" s="1"/>
  <c r="L22" i="79" s="1"/>
  <c r="M22" i="79" s="1"/>
  <c r="J21" i="79"/>
  <c r="K21" i="79" s="1"/>
  <c r="L21" i="79" s="1"/>
  <c r="M21" i="79" s="1"/>
  <c r="J28" i="79"/>
  <c r="K28" i="79" s="1"/>
  <c r="L28" i="79" s="1"/>
  <c r="M28" i="79" s="1"/>
  <c r="J39" i="79"/>
  <c r="K39" i="79" s="1"/>
  <c r="L39" i="79" s="1"/>
  <c r="M39" i="79" s="1"/>
  <c r="J13" i="79"/>
  <c r="K13" i="79" s="1"/>
  <c r="L13" i="79" s="1"/>
  <c r="M13" i="79" s="1"/>
  <c r="J33" i="79"/>
  <c r="K33" i="79" s="1"/>
  <c r="L33" i="79" s="1"/>
  <c r="M33" i="79" s="1"/>
  <c r="J10" i="79"/>
  <c r="K10" i="79" s="1"/>
  <c r="L10" i="79" s="1"/>
  <c r="M10" i="79" s="1"/>
  <c r="J11" i="79"/>
  <c r="K11" i="79" s="1"/>
  <c r="L11" i="79" s="1"/>
  <c r="M11" i="79" s="1"/>
  <c r="J30" i="79"/>
  <c r="K30" i="79" s="1"/>
  <c r="L30" i="79" s="1"/>
  <c r="M30" i="79" s="1"/>
  <c r="J29" i="79"/>
  <c r="K29" i="79" s="1"/>
  <c r="L29" i="79" s="1"/>
  <c r="M29" i="79" s="1"/>
  <c r="J18" i="79"/>
  <c r="K18" i="79" s="1"/>
  <c r="L18" i="79" s="1"/>
  <c r="M18" i="79" s="1"/>
  <c r="J34" i="79"/>
  <c r="K34" i="79" s="1"/>
  <c r="L34" i="79" s="1"/>
  <c r="M34" i="79" s="1"/>
  <c r="J23" i="79"/>
  <c r="K23" i="79" s="1"/>
  <c r="L23" i="79" s="1"/>
  <c r="M23" i="79" s="1"/>
  <c r="J25" i="79"/>
  <c r="K25" i="79" s="1"/>
  <c r="L25" i="79" s="1"/>
  <c r="M25" i="79" s="1"/>
  <c r="J19" i="79"/>
  <c r="K19" i="79" s="1"/>
  <c r="L19" i="79" s="1"/>
  <c r="M19" i="79" s="1"/>
  <c r="S30" i="67"/>
  <c r="Q15" i="61" s="1"/>
  <c r="E53" i="70" s="1"/>
  <c r="S28" i="67"/>
  <c r="P15" i="61" s="1"/>
  <c r="E36" i="70" s="1"/>
  <c r="O15" i="61"/>
  <c r="D36" i="70" s="1"/>
  <c r="E38" i="70"/>
  <c r="E35" i="70"/>
  <c r="F52" i="70"/>
  <c r="F51" i="70"/>
  <c r="E34" i="70"/>
  <c r="P17" i="61"/>
  <c r="Q17" i="61"/>
  <c r="E54" i="70" s="1"/>
  <c r="Q11" i="61"/>
  <c r="E51" i="70" s="1"/>
  <c r="F50" i="70" l="1"/>
  <c r="F53" i="70"/>
  <c r="F54" i="70"/>
  <c r="E37" i="70"/>
  <c r="L60" i="43"/>
  <c r="E16" i="13" l="1"/>
  <c r="E17" i="13" s="1"/>
  <c r="L31" i="61"/>
  <c r="L36" i="61" s="1"/>
  <c r="F16" i="13"/>
  <c r="I16" i="13"/>
  <c r="J16" i="13" s="1"/>
  <c r="L64" i="43"/>
  <c r="L66" i="43"/>
  <c r="O60" i="43"/>
  <c r="M31" i="61" s="1"/>
  <c r="U60" i="43"/>
  <c r="N31" i="61" s="1"/>
  <c r="G16" i="13" l="1"/>
  <c r="F17" i="13"/>
  <c r="O64" i="43"/>
  <c r="O66" i="43" s="1"/>
  <c r="M36" i="61"/>
  <c r="E19" i="13"/>
  <c r="E21" i="13" s="1"/>
  <c r="E22" i="13" s="1"/>
  <c r="I17" i="13"/>
  <c r="U62" i="43"/>
  <c r="O31" i="61" s="1"/>
  <c r="D42" i="70" s="1"/>
  <c r="N36" i="61"/>
  <c r="U64" i="43" l="1"/>
  <c r="P31" i="61" s="1"/>
  <c r="G17" i="13"/>
  <c r="J17" i="13"/>
  <c r="F59" i="70" l="1"/>
  <c r="E42" i="70"/>
  <c r="O36" i="61"/>
  <c r="D43" i="70" l="1"/>
  <c r="O40" i="61"/>
  <c r="P36" i="61"/>
  <c r="E43" i="70" l="1"/>
  <c r="F60" i="70"/>
  <c r="J56" i="43" l="1"/>
  <c r="J54" i="43"/>
  <c r="J53" i="43"/>
  <c r="J57" i="43"/>
  <c r="J55" i="43"/>
  <c r="J52" i="43"/>
  <c r="J51" i="43"/>
  <c r="J49" i="43"/>
  <c r="J50" i="43"/>
</calcChain>
</file>

<file path=xl/sharedStrings.xml><?xml version="1.0" encoding="utf-8"?>
<sst xmlns="http://schemas.openxmlformats.org/spreadsheetml/2006/main" count="1353" uniqueCount="253">
  <si>
    <t>Proposed Rate</t>
  </si>
  <si>
    <t>Billing</t>
  </si>
  <si>
    <t>Calculated</t>
  </si>
  <si>
    <t>Description</t>
  </si>
  <si>
    <t>Units</t>
  </si>
  <si>
    <t>Rate</t>
  </si>
  <si>
    <t>Billings</t>
  </si>
  <si>
    <t>Energy Charge</t>
  </si>
  <si>
    <t>kWh</t>
  </si>
  <si>
    <t>Customer Months</t>
  </si>
  <si>
    <t>Customer Charge</t>
  </si>
  <si>
    <t>Per kWh</t>
  </si>
  <si>
    <t>Per Customer</t>
  </si>
  <si>
    <t>Difference</t>
  </si>
  <si>
    <t>Customer Class</t>
  </si>
  <si>
    <t>Current  Rate Calculated Billings</t>
  </si>
  <si>
    <t>Lights</t>
  </si>
  <si>
    <t>Per Light</t>
  </si>
  <si>
    <t>Minimum Bills</t>
  </si>
  <si>
    <t>Revenue Per Books</t>
  </si>
  <si>
    <t>Percentage Difference</t>
  </si>
  <si>
    <t>All Kwh's</t>
  </si>
  <si>
    <t>Percent Change</t>
  </si>
  <si>
    <t>All kWh</t>
  </si>
  <si>
    <t>Cust</t>
  </si>
  <si>
    <t>MO-YR</t>
  </si>
  <si>
    <t>Percent Difference</t>
  </si>
  <si>
    <t>Distribution Demand</t>
  </si>
  <si>
    <t>Residential Service</t>
  </si>
  <si>
    <t>All Cust. Months</t>
  </si>
  <si>
    <t>Test Year Rate</t>
  </si>
  <si>
    <t>Purchased Power Demand</t>
  </si>
  <si>
    <t>Purchased Power Energy</t>
  </si>
  <si>
    <t>Test Year Rate Calculated Billings</t>
  </si>
  <si>
    <t>Facility Charge</t>
  </si>
  <si>
    <t>Billing Total</t>
  </si>
  <si>
    <t>Total Rate 11</t>
  </si>
  <si>
    <t>Total Rate 10 &amp; 13</t>
  </si>
  <si>
    <t xml:space="preserve">No. Consumers </t>
  </si>
  <si>
    <t>On Peak</t>
  </si>
  <si>
    <t>Off Peak</t>
  </si>
  <si>
    <t>All Months</t>
  </si>
  <si>
    <t>Revenue</t>
  </si>
  <si>
    <t>Cost Based Rate @ 7% ROR</t>
  </si>
  <si>
    <t>All Customers</t>
  </si>
  <si>
    <t>kWh Sold</t>
  </si>
  <si>
    <t>kWh Revenue</t>
  </si>
  <si>
    <t>Service Revenue</t>
  </si>
  <si>
    <t>Cost Based Rates - 7% ROR</t>
  </si>
  <si>
    <t xml:space="preserve">Purchased Power Energy </t>
  </si>
  <si>
    <t>On Peak Energy</t>
  </si>
  <si>
    <t>Off Peak Energy</t>
  </si>
  <si>
    <t>Cost Based TOU Rates - 7% ROR</t>
  </si>
  <si>
    <t>Present and Proposed Rates</t>
  </si>
  <si>
    <t>Rate Class</t>
  </si>
  <si>
    <t>Rates</t>
  </si>
  <si>
    <t xml:space="preserve">Billing  </t>
  </si>
  <si>
    <t>Present</t>
  </si>
  <si>
    <t>Proposed</t>
  </si>
  <si>
    <t>Increase</t>
  </si>
  <si>
    <t>Classification</t>
  </si>
  <si>
    <t>Code</t>
  </si>
  <si>
    <t>Unit</t>
  </si>
  <si>
    <t>$</t>
  </si>
  <si>
    <t>%</t>
  </si>
  <si>
    <t>TOTAL</t>
  </si>
  <si>
    <t>Intermountain Rural Electric Association</t>
  </si>
  <si>
    <t>Service $</t>
  </si>
  <si>
    <t>Energy $</t>
  </si>
  <si>
    <t>Residential - Overhead A02</t>
  </si>
  <si>
    <t>Residential - Underground A03</t>
  </si>
  <si>
    <t>Residential TOU - Overhead A02T</t>
  </si>
  <si>
    <t>Residential TOU - Underground A03T</t>
  </si>
  <si>
    <t>Residential TOU Service</t>
  </si>
  <si>
    <t>On Peak Kwh - Rural</t>
  </si>
  <si>
    <t>Off Peak Kwh - Rural</t>
  </si>
  <si>
    <t>On Peak Kwh - City</t>
  </si>
  <si>
    <t>Off Peak Kwh - City</t>
  </si>
  <si>
    <t>Residential TOU - City Overhead CS2T</t>
  </si>
  <si>
    <t>Residential TOU - City Underground CS3T</t>
  </si>
  <si>
    <t>Total Rate Revenue</t>
  </si>
  <si>
    <t>Rate Code</t>
  </si>
  <si>
    <t>A02 &amp; A03</t>
  </si>
  <si>
    <t>A02T, A03T, C02T, C03T</t>
  </si>
  <si>
    <t>Total</t>
  </si>
  <si>
    <t>Avg Incr/(Decr) Per Customer Per Month</t>
  </si>
  <si>
    <t>Revenues</t>
  </si>
  <si>
    <t xml:space="preserve">Present </t>
  </si>
  <si>
    <t>Energy Charge (per kWh)</t>
  </si>
  <si>
    <t>Demand Charge (per kW)</t>
  </si>
  <si>
    <t>Proposed Rates</t>
  </si>
  <si>
    <t>Avg Incr/(Decr) Per Light Per Month</t>
  </si>
  <si>
    <t>Avg Bill</t>
  </si>
  <si>
    <t>FAC</t>
  </si>
  <si>
    <t>Customers</t>
  </si>
  <si>
    <t>per Customer</t>
  </si>
  <si>
    <t>Demand Charge</t>
  </si>
  <si>
    <t>kW</t>
  </si>
  <si>
    <t>Per kW</t>
  </si>
  <si>
    <t>Other</t>
  </si>
  <si>
    <t>Demand Charge Excess (per kW)</t>
  </si>
  <si>
    <t>ES</t>
  </si>
  <si>
    <t>Annual</t>
  </si>
  <si>
    <t>Monthly</t>
  </si>
  <si>
    <t>Reported Total</t>
  </si>
  <si>
    <t xml:space="preserve">Test Year </t>
  </si>
  <si>
    <t>Over TY</t>
  </si>
  <si>
    <t>Test Year</t>
  </si>
  <si>
    <t>Present Rate</t>
  </si>
  <si>
    <t>Difference from Present Rates</t>
  </si>
  <si>
    <t>Percent Change from Present Rates</t>
  </si>
  <si>
    <t>Incr (Decr)</t>
  </si>
  <si>
    <t>Over Pres</t>
  </si>
  <si>
    <t>Demand Charge Contract (per kW)</t>
  </si>
  <si>
    <t>Customer</t>
  </si>
  <si>
    <t>Energy</t>
  </si>
  <si>
    <t>Customer Charge (per month)</t>
  </si>
  <si>
    <t>Percent</t>
  </si>
  <si>
    <t>Public Notice of Proposed Rate Revisions</t>
  </si>
  <si>
    <t>Average</t>
  </si>
  <si>
    <t>Usage (kWh)</t>
  </si>
  <si>
    <t>The amount of the change requested in both dollar amounts and percentage change for each customer classification to which the proposed rates will apply is set forth below:</t>
  </si>
  <si>
    <t>The amount of the average usage and the effect upon the average bill for each customer classification to which the proposed rates will apply is set forth below:</t>
  </si>
  <si>
    <t>Dollars</t>
  </si>
  <si>
    <t>#</t>
  </si>
  <si>
    <t xml:space="preserve">Energy </t>
  </si>
  <si>
    <t xml:space="preserve">Customer </t>
  </si>
  <si>
    <t>Present Base Rates</t>
  </si>
  <si>
    <t>Proposed Base Rates</t>
  </si>
  <si>
    <t>JACKSON ENERGY COOPERATIVE</t>
  </si>
  <si>
    <t>Residential Off Peak ETS</t>
  </si>
  <si>
    <t>Commercial Service &lt; 50 KW</t>
  </si>
  <si>
    <t>Commercial Off Peak ETS</t>
  </si>
  <si>
    <t>Large Power Loads 50 KW and Over</t>
  </si>
  <si>
    <t>Large Power Rate 500 KW and Over</t>
  </si>
  <si>
    <t>Large Power Rate 500 kW and Over</t>
  </si>
  <si>
    <t>Schools, Churches, Community Halls &amp; Community Parks</t>
  </si>
  <si>
    <t>All Electric Schools AES</t>
  </si>
  <si>
    <t>Outdoor Lighting</t>
  </si>
  <si>
    <t>OL</t>
  </si>
  <si>
    <t>BILLING DETERMINANTS</t>
  </si>
  <si>
    <t>CUSTOMERS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</si>
  <si>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</si>
  <si>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</si>
  <si>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</si>
  <si>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</si>
  <si>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</si>
  <si>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</si>
  <si>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</si>
  <si>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</si>
  <si>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</si>
  <si>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</si>
  <si>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</si>
  <si>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</si>
  <si>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</si>
  <si>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Total w/o ETS</t>
  </si>
  <si>
    <t>ACTUAL DEMAND (KW)</t>
  </si>
  <si>
    <t>BILLED DEMAND (KW)</t>
  </si>
  <si>
    <t>DEMAND REVENUE ($)</t>
  </si>
  <si>
    <t>REVENUE Subtotal ($)</t>
  </si>
  <si>
    <t>REVENUE FAC Net Added &amp; Reversed ($)</t>
  </si>
  <si>
    <t>REVENUE ($)</t>
  </si>
  <si>
    <t>FAC ($)</t>
  </si>
  <si>
    <t>ES ($)</t>
  </si>
  <si>
    <t>All Hours</t>
  </si>
  <si>
    <t>NCP</t>
  </si>
  <si>
    <t>Contract</t>
  </si>
  <si>
    <t>Excess</t>
  </si>
  <si>
    <t>Street Lighting:</t>
  </si>
  <si>
    <t>400 Watt Mercury Vapor</t>
  </si>
  <si>
    <t>Cobra Head Light</t>
  </si>
  <si>
    <t>CH1</t>
  </si>
  <si>
    <t>200 Watt HPS 22,000 Lumens</t>
  </si>
  <si>
    <t>HP3</t>
  </si>
  <si>
    <t>250 Watt HPS 27,500 Lumens</t>
  </si>
  <si>
    <t>CH2</t>
  </si>
  <si>
    <t>400 Watt HPS 50,000 Lumens</t>
  </si>
  <si>
    <t>CH3</t>
  </si>
  <si>
    <t>Residential &amp; Commercial Standard Lighting:</t>
  </si>
  <si>
    <t>175 Watt Mercury Vapor</t>
  </si>
  <si>
    <t>Security Light</t>
  </si>
  <si>
    <t>MVL</t>
  </si>
  <si>
    <t>Flood Light</t>
  </si>
  <si>
    <t>DF1</t>
  </si>
  <si>
    <t>1,000 Watt Mercury Vapor</t>
  </si>
  <si>
    <t>DF2</t>
  </si>
  <si>
    <t>100 Watt HPS 9,500 Lumens</t>
  </si>
  <si>
    <t>HP1</t>
  </si>
  <si>
    <t>DF3</t>
  </si>
  <si>
    <t>DF4</t>
  </si>
  <si>
    <t>70 Watt EvLuma LED</t>
  </si>
  <si>
    <t>ENV</t>
  </si>
  <si>
    <t>129 Watt Cooper Night Falcon LED</t>
  </si>
  <si>
    <t>CNF</t>
  </si>
  <si>
    <t>Specialty Lighting:</t>
  </si>
  <si>
    <t>Acorn Light</t>
  </si>
  <si>
    <t>ACL</t>
  </si>
  <si>
    <t>ACH</t>
  </si>
  <si>
    <t>Colonial Light</t>
  </si>
  <si>
    <t>CPH</t>
  </si>
  <si>
    <t>CPL</t>
  </si>
  <si>
    <t>Interstate Light</t>
  </si>
  <si>
    <t>INT</t>
  </si>
  <si>
    <t>70 Watt HPS 4,000 Lumens</t>
  </si>
  <si>
    <t>CL2</t>
  </si>
  <si>
    <t>Poles:</t>
  </si>
  <si>
    <t>15 ft Aluminum Pole</t>
  </si>
  <si>
    <t>30 ft Wood Pole</t>
  </si>
  <si>
    <t>30 ft Aluminum Pole for Cobra Head</t>
  </si>
  <si>
    <t>35 ft Wood Pole</t>
  </si>
  <si>
    <t>35 ft Aluminum Pole</t>
  </si>
  <si>
    <t>35 ft Aluminum Pole for Cobra Head</t>
  </si>
  <si>
    <t>40 ft Wood Pole</t>
  </si>
  <si>
    <t xml:space="preserve">40 ft Aluminum Pole  </t>
  </si>
  <si>
    <t>40 ft Aluminum Pole for Cobra Head</t>
  </si>
  <si>
    <t>45 ft Wood Pole</t>
  </si>
  <si>
    <t>50 ft Wood Pole</t>
  </si>
  <si>
    <t>Power Installed Foundation</t>
  </si>
  <si>
    <t>Schools, Churches, Halls &amp; Parks</t>
  </si>
  <si>
    <t>LIGHTING REVENUE ($)</t>
  </si>
  <si>
    <t>LIGHTING CUSTOMER COUNT (#)</t>
  </si>
  <si>
    <t>LIGHTING ENERGY (KWH)</t>
  </si>
  <si>
    <t>KWH</t>
  </si>
  <si>
    <t xml:space="preserve">Residential </t>
  </si>
  <si>
    <t>No changes are proposed to Rate Schedules for:</t>
  </si>
  <si>
    <t>NA</t>
  </si>
  <si>
    <t>Large Power Rate 5000 KW and Over</t>
  </si>
  <si>
    <t>Renewable Energy Program</t>
  </si>
  <si>
    <t>Interruptible Service</t>
  </si>
  <si>
    <t>Prepay Electric Service</t>
  </si>
  <si>
    <t>KY Energy Retrofit Rider</t>
  </si>
  <si>
    <t>Economic Development Rider</t>
  </si>
  <si>
    <t>Customer Charge Per Month</t>
  </si>
  <si>
    <t>Energy Charge Per kWh (all kWh)</t>
  </si>
  <si>
    <t>List of Rate Schedules</t>
  </si>
  <si>
    <t>ENERGY (KWH)  (OL not separated)</t>
  </si>
  <si>
    <t>Reconciliation of Actual vs. Calculated Billings</t>
  </si>
  <si>
    <t>R</t>
  </si>
  <si>
    <t>SC</t>
  </si>
  <si>
    <t>LC</t>
  </si>
  <si>
    <t>Year End - Avg</t>
  </si>
  <si>
    <t>Target Increase &gt;</t>
  </si>
  <si>
    <t>Variance &gt;</t>
  </si>
  <si>
    <t>Riders</t>
  </si>
  <si>
    <t>AVG</t>
  </si>
  <si>
    <t>Monthly Billing Impact Estimate by Usage</t>
  </si>
  <si>
    <t>FAC Roll In</t>
  </si>
  <si>
    <t>Increas</t>
  </si>
  <si>
    <t>Present to</t>
  </si>
  <si>
    <t>Scalar for</t>
  </si>
  <si>
    <t>ENERGY (KWH)  (OL separated)</t>
  </si>
  <si>
    <t>Check&gt;</t>
  </si>
  <si>
    <t>REVENUE Subtotal ($) (with Lighting Rev moved to 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</si>
</sst>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"/>
    <numFmt numFmtId="166" formatCode="&quot;$&quot;#,##0.00000"/>
    <numFmt numFmtId="167" formatCode="0.0%"/>
    <numFmt numFmtId="168" formatCode="0.000%"/>
    <numFmt numFmtId="169" formatCode="_(* #,##0_);_(* \(#,##0\);_(* &quot;-&quot;??_);_(@_)"/>
    <numFmt numFmtId="170" formatCode="_(* #,##0.0000_);_(* \(#,##0.0000\);_(* &quot;-&quot;??_);_(@_)"/>
    <numFmt numFmtId="171" formatCode="_(* #,##0.00000_);_(* \(#,##0.00000\);_(* &quot;-&quot;??_);_(@_)"/>
    <numFmt numFmtId="172" formatCode="_(&quot;$&quot;* #,##0.0000_);_(&quot;$&quot;* \(#,##0.0000\);_(&quot;$&quot;* &quot;-&quot;??_);_(@_)"/>
    <numFmt numFmtId="173" formatCode="_(&quot;$&quot;* #,##0.00000_);_(&quot;$&quot;* \(#,##0.00000\);_(&quot;$&quot;* &quot;-&quot;??_);_(@_)"/>
    <numFmt numFmtId="174" formatCode="&quot;$&quot;#,##0.00"/>
    <numFmt numFmtId="175" formatCode="0.000000"/>
    <numFmt numFmtId="176" formatCode="[$-409]mmmm\-yy;@"/>
    <numFmt numFmtId="177" formatCode="&quot;$&quot;#,##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i/>
      <u/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99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2"/>
      <color rgb="FF0000FF"/>
      <name val="Times New Roman"/>
      <family val="1"/>
    </font>
    <font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10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2" xfId="0" applyFont="1" applyBorder="1" applyAlignment="1">
      <alignment wrapText="1"/>
    </xf>
    <xf numFmtId="0" fontId="5" fillId="0" borderId="2" xfId="0" applyFont="1" applyBorder="1"/>
    <xf numFmtId="41" fontId="5" fillId="0" borderId="0" xfId="0" applyNumberFormat="1" applyFont="1"/>
    <xf numFmtId="44" fontId="5" fillId="0" borderId="0" xfId="4" applyFont="1"/>
    <xf numFmtId="44" fontId="5" fillId="0" borderId="0" xfId="0" applyNumberFormat="1" applyFont="1"/>
    <xf numFmtId="164" fontId="5" fillId="0" borderId="0" xfId="0" applyNumberFormat="1" applyFont="1"/>
    <xf numFmtId="0" fontId="6" fillId="0" borderId="2" xfId="0" applyFont="1" applyBorder="1"/>
    <xf numFmtId="41" fontId="6" fillId="0" borderId="2" xfId="0" applyNumberFormat="1" applyFont="1" applyBorder="1"/>
    <xf numFmtId="169" fontId="5" fillId="0" borderId="0" xfId="1" applyNumberFormat="1" applyFont="1"/>
    <xf numFmtId="165" fontId="5" fillId="0" borderId="0" xfId="0" applyNumberFormat="1" applyFont="1"/>
    <xf numFmtId="0" fontId="6" fillId="0" borderId="0" xfId="0" applyFont="1"/>
    <xf numFmtId="41" fontId="5" fillId="0" borderId="2" xfId="0" applyNumberFormat="1" applyFont="1" applyBorder="1"/>
    <xf numFmtId="166" fontId="5" fillId="0" borderId="0" xfId="0" applyNumberFormat="1" applyFont="1"/>
    <xf numFmtId="169" fontId="5" fillId="0" borderId="0" xfId="0" applyNumberFormat="1" applyFont="1"/>
    <xf numFmtId="43" fontId="5" fillId="0" borderId="0" xfId="0" applyNumberFormat="1" applyFont="1"/>
    <xf numFmtId="172" fontId="5" fillId="0" borderId="0" xfId="0" applyNumberFormat="1" applyFont="1"/>
    <xf numFmtId="164" fontId="5" fillId="0" borderId="0" xfId="9" applyNumberFormat="1" applyFont="1"/>
    <xf numFmtId="10" fontId="5" fillId="0" borderId="0" xfId="9" applyNumberFormat="1" applyFont="1" applyBorder="1"/>
    <xf numFmtId="164" fontId="5" fillId="0" borderId="3" xfId="0" applyNumberFormat="1" applyFont="1" applyBorder="1"/>
    <xf numFmtId="10" fontId="5" fillId="0" borderId="0" xfId="9" applyNumberFormat="1" applyFont="1"/>
    <xf numFmtId="43" fontId="5" fillId="0" borderId="0" xfId="1" applyFont="1"/>
    <xf numFmtId="173" fontId="5" fillId="0" borderId="0" xfId="0" applyNumberFormat="1" applyFont="1"/>
    <xf numFmtId="166" fontId="5" fillId="0" borderId="2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 wrapText="1"/>
    </xf>
    <xf numFmtId="169" fontId="5" fillId="0" borderId="2" xfId="1" applyNumberFormat="1" applyFont="1" applyBorder="1" applyAlignment="1">
      <alignment horizontal="right"/>
    </xf>
    <xf numFmtId="44" fontId="5" fillId="0" borderId="0" xfId="4" applyFont="1" applyBorder="1"/>
    <xf numFmtId="43" fontId="5" fillId="0" borderId="0" xfId="1" applyFont="1" applyBorder="1"/>
    <xf numFmtId="164" fontId="5" fillId="0" borderId="0" xfId="4" applyNumberFormat="1" applyFont="1" applyBorder="1" applyAlignment="1">
      <alignment horizontal="right"/>
    </xf>
    <xf numFmtId="169" fontId="5" fillId="0" borderId="0" xfId="1" applyNumberFormat="1" applyFont="1" applyBorder="1"/>
    <xf numFmtId="169" fontId="5" fillId="0" borderId="2" xfId="1" applyNumberFormat="1" applyFont="1" applyBorder="1"/>
    <xf numFmtId="41" fontId="5" fillId="0" borderId="0" xfId="0" applyNumberFormat="1" applyFont="1" applyAlignment="1">
      <alignment horizontal="right"/>
    </xf>
    <xf numFmtId="164" fontId="5" fillId="0" borderId="0" xfId="4" applyNumberFormat="1" applyFont="1" applyBorder="1"/>
    <xf numFmtId="169" fontId="5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69" fontId="5" fillId="0" borderId="0" xfId="1" applyNumberFormat="1" applyFont="1" applyAlignment="1">
      <alignment horizontal="right"/>
    </xf>
    <xf numFmtId="17" fontId="5" fillId="0" borderId="0" xfId="0" applyNumberFormat="1" applyFont="1"/>
    <xf numFmtId="0" fontId="5" fillId="0" borderId="0" xfId="0" applyFont="1" applyAlignment="1">
      <alignment horizontal="left"/>
    </xf>
    <xf numFmtId="169" fontId="5" fillId="0" borderId="0" xfId="1" applyNumberFormat="1" applyFont="1" applyFill="1"/>
    <xf numFmtId="169" fontId="5" fillId="0" borderId="0" xfId="1" applyNumberFormat="1" applyFont="1" applyFill="1" applyBorder="1"/>
    <xf numFmtId="164" fontId="5" fillId="0" borderId="0" xfId="9" applyNumberFormat="1" applyFont="1" applyFill="1"/>
    <xf numFmtId="10" fontId="5" fillId="0" borderId="0" xfId="9" applyNumberFormat="1" applyFont="1" applyFill="1" applyBorder="1"/>
    <xf numFmtId="164" fontId="5" fillId="0" borderId="0" xfId="9" applyNumberFormat="1" applyFont="1" applyFill="1" applyBorder="1"/>
    <xf numFmtId="168" fontId="5" fillId="0" borderId="0" xfId="9" applyNumberFormat="1" applyFont="1" applyFill="1" applyBorder="1"/>
    <xf numFmtId="173" fontId="5" fillId="0" borderId="0" xfId="4" applyNumberFormat="1" applyFont="1" applyBorder="1"/>
    <xf numFmtId="173" fontId="5" fillId="0" borderId="0" xfId="4" applyNumberFormat="1" applyFont="1"/>
    <xf numFmtId="175" fontId="5" fillId="0" borderId="0" xfId="0" applyNumberFormat="1" applyFont="1"/>
    <xf numFmtId="164" fontId="5" fillId="0" borderId="0" xfId="1" applyNumberFormat="1" applyFont="1"/>
    <xf numFmtId="164" fontId="5" fillId="0" borderId="0" xfId="4" applyNumberFormat="1" applyFont="1" applyFill="1" applyBorder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169" fontId="5" fillId="0" borderId="2" xfId="0" applyNumberFormat="1" applyFont="1" applyBorder="1"/>
    <xf numFmtId="41" fontId="5" fillId="0" borderId="3" xfId="0" applyNumberFormat="1" applyFont="1" applyBorder="1"/>
    <xf numFmtId="10" fontId="5" fillId="0" borderId="3" xfId="9" applyNumberFormat="1" applyFont="1" applyFill="1" applyBorder="1"/>
    <xf numFmtId="164" fontId="5" fillId="0" borderId="3" xfId="4" applyNumberFormat="1" applyFont="1" applyFill="1" applyBorder="1"/>
    <xf numFmtId="8" fontId="5" fillId="0" borderId="0" xfId="0" applyNumberFormat="1" applyFont="1"/>
    <xf numFmtId="2" fontId="5" fillId="0" borderId="0" xfId="0" applyNumberFormat="1" applyFont="1" applyAlignment="1">
      <alignment horizontal="right"/>
    </xf>
    <xf numFmtId="169" fontId="5" fillId="0" borderId="0" xfId="1" applyNumberFormat="1" applyFont="1" applyFill="1" applyBorder="1" applyAlignment="1">
      <alignment horizontal="right"/>
    </xf>
    <xf numFmtId="169" fontId="5" fillId="0" borderId="0" xfId="1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1" fontId="5" fillId="0" borderId="0" xfId="0" applyNumberFormat="1" applyFont="1"/>
    <xf numFmtId="170" fontId="5" fillId="0" borderId="0" xfId="1" applyNumberFormat="1" applyFont="1" applyBorder="1" applyAlignment="1">
      <alignment horizontal="right"/>
    </xf>
    <xf numFmtId="44" fontId="5" fillId="0" borderId="0" xfId="4" applyFont="1" applyBorder="1" applyAlignment="1">
      <alignment horizontal="right"/>
    </xf>
    <xf numFmtId="0" fontId="4" fillId="0" borderId="0" xfId="0" applyFont="1" applyAlignment="1">
      <alignment horizontal="right" wrapText="1"/>
    </xf>
    <xf numFmtId="174" fontId="5" fillId="0" borderId="0" xfId="0" applyNumberFormat="1" applyFont="1"/>
    <xf numFmtId="171" fontId="5" fillId="0" borderId="2" xfId="1" applyNumberFormat="1" applyFont="1" applyBorder="1"/>
    <xf numFmtId="1" fontId="5" fillId="0" borderId="0" xfId="0" applyNumberFormat="1" applyFont="1" applyAlignment="1">
      <alignment horizontal="right"/>
    </xf>
    <xf numFmtId="44" fontId="5" fillId="0" borderId="0" xfId="4" applyFont="1" applyFill="1"/>
    <xf numFmtId="169" fontId="5" fillId="0" borderId="0" xfId="9" applyNumberFormat="1" applyFont="1"/>
    <xf numFmtId="169" fontId="5" fillId="0" borderId="0" xfId="0" applyNumberFormat="1" applyFont="1" applyAlignment="1">
      <alignment horizontal="left"/>
    </xf>
    <xf numFmtId="10" fontId="5" fillId="0" borderId="0" xfId="9" applyNumberFormat="1" applyFont="1" applyFill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/>
    <xf numFmtId="171" fontId="5" fillId="0" borderId="0" xfId="1" applyNumberFormat="1" applyFont="1" applyBorder="1"/>
    <xf numFmtId="171" fontId="5" fillId="0" borderId="0" xfId="1" applyNumberFormat="1" applyFont="1"/>
    <xf numFmtId="0" fontId="8" fillId="0" borderId="0" xfId="0" applyFont="1"/>
    <xf numFmtId="0" fontId="4" fillId="0" borderId="2" xfId="0" applyFont="1" applyBorder="1" applyAlignment="1">
      <alignment horizontal="center"/>
    </xf>
    <xf numFmtId="164" fontId="5" fillId="0" borderId="0" xfId="5" applyNumberFormat="1" applyFont="1"/>
    <xf numFmtId="164" fontId="5" fillId="0" borderId="0" xfId="4" applyNumberFormat="1" applyFont="1" applyFill="1" applyAlignment="1">
      <alignment horizontal="right"/>
    </xf>
    <xf numFmtId="164" fontId="5" fillId="0" borderId="0" xfId="4" applyNumberFormat="1" applyFont="1" applyFill="1"/>
    <xf numFmtId="10" fontId="5" fillId="0" borderId="0" xfId="9" applyNumberFormat="1" applyFont="1" applyFill="1"/>
    <xf numFmtId="176" fontId="5" fillId="0" borderId="0" xfId="0" applyNumberFormat="1" applyFont="1"/>
    <xf numFmtId="2" fontId="5" fillId="0" borderId="2" xfId="0" applyNumberFormat="1" applyFont="1" applyBorder="1" applyAlignment="1">
      <alignment horizontal="right"/>
    </xf>
    <xf numFmtId="44" fontId="5" fillId="0" borderId="0" xfId="4" applyFont="1" applyFill="1" applyBorder="1"/>
    <xf numFmtId="44" fontId="5" fillId="0" borderId="2" xfId="4" applyFont="1" applyBorder="1"/>
    <xf numFmtId="44" fontId="5" fillId="0" borderId="2" xfId="4" applyFont="1" applyFill="1" applyBorder="1"/>
    <xf numFmtId="44" fontId="5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9" fontId="5" fillId="0" borderId="0" xfId="9" applyFont="1"/>
    <xf numFmtId="0" fontId="5" fillId="0" borderId="0" xfId="8" applyFont="1"/>
    <xf numFmtId="10" fontId="5" fillId="0" borderId="0" xfId="12" applyNumberFormat="1" applyFont="1"/>
    <xf numFmtId="0" fontId="8" fillId="0" borderId="0" xfId="8" applyFont="1"/>
    <xf numFmtId="0" fontId="4" fillId="0" borderId="0" xfId="8" applyFont="1" applyAlignment="1">
      <alignment horizontal="right"/>
    </xf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2" xfId="8" applyFont="1" applyBorder="1"/>
    <xf numFmtId="0" fontId="4" fillId="0" borderId="2" xfId="8" applyFont="1" applyBorder="1" applyAlignment="1">
      <alignment horizontal="right"/>
    </xf>
    <xf numFmtId="0" fontId="5" fillId="0" borderId="0" xfId="7" applyFont="1"/>
    <xf numFmtId="43" fontId="5" fillId="0" borderId="0" xfId="3" applyFont="1"/>
    <xf numFmtId="167" fontId="5" fillId="0" borderId="0" xfId="11" applyNumberFormat="1" applyFont="1"/>
    <xf numFmtId="164" fontId="5" fillId="0" borderId="0" xfId="8" applyNumberFormat="1" applyFont="1"/>
    <xf numFmtId="171" fontId="5" fillId="0" borderId="0" xfId="3" applyNumberFormat="1" applyFont="1"/>
    <xf numFmtId="0" fontId="5" fillId="2" borderId="0" xfId="8" applyFont="1" applyFill="1"/>
    <xf numFmtId="0" fontId="5" fillId="0" borderId="0" xfId="8" applyFont="1" applyAlignment="1">
      <alignment horizontal="center"/>
    </xf>
    <xf numFmtId="167" fontId="5" fillId="0" borderId="0" xfId="12" applyNumberFormat="1" applyFont="1"/>
    <xf numFmtId="0" fontId="5" fillId="0" borderId="3" xfId="8" applyFont="1" applyBorder="1" applyAlignment="1">
      <alignment vertical="center"/>
    </xf>
    <xf numFmtId="164" fontId="5" fillId="0" borderId="3" xfId="8" applyNumberFormat="1" applyFont="1" applyBorder="1" applyAlignment="1">
      <alignment vertical="center"/>
    </xf>
    <xf numFmtId="167" fontId="5" fillId="0" borderId="3" xfId="12" applyNumberFormat="1" applyFont="1" applyBorder="1" applyAlignment="1">
      <alignment vertical="center"/>
    </xf>
    <xf numFmtId="0" fontId="5" fillId="0" borderId="0" xfId="8" applyFont="1" applyAlignment="1">
      <alignment vertical="center"/>
    </xf>
    <xf numFmtId="167" fontId="5" fillId="0" borderId="0" xfId="8" applyNumberFormat="1" applyFont="1"/>
    <xf numFmtId="5" fontId="5" fillId="0" borderId="0" xfId="4" applyNumberFormat="1" applyFont="1" applyFill="1"/>
    <xf numFmtId="0" fontId="5" fillId="0" borderId="0" xfId="1" applyNumberFormat="1" applyFont="1" applyFill="1" applyAlignment="1">
      <alignment horizontal="center"/>
    </xf>
    <xf numFmtId="0" fontId="5" fillId="0" borderId="0" xfId="11" applyNumberFormat="1" applyFont="1" applyFill="1" applyAlignment="1">
      <alignment horizontal="center"/>
    </xf>
    <xf numFmtId="0" fontId="5" fillId="0" borderId="3" xfId="8" applyFont="1" applyBorder="1" applyAlignment="1">
      <alignment horizontal="center" vertical="center"/>
    </xf>
    <xf numFmtId="44" fontId="6" fillId="0" borderId="0" xfId="4" applyFont="1" applyFill="1"/>
    <xf numFmtId="164" fontId="5" fillId="0" borderId="0" xfId="5" applyNumberFormat="1" applyFont="1" applyFill="1"/>
    <xf numFmtId="167" fontId="5" fillId="0" borderId="0" xfId="11" applyNumberFormat="1" applyFont="1" applyFill="1"/>
    <xf numFmtId="41" fontId="4" fillId="0" borderId="0" xfId="0" applyNumberFormat="1" applyFont="1" applyAlignment="1">
      <alignment horizontal="right" wrapText="1"/>
    </xf>
    <xf numFmtId="167" fontId="5" fillId="0" borderId="0" xfId="9" applyNumberFormat="1" applyFont="1" applyFill="1"/>
    <xf numFmtId="169" fontId="4" fillId="0" borderId="0" xfId="0" applyNumberFormat="1" applyFont="1" applyAlignment="1">
      <alignment horizontal="right" wrapText="1"/>
    </xf>
    <xf numFmtId="0" fontId="5" fillId="0" borderId="0" xfId="8" applyFont="1" applyAlignment="1">
      <alignment horizontal="right"/>
    </xf>
    <xf numFmtId="0" fontId="5" fillId="0" borderId="0" xfId="8" applyFont="1" applyAlignment="1">
      <alignment horizontal="center" vertical="center"/>
    </xf>
    <xf numFmtId="164" fontId="5" fillId="0" borderId="0" xfId="8" applyNumberFormat="1" applyFont="1" applyAlignment="1">
      <alignment vertical="center"/>
    </xf>
    <xf numFmtId="167" fontId="5" fillId="0" borderId="0" xfId="12" applyNumberFormat="1" applyFont="1" applyBorder="1" applyAlignment="1">
      <alignment vertical="center"/>
    </xf>
    <xf numFmtId="7" fontId="5" fillId="0" borderId="0" xfId="4" applyNumberFormat="1" applyFont="1" applyFill="1"/>
    <xf numFmtId="0" fontId="12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4" fillId="0" borderId="0" xfId="7" applyFont="1"/>
    <xf numFmtId="0" fontId="15" fillId="0" borderId="0" xfId="0" applyFont="1"/>
    <xf numFmtId="43" fontId="15" fillId="0" borderId="0" xfId="1" applyFont="1"/>
    <xf numFmtId="174" fontId="15" fillId="0" borderId="0" xfId="1" quotePrefix="1" applyNumberFormat="1" applyFont="1" applyBorder="1" applyAlignment="1">
      <alignment horizontal="center"/>
    </xf>
    <xf numFmtId="167" fontId="15" fillId="0" borderId="0" xfId="9" applyNumberFormat="1" applyFont="1"/>
    <xf numFmtId="174" fontId="15" fillId="0" borderId="0" xfId="0" applyNumberFormat="1" applyFont="1"/>
    <xf numFmtId="177" fontId="15" fillId="0" borderId="0" xfId="0" applyNumberFormat="1" applyFont="1"/>
    <xf numFmtId="177" fontId="15" fillId="0" borderId="4" xfId="0" applyNumberFormat="1" applyFont="1" applyBorder="1"/>
    <xf numFmtId="167" fontId="15" fillId="0" borderId="4" xfId="9" applyNumberFormat="1" applyFont="1" applyBorder="1"/>
    <xf numFmtId="169" fontId="0" fillId="0" borderId="0" xfId="1" applyNumberFormat="1" applyFont="1"/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7" fillId="0" borderId="7" xfId="0" applyFont="1" applyBorder="1" applyAlignment="1">
      <alignment horizontal="right"/>
    </xf>
    <xf numFmtId="0" fontId="0" fillId="0" borderId="0" xfId="0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4" fontId="5" fillId="0" borderId="0" xfId="4" applyNumberFormat="1" applyFont="1" applyFill="1"/>
    <xf numFmtId="164" fontId="5" fillId="0" borderId="0" xfId="4" applyNumberFormat="1" applyFont="1" applyFill="1" applyBorder="1" applyAlignment="1">
      <alignment horizontal="right"/>
    </xf>
    <xf numFmtId="169" fontId="15" fillId="0" borderId="0" xfId="1" applyNumberFormat="1" applyFont="1"/>
    <xf numFmtId="0" fontId="16" fillId="0" borderId="0" xfId="0" applyFont="1" applyAlignment="1">
      <alignment horizontal="right"/>
    </xf>
    <xf numFmtId="169" fontId="16" fillId="0" borderId="0" xfId="1" applyNumberFormat="1" applyFont="1" applyAlignment="1">
      <alignment horizontal="right"/>
    </xf>
    <xf numFmtId="169" fontId="15" fillId="0" borderId="4" xfId="1" applyNumberFormat="1" applyFont="1" applyBorder="1"/>
    <xf numFmtId="169" fontId="15" fillId="0" borderId="0" xfId="1" applyNumberFormat="1" applyFont="1" applyBorder="1"/>
    <xf numFmtId="0" fontId="15" fillId="0" borderId="4" xfId="0" applyFont="1" applyBorder="1"/>
    <xf numFmtId="43" fontId="15" fillId="0" borderId="4" xfId="1" applyFont="1" applyBorder="1"/>
    <xf numFmtId="0" fontId="17" fillId="0" borderId="0" xfId="0" applyFont="1"/>
    <xf numFmtId="169" fontId="18" fillId="3" borderId="0" xfId="1" applyNumberFormat="1" applyFont="1" applyFill="1"/>
    <xf numFmtId="0" fontId="3" fillId="0" borderId="4" xfId="0" applyFont="1" applyBorder="1"/>
    <xf numFmtId="43" fontId="18" fillId="3" borderId="0" xfId="1" applyFont="1" applyFill="1"/>
    <xf numFmtId="43" fontId="15" fillId="3" borderId="0" xfId="1" applyFont="1" applyFill="1"/>
    <xf numFmtId="169" fontId="5" fillId="0" borderId="1" xfId="1" applyNumberFormat="1" applyFont="1" applyFill="1" applyBorder="1"/>
    <xf numFmtId="169" fontId="11" fillId="0" borderId="0" xfId="1" applyNumberFormat="1" applyFont="1" applyFill="1"/>
    <xf numFmtId="169" fontId="4" fillId="0" borderId="3" xfId="1" applyNumberFormat="1" applyFont="1" applyFill="1" applyBorder="1"/>
    <xf numFmtId="169" fontId="4" fillId="0" borderId="0" xfId="1" quotePrefix="1" applyNumberFormat="1" applyFont="1" applyFill="1"/>
    <xf numFmtId="10" fontId="6" fillId="0" borderId="0" xfId="9" applyNumberFormat="1" applyFont="1" applyFill="1"/>
    <xf numFmtId="0" fontId="8" fillId="0" borderId="0" xfId="15" applyFont="1"/>
    <xf numFmtId="0" fontId="3" fillId="0" borderId="0" xfId="15" applyAlignment="1">
      <alignment horizontal="center"/>
    </xf>
    <xf numFmtId="0" fontId="3" fillId="0" borderId="0" xfId="15"/>
    <xf numFmtId="0" fontId="8" fillId="0" borderId="0" xfId="15" applyFont="1" applyAlignment="1">
      <alignment horizontal="left"/>
    </xf>
    <xf numFmtId="0" fontId="12" fillId="0" borderId="8" xfId="15" applyFont="1" applyBorder="1" applyAlignment="1">
      <alignment horizontal="center" vertical="center"/>
    </xf>
    <xf numFmtId="0" fontId="12" fillId="0" borderId="9" xfId="15" applyFont="1" applyBorder="1" applyAlignment="1">
      <alignment horizontal="center" vertical="center"/>
    </xf>
    <xf numFmtId="0" fontId="12" fillId="0" borderId="29" xfId="15" applyFont="1" applyBorder="1" applyAlignment="1">
      <alignment horizontal="center" vertical="center"/>
    </xf>
    <xf numFmtId="0" fontId="12" fillId="0" borderId="30" xfId="15" applyFont="1" applyBorder="1" applyAlignment="1">
      <alignment horizontal="center" vertical="center"/>
    </xf>
    <xf numFmtId="0" fontId="12" fillId="0" borderId="31" xfId="15" applyFont="1" applyBorder="1" applyAlignment="1">
      <alignment horizontal="center" vertical="center"/>
    </xf>
    <xf numFmtId="0" fontId="12" fillId="0" borderId="32" xfId="15" applyFont="1" applyBorder="1" applyAlignment="1">
      <alignment horizontal="center" vertical="center"/>
    </xf>
    <xf numFmtId="0" fontId="12" fillId="0" borderId="0" xfId="15" applyFont="1"/>
    <xf numFmtId="0" fontId="12" fillId="0" borderId="10" xfId="15" applyFont="1" applyBorder="1" applyAlignment="1">
      <alignment horizontal="center" vertical="center"/>
    </xf>
    <xf numFmtId="0" fontId="12" fillId="0" borderId="11" xfId="15" applyFont="1" applyBorder="1" applyAlignment="1">
      <alignment horizontal="center" vertical="center"/>
    </xf>
    <xf numFmtId="44" fontId="19" fillId="0" borderId="11" xfId="15" applyNumberFormat="1" applyFont="1" applyBorder="1" applyAlignment="1">
      <alignment horizontal="center" vertical="center"/>
    </xf>
    <xf numFmtId="0" fontId="19" fillId="0" borderId="11" xfId="15" applyFont="1" applyBorder="1" applyAlignment="1">
      <alignment horizontal="center" vertical="center"/>
    </xf>
    <xf numFmtId="0" fontId="12" fillId="0" borderId="33" xfId="15" applyFont="1" applyBorder="1" applyAlignment="1">
      <alignment horizontal="center" vertical="center"/>
    </xf>
    <xf numFmtId="0" fontId="3" fillId="0" borderId="12" xfId="15" applyBorder="1" applyAlignment="1">
      <alignment horizontal="center"/>
    </xf>
    <xf numFmtId="169" fontId="0" fillId="0" borderId="13" xfId="16" applyNumberFormat="1" applyFont="1" applyBorder="1"/>
    <xf numFmtId="44" fontId="3" fillId="0" borderId="14" xfId="15" applyNumberFormat="1" applyBorder="1"/>
    <xf numFmtId="44" fontId="3" fillId="0" borderId="0" xfId="15" applyNumberFormat="1"/>
    <xf numFmtId="44" fontId="3" fillId="0" borderId="5" xfId="15" applyNumberFormat="1" applyBorder="1"/>
    <xf numFmtId="44" fontId="3" fillId="0" borderId="14" xfId="17" applyFont="1" applyBorder="1"/>
    <xf numFmtId="44" fontId="3" fillId="0" borderId="5" xfId="17" applyFont="1" applyBorder="1"/>
    <xf numFmtId="167" fontId="3" fillId="0" borderId="15" xfId="18" applyNumberFormat="1" applyFont="1" applyBorder="1"/>
    <xf numFmtId="44" fontId="3" fillId="0" borderId="16" xfId="15" applyNumberFormat="1" applyBorder="1"/>
    <xf numFmtId="44" fontId="3" fillId="0" borderId="19" xfId="15" applyNumberFormat="1" applyBorder="1"/>
    <xf numFmtId="44" fontId="3" fillId="0" borderId="17" xfId="15" applyNumberFormat="1" applyBorder="1"/>
    <xf numFmtId="44" fontId="3" fillId="0" borderId="16" xfId="17" applyFont="1" applyBorder="1"/>
    <xf numFmtId="44" fontId="3" fillId="0" borderId="17" xfId="17" applyFont="1" applyBorder="1"/>
    <xf numFmtId="167" fontId="3" fillId="0" borderId="18" xfId="18" applyNumberFormat="1" applyFont="1" applyBorder="1"/>
    <xf numFmtId="169" fontId="3" fillId="0" borderId="16" xfId="1" applyNumberFormat="1" applyFont="1" applyBorder="1"/>
    <xf numFmtId="173" fontId="19" fillId="0" borderId="11" xfId="4" applyNumberFormat="1" applyFont="1" applyBorder="1" applyAlignment="1">
      <alignment horizontal="center" vertical="center"/>
    </xf>
    <xf numFmtId="0" fontId="3" fillId="0" borderId="0" xfId="8" applyFont="1"/>
    <xf numFmtId="166" fontId="3" fillId="0" borderId="0" xfId="3" applyNumberFormat="1" applyFont="1" applyFill="1"/>
    <xf numFmtId="9" fontId="15" fillId="0" borderId="0" xfId="9" applyFont="1"/>
    <xf numFmtId="9" fontId="15" fillId="0" borderId="4" xfId="9" applyFont="1" applyBorder="1"/>
    <xf numFmtId="0" fontId="3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/>
    </xf>
    <xf numFmtId="0" fontId="3" fillId="4" borderId="0" xfId="0" applyFont="1" applyFill="1"/>
    <xf numFmtId="0" fontId="15" fillId="4" borderId="0" xfId="0" applyFont="1" applyFill="1"/>
    <xf numFmtId="0" fontId="14" fillId="0" borderId="0" xfId="0" applyFont="1" applyAlignment="1">
      <alignment horizontal="center"/>
    </xf>
    <xf numFmtId="0" fontId="3" fillId="0" borderId="4" xfId="0" applyFont="1" applyBorder="1" applyAlignment="1">
      <alignment horizontal="right"/>
    </xf>
    <xf numFmtId="0" fontId="4" fillId="0" borderId="2" xfId="8" applyFont="1" applyBorder="1" applyAlignment="1">
      <alignment horizontal="center"/>
    </xf>
    <xf numFmtId="43" fontId="5" fillId="0" borderId="0" xfId="3" applyFont="1" applyFill="1"/>
    <xf numFmtId="169" fontId="5" fillId="0" borderId="2" xfId="1" applyNumberFormat="1" applyFont="1" applyFill="1" applyBorder="1"/>
    <xf numFmtId="174" fontId="3" fillId="0" borderId="0" xfId="1" applyNumberFormat="1" applyFont="1" applyFill="1"/>
    <xf numFmtId="0" fontId="5" fillId="0" borderId="4" xfId="8" applyFont="1" applyBorder="1" applyAlignment="1">
      <alignment horizontal="center"/>
    </xf>
    <xf numFmtId="0" fontId="5" fillId="0" borderId="2" xfId="8" applyFont="1" applyBorder="1" applyAlignment="1">
      <alignment horizontal="center"/>
    </xf>
    <xf numFmtId="0" fontId="5" fillId="0" borderId="2" xfId="7" applyFont="1" applyBorder="1"/>
    <xf numFmtId="0" fontId="5" fillId="0" borderId="2" xfId="11" applyNumberFormat="1" applyFont="1" applyFill="1" applyBorder="1" applyAlignment="1">
      <alignment horizontal="center"/>
    </xf>
    <xf numFmtId="0" fontId="5" fillId="0" borderId="2" xfId="8" applyFont="1" applyBorder="1"/>
    <xf numFmtId="0" fontId="5" fillId="2" borderId="2" xfId="8" applyFont="1" applyFill="1" applyBorder="1"/>
    <xf numFmtId="171" fontId="5" fillId="0" borderId="2" xfId="3" applyNumberFormat="1" applyFont="1" applyBorder="1"/>
    <xf numFmtId="171" fontId="5" fillId="0" borderId="2" xfId="3" applyNumberFormat="1" applyFont="1" applyFill="1" applyBorder="1"/>
    <xf numFmtId="164" fontId="5" fillId="0" borderId="2" xfId="5" applyNumberFormat="1" applyFont="1" applyBorder="1"/>
    <xf numFmtId="167" fontId="5" fillId="0" borderId="2" xfId="11" applyNumberFormat="1" applyFont="1" applyBorder="1"/>
    <xf numFmtId="5" fontId="5" fillId="0" borderId="2" xfId="4" applyNumberFormat="1" applyFont="1" applyFill="1" applyBorder="1"/>
    <xf numFmtId="43" fontId="5" fillId="0" borderId="2" xfId="1" applyFont="1" applyBorder="1"/>
    <xf numFmtId="43" fontId="5" fillId="0" borderId="2" xfId="3" applyFont="1" applyBorder="1"/>
    <xf numFmtId="167" fontId="5" fillId="0" borderId="3" xfId="12" applyNumberFormat="1" applyFont="1" applyBorder="1" applyAlignment="1">
      <alignment horizontal="right" vertical="center"/>
    </xf>
    <xf numFmtId="0" fontId="15" fillId="5" borderId="0" xfId="0" applyFont="1" applyFill="1"/>
    <xf numFmtId="169" fontId="20" fillId="3" borderId="0" xfId="1" applyNumberFormat="1" applyFont="1" applyFill="1"/>
    <xf numFmtId="169" fontId="22" fillId="3" borderId="0" xfId="1" applyNumberFormat="1" applyFont="1" applyFill="1"/>
    <xf numFmtId="0" fontId="15" fillId="6" borderId="0" xfId="0" applyFont="1" applyFill="1"/>
    <xf numFmtId="169" fontId="15" fillId="0" borderId="0" xfId="0" applyNumberFormat="1" applyFont="1"/>
    <xf numFmtId="164" fontId="5" fillId="0" borderId="0" xfId="4" applyNumberFormat="1" applyFont="1" applyAlignment="1">
      <alignment horizontal="right"/>
    </xf>
    <xf numFmtId="1" fontId="3" fillId="0" borderId="34" xfId="15" applyNumberFormat="1" applyBorder="1"/>
    <xf numFmtId="169" fontId="3" fillId="0" borderId="34" xfId="1" applyNumberFormat="1" applyBorder="1"/>
    <xf numFmtId="0" fontId="21" fillId="3" borderId="0" xfId="8" applyFont="1" applyFill="1"/>
    <xf numFmtId="174" fontId="5" fillId="0" borderId="0" xfId="1" applyNumberFormat="1" applyFont="1" applyFill="1"/>
    <xf numFmtId="171" fontId="21" fillId="3" borderId="0" xfId="1" applyNumberFormat="1" applyFont="1" applyFill="1"/>
    <xf numFmtId="169" fontId="5" fillId="0" borderId="0" xfId="1" quotePrefix="1" applyNumberFormat="1" applyFont="1" applyFill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" xfId="8" applyFont="1" applyBorder="1" applyAlignment="1">
      <alignment horizontal="center"/>
    </xf>
    <xf numFmtId="0" fontId="12" fillId="0" borderId="25" xfId="15" applyFont="1" applyBorder="1" applyAlignment="1">
      <alignment horizontal="center" vertical="center"/>
    </xf>
    <xf numFmtId="0" fontId="12" fillId="0" borderId="26" xfId="15" applyFont="1" applyBorder="1" applyAlignment="1">
      <alignment horizontal="center" vertical="center"/>
    </xf>
    <xf numFmtId="0" fontId="12" fillId="0" borderId="27" xfId="15" applyFont="1" applyBorder="1" applyAlignment="1">
      <alignment horizontal="center" vertical="center"/>
    </xf>
    <xf numFmtId="0" fontId="12" fillId="0" borderId="28" xfId="15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43" fontId="5" fillId="0" borderId="0" xfId="1" applyFont="1" applyFill="1"/>
    <xf numFmtId="171" fontId="5" fillId="0" borderId="0" xfId="3" applyNumberFormat="1" applyFont="1" applyFill="1"/>
    <xf numFmtId="43" fontId="5" fillId="0" borderId="2" xfId="1" applyFont="1" applyFill="1" applyBorder="1"/>
    <xf numFmtId="43" fontId="5" fillId="0" borderId="2" xfId="3" applyFont="1" applyFill="1" applyBorder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left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5" fillId="0" borderId="5" xfId="0" applyFont="1" applyFill="1" applyBorder="1"/>
    <xf numFmtId="0" fontId="4" fillId="0" borderId="0" xfId="8" applyFont="1" applyFill="1"/>
    <xf numFmtId="0" fontId="6" fillId="0" borderId="2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wrapText="1"/>
    </xf>
    <xf numFmtId="41" fontId="5" fillId="0" borderId="0" xfId="0" applyNumberFormat="1" applyFont="1" applyFill="1"/>
    <xf numFmtId="164" fontId="5" fillId="0" borderId="0" xfId="0" applyNumberFormat="1" applyFont="1" applyFill="1"/>
    <xf numFmtId="164" fontId="5" fillId="0" borderId="5" xfId="0" applyNumberFormat="1" applyFont="1" applyFill="1" applyBorder="1"/>
    <xf numFmtId="41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41" fontId="6" fillId="0" borderId="2" xfId="0" applyNumberFormat="1" applyFont="1" applyFill="1" applyBorder="1"/>
    <xf numFmtId="0" fontId="6" fillId="0" borderId="2" xfId="0" applyFont="1" applyFill="1" applyBorder="1"/>
    <xf numFmtId="166" fontId="5" fillId="0" borderId="0" xfId="0" applyNumberFormat="1" applyFont="1" applyFill="1"/>
    <xf numFmtId="0" fontId="6" fillId="0" borderId="0" xfId="0" applyFont="1" applyFill="1"/>
    <xf numFmtId="164" fontId="5" fillId="0" borderId="3" xfId="0" applyNumberFormat="1" applyFont="1" applyFill="1" applyBorder="1"/>
    <xf numFmtId="44" fontId="5" fillId="0" borderId="0" xfId="0" applyNumberFormat="1" applyFont="1" applyFill="1"/>
    <xf numFmtId="44" fontId="5" fillId="0" borderId="5" xfId="0" applyNumberFormat="1" applyFont="1" applyFill="1" applyBorder="1"/>
    <xf numFmtId="164" fontId="5" fillId="0" borderId="5" xfId="9" applyNumberFormat="1" applyFont="1" applyFill="1" applyBorder="1"/>
    <xf numFmtId="9" fontId="5" fillId="0" borderId="0" xfId="9" applyFont="1" applyFill="1"/>
    <xf numFmtId="10" fontId="5" fillId="0" borderId="5" xfId="9" applyNumberFormat="1" applyFont="1" applyFill="1" applyBorder="1"/>
    <xf numFmtId="2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4" fontId="5" fillId="0" borderId="0" xfId="4" applyFont="1" applyFill="1" applyBorder="1" applyAlignment="1">
      <alignment horizontal="right"/>
    </xf>
    <xf numFmtId="17" fontId="5" fillId="0" borderId="0" xfId="0" applyNumberFormat="1" applyFont="1" applyFill="1"/>
    <xf numFmtId="175" fontId="5" fillId="0" borderId="0" xfId="0" applyNumberFormat="1" applyFont="1" applyFill="1"/>
    <xf numFmtId="2" fontId="5" fillId="0" borderId="0" xfId="0" applyNumberFormat="1" applyFont="1" applyFill="1"/>
    <xf numFmtId="43" fontId="5" fillId="0" borderId="0" xfId="0" applyNumberFormat="1" applyFont="1" applyFill="1"/>
    <xf numFmtId="44" fontId="5" fillId="0" borderId="0" xfId="4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174" fontId="5" fillId="0" borderId="0" xfId="0" applyNumberFormat="1" applyFont="1" applyFill="1"/>
    <xf numFmtId="174" fontId="5" fillId="0" borderId="0" xfId="0" applyNumberFormat="1" applyFont="1" applyFill="1" applyAlignment="1">
      <alignment horizontal="right"/>
    </xf>
    <xf numFmtId="169" fontId="5" fillId="0" borderId="5" xfId="1" applyNumberFormat="1" applyFont="1" applyFill="1" applyBorder="1"/>
    <xf numFmtId="43" fontId="5" fillId="0" borderId="0" xfId="1" applyFont="1" applyFill="1" applyBorder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/>
    <xf numFmtId="41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right"/>
    </xf>
    <xf numFmtId="169" fontId="6" fillId="0" borderId="0" xfId="1" applyNumberFormat="1" applyFont="1" applyFill="1" applyAlignment="1">
      <alignment horizontal="left"/>
    </xf>
    <xf numFmtId="169" fontId="6" fillId="0" borderId="0" xfId="1" applyNumberFormat="1" applyFont="1" applyFill="1"/>
    <xf numFmtId="0" fontId="11" fillId="0" borderId="0" xfId="0" applyFont="1" applyFill="1"/>
    <xf numFmtId="169" fontId="5" fillId="0" borderId="0" xfId="0" applyNumberFormat="1" applyFont="1" applyFill="1"/>
    <xf numFmtId="164" fontId="5" fillId="0" borderId="2" xfId="0" applyNumberFormat="1" applyFont="1" applyFill="1" applyBorder="1"/>
    <xf numFmtId="0" fontId="4" fillId="0" borderId="3" xfId="0" applyFont="1" applyFill="1" applyBorder="1"/>
    <xf numFmtId="169" fontId="5" fillId="0" borderId="3" xfId="0" applyNumberFormat="1" applyFont="1" applyFill="1" applyBorder="1"/>
    <xf numFmtId="0" fontId="4" fillId="0" borderId="0" xfId="0" quotePrefix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6" fillId="0" borderId="0" xfId="0" applyNumberFormat="1" applyFont="1" applyFill="1"/>
    <xf numFmtId="44" fontId="5" fillId="0" borderId="0" xfId="4" applyFont="1" applyFill="1" applyAlignment="1">
      <alignment horizontal="center"/>
    </xf>
    <xf numFmtId="174" fontId="15" fillId="0" borderId="4" xfId="0" applyNumberFormat="1" applyFont="1" applyBorder="1" applyAlignment="1">
      <alignment horizontal="right"/>
    </xf>
  </cellXfs>
  <cellStyles count="20">
    <cellStyle name="Comma" xfId="1" builtinId="3"/>
    <cellStyle name="Comma 2" xfId="2" xr:uid="{00000000-0005-0000-0000-000001000000}"/>
    <cellStyle name="Comma 3" xfId="3" xr:uid="{00000000-0005-0000-0000-000002000000}"/>
    <cellStyle name="Comma 3 2" xfId="16" xr:uid="{00000000-0005-0000-0000-000003000000}"/>
    <cellStyle name="Comma 4" xfId="14" xr:uid="{00000000-0005-0000-0000-000004000000}"/>
    <cellStyle name="Currency" xfId="4" builtinId="4"/>
    <cellStyle name="Currency 2" xfId="5" xr:uid="{00000000-0005-0000-0000-000006000000}"/>
    <cellStyle name="Currency 2 2" xfId="17" xr:uid="{00000000-0005-0000-0000-000007000000}"/>
    <cellStyle name="Currency 3" xfId="6" xr:uid="{00000000-0005-0000-0000-000008000000}"/>
    <cellStyle name="Normal" xfId="0" builtinId="0"/>
    <cellStyle name="Normal 2" xfId="7" xr:uid="{00000000-0005-0000-0000-00000A000000}"/>
    <cellStyle name="Normal 2 2" xfId="15" xr:uid="{00000000-0005-0000-0000-00000B000000}"/>
    <cellStyle name="Normal 3" xfId="8" xr:uid="{00000000-0005-0000-0000-00000C000000}"/>
    <cellStyle name="Normal 4" xfId="13" xr:uid="{00000000-0005-0000-0000-00000D000000}"/>
    <cellStyle name="Percent" xfId="9" builtinId="5"/>
    <cellStyle name="Percent 2" xfId="10" xr:uid="{00000000-0005-0000-0000-00000F000000}"/>
    <cellStyle name="Percent 2 2" xfId="11" xr:uid="{00000000-0005-0000-0000-000010000000}"/>
    <cellStyle name="Percent 3" xfId="12" xr:uid="{00000000-0005-0000-0000-000011000000}"/>
    <cellStyle name="Percent 3 2" xfId="18" xr:uid="{00000000-0005-0000-0000-000012000000}"/>
    <cellStyle name="Percent 4" xfId="19" xr:uid="{00000000-0005-0000-0000-000013000000}"/>
  </cellStyles>
  <dxfs count="0"/>
  <tableStyles count="0" defaultTableStyle="TableStyleMedium9" defaultPivotStyle="PivotStyleLight16"/>
  <colors>
    <mruColors>
      <color rgb="FFFFFFCC"/>
      <color rgb="FF0000FF"/>
      <color rgb="FFEAEAEA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W84"/>
  <sheetViews>
    <sheetView view="pageBreakPreview" zoomScale="85" zoomScaleNormal="85" zoomScaleSheetLayoutView="85" workbookViewId="0">
      <selection activeCell="Y26" sqref="Y26"/>
    </sheetView>
  </sheetViews>
  <sheetFormatPr defaultColWidth="9.140625" defaultRowHeight="15.75" x14ac:dyDescent="0.25"/>
  <cols>
    <col min="1" max="1" width="4.7109375" style="2" customWidth="1"/>
    <col min="2" max="2" width="14.7109375" style="2" bestFit="1" customWidth="1"/>
    <col min="3" max="3" width="16.85546875" style="2" customWidth="1"/>
    <col min="4" max="5" width="15" style="2" bestFit="1" customWidth="1"/>
    <col min="6" max="6" width="18.140625" style="2" bestFit="1" customWidth="1"/>
    <col min="7" max="7" width="18" style="2" bestFit="1" customWidth="1"/>
    <col min="8" max="8" width="5.7109375" style="2" customWidth="1"/>
    <col min="9" max="9" width="15.140625" style="2" hidden="1" customWidth="1"/>
    <col min="10" max="10" width="4.7109375" style="2" hidden="1" customWidth="1"/>
    <col min="11" max="11" width="21.85546875" style="2" hidden="1" customWidth="1"/>
    <col min="12" max="12" width="15.140625" style="2" hidden="1" customWidth="1"/>
    <col min="13" max="13" width="14" style="2" hidden="1" customWidth="1"/>
    <col min="14" max="14" width="13.42578125" style="2" hidden="1" customWidth="1"/>
    <col min="15" max="15" width="15.7109375" style="2" hidden="1" customWidth="1"/>
    <col min="16" max="16" width="5.85546875" style="2" hidden="1" customWidth="1"/>
    <col min="17" max="17" width="13" style="2" hidden="1" customWidth="1"/>
    <col min="18" max="18" width="15.5703125" style="2" hidden="1" customWidth="1"/>
    <col min="19" max="19" width="22.7109375" style="2" hidden="1" customWidth="1"/>
    <col min="20" max="20" width="14.42578125" style="2" hidden="1" customWidth="1"/>
    <col min="21" max="21" width="12.7109375" style="2" hidden="1" customWidth="1"/>
    <col min="22" max="22" width="2.85546875" style="2" hidden="1" customWidth="1"/>
    <col min="23" max="23" width="17.85546875" style="2" hidden="1" customWidth="1"/>
    <col min="24" max="16384" width="9.140625" style="2"/>
  </cols>
  <sheetData>
    <row r="1" spans="1:23" x14ac:dyDescent="0.25">
      <c r="A1" s="1" t="s">
        <v>66</v>
      </c>
      <c r="I1" s="1"/>
      <c r="Q1" s="1"/>
    </row>
    <row r="2" spans="1:23" x14ac:dyDescent="0.25">
      <c r="A2" s="2" t="s">
        <v>28</v>
      </c>
    </row>
    <row r="3" spans="1:23" ht="16.5" thickBot="1" x14ac:dyDescent="0.3">
      <c r="A3" s="2" t="s">
        <v>82</v>
      </c>
    </row>
    <row r="4" spans="1:23" x14ac:dyDescent="0.25">
      <c r="D4" s="247" t="s">
        <v>30</v>
      </c>
      <c r="E4" s="248"/>
      <c r="F4" s="248"/>
      <c r="G4" s="249"/>
      <c r="L4" s="247" t="s">
        <v>43</v>
      </c>
      <c r="M4" s="248"/>
      <c r="N4" s="248"/>
      <c r="O4" s="249"/>
      <c r="T4" s="247" t="s">
        <v>0</v>
      </c>
      <c r="U4" s="248"/>
      <c r="V4" s="248"/>
      <c r="W4" s="249"/>
    </row>
    <row r="5" spans="1:23" ht="16.5" thickBot="1" x14ac:dyDescent="0.3">
      <c r="A5" s="43"/>
      <c r="B5" s="56"/>
      <c r="C5" s="3"/>
      <c r="D5" s="250"/>
      <c r="E5" s="251"/>
      <c r="F5" s="251"/>
      <c r="G5" s="252"/>
      <c r="I5" s="3"/>
      <c r="J5" s="3"/>
      <c r="K5" s="3"/>
      <c r="L5" s="250"/>
      <c r="M5" s="251"/>
      <c r="N5" s="251"/>
      <c r="O5" s="252"/>
      <c r="Q5" s="3"/>
      <c r="R5" s="3"/>
      <c r="S5" s="3"/>
      <c r="T5" s="250"/>
      <c r="U5" s="251"/>
      <c r="V5" s="251"/>
      <c r="W5" s="252"/>
    </row>
    <row r="6" spans="1:23" x14ac:dyDescent="0.25">
      <c r="A6" s="4"/>
      <c r="B6" s="4"/>
      <c r="C6" s="4"/>
      <c r="D6" s="4" t="s">
        <v>1</v>
      </c>
      <c r="E6" s="4"/>
      <c r="F6" s="4"/>
      <c r="G6" s="4" t="s">
        <v>2</v>
      </c>
      <c r="I6" s="4"/>
      <c r="J6" s="4"/>
      <c r="K6" s="4"/>
      <c r="L6" s="4" t="s">
        <v>1</v>
      </c>
      <c r="M6" s="4"/>
      <c r="N6" s="4"/>
      <c r="O6" s="4" t="s">
        <v>2</v>
      </c>
      <c r="Q6" s="4"/>
      <c r="R6" s="4"/>
      <c r="S6" s="4"/>
      <c r="T6" s="4" t="s">
        <v>1</v>
      </c>
      <c r="U6" s="4"/>
      <c r="V6" s="4"/>
      <c r="W6" s="4" t="s">
        <v>2</v>
      </c>
    </row>
    <row r="7" spans="1:23" ht="16.5" thickBot="1" x14ac:dyDescent="0.3">
      <c r="A7" s="5"/>
      <c r="B7" s="5"/>
      <c r="C7" s="5"/>
      <c r="D7" s="5" t="s">
        <v>4</v>
      </c>
      <c r="E7" s="251" t="s">
        <v>5</v>
      </c>
      <c r="F7" s="251"/>
      <c r="G7" s="5" t="s">
        <v>6</v>
      </c>
      <c r="I7" s="5"/>
      <c r="J7" s="5"/>
      <c r="K7" s="5"/>
      <c r="L7" s="5" t="s">
        <v>4</v>
      </c>
      <c r="M7" s="251" t="s">
        <v>5</v>
      </c>
      <c r="N7" s="251"/>
      <c r="O7" s="5" t="s">
        <v>6</v>
      </c>
      <c r="Q7" s="5"/>
      <c r="R7" s="5"/>
      <c r="S7" s="5"/>
      <c r="T7" s="5" t="s">
        <v>4</v>
      </c>
      <c r="U7" s="251" t="s">
        <v>5</v>
      </c>
      <c r="V7" s="251"/>
      <c r="W7" s="5" t="s">
        <v>6</v>
      </c>
    </row>
    <row r="10" spans="1:23" x14ac:dyDescent="0.25">
      <c r="A10" s="1" t="s">
        <v>34</v>
      </c>
      <c r="I10" s="1" t="s">
        <v>10</v>
      </c>
      <c r="Q10" s="1" t="s">
        <v>10</v>
      </c>
    </row>
    <row r="11" spans="1:23" ht="31.5" x14ac:dyDescent="0.25">
      <c r="D11" s="6" t="s">
        <v>9</v>
      </c>
      <c r="E11" s="6" t="s">
        <v>12</v>
      </c>
      <c r="L11" s="6" t="s">
        <v>9</v>
      </c>
      <c r="M11" s="6" t="s">
        <v>12</v>
      </c>
      <c r="T11" s="6" t="s">
        <v>9</v>
      </c>
      <c r="U11" s="6" t="s">
        <v>12</v>
      </c>
    </row>
    <row r="12" spans="1:23" x14ac:dyDescent="0.25">
      <c r="B12" s="2" t="s">
        <v>44</v>
      </c>
      <c r="D12" s="8">
        <f>C46+C66</f>
        <v>878829</v>
      </c>
      <c r="E12" s="32">
        <v>0</v>
      </c>
      <c r="G12" s="11">
        <f>D12*E12</f>
        <v>0</v>
      </c>
      <c r="J12" s="2" t="s">
        <v>29</v>
      </c>
      <c r="L12" s="8">
        <f>D12</f>
        <v>878829</v>
      </c>
      <c r="M12" s="32">
        <v>28.14</v>
      </c>
      <c r="O12" s="11">
        <f>L12*M12</f>
        <v>24730248.059999999</v>
      </c>
      <c r="R12" s="2" t="s">
        <v>9</v>
      </c>
      <c r="T12" s="8">
        <f>L12</f>
        <v>878829</v>
      </c>
      <c r="U12" s="32" t="e">
        <f>#REF!</f>
        <v>#REF!</v>
      </c>
      <c r="W12" s="11" t="e">
        <f>T12*U12</f>
        <v>#REF!</v>
      </c>
    </row>
    <row r="13" spans="1:23" x14ac:dyDescent="0.25">
      <c r="D13" s="67"/>
      <c r="G13" s="11"/>
      <c r="O13" s="11"/>
      <c r="W13" s="11"/>
    </row>
    <row r="14" spans="1:23" x14ac:dyDescent="0.25">
      <c r="A14" s="1" t="s">
        <v>7</v>
      </c>
      <c r="D14" s="8"/>
      <c r="G14" s="11"/>
      <c r="I14" s="1" t="s">
        <v>7</v>
      </c>
      <c r="L14" s="8"/>
      <c r="O14" s="11"/>
      <c r="Q14" s="1" t="s">
        <v>7</v>
      </c>
      <c r="T14" s="8"/>
      <c r="W14" s="11"/>
    </row>
    <row r="15" spans="1:23" x14ac:dyDescent="0.25">
      <c r="D15" s="13" t="s">
        <v>8</v>
      </c>
      <c r="E15" s="12" t="s">
        <v>11</v>
      </c>
      <c r="G15" s="11"/>
      <c r="L15" s="13" t="s">
        <v>8</v>
      </c>
      <c r="M15" s="12" t="s">
        <v>11</v>
      </c>
      <c r="O15" s="11"/>
      <c r="T15" s="13" t="s">
        <v>8</v>
      </c>
      <c r="U15" s="12" t="s">
        <v>11</v>
      </c>
      <c r="W15" s="11"/>
    </row>
    <row r="16" spans="1:23" x14ac:dyDescent="0.25">
      <c r="B16" s="2" t="s">
        <v>23</v>
      </c>
      <c r="D16" s="8">
        <f>D46+D66</f>
        <v>822412365</v>
      </c>
      <c r="E16" s="18">
        <v>0.11964</v>
      </c>
      <c r="G16" s="32">
        <f>D16*E16</f>
        <v>98393415.3486</v>
      </c>
      <c r="J16" s="2" t="s">
        <v>32</v>
      </c>
      <c r="L16" s="8">
        <f>D18</f>
        <v>4587729</v>
      </c>
      <c r="M16" s="50">
        <v>3.0599472934085808E-2</v>
      </c>
      <c r="O16" s="11">
        <f>L16*M16</f>
        <v>140382.08936442054</v>
      </c>
      <c r="R16" s="2" t="s">
        <v>32</v>
      </c>
      <c r="T16" s="8">
        <f>L18</f>
        <v>4587729</v>
      </c>
      <c r="U16" s="50">
        <v>0</v>
      </c>
      <c r="W16" s="11">
        <f>T16*U16</f>
        <v>0</v>
      </c>
    </row>
    <row r="17" spans="1:23" x14ac:dyDescent="0.25">
      <c r="D17" s="8"/>
      <c r="E17" s="18"/>
      <c r="G17" s="33"/>
      <c r="J17" s="2" t="s">
        <v>31</v>
      </c>
      <c r="L17" s="8">
        <f>L16</f>
        <v>4587729</v>
      </c>
      <c r="M17" s="80">
        <v>4.7909326518313644E-2</v>
      </c>
      <c r="O17" s="35">
        <f>L17*M17</f>
        <v>219795.00663853655</v>
      </c>
      <c r="R17" s="2" t="s">
        <v>31</v>
      </c>
      <c r="T17" s="8">
        <f>T16</f>
        <v>4587729</v>
      </c>
      <c r="U17" s="80">
        <v>0</v>
      </c>
      <c r="W17" s="35">
        <f>T17*U17</f>
        <v>0</v>
      </c>
    </row>
    <row r="18" spans="1:23" x14ac:dyDescent="0.25">
      <c r="B18" s="2" t="s">
        <v>18</v>
      </c>
      <c r="C18" s="16"/>
      <c r="D18" s="8">
        <v>4587729</v>
      </c>
      <c r="E18" s="18">
        <f>E16</f>
        <v>0.11964</v>
      </c>
      <c r="G18" s="32">
        <f>D18*E18</f>
        <v>548875.89755999995</v>
      </c>
      <c r="J18" s="7" t="s">
        <v>27</v>
      </c>
      <c r="K18" s="7"/>
      <c r="L18" s="17">
        <f>L16</f>
        <v>4587729</v>
      </c>
      <c r="M18" s="72">
        <v>1.994013128609894E-2</v>
      </c>
      <c r="N18" s="7"/>
      <c r="O18" s="36">
        <f>L18*M18</f>
        <v>91479.918565043408</v>
      </c>
      <c r="R18" s="7" t="s">
        <v>27</v>
      </c>
      <c r="S18" s="7"/>
      <c r="T18" s="17">
        <f>T16</f>
        <v>4587729</v>
      </c>
      <c r="U18" s="72">
        <v>0</v>
      </c>
      <c r="V18" s="7"/>
      <c r="W18" s="36">
        <f>T18*U18</f>
        <v>0</v>
      </c>
    </row>
    <row r="19" spans="1:23" x14ac:dyDescent="0.25">
      <c r="A19" s="1"/>
      <c r="G19" s="11"/>
      <c r="K19" s="16"/>
      <c r="L19" s="8"/>
      <c r="M19" s="50">
        <f>SUM(M16:M18)</f>
        <v>9.8448930738498391E-2</v>
      </c>
      <c r="O19" s="11">
        <f>SUM(O16:O18)</f>
        <v>451657.01456800051</v>
      </c>
      <c r="S19" s="16"/>
      <c r="T19" s="8"/>
      <c r="U19" s="50">
        <f>SUM(U16:U18)</f>
        <v>0</v>
      </c>
      <c r="W19" s="11">
        <f>SUM(W16:W18)</f>
        <v>0</v>
      </c>
    </row>
    <row r="20" spans="1:23" x14ac:dyDescent="0.25">
      <c r="A20" s="1"/>
      <c r="E20" s="62"/>
      <c r="G20" s="11"/>
      <c r="H20" s="15"/>
      <c r="P20" s="15"/>
    </row>
    <row r="21" spans="1:23" x14ac:dyDescent="0.25">
      <c r="A21" s="1"/>
      <c r="G21" s="11"/>
      <c r="H21" s="11"/>
      <c r="I21" s="1"/>
      <c r="L21" s="8"/>
      <c r="M21" s="71"/>
      <c r="O21" s="11"/>
      <c r="P21" s="11"/>
      <c r="Q21" s="1"/>
      <c r="T21" s="8"/>
      <c r="U21" s="71"/>
      <c r="W21" s="11"/>
    </row>
    <row r="22" spans="1:23" ht="16.5" thickBot="1" x14ac:dyDescent="0.3">
      <c r="A22" s="1" t="s">
        <v>80</v>
      </c>
      <c r="G22" s="24">
        <f>G12+G16+G18</f>
        <v>98942291.246160001</v>
      </c>
      <c r="H22" s="11"/>
      <c r="I22" s="1"/>
      <c r="L22" s="8"/>
      <c r="M22" s="18"/>
      <c r="O22" s="11"/>
      <c r="P22" s="11"/>
      <c r="Q22" s="1"/>
      <c r="T22" s="8"/>
      <c r="U22" s="18"/>
      <c r="W22" s="11"/>
    </row>
    <row r="23" spans="1:23" ht="17.25" thickTop="1" thickBot="1" x14ac:dyDescent="0.3">
      <c r="A23" s="1"/>
      <c r="B23" s="1"/>
      <c r="G23" s="11"/>
      <c r="H23" s="11"/>
      <c r="I23" s="1" t="s">
        <v>37</v>
      </c>
      <c r="O23" s="24">
        <f>O12+O19+O21</f>
        <v>25181905.074568</v>
      </c>
      <c r="P23" s="11"/>
      <c r="Q23" s="1" t="s">
        <v>37</v>
      </c>
      <c r="W23" s="24" t="e">
        <f>W12+W19+W21</f>
        <v>#REF!</v>
      </c>
    </row>
    <row r="24" spans="1:23" ht="16.5" thickTop="1" x14ac:dyDescent="0.25">
      <c r="A24" s="1" t="s">
        <v>19</v>
      </c>
      <c r="B24" s="10"/>
      <c r="G24" s="11">
        <f>E46+F46+E66+F66</f>
        <v>99247908.379999995</v>
      </c>
      <c r="I24" s="1"/>
      <c r="J24" s="1"/>
      <c r="O24" s="10"/>
      <c r="Q24" s="1"/>
      <c r="R24" s="1"/>
      <c r="W24" s="10"/>
    </row>
    <row r="25" spans="1:23" x14ac:dyDescent="0.25">
      <c r="A25" s="10"/>
      <c r="B25" s="11"/>
      <c r="G25" s="10"/>
      <c r="I25" s="1" t="s">
        <v>13</v>
      </c>
      <c r="J25" s="10"/>
      <c r="O25" s="22">
        <f>O23-G22</f>
        <v>-73760386.171591997</v>
      </c>
      <c r="Q25" s="1" t="s">
        <v>13</v>
      </c>
      <c r="R25" s="10"/>
      <c r="W25" s="22" t="e">
        <f>W23-G22</f>
        <v>#REF!</v>
      </c>
    </row>
    <row r="26" spans="1:23" x14ac:dyDescent="0.25">
      <c r="A26" s="1" t="s">
        <v>13</v>
      </c>
      <c r="B26" s="10"/>
      <c r="G26" s="22">
        <f>G22-G24</f>
        <v>-305617.13383999467</v>
      </c>
      <c r="H26" s="15"/>
      <c r="I26" s="10"/>
      <c r="J26" s="22"/>
      <c r="O26" s="11"/>
      <c r="P26" s="15"/>
      <c r="Q26" s="10"/>
      <c r="R26" s="22"/>
      <c r="W26" s="11"/>
    </row>
    <row r="27" spans="1:23" x14ac:dyDescent="0.25">
      <c r="A27" s="10"/>
      <c r="B27" s="22"/>
      <c r="G27" s="11"/>
      <c r="I27" s="1" t="s">
        <v>26</v>
      </c>
      <c r="J27" s="11"/>
      <c r="O27" s="23">
        <f>O25/G24</f>
        <v>-0.74319335667184572</v>
      </c>
      <c r="Q27" s="1" t="s">
        <v>26</v>
      </c>
      <c r="R27" s="11"/>
      <c r="W27" s="23" t="e">
        <f>W25/G22</f>
        <v>#REF!</v>
      </c>
    </row>
    <row r="28" spans="1:23" x14ac:dyDescent="0.25">
      <c r="A28" s="1" t="s">
        <v>26</v>
      </c>
      <c r="B28" s="11"/>
      <c r="G28" s="23">
        <f>G26/G24</f>
        <v>-3.0793307267479031E-3</v>
      </c>
    </row>
    <row r="29" spans="1:23" x14ac:dyDescent="0.25">
      <c r="I29" s="1"/>
      <c r="O29" s="11"/>
      <c r="W29" s="11"/>
    </row>
    <row r="30" spans="1:23" x14ac:dyDescent="0.25">
      <c r="E30" s="11"/>
    </row>
    <row r="31" spans="1:23" x14ac:dyDescent="0.25">
      <c r="C31" s="40" t="s">
        <v>69</v>
      </c>
      <c r="D31" s="40"/>
      <c r="E31" s="40"/>
      <c r="F31" s="40"/>
      <c r="G31" s="40"/>
      <c r="H31" s="40"/>
      <c r="I31" s="40"/>
      <c r="R31" s="40"/>
    </row>
    <row r="32" spans="1:23" x14ac:dyDescent="0.25">
      <c r="C32" s="40"/>
      <c r="D32" s="40"/>
      <c r="E32" s="40"/>
      <c r="F32" s="40"/>
      <c r="G32" s="40"/>
      <c r="H32" s="40"/>
      <c r="I32" s="40"/>
      <c r="R32" s="56"/>
      <c r="S32" s="40"/>
    </row>
    <row r="33" spans="1:19" x14ac:dyDescent="0.25">
      <c r="A33" s="11"/>
      <c r="C33" s="40" t="s">
        <v>38</v>
      </c>
      <c r="D33" s="40" t="s">
        <v>45</v>
      </c>
      <c r="E33" s="40" t="s">
        <v>67</v>
      </c>
      <c r="F33" s="40" t="s">
        <v>68</v>
      </c>
      <c r="H33" s="40"/>
      <c r="I33" s="40"/>
      <c r="R33" s="56"/>
      <c r="S33" s="40"/>
    </row>
    <row r="34" spans="1:19" x14ac:dyDescent="0.25">
      <c r="A34" s="11"/>
      <c r="B34" s="88">
        <v>40544</v>
      </c>
      <c r="C34" s="40">
        <v>40453</v>
      </c>
      <c r="D34" s="40">
        <v>47254873</v>
      </c>
      <c r="F34" s="63">
        <v>5708372.1200000001</v>
      </c>
      <c r="G34" s="63"/>
      <c r="H34" s="40"/>
      <c r="I34" s="73"/>
      <c r="R34" s="40"/>
      <c r="S34" s="40"/>
    </row>
    <row r="35" spans="1:19" x14ac:dyDescent="0.25">
      <c r="A35" s="11"/>
      <c r="B35" s="88">
        <v>40575</v>
      </c>
      <c r="C35" s="40">
        <v>40440</v>
      </c>
      <c r="D35" s="40">
        <v>44903940</v>
      </c>
      <c r="F35" s="63">
        <v>5426631.7800000003</v>
      </c>
      <c r="G35" s="63"/>
      <c r="H35" s="40"/>
      <c r="I35" s="73"/>
      <c r="R35" s="40"/>
      <c r="S35" s="40"/>
    </row>
    <row r="36" spans="1:19" x14ac:dyDescent="0.25">
      <c r="A36" s="10"/>
      <c r="B36" s="88">
        <v>40603</v>
      </c>
      <c r="C36" s="40">
        <v>40430</v>
      </c>
      <c r="D36" s="40">
        <v>37832486</v>
      </c>
      <c r="F36" s="63">
        <v>4587610.34</v>
      </c>
      <c r="G36" s="63"/>
      <c r="H36" s="40"/>
      <c r="I36" s="73"/>
      <c r="R36" s="40"/>
      <c r="S36" s="40"/>
    </row>
    <row r="37" spans="1:19" x14ac:dyDescent="0.25">
      <c r="A37" s="22"/>
      <c r="B37" s="88">
        <v>40634</v>
      </c>
      <c r="C37" s="40">
        <v>40432</v>
      </c>
      <c r="D37" s="40">
        <v>36808941</v>
      </c>
      <c r="F37" s="63">
        <v>4463624.74</v>
      </c>
      <c r="G37" s="63"/>
      <c r="H37" s="40"/>
      <c r="I37" s="73"/>
      <c r="R37" s="40"/>
      <c r="S37" s="40"/>
    </row>
    <row r="38" spans="1:19" x14ac:dyDescent="0.25">
      <c r="A38" s="11"/>
      <c r="B38" s="88">
        <v>40664</v>
      </c>
      <c r="C38" s="40">
        <v>40421</v>
      </c>
      <c r="D38" s="40">
        <v>31736684</v>
      </c>
      <c r="F38" s="63">
        <v>3860643.03</v>
      </c>
      <c r="G38" s="63"/>
      <c r="H38" s="40"/>
      <c r="I38" s="73"/>
      <c r="R38" s="40"/>
      <c r="S38" s="40"/>
    </row>
    <row r="39" spans="1:19" x14ac:dyDescent="0.25">
      <c r="A39" s="23"/>
      <c r="B39" s="88">
        <v>40695</v>
      </c>
      <c r="C39" s="40">
        <v>40422</v>
      </c>
      <c r="D39" s="40">
        <v>30238497</v>
      </c>
      <c r="F39" s="63">
        <v>3678583.0100000002</v>
      </c>
      <c r="G39" s="63"/>
      <c r="H39" s="40"/>
      <c r="I39" s="73"/>
      <c r="R39" s="40"/>
      <c r="S39" s="40"/>
    </row>
    <row r="40" spans="1:19" x14ac:dyDescent="0.25">
      <c r="B40" s="88">
        <v>40725</v>
      </c>
      <c r="C40" s="40">
        <v>40485</v>
      </c>
      <c r="D40" s="40">
        <v>30153828</v>
      </c>
      <c r="F40" s="63">
        <v>3667109.75</v>
      </c>
      <c r="G40" s="63"/>
      <c r="H40" s="40"/>
      <c r="I40" s="73"/>
      <c r="R40" s="40"/>
      <c r="S40" s="40"/>
    </row>
    <row r="41" spans="1:19" x14ac:dyDescent="0.25">
      <c r="B41" s="88">
        <v>40756</v>
      </c>
      <c r="C41" s="40">
        <v>40486</v>
      </c>
      <c r="D41" s="40">
        <v>27740784</v>
      </c>
      <c r="F41" s="63">
        <v>3383060.9699999997</v>
      </c>
      <c r="G41" s="63"/>
      <c r="H41" s="40"/>
      <c r="I41" s="73"/>
      <c r="R41" s="40"/>
      <c r="S41" s="40"/>
    </row>
    <row r="42" spans="1:19" x14ac:dyDescent="0.25">
      <c r="B42" s="88">
        <v>40422</v>
      </c>
      <c r="C42" s="40">
        <v>40415</v>
      </c>
      <c r="D42" s="40">
        <v>30072287</v>
      </c>
      <c r="F42" s="63">
        <v>3656481.8000000003</v>
      </c>
      <c r="G42" s="63"/>
      <c r="H42" s="40"/>
      <c r="I42" s="73"/>
      <c r="R42" s="40"/>
      <c r="S42" s="40"/>
    </row>
    <row r="43" spans="1:19" x14ac:dyDescent="0.25">
      <c r="B43" s="88">
        <v>40452</v>
      </c>
      <c r="C43" s="40">
        <v>40462</v>
      </c>
      <c r="D43" s="40">
        <v>27603624</v>
      </c>
      <c r="F43" s="63">
        <v>3366388.23</v>
      </c>
      <c r="G43" s="63"/>
      <c r="H43" s="40"/>
      <c r="I43" s="73"/>
      <c r="R43" s="40"/>
      <c r="S43" s="40"/>
    </row>
    <row r="44" spans="1:19" ht="16.5" customHeight="1" x14ac:dyDescent="0.25">
      <c r="B44" s="88">
        <v>40483</v>
      </c>
      <c r="C44" s="40">
        <v>40451</v>
      </c>
      <c r="D44" s="40">
        <v>32012599</v>
      </c>
      <c r="F44" s="63">
        <v>3891371.3200000003</v>
      </c>
      <c r="G44" s="63"/>
      <c r="H44" s="40"/>
      <c r="I44" s="73"/>
      <c r="R44" s="40"/>
      <c r="S44" s="40"/>
    </row>
    <row r="45" spans="1:19" x14ac:dyDescent="0.25">
      <c r="B45" s="88">
        <v>40513</v>
      </c>
      <c r="C45" s="55">
        <v>40449</v>
      </c>
      <c r="D45" s="55">
        <v>40242704</v>
      </c>
      <c r="E45" s="7"/>
      <c r="F45" s="89">
        <v>4872298.49</v>
      </c>
      <c r="G45" s="63"/>
      <c r="H45" s="40"/>
      <c r="I45" s="73"/>
      <c r="R45" s="40"/>
      <c r="S45" s="40"/>
    </row>
    <row r="46" spans="1:19" x14ac:dyDescent="0.25">
      <c r="C46" s="40">
        <f>SUM(C34:C45)</f>
        <v>485346</v>
      </c>
      <c r="D46" s="40">
        <f>SUM(D34:D45)</f>
        <v>416601247</v>
      </c>
      <c r="E46" s="69">
        <f>SUM(E34:E45)</f>
        <v>0</v>
      </c>
      <c r="F46" s="69">
        <f>SUM(F34:F45)</f>
        <v>50562175.579999998</v>
      </c>
      <c r="G46" s="63"/>
      <c r="H46" s="40"/>
      <c r="I46" s="73"/>
      <c r="R46" s="40"/>
      <c r="S46" s="40"/>
    </row>
    <row r="47" spans="1:19" x14ac:dyDescent="0.25">
      <c r="C47" s="40"/>
      <c r="D47" s="40"/>
      <c r="F47" s="40"/>
      <c r="G47" s="40"/>
      <c r="H47" s="40"/>
      <c r="I47" s="40"/>
      <c r="R47" s="40"/>
      <c r="S47" s="40"/>
    </row>
    <row r="48" spans="1:19" x14ac:dyDescent="0.25">
      <c r="C48" s="40"/>
      <c r="D48" s="40"/>
      <c r="F48" s="40"/>
      <c r="G48" s="40"/>
      <c r="H48" s="40"/>
      <c r="I48" s="40"/>
      <c r="R48" s="40"/>
      <c r="S48" s="40"/>
    </row>
    <row r="51" spans="2:19" x14ac:dyDescent="0.25">
      <c r="C51" s="40" t="s">
        <v>70</v>
      </c>
      <c r="D51" s="40"/>
      <c r="F51" s="40"/>
      <c r="G51" s="40"/>
      <c r="H51" s="40"/>
      <c r="I51" s="40"/>
      <c r="R51" s="40"/>
      <c r="S51" s="40"/>
    </row>
    <row r="52" spans="2:19" x14ac:dyDescent="0.25">
      <c r="C52" s="40"/>
      <c r="D52" s="40"/>
      <c r="E52" s="40"/>
      <c r="F52" s="40"/>
      <c r="G52" s="40"/>
      <c r="H52" s="40"/>
      <c r="I52" s="40"/>
      <c r="R52" s="56"/>
      <c r="S52" s="40"/>
    </row>
    <row r="53" spans="2:19" x14ac:dyDescent="0.25">
      <c r="C53" s="40" t="s">
        <v>38</v>
      </c>
      <c r="D53" s="40" t="s">
        <v>45</v>
      </c>
      <c r="E53" s="40" t="s">
        <v>67</v>
      </c>
      <c r="F53" s="40" t="s">
        <v>68</v>
      </c>
      <c r="H53" s="40"/>
      <c r="I53" s="40"/>
      <c r="R53" s="56"/>
      <c r="S53" s="40"/>
    </row>
    <row r="54" spans="2:19" x14ac:dyDescent="0.25">
      <c r="B54" s="88">
        <v>40544</v>
      </c>
      <c r="C54" s="40">
        <v>32711</v>
      </c>
      <c r="D54" s="73">
        <v>38739095</v>
      </c>
      <c r="E54" s="67"/>
      <c r="F54" s="40">
        <v>4642858.4400000004</v>
      </c>
      <c r="G54" s="40"/>
      <c r="H54" s="71"/>
      <c r="I54" s="63"/>
      <c r="R54" s="40"/>
      <c r="S54" s="40"/>
    </row>
    <row r="55" spans="2:19" x14ac:dyDescent="0.25">
      <c r="B55" s="88">
        <v>40575</v>
      </c>
      <c r="C55" s="40">
        <v>32658</v>
      </c>
      <c r="D55" s="73">
        <v>33796946</v>
      </c>
      <c r="E55" s="67"/>
      <c r="F55" s="40">
        <v>4051304.51</v>
      </c>
      <c r="G55" s="40"/>
      <c r="H55" s="71"/>
      <c r="I55" s="63"/>
      <c r="R55" s="40"/>
      <c r="S55" s="40"/>
    </row>
    <row r="56" spans="2:19" x14ac:dyDescent="0.25">
      <c r="B56" s="88">
        <v>40603</v>
      </c>
      <c r="C56" s="40">
        <v>32654</v>
      </c>
      <c r="D56" s="73">
        <v>29219051</v>
      </c>
      <c r="E56" s="67"/>
      <c r="F56" s="40">
        <v>3506038.41</v>
      </c>
      <c r="G56" s="40"/>
      <c r="H56" s="71"/>
      <c r="I56" s="63"/>
      <c r="R56" s="40"/>
      <c r="S56" s="40"/>
    </row>
    <row r="57" spans="2:19" x14ac:dyDescent="0.25">
      <c r="B57" s="88">
        <v>40634</v>
      </c>
      <c r="C57" s="40">
        <v>32666</v>
      </c>
      <c r="D57" s="73">
        <v>29963026</v>
      </c>
      <c r="E57" s="67"/>
      <c r="F57" s="40">
        <v>3595041.32</v>
      </c>
      <c r="G57" s="40"/>
      <c r="H57" s="71"/>
      <c r="I57" s="63"/>
      <c r="R57" s="40"/>
      <c r="S57" s="40"/>
    </row>
    <row r="58" spans="2:19" x14ac:dyDescent="0.25">
      <c r="B58" s="88">
        <v>40664</v>
      </c>
      <c r="C58" s="40">
        <v>32663</v>
      </c>
      <c r="D58" s="73">
        <v>27226378</v>
      </c>
      <c r="E58" s="67"/>
      <c r="F58" s="40">
        <v>3269294.02</v>
      </c>
      <c r="G58" s="40"/>
      <c r="H58" s="71"/>
      <c r="I58" s="63"/>
      <c r="R58" s="40"/>
      <c r="S58" s="40"/>
    </row>
    <row r="59" spans="2:19" x14ac:dyDescent="0.25">
      <c r="B59" s="88">
        <v>40695</v>
      </c>
      <c r="C59" s="40">
        <v>32674</v>
      </c>
      <c r="D59" s="73">
        <v>29585978</v>
      </c>
      <c r="E59" s="67"/>
      <c r="F59" s="40">
        <v>3553380.98</v>
      </c>
      <c r="G59" s="40"/>
      <c r="H59" s="71"/>
      <c r="I59" s="63"/>
      <c r="R59" s="40"/>
      <c r="S59" s="40"/>
    </row>
    <row r="60" spans="2:19" x14ac:dyDescent="0.25">
      <c r="B60" s="88">
        <v>40725</v>
      </c>
      <c r="C60" s="40">
        <v>32708</v>
      </c>
      <c r="D60" s="73">
        <v>40545480</v>
      </c>
      <c r="E60" s="67"/>
      <c r="F60" s="40">
        <v>4862924.8499999996</v>
      </c>
      <c r="G60" s="40"/>
      <c r="H60" s="71"/>
      <c r="I60" s="63"/>
      <c r="R60" s="40"/>
      <c r="S60" s="40"/>
    </row>
    <row r="61" spans="2:19" x14ac:dyDescent="0.25">
      <c r="B61" s="88">
        <v>40756</v>
      </c>
      <c r="C61" s="40">
        <v>32723</v>
      </c>
      <c r="D61" s="73">
        <v>42893395</v>
      </c>
      <c r="E61" s="67"/>
      <c r="F61" s="40">
        <v>5143921.6100000003</v>
      </c>
      <c r="G61" s="40"/>
      <c r="H61" s="71"/>
      <c r="I61" s="63"/>
      <c r="R61" s="40"/>
      <c r="S61" s="40"/>
    </row>
    <row r="62" spans="2:19" x14ac:dyDescent="0.25">
      <c r="B62" s="88">
        <v>40422</v>
      </c>
      <c r="C62" s="40">
        <v>32970</v>
      </c>
      <c r="D62" s="73">
        <v>41034418</v>
      </c>
      <c r="E62" s="67"/>
      <c r="F62" s="40">
        <v>4921012.88</v>
      </c>
      <c r="G62" s="40"/>
      <c r="H62" s="71"/>
      <c r="I62" s="63"/>
      <c r="R62" s="40"/>
      <c r="S62" s="40"/>
    </row>
    <row r="63" spans="2:19" x14ac:dyDescent="0.25">
      <c r="B63" s="88">
        <v>40452</v>
      </c>
      <c r="C63" s="40">
        <v>32979</v>
      </c>
      <c r="D63" s="73">
        <v>30703514</v>
      </c>
      <c r="E63" s="67"/>
      <c r="F63" s="40">
        <v>3686879.15</v>
      </c>
      <c r="G63" s="40"/>
      <c r="H63" s="71"/>
      <c r="I63" s="63"/>
      <c r="R63" s="40"/>
      <c r="S63" s="40"/>
    </row>
    <row r="64" spans="2:19" x14ac:dyDescent="0.25">
      <c r="B64" s="88">
        <v>40483</v>
      </c>
      <c r="C64" s="40">
        <v>33022</v>
      </c>
      <c r="D64" s="73">
        <v>28826499</v>
      </c>
      <c r="E64" s="67"/>
      <c r="F64" s="40">
        <v>3461400.44</v>
      </c>
      <c r="G64" s="40"/>
      <c r="H64" s="71"/>
      <c r="I64" s="63"/>
      <c r="R64" s="40"/>
      <c r="S64" s="40"/>
    </row>
    <row r="65" spans="2:19" x14ac:dyDescent="0.25">
      <c r="B65" s="88">
        <v>40513</v>
      </c>
      <c r="C65" s="55">
        <v>33055</v>
      </c>
      <c r="D65" s="78">
        <v>33277338</v>
      </c>
      <c r="E65" s="79"/>
      <c r="F65" s="55">
        <v>3991676.19</v>
      </c>
      <c r="G65" s="40"/>
      <c r="H65" s="71"/>
      <c r="I65" s="63"/>
      <c r="R65" s="40"/>
      <c r="S65" s="40"/>
    </row>
    <row r="66" spans="2:19" x14ac:dyDescent="0.25">
      <c r="C66" s="40">
        <f>SUM(C54:C65)</f>
        <v>393483</v>
      </c>
      <c r="D66" s="73">
        <f>SUM(D54:D65)</f>
        <v>405811118</v>
      </c>
      <c r="E66" s="69">
        <f>SUM(E54:E65)</f>
        <v>0</v>
      </c>
      <c r="F66" s="69">
        <f>SUM(F54:F65)</f>
        <v>48685732.799999997</v>
      </c>
      <c r="G66" s="69"/>
      <c r="H66" s="40"/>
      <c r="I66" s="40"/>
      <c r="R66" s="40"/>
      <c r="S66" s="40"/>
    </row>
    <row r="67" spans="2:19" x14ac:dyDescent="0.25">
      <c r="C67" s="40"/>
      <c r="D67" s="40"/>
      <c r="F67" s="40"/>
      <c r="G67" s="40"/>
      <c r="H67" s="40"/>
      <c r="I67" s="40"/>
      <c r="R67" s="40"/>
      <c r="S67" s="40"/>
    </row>
    <row r="68" spans="2:19" x14ac:dyDescent="0.25">
      <c r="C68" s="40"/>
      <c r="D68" s="73"/>
      <c r="F68" s="40"/>
      <c r="G68" s="40"/>
      <c r="H68" s="40"/>
      <c r="I68" s="40"/>
      <c r="R68" s="40"/>
      <c r="S68" s="40"/>
    </row>
    <row r="71" spans="2:19" x14ac:dyDescent="0.25">
      <c r="C71" s="40"/>
      <c r="D71" s="40"/>
    </row>
    <row r="72" spans="2:19" x14ac:dyDescent="0.25">
      <c r="C72" s="42"/>
      <c r="D72" s="52"/>
      <c r="E72" s="57"/>
    </row>
    <row r="73" spans="2:19" x14ac:dyDescent="0.25">
      <c r="C73" s="42"/>
      <c r="D73" s="52"/>
      <c r="E73" s="57"/>
    </row>
    <row r="74" spans="2:19" x14ac:dyDescent="0.25">
      <c r="C74" s="42"/>
      <c r="D74" s="52"/>
      <c r="E74" s="57"/>
    </row>
    <row r="75" spans="2:19" x14ac:dyDescent="0.25">
      <c r="C75" s="42"/>
      <c r="D75" s="52"/>
      <c r="E75" s="57"/>
    </row>
    <row r="76" spans="2:19" x14ac:dyDescent="0.25">
      <c r="C76" s="42"/>
      <c r="D76" s="52"/>
      <c r="E76" s="57"/>
    </row>
    <row r="77" spans="2:19" x14ac:dyDescent="0.25">
      <c r="C77" s="42"/>
      <c r="D77" s="52"/>
      <c r="E77" s="57"/>
    </row>
    <row r="78" spans="2:19" x14ac:dyDescent="0.25">
      <c r="C78" s="42"/>
      <c r="D78" s="52"/>
      <c r="E78" s="57"/>
    </row>
    <row r="79" spans="2:19" x14ac:dyDescent="0.25">
      <c r="C79" s="42"/>
      <c r="D79" s="52"/>
      <c r="E79" s="57"/>
    </row>
    <row r="80" spans="2:19" x14ac:dyDescent="0.25">
      <c r="C80" s="42"/>
      <c r="D80" s="52"/>
      <c r="E80" s="57"/>
    </row>
    <row r="81" spans="3:5" x14ac:dyDescent="0.25">
      <c r="C81" s="42"/>
      <c r="D81" s="52"/>
      <c r="E81" s="57"/>
    </row>
    <row r="82" spans="3:5" x14ac:dyDescent="0.25">
      <c r="C82" s="42"/>
      <c r="D82" s="52"/>
      <c r="E82" s="57"/>
    </row>
    <row r="83" spans="3:5" x14ac:dyDescent="0.25">
      <c r="C83" s="42"/>
      <c r="D83" s="52"/>
      <c r="E83" s="57"/>
    </row>
    <row r="84" spans="3:5" x14ac:dyDescent="0.25">
      <c r="D84" s="52"/>
    </row>
  </sheetData>
  <mergeCells count="6">
    <mergeCell ref="D4:G5"/>
    <mergeCell ref="E7:F7"/>
    <mergeCell ref="T4:W5"/>
    <mergeCell ref="U7:V7"/>
    <mergeCell ref="L4:O5"/>
    <mergeCell ref="M7:N7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U140"/>
  <sheetViews>
    <sheetView tabSelected="1" view="pageBreakPreview" zoomScale="75" zoomScaleNormal="85" zoomScaleSheetLayoutView="75" workbookViewId="0">
      <selection activeCell="T28" sqref="T28"/>
    </sheetView>
  </sheetViews>
  <sheetFormatPr defaultColWidth="9.140625" defaultRowHeight="15.75" x14ac:dyDescent="0.25"/>
  <cols>
    <col min="1" max="1" width="4.7109375" style="266" customWidth="1"/>
    <col min="2" max="2" width="16.42578125" style="266" customWidth="1"/>
    <col min="3" max="3" width="2.5703125" style="266" customWidth="1"/>
    <col min="4" max="4" width="12.7109375" style="266" bestFit="1" customWidth="1"/>
    <col min="5" max="5" width="14.5703125" style="266" bestFit="1" customWidth="1"/>
    <col min="6" max="6" width="3.140625" style="266" customWidth="1"/>
    <col min="7" max="7" width="15" style="266" customWidth="1"/>
    <col min="8" max="8" width="3" style="266" customWidth="1"/>
    <col min="9" max="9" width="13.85546875" style="266" customWidth="1"/>
    <col min="10" max="10" width="14.42578125" style="266" customWidth="1"/>
    <col min="11" max="11" width="2" style="266" customWidth="1"/>
    <col min="12" max="12" width="2.85546875" style="266" customWidth="1"/>
    <col min="13" max="13" width="9.85546875" style="266" customWidth="1"/>
    <col min="14" max="14" width="18.28515625" style="266" customWidth="1"/>
    <col min="15" max="15" width="3.42578125" style="266" customWidth="1"/>
    <col min="16" max="16" width="12.7109375" style="266" bestFit="1" customWidth="1"/>
    <col min="17" max="17" width="14.5703125" style="266" bestFit="1" customWidth="1"/>
    <col min="18" max="18" width="4.28515625" style="266" customWidth="1"/>
    <col min="19" max="19" width="15.5703125" style="266" customWidth="1"/>
    <col min="20" max="16384" width="9.140625" style="266"/>
  </cols>
  <sheetData>
    <row r="1" spans="1:20" x14ac:dyDescent="0.25">
      <c r="A1" s="265" t="s">
        <v>129</v>
      </c>
      <c r="N1" s="265"/>
    </row>
    <row r="2" spans="1:20" x14ac:dyDescent="0.25">
      <c r="A2" s="265" t="str">
        <f>List!B12</f>
        <v>Large Power Rate 500 kW and Over</v>
      </c>
    </row>
    <row r="3" spans="1:20" ht="16.5" thickBot="1" x14ac:dyDescent="0.3">
      <c r="A3" s="267">
        <f>List!C12</f>
        <v>47</v>
      </c>
    </row>
    <row r="4" spans="1:20" x14ac:dyDescent="0.25">
      <c r="D4" s="268" t="s">
        <v>30</v>
      </c>
      <c r="E4" s="269"/>
      <c r="F4" s="269"/>
      <c r="G4" s="270"/>
      <c r="H4" s="271"/>
      <c r="I4" s="268" t="s">
        <v>108</v>
      </c>
      <c r="J4" s="270"/>
      <c r="K4" s="282"/>
      <c r="L4" s="271"/>
      <c r="P4" s="268" t="s">
        <v>90</v>
      </c>
      <c r="Q4" s="269"/>
      <c r="R4" s="269"/>
      <c r="S4" s="270"/>
    </row>
    <row r="5" spans="1:20" ht="16.5" thickBot="1" x14ac:dyDescent="0.3">
      <c r="A5" s="273"/>
      <c r="B5" s="274"/>
      <c r="C5" s="271"/>
      <c r="D5" s="275"/>
      <c r="E5" s="276"/>
      <c r="F5" s="276"/>
      <c r="G5" s="277"/>
      <c r="H5" s="271"/>
      <c r="I5" s="275"/>
      <c r="J5" s="277"/>
      <c r="K5" s="282"/>
      <c r="L5" s="271"/>
      <c r="M5" s="273"/>
      <c r="N5" s="274"/>
      <c r="O5" s="271"/>
      <c r="P5" s="275"/>
      <c r="Q5" s="276"/>
      <c r="R5" s="276"/>
      <c r="S5" s="277"/>
    </row>
    <row r="6" spans="1:20" x14ac:dyDescent="0.25">
      <c r="A6" s="278"/>
      <c r="B6" s="278"/>
      <c r="C6" s="278"/>
      <c r="D6" s="278" t="s">
        <v>1</v>
      </c>
      <c r="E6" s="278"/>
      <c r="F6" s="278"/>
      <c r="G6" s="278" t="s">
        <v>2</v>
      </c>
      <c r="H6" s="278"/>
      <c r="I6" s="278"/>
      <c r="J6" s="278" t="s">
        <v>2</v>
      </c>
      <c r="K6" s="282"/>
      <c r="L6" s="278"/>
      <c r="M6" s="278"/>
      <c r="N6" s="278"/>
      <c r="O6" s="278"/>
      <c r="P6" s="278" t="s">
        <v>1</v>
      </c>
      <c r="Q6" s="278"/>
      <c r="R6" s="278"/>
      <c r="S6" s="278" t="s">
        <v>2</v>
      </c>
    </row>
    <row r="7" spans="1:20" ht="16.5" thickBot="1" x14ac:dyDescent="0.3">
      <c r="A7" s="280"/>
      <c r="B7" s="280"/>
      <c r="C7" s="280"/>
      <c r="D7" s="280" t="s">
        <v>4</v>
      </c>
      <c r="E7" s="276" t="s">
        <v>5</v>
      </c>
      <c r="F7" s="276"/>
      <c r="G7" s="280" t="s">
        <v>6</v>
      </c>
      <c r="H7" s="280"/>
      <c r="I7" s="280" t="s">
        <v>5</v>
      </c>
      <c r="J7" s="280" t="s">
        <v>6</v>
      </c>
      <c r="K7" s="281"/>
      <c r="L7" s="280"/>
      <c r="M7" s="280"/>
      <c r="N7" s="280"/>
      <c r="O7" s="280"/>
      <c r="P7" s="280" t="s">
        <v>4</v>
      </c>
      <c r="Q7" s="276" t="s">
        <v>5</v>
      </c>
      <c r="R7" s="276"/>
      <c r="S7" s="280" t="s">
        <v>6</v>
      </c>
      <c r="T7" s="280" t="s">
        <v>6</v>
      </c>
    </row>
    <row r="8" spans="1:20" x14ac:dyDescent="0.25">
      <c r="K8" s="282"/>
    </row>
    <row r="9" spans="1:20" x14ac:dyDescent="0.25">
      <c r="K9" s="282"/>
    </row>
    <row r="10" spans="1:20" x14ac:dyDescent="0.25">
      <c r="A10" s="283" t="s">
        <v>10</v>
      </c>
      <c r="K10" s="282"/>
      <c r="M10" s="283" t="s">
        <v>10</v>
      </c>
    </row>
    <row r="11" spans="1:20" ht="31.5" x14ac:dyDescent="0.25">
      <c r="D11" s="284" t="s">
        <v>94</v>
      </c>
      <c r="E11" s="284" t="s">
        <v>95</v>
      </c>
      <c r="I11" s="284" t="s">
        <v>95</v>
      </c>
      <c r="K11" s="282"/>
      <c r="P11" s="284" t="s">
        <v>94</v>
      </c>
      <c r="Q11" s="284" t="s">
        <v>95</v>
      </c>
    </row>
    <row r="12" spans="1:20" x14ac:dyDescent="0.25">
      <c r="B12" s="266" t="s">
        <v>107</v>
      </c>
      <c r="D12" s="286">
        <f>'Billing Determ'!Q12</f>
        <v>71</v>
      </c>
      <c r="E12" s="74">
        <f>'Present and Proposed Rates'!F23</f>
        <v>1754.33</v>
      </c>
      <c r="G12" s="287">
        <f>D12*E12</f>
        <v>124557.43</v>
      </c>
      <c r="H12" s="287"/>
      <c r="I12" s="308">
        <f>'Present and Proposed Rates'!G23</f>
        <v>1754.33</v>
      </c>
      <c r="J12" s="287">
        <f>I12*D12</f>
        <v>124557.43</v>
      </c>
      <c r="K12" s="288"/>
      <c r="L12" s="287"/>
      <c r="N12" s="266" t="s">
        <v>102</v>
      </c>
      <c r="P12" s="286">
        <f>D12</f>
        <v>71</v>
      </c>
      <c r="Q12" s="74">
        <f>'Present and Proposed Rates'!H23</f>
        <v>1754.33</v>
      </c>
      <c r="S12" s="287">
        <f>P12*Q12</f>
        <v>124557.43</v>
      </c>
      <c r="T12" s="287">
        <f>S12-J12</f>
        <v>0</v>
      </c>
    </row>
    <row r="13" spans="1:20" x14ac:dyDescent="0.25">
      <c r="D13" s="286"/>
      <c r="E13" s="74"/>
      <c r="G13" s="287"/>
      <c r="H13" s="287"/>
      <c r="I13" s="308"/>
      <c r="J13" s="287"/>
      <c r="K13" s="288"/>
      <c r="L13" s="287"/>
      <c r="P13" s="286"/>
      <c r="Q13" s="74"/>
      <c r="S13" s="287"/>
      <c r="T13" s="287"/>
    </row>
    <row r="14" spans="1:20" x14ac:dyDescent="0.25">
      <c r="D14" s="286"/>
      <c r="G14" s="287"/>
      <c r="H14" s="287"/>
      <c r="I14" s="302"/>
      <c r="J14" s="287"/>
      <c r="K14" s="288"/>
      <c r="L14" s="287"/>
      <c r="P14" s="286"/>
      <c r="S14" s="287"/>
      <c r="T14" s="287"/>
    </row>
    <row r="15" spans="1:20" x14ac:dyDescent="0.25">
      <c r="A15" s="265" t="s">
        <v>7</v>
      </c>
      <c r="D15" s="286"/>
      <c r="G15" s="287"/>
      <c r="H15" s="287"/>
      <c r="I15" s="302"/>
      <c r="J15" s="287"/>
      <c r="K15" s="288"/>
      <c r="L15" s="287"/>
      <c r="M15" s="265" t="s">
        <v>7</v>
      </c>
      <c r="P15" s="309"/>
      <c r="Q15" s="302"/>
      <c r="S15" s="287"/>
      <c r="T15" s="287"/>
    </row>
    <row r="16" spans="1:20" x14ac:dyDescent="0.25">
      <c r="D16" s="289" t="s">
        <v>8</v>
      </c>
      <c r="E16" s="290" t="s">
        <v>11</v>
      </c>
      <c r="G16" s="287"/>
      <c r="H16" s="287"/>
      <c r="I16" s="290" t="s">
        <v>11</v>
      </c>
      <c r="J16" s="287"/>
      <c r="K16" s="288"/>
      <c r="L16" s="287"/>
      <c r="P16" s="289" t="s">
        <v>8</v>
      </c>
      <c r="Q16" s="290" t="s">
        <v>11</v>
      </c>
      <c r="S16" s="287"/>
      <c r="T16" s="287"/>
    </row>
    <row r="17" spans="1:21" x14ac:dyDescent="0.25">
      <c r="B17" s="266" t="s">
        <v>164</v>
      </c>
      <c r="D17" s="286">
        <f>'Billing Determ'!Q183</f>
        <v>63304128</v>
      </c>
      <c r="E17" s="293">
        <f>'Present and Proposed Rates'!F24</f>
        <v>4.9399999999999999E-2</v>
      </c>
      <c r="G17" s="287">
        <f>D17*E17</f>
        <v>3127223.9232000001</v>
      </c>
      <c r="H17" s="287"/>
      <c r="I17" s="310">
        <f>'Present and Proposed Rates'!G24</f>
        <v>6.1219999999999997E-2</v>
      </c>
      <c r="J17" s="287">
        <f>I17*D17</f>
        <v>3875478.7161599998</v>
      </c>
      <c r="K17" s="288"/>
      <c r="L17" s="287"/>
      <c r="N17" s="266" t="s">
        <v>164</v>
      </c>
      <c r="P17" s="286">
        <f>D17</f>
        <v>63304128</v>
      </c>
      <c r="Q17" s="293">
        <f>'Present and Proposed Rates'!H24</f>
        <v>6.1219999999999997E-2</v>
      </c>
      <c r="S17" s="287">
        <f>P17*Q17</f>
        <v>3875478.7161599998</v>
      </c>
      <c r="T17" s="287">
        <f t="shared" ref="T17:T29" si="0">S17-J17</f>
        <v>0</v>
      </c>
    </row>
    <row r="18" spans="1:21" x14ac:dyDescent="0.25">
      <c r="A18" s="265"/>
      <c r="T18" s="287"/>
    </row>
    <row r="19" spans="1:21" x14ac:dyDescent="0.25">
      <c r="A19" s="265" t="s">
        <v>96</v>
      </c>
      <c r="D19" s="309"/>
      <c r="E19" s="310"/>
      <c r="G19" s="287"/>
      <c r="H19" s="287"/>
      <c r="I19" s="310"/>
      <c r="J19" s="287"/>
      <c r="K19" s="288"/>
      <c r="L19" s="287"/>
      <c r="M19" s="265" t="s">
        <v>96</v>
      </c>
      <c r="P19" s="286"/>
      <c r="Q19" s="293"/>
      <c r="S19" s="287"/>
      <c r="T19" s="287"/>
    </row>
    <row r="20" spans="1:21" x14ac:dyDescent="0.25">
      <c r="A20" s="265"/>
      <c r="D20" s="289" t="s">
        <v>97</v>
      </c>
      <c r="E20" s="290" t="s">
        <v>98</v>
      </c>
      <c r="G20" s="287"/>
      <c r="H20" s="287"/>
      <c r="I20" s="290" t="s">
        <v>98</v>
      </c>
      <c r="J20" s="287"/>
      <c r="K20" s="288"/>
      <c r="L20" s="287"/>
      <c r="M20" s="265"/>
      <c r="P20" s="289" t="s">
        <v>97</v>
      </c>
      <c r="Q20" s="290" t="s">
        <v>98</v>
      </c>
      <c r="S20" s="287"/>
      <c r="T20" s="287"/>
    </row>
    <row r="21" spans="1:21" x14ac:dyDescent="0.25">
      <c r="A21" s="265"/>
      <c r="B21" s="266" t="s">
        <v>166</v>
      </c>
      <c r="D21" s="286">
        <v>102900</v>
      </c>
      <c r="E21" s="311">
        <f>'Present and Proposed Rates'!F25</f>
        <v>7.06</v>
      </c>
      <c r="G21" s="287">
        <f>D21*E21</f>
        <v>726474</v>
      </c>
      <c r="H21" s="287"/>
      <c r="I21" s="312">
        <f>'Present and Proposed Rates'!G25</f>
        <v>7.06</v>
      </c>
      <c r="J21" s="287">
        <f>I21*D21</f>
        <v>726474</v>
      </c>
      <c r="K21" s="313"/>
      <c r="L21" s="287"/>
      <c r="M21" s="265"/>
      <c r="N21" s="266" t="s">
        <v>166</v>
      </c>
      <c r="P21" s="286">
        <f>D21</f>
        <v>102900</v>
      </c>
      <c r="Q21" s="311">
        <f>'Present and Proposed Rates'!H25</f>
        <v>7.06</v>
      </c>
      <c r="S21" s="287">
        <f>P21*Q21</f>
        <v>726474</v>
      </c>
      <c r="T21" s="287">
        <f t="shared" si="0"/>
        <v>0</v>
      </c>
    </row>
    <row r="22" spans="1:21" x14ac:dyDescent="0.25">
      <c r="A22" s="265"/>
      <c r="B22" s="266" t="s">
        <v>167</v>
      </c>
      <c r="D22" s="286">
        <v>6344.5615789473677</v>
      </c>
      <c r="E22" s="311">
        <f>'Present and Proposed Rates'!F26</f>
        <v>9.8000000000000007</v>
      </c>
      <c r="G22" s="287">
        <f>D22*E22</f>
        <v>62176.703473684211</v>
      </c>
      <c r="H22" s="287"/>
      <c r="I22" s="312">
        <f>'Present and Proposed Rates'!G26</f>
        <v>9.8000000000000007</v>
      </c>
      <c r="J22" s="287">
        <f>I22*D22</f>
        <v>62176.703473684211</v>
      </c>
      <c r="K22" s="313"/>
      <c r="L22" s="287"/>
      <c r="M22" s="265"/>
      <c r="N22" s="266" t="s">
        <v>167</v>
      </c>
      <c r="P22" s="286">
        <f>D22</f>
        <v>6344.5615789473677</v>
      </c>
      <c r="Q22" s="311">
        <f>'Present and Proposed Rates'!H26</f>
        <v>9.8000000000000007</v>
      </c>
      <c r="S22" s="287">
        <f>P22*Q22</f>
        <v>62176.703473684211</v>
      </c>
      <c r="T22" s="287">
        <f t="shared" si="0"/>
        <v>0</v>
      </c>
    </row>
    <row r="23" spans="1:21" x14ac:dyDescent="0.25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313"/>
      <c r="L23" s="265"/>
      <c r="M23" s="265"/>
      <c r="N23" s="265"/>
      <c r="O23" s="265"/>
      <c r="P23" s="265"/>
      <c r="Q23" s="265"/>
      <c r="R23" s="265"/>
      <c r="S23" s="265"/>
      <c r="T23" s="287"/>
      <c r="U23" s="265"/>
    </row>
    <row r="24" spans="1:21" x14ac:dyDescent="0.25">
      <c r="A24" s="265" t="s">
        <v>99</v>
      </c>
      <c r="B24" s="265"/>
      <c r="C24" s="294"/>
      <c r="D24" s="286"/>
      <c r="E24" s="293"/>
      <c r="G24" s="287"/>
      <c r="H24" s="287"/>
      <c r="I24" s="287"/>
      <c r="J24" s="287"/>
      <c r="K24" s="288"/>
      <c r="L24" s="287"/>
      <c r="M24" s="265" t="s">
        <v>99</v>
      </c>
      <c r="N24" s="265"/>
      <c r="O24" s="294"/>
      <c r="P24" s="286"/>
      <c r="Q24" s="293"/>
      <c r="S24" s="287"/>
      <c r="T24" s="287"/>
    </row>
    <row r="25" spans="1:21" x14ac:dyDescent="0.25">
      <c r="A25" s="265"/>
      <c r="B25" s="266" t="s">
        <v>93</v>
      </c>
      <c r="C25" s="294"/>
      <c r="D25" s="286"/>
      <c r="E25" s="293"/>
      <c r="G25" s="287">
        <f>'Billing Determ'!Q107</f>
        <v>713437.69000000006</v>
      </c>
      <c r="H25" s="287"/>
      <c r="I25" s="287"/>
      <c r="J25" s="287">
        <f>G25-(J17-G17)</f>
        <v>-34817.102959999698</v>
      </c>
      <c r="K25" s="288"/>
      <c r="L25" s="287"/>
      <c r="M25" s="265"/>
      <c r="N25" s="266" t="s">
        <v>93</v>
      </c>
      <c r="O25" s="294"/>
      <c r="P25" s="286"/>
      <c r="Q25" s="293"/>
      <c r="S25" s="287">
        <f>J25</f>
        <v>-34817.102959999698</v>
      </c>
      <c r="T25" s="287">
        <f t="shared" si="0"/>
        <v>0</v>
      </c>
    </row>
    <row r="26" spans="1:21" x14ac:dyDescent="0.25">
      <c r="A26" s="265"/>
      <c r="B26" s="266" t="s">
        <v>101</v>
      </c>
      <c r="C26" s="294"/>
      <c r="D26" s="286"/>
      <c r="E26" s="293"/>
      <c r="G26" s="287">
        <f>'Billing Determ'!Q123</f>
        <v>652372</v>
      </c>
      <c r="H26" s="287"/>
      <c r="I26" s="287"/>
      <c r="J26" s="287">
        <f>G26</f>
        <v>652372</v>
      </c>
      <c r="K26" s="288"/>
      <c r="L26" s="287"/>
      <c r="M26" s="265"/>
      <c r="N26" s="266" t="s">
        <v>101</v>
      </c>
      <c r="O26" s="294"/>
      <c r="P26" s="286"/>
      <c r="Q26" s="293"/>
      <c r="S26" s="287">
        <f t="shared" ref="S26:S27" si="1">J26</f>
        <v>652372</v>
      </c>
      <c r="T26" s="287">
        <f t="shared" si="0"/>
        <v>0</v>
      </c>
    </row>
    <row r="27" spans="1:21" x14ac:dyDescent="0.25">
      <c r="B27" s="266" t="s">
        <v>139</v>
      </c>
      <c r="D27" s="286"/>
      <c r="E27" s="293"/>
      <c r="G27" s="54">
        <f>Lighting!L55*0</f>
        <v>0</v>
      </c>
      <c r="H27" s="54"/>
      <c r="I27" s="54"/>
      <c r="J27" s="54">
        <f>G27</f>
        <v>0</v>
      </c>
      <c r="K27" s="288"/>
      <c r="L27" s="54"/>
      <c r="M27" s="283"/>
      <c r="N27" s="266" t="s">
        <v>139</v>
      </c>
      <c r="S27" s="287">
        <f t="shared" si="1"/>
        <v>0</v>
      </c>
      <c r="T27" s="287">
        <f t="shared" si="0"/>
        <v>0</v>
      </c>
    </row>
    <row r="28" spans="1:21" x14ac:dyDescent="0.25">
      <c r="A28" s="265"/>
      <c r="D28" s="87"/>
      <c r="G28" s="287"/>
      <c r="H28" s="287"/>
      <c r="I28" s="287"/>
      <c r="J28" s="287"/>
      <c r="K28" s="288"/>
      <c r="L28" s="287"/>
      <c r="M28" s="265"/>
      <c r="S28" s="287"/>
      <c r="T28" s="287"/>
    </row>
    <row r="29" spans="1:21" ht="16.5" thickBot="1" x14ac:dyDescent="0.3">
      <c r="A29" s="265" t="s">
        <v>80</v>
      </c>
      <c r="G29" s="295">
        <f>SUM(G12:G27)</f>
        <v>5406241.7466736846</v>
      </c>
      <c r="H29" s="287"/>
      <c r="I29" s="287"/>
      <c r="J29" s="295">
        <f>SUM(J12:J27)</f>
        <v>5406241.7466736846</v>
      </c>
      <c r="K29" s="288"/>
      <c r="L29" s="287"/>
      <c r="M29" s="265" t="s">
        <v>80</v>
      </c>
      <c r="S29" s="295">
        <f>SUM(S12:S27)</f>
        <v>5406241.7466736846</v>
      </c>
      <c r="T29" s="287">
        <f t="shared" si="0"/>
        <v>0</v>
      </c>
    </row>
    <row r="30" spans="1:21" ht="16.5" thickTop="1" x14ac:dyDescent="0.25">
      <c r="A30" s="265"/>
      <c r="B30" s="265"/>
      <c r="G30" s="287"/>
      <c r="H30" s="287"/>
      <c r="I30" s="287"/>
      <c r="J30" s="287"/>
      <c r="K30" s="288"/>
      <c r="L30" s="287"/>
      <c r="M30" s="265"/>
      <c r="N30" s="265"/>
      <c r="S30" s="287"/>
    </row>
    <row r="31" spans="1:21" x14ac:dyDescent="0.25">
      <c r="A31" s="265" t="s">
        <v>19</v>
      </c>
      <c r="B31" s="296"/>
      <c r="G31" s="287">
        <f>'Billing Determ'!Q92</f>
        <v>5633626.5499999998</v>
      </c>
      <c r="H31" s="287"/>
      <c r="I31" s="287"/>
      <c r="J31" s="287"/>
      <c r="K31" s="297"/>
      <c r="L31" s="287"/>
      <c r="M31" s="265" t="s">
        <v>109</v>
      </c>
      <c r="N31" s="296"/>
      <c r="S31" s="86">
        <f>S29-J29</f>
        <v>0</v>
      </c>
    </row>
    <row r="32" spans="1:21" x14ac:dyDescent="0.25">
      <c r="A32" s="296"/>
      <c r="B32" s="296"/>
      <c r="G32" s="296"/>
      <c r="H32" s="296"/>
      <c r="I32" s="296"/>
      <c r="J32" s="296"/>
      <c r="K32" s="298"/>
      <c r="L32" s="296"/>
      <c r="N32" s="296"/>
      <c r="S32" s="296"/>
    </row>
    <row r="33" spans="1:19" x14ac:dyDescent="0.25">
      <c r="A33" s="265" t="s">
        <v>13</v>
      </c>
      <c r="B33" s="296"/>
      <c r="G33" s="46">
        <f>G29-G31</f>
        <v>-227384.80332631525</v>
      </c>
      <c r="H33" s="46"/>
      <c r="I33" s="46"/>
      <c r="J33" s="46">
        <f>J29-G29</f>
        <v>0</v>
      </c>
      <c r="K33" s="288"/>
      <c r="L33" s="46"/>
      <c r="M33" s="265" t="s">
        <v>110</v>
      </c>
      <c r="N33" s="296"/>
      <c r="S33" s="299">
        <f>S31/J29</f>
        <v>0</v>
      </c>
    </row>
    <row r="34" spans="1:19" x14ac:dyDescent="0.25">
      <c r="A34" s="296"/>
      <c r="B34" s="296"/>
      <c r="G34" s="287"/>
      <c r="H34" s="287"/>
      <c r="I34" s="287"/>
      <c r="J34" s="287"/>
      <c r="K34" s="300"/>
      <c r="L34" s="287"/>
      <c r="N34" s="296"/>
      <c r="S34" s="287"/>
    </row>
    <row r="35" spans="1:19" x14ac:dyDescent="0.25">
      <c r="A35" s="265" t="s">
        <v>26</v>
      </c>
      <c r="B35" s="296"/>
      <c r="G35" s="47">
        <f>G33/G31</f>
        <v>-4.0362065413497322E-2</v>
      </c>
      <c r="H35" s="47"/>
      <c r="I35" s="47"/>
      <c r="J35" s="47">
        <f>J33/G31</f>
        <v>0</v>
      </c>
      <c r="K35" s="288"/>
      <c r="L35" s="47"/>
      <c r="M35" s="265" t="s">
        <v>85</v>
      </c>
      <c r="N35" s="296"/>
      <c r="S35" s="54">
        <f>S31/P12</f>
        <v>0</v>
      </c>
    </row>
    <row r="36" spans="1:19" x14ac:dyDescent="0.25">
      <c r="A36" s="265"/>
      <c r="B36" s="296"/>
      <c r="G36" s="47"/>
      <c r="H36" s="47"/>
      <c r="I36" s="47"/>
      <c r="J36" s="47"/>
      <c r="K36" s="47"/>
      <c r="L36" s="47"/>
      <c r="M36" s="265"/>
      <c r="N36" s="296"/>
      <c r="S36" s="47"/>
    </row>
    <row r="37" spans="1:19" x14ac:dyDescent="0.25">
      <c r="A37" s="265"/>
      <c r="B37" s="296"/>
      <c r="G37" s="48"/>
      <c r="H37" s="47"/>
      <c r="I37" s="47"/>
      <c r="J37" s="47"/>
      <c r="K37" s="47"/>
      <c r="L37" s="47"/>
      <c r="M37" s="265"/>
      <c r="N37" s="296"/>
      <c r="S37" s="47"/>
    </row>
    <row r="38" spans="1:19" x14ac:dyDescent="0.25">
      <c r="A38" s="265"/>
      <c r="B38" s="296"/>
      <c r="G38" s="48"/>
      <c r="H38" s="47"/>
      <c r="I38" s="47"/>
      <c r="J38" s="47"/>
      <c r="K38" s="47"/>
      <c r="L38" s="47"/>
      <c r="M38" s="265"/>
      <c r="N38" s="296"/>
      <c r="S38" s="47"/>
    </row>
    <row r="39" spans="1:19" x14ac:dyDescent="0.25">
      <c r="A39" s="265"/>
      <c r="B39" s="296"/>
      <c r="G39" s="48"/>
      <c r="H39" s="47"/>
      <c r="I39" s="47"/>
      <c r="J39" s="47"/>
      <c r="K39" s="47"/>
      <c r="L39" s="47"/>
      <c r="M39" s="265"/>
      <c r="N39" s="296"/>
      <c r="S39" s="47"/>
    </row>
    <row r="40" spans="1:19" x14ac:dyDescent="0.25">
      <c r="A40" s="265"/>
      <c r="B40" s="296"/>
      <c r="G40" s="314"/>
      <c r="H40" s="47"/>
      <c r="I40" s="47"/>
      <c r="J40" s="47"/>
      <c r="K40" s="47"/>
      <c r="L40" s="47"/>
      <c r="M40" s="265"/>
      <c r="N40" s="296"/>
      <c r="S40" s="47"/>
    </row>
    <row r="41" spans="1:19" x14ac:dyDescent="0.25">
      <c r="A41" s="265"/>
      <c r="B41" s="296"/>
      <c r="G41" s="47"/>
      <c r="H41" s="47"/>
      <c r="I41" s="47"/>
      <c r="J41" s="47"/>
      <c r="K41" s="47"/>
      <c r="L41" s="47"/>
      <c r="M41" s="265"/>
      <c r="N41" s="296"/>
      <c r="S41" s="47"/>
    </row>
    <row r="42" spans="1:19" ht="18.75" customHeight="1" x14ac:dyDescent="0.25">
      <c r="A42" s="265"/>
      <c r="B42" s="287"/>
      <c r="G42" s="47"/>
      <c r="H42" s="47"/>
      <c r="I42" s="47"/>
      <c r="J42" s="47"/>
      <c r="K42" s="47"/>
      <c r="L42" s="47"/>
    </row>
    <row r="43" spans="1:19" x14ac:dyDescent="0.25">
      <c r="E43" s="287"/>
    </row>
    <row r="57" s="266" customFormat="1" ht="16.5" customHeight="1" x14ac:dyDescent="0.25"/>
    <row r="90" s="266" customFormat="1" ht="15" customHeight="1" x14ac:dyDescent="0.25"/>
    <row r="136" spans="3:14" x14ac:dyDescent="0.25">
      <c r="N136" s="302"/>
    </row>
    <row r="137" spans="3:14" x14ac:dyDescent="0.25">
      <c r="C137" s="302"/>
      <c r="D137" s="302"/>
      <c r="N137" s="302"/>
    </row>
    <row r="138" spans="3:14" x14ac:dyDescent="0.25">
      <c r="C138" s="304"/>
      <c r="D138" s="305"/>
      <c r="E138" s="306"/>
      <c r="N138" s="302"/>
    </row>
    <row r="139" spans="3:14" x14ac:dyDescent="0.25">
      <c r="C139" s="304"/>
      <c r="D139" s="305"/>
      <c r="E139" s="306"/>
      <c r="N139" s="302"/>
    </row>
    <row r="140" spans="3:14" x14ac:dyDescent="0.25">
      <c r="C140" s="304"/>
      <c r="D140" s="305"/>
      <c r="E140" s="306"/>
      <c r="N140" s="30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4" orientation="landscape" r:id="rId1"/>
  <headerFooter alignWithMargins="0">
    <oddFooter>&amp;RExhibit JW-9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T133"/>
  <sheetViews>
    <sheetView tabSelected="1" view="pageBreakPreview" zoomScale="75" zoomScaleNormal="85" zoomScaleSheetLayoutView="75" workbookViewId="0">
      <selection activeCell="T28" sqref="T28"/>
    </sheetView>
  </sheetViews>
  <sheetFormatPr defaultColWidth="9.140625" defaultRowHeight="15.75" x14ac:dyDescent="0.25"/>
  <cols>
    <col min="1" max="1" width="4.7109375" style="266" customWidth="1"/>
    <col min="2" max="2" width="15.42578125" style="266" customWidth="1"/>
    <col min="3" max="3" width="5.28515625" style="266" customWidth="1"/>
    <col min="4" max="4" width="15" style="266" bestFit="1" customWidth="1"/>
    <col min="5" max="5" width="16.28515625" style="266" bestFit="1" customWidth="1"/>
    <col min="6" max="6" width="3.140625" style="266" customWidth="1"/>
    <col min="7" max="7" width="16.42578125" style="266" customWidth="1"/>
    <col min="8" max="8" width="2.7109375" style="266" customWidth="1"/>
    <col min="9" max="10" width="16.42578125" style="266" customWidth="1"/>
    <col min="11" max="12" width="2.85546875" style="266" customWidth="1"/>
    <col min="13" max="13" width="4.7109375" style="266" customWidth="1"/>
    <col min="14" max="14" width="15.85546875" style="266" customWidth="1"/>
    <col min="15" max="15" width="3" style="266" customWidth="1"/>
    <col min="16" max="16" width="15.7109375" style="266" customWidth="1"/>
    <col min="17" max="17" width="15.140625" style="266" customWidth="1"/>
    <col min="18" max="18" width="2.42578125" style="266" customWidth="1"/>
    <col min="19" max="19" width="17.42578125" style="266" customWidth="1"/>
    <col min="20" max="20" width="14.85546875" style="266" customWidth="1"/>
    <col min="21" max="21" width="14.28515625" style="266" bestFit="1" customWidth="1"/>
    <col min="22" max="16384" width="9.140625" style="266"/>
  </cols>
  <sheetData>
    <row r="1" spans="1:20" s="266" customFormat="1" x14ac:dyDescent="0.25">
      <c r="A1" s="265" t="s">
        <v>129</v>
      </c>
      <c r="N1" s="265"/>
    </row>
    <row r="2" spans="1:20" s="266" customFormat="1" x14ac:dyDescent="0.25">
      <c r="A2" s="265" t="str">
        <f>List!B13</f>
        <v>Schools, Churches, Halls &amp; Parks</v>
      </c>
    </row>
    <row r="3" spans="1:20" s="266" customFormat="1" ht="16.5" thickBot="1" x14ac:dyDescent="0.3">
      <c r="A3" s="267">
        <f>List!C13</f>
        <v>50</v>
      </c>
    </row>
    <row r="4" spans="1:20" s="266" customFormat="1" x14ac:dyDescent="0.25">
      <c r="D4" s="268" t="s">
        <v>30</v>
      </c>
      <c r="E4" s="269"/>
      <c r="F4" s="269"/>
      <c r="G4" s="270"/>
      <c r="H4" s="271"/>
      <c r="I4" s="268" t="s">
        <v>108</v>
      </c>
      <c r="J4" s="270"/>
      <c r="K4" s="272"/>
      <c r="L4" s="271"/>
      <c r="P4" s="268" t="s">
        <v>90</v>
      </c>
      <c r="Q4" s="269"/>
      <c r="R4" s="269"/>
      <c r="S4" s="270"/>
    </row>
    <row r="5" spans="1:20" s="266" customFormat="1" ht="16.5" thickBot="1" x14ac:dyDescent="0.3">
      <c r="A5" s="273"/>
      <c r="B5" s="274"/>
      <c r="C5" s="271"/>
      <c r="D5" s="275"/>
      <c r="E5" s="276"/>
      <c r="F5" s="276"/>
      <c r="G5" s="277"/>
      <c r="H5" s="271"/>
      <c r="I5" s="275"/>
      <c r="J5" s="277"/>
      <c r="K5" s="272"/>
      <c r="L5" s="271"/>
      <c r="M5" s="273"/>
      <c r="N5" s="274"/>
      <c r="O5" s="271"/>
      <c r="P5" s="275"/>
      <c r="Q5" s="276"/>
      <c r="R5" s="276"/>
      <c r="S5" s="277"/>
    </row>
    <row r="6" spans="1:20" s="266" customFormat="1" x14ac:dyDescent="0.25">
      <c r="A6" s="278"/>
      <c r="B6" s="278"/>
      <c r="C6" s="278"/>
      <c r="D6" s="278" t="s">
        <v>1</v>
      </c>
      <c r="E6" s="278"/>
      <c r="F6" s="278"/>
      <c r="G6" s="278" t="s">
        <v>2</v>
      </c>
      <c r="H6" s="278"/>
      <c r="I6" s="278"/>
      <c r="J6" s="278" t="s">
        <v>2</v>
      </c>
      <c r="K6" s="279"/>
      <c r="L6" s="278"/>
      <c r="M6" s="278"/>
      <c r="N6" s="278"/>
      <c r="O6" s="278"/>
      <c r="P6" s="278" t="s">
        <v>1</v>
      </c>
      <c r="Q6" s="278"/>
      <c r="R6" s="278"/>
      <c r="S6" s="278" t="s">
        <v>2</v>
      </c>
    </row>
    <row r="7" spans="1:20" s="266" customFormat="1" ht="16.5" thickBot="1" x14ac:dyDescent="0.3">
      <c r="A7" s="280"/>
      <c r="B7" s="280"/>
      <c r="C7" s="280"/>
      <c r="D7" s="280" t="s">
        <v>4</v>
      </c>
      <c r="E7" s="276" t="s">
        <v>5</v>
      </c>
      <c r="F7" s="276"/>
      <c r="G7" s="280" t="s">
        <v>6</v>
      </c>
      <c r="H7" s="280"/>
      <c r="I7" s="280" t="s">
        <v>5</v>
      </c>
      <c r="J7" s="280" t="s">
        <v>6</v>
      </c>
      <c r="K7" s="281"/>
      <c r="L7" s="280"/>
      <c r="M7" s="280"/>
      <c r="N7" s="280"/>
      <c r="O7" s="280"/>
      <c r="P7" s="280" t="s">
        <v>4</v>
      </c>
      <c r="Q7" s="276" t="s">
        <v>5</v>
      </c>
      <c r="R7" s="276"/>
      <c r="S7" s="280" t="s">
        <v>6</v>
      </c>
      <c r="T7" s="280" t="s">
        <v>59</v>
      </c>
    </row>
    <row r="8" spans="1:20" s="266" customFormat="1" x14ac:dyDescent="0.25">
      <c r="K8" s="282"/>
    </row>
    <row r="9" spans="1:20" s="266" customFormat="1" x14ac:dyDescent="0.25">
      <c r="A9" s="283" t="s">
        <v>10</v>
      </c>
      <c r="K9" s="282"/>
      <c r="M9" s="283" t="s">
        <v>10</v>
      </c>
    </row>
    <row r="10" spans="1:20" s="266" customFormat="1" x14ac:dyDescent="0.25">
      <c r="D10" s="284" t="s">
        <v>94</v>
      </c>
      <c r="E10" s="284" t="s">
        <v>95</v>
      </c>
      <c r="I10" s="284" t="s">
        <v>95</v>
      </c>
      <c r="K10" s="282"/>
      <c r="P10" s="285" t="s">
        <v>94</v>
      </c>
      <c r="Q10" s="285" t="s">
        <v>95</v>
      </c>
    </row>
    <row r="11" spans="1:20" s="266" customFormat="1" x14ac:dyDescent="0.25">
      <c r="B11" s="266" t="s">
        <v>107</v>
      </c>
      <c r="D11" s="286">
        <f>'Billing Determ'!Q13</f>
        <v>11934</v>
      </c>
      <c r="E11" s="74">
        <f>'Present and Proposed Rates'!F27</f>
        <v>23.2</v>
      </c>
      <c r="G11" s="287">
        <f>D11*E11</f>
        <v>276868.8</v>
      </c>
      <c r="H11" s="287"/>
      <c r="I11" s="74">
        <f>'Present and Proposed Rates'!G27</f>
        <v>23.2</v>
      </c>
      <c r="J11" s="287">
        <f>I11*D11</f>
        <v>276868.8</v>
      </c>
      <c r="K11" s="288"/>
      <c r="L11" s="287"/>
      <c r="N11" s="266" t="s">
        <v>102</v>
      </c>
      <c r="P11" s="286">
        <f>D11</f>
        <v>11934</v>
      </c>
      <c r="Q11" s="74">
        <f>'Present and Proposed Rates'!H27</f>
        <v>23.2</v>
      </c>
      <c r="S11" s="287">
        <f>P11*Q11</f>
        <v>276868.8</v>
      </c>
      <c r="T11" s="287">
        <f>S11-J11</f>
        <v>0</v>
      </c>
    </row>
    <row r="12" spans="1:20" s="266" customFormat="1" x14ac:dyDescent="0.25">
      <c r="D12" s="286"/>
      <c r="G12" s="287"/>
      <c r="H12" s="287"/>
      <c r="J12" s="287"/>
      <c r="K12" s="288"/>
      <c r="L12" s="287"/>
      <c r="P12" s="286"/>
      <c r="S12" s="287"/>
      <c r="T12" s="287"/>
    </row>
    <row r="13" spans="1:20" s="266" customFormat="1" x14ac:dyDescent="0.25">
      <c r="A13" s="265" t="s">
        <v>7</v>
      </c>
      <c r="D13" s="286"/>
      <c r="G13" s="287"/>
      <c r="H13" s="287"/>
      <c r="J13" s="287"/>
      <c r="K13" s="288"/>
      <c r="L13" s="287"/>
      <c r="M13" s="265" t="s">
        <v>7</v>
      </c>
      <c r="P13" s="286"/>
      <c r="S13" s="287"/>
      <c r="T13" s="287"/>
    </row>
    <row r="14" spans="1:20" s="266" customFormat="1" x14ac:dyDescent="0.25">
      <c r="D14" s="289" t="s">
        <v>8</v>
      </c>
      <c r="E14" s="290" t="s">
        <v>11</v>
      </c>
      <c r="G14" s="287"/>
      <c r="H14" s="287"/>
      <c r="I14" s="290" t="s">
        <v>11</v>
      </c>
      <c r="J14" s="287"/>
      <c r="K14" s="288"/>
      <c r="L14" s="287"/>
      <c r="P14" s="291" t="s">
        <v>8</v>
      </c>
      <c r="Q14" s="292" t="s">
        <v>11</v>
      </c>
      <c r="S14" s="287"/>
      <c r="T14" s="287"/>
    </row>
    <row r="15" spans="1:20" s="266" customFormat="1" x14ac:dyDescent="0.25">
      <c r="B15" s="266" t="s">
        <v>164</v>
      </c>
      <c r="D15" s="286">
        <f>'Billing Determ'!Q184</f>
        <v>22682514</v>
      </c>
      <c r="E15" s="293">
        <f>'Present and Proposed Rates'!F28</f>
        <v>9.3520000000000006E-2</v>
      </c>
      <c r="G15" s="287">
        <f>D15*E15</f>
        <v>2121268.7092800001</v>
      </c>
      <c r="H15" s="287"/>
      <c r="I15" s="293">
        <f>'Present and Proposed Rates'!G28</f>
        <v>0.10534</v>
      </c>
      <c r="J15" s="287">
        <f>D15*I15</f>
        <v>2389376.0247599999</v>
      </c>
      <c r="K15" s="288"/>
      <c r="L15" s="287"/>
      <c r="N15" s="266" t="s">
        <v>164</v>
      </c>
      <c r="P15" s="286">
        <f>D15</f>
        <v>22682514</v>
      </c>
      <c r="Q15" s="293">
        <f>'Present and Proposed Rates'!H28</f>
        <v>0.10534</v>
      </c>
      <c r="S15" s="287">
        <f>P15*Q15</f>
        <v>2389376.0247599999</v>
      </c>
      <c r="T15" s="287">
        <f t="shared" ref="T15:T22" si="0">S15-J15</f>
        <v>0</v>
      </c>
    </row>
    <row r="16" spans="1:20" s="266" customFormat="1" x14ac:dyDescent="0.25">
      <c r="A16" s="265"/>
      <c r="B16" s="265"/>
      <c r="C16" s="294"/>
      <c r="D16" s="286"/>
      <c r="E16" s="293"/>
      <c r="G16" s="287"/>
      <c r="H16" s="287"/>
      <c r="I16" s="287"/>
      <c r="J16" s="287"/>
      <c r="K16" s="288"/>
      <c r="L16" s="287"/>
      <c r="M16" s="265"/>
      <c r="N16" s="265"/>
      <c r="O16" s="294"/>
      <c r="P16" s="286"/>
      <c r="Q16" s="293"/>
      <c r="S16" s="287"/>
      <c r="T16" s="287"/>
    </row>
    <row r="17" spans="1:20" s="266" customFormat="1" x14ac:dyDescent="0.25">
      <c r="A17" s="265" t="s">
        <v>99</v>
      </c>
      <c r="B17" s="265"/>
      <c r="C17" s="294"/>
      <c r="D17" s="286"/>
      <c r="E17" s="293"/>
      <c r="G17" s="287"/>
      <c r="H17" s="287"/>
      <c r="I17" s="287"/>
      <c r="J17" s="287"/>
      <c r="K17" s="288"/>
      <c r="L17" s="287"/>
      <c r="M17" s="265" t="s">
        <v>99</v>
      </c>
      <c r="N17" s="265"/>
      <c r="O17" s="294"/>
      <c r="P17" s="286"/>
      <c r="Q17" s="293"/>
      <c r="S17" s="287"/>
      <c r="T17" s="287"/>
    </row>
    <row r="18" spans="1:20" s="266" customFormat="1" x14ac:dyDescent="0.25">
      <c r="A18" s="265"/>
      <c r="B18" s="266" t="s">
        <v>93</v>
      </c>
      <c r="C18" s="294"/>
      <c r="D18" s="286"/>
      <c r="E18" s="293"/>
      <c r="G18" s="287">
        <f>'Billing Determ'!Q108</f>
        <v>247825.47000000003</v>
      </c>
      <c r="H18" s="287"/>
      <c r="I18" s="287"/>
      <c r="J18" s="287">
        <f>G18-(J15-G15)</f>
        <v>-20281.845479999844</v>
      </c>
      <c r="K18" s="288"/>
      <c r="L18" s="287"/>
      <c r="M18" s="265"/>
      <c r="N18" s="266" t="s">
        <v>93</v>
      </c>
      <c r="O18" s="294"/>
      <c r="P18" s="286"/>
      <c r="Q18" s="293"/>
      <c r="S18" s="287">
        <f>J18</f>
        <v>-20281.845479999844</v>
      </c>
      <c r="T18" s="287">
        <f t="shared" si="0"/>
        <v>0</v>
      </c>
    </row>
    <row r="19" spans="1:20" s="266" customFormat="1" x14ac:dyDescent="0.25">
      <c r="A19" s="265"/>
      <c r="B19" s="266" t="s">
        <v>101</v>
      </c>
      <c r="C19" s="294"/>
      <c r="D19" s="286"/>
      <c r="E19" s="293"/>
      <c r="G19" s="287">
        <f>'Billing Determ'!Q124</f>
        <v>266391.17</v>
      </c>
      <c r="H19" s="287"/>
      <c r="I19" s="287"/>
      <c r="J19" s="287">
        <f>G19</f>
        <v>266391.17</v>
      </c>
      <c r="K19" s="288"/>
      <c r="L19" s="287"/>
      <c r="M19" s="265"/>
      <c r="N19" s="266" t="s">
        <v>101</v>
      </c>
      <c r="O19" s="294"/>
      <c r="P19" s="286"/>
      <c r="Q19" s="293"/>
      <c r="S19" s="287">
        <f t="shared" ref="S19:S20" si="1">J19</f>
        <v>266391.17</v>
      </c>
      <c r="T19" s="287">
        <f t="shared" si="0"/>
        <v>0</v>
      </c>
    </row>
    <row r="20" spans="1:20" s="266" customFormat="1" x14ac:dyDescent="0.25">
      <c r="A20" s="265"/>
      <c r="B20" s="266" t="s">
        <v>139</v>
      </c>
      <c r="D20" s="87"/>
      <c r="G20" s="287">
        <f>Lighting!L56*0</f>
        <v>0</v>
      </c>
      <c r="H20" s="287"/>
      <c r="I20" s="287"/>
      <c r="J20" s="287">
        <f>G20</f>
        <v>0</v>
      </c>
      <c r="K20" s="288"/>
      <c r="L20" s="287"/>
      <c r="M20" s="265"/>
      <c r="N20" s="266" t="s">
        <v>139</v>
      </c>
      <c r="S20" s="287">
        <f t="shared" si="1"/>
        <v>0</v>
      </c>
      <c r="T20" s="287">
        <f t="shared" si="0"/>
        <v>0</v>
      </c>
    </row>
    <row r="21" spans="1:20" s="266" customFormat="1" x14ac:dyDescent="0.25">
      <c r="A21" s="265"/>
      <c r="D21" s="87"/>
      <c r="G21" s="287"/>
      <c r="H21" s="287"/>
      <c r="I21" s="287"/>
      <c r="J21" s="287"/>
      <c r="K21" s="288"/>
      <c r="L21" s="287"/>
      <c r="M21" s="265"/>
      <c r="S21" s="287"/>
      <c r="T21" s="287"/>
    </row>
    <row r="22" spans="1:20" s="266" customFormat="1" ht="16.5" thickBot="1" x14ac:dyDescent="0.3">
      <c r="A22" s="265" t="s">
        <v>80</v>
      </c>
      <c r="G22" s="295">
        <f>SUM(G11:G20)</f>
        <v>2912354.14928</v>
      </c>
      <c r="H22" s="287"/>
      <c r="I22" s="287"/>
      <c r="J22" s="295">
        <f>SUM(J11:J20)</f>
        <v>2912354.14928</v>
      </c>
      <c r="K22" s="288"/>
      <c r="L22" s="287"/>
      <c r="M22" s="265" t="s">
        <v>80</v>
      </c>
      <c r="S22" s="295">
        <f>SUM(S11:S20)</f>
        <v>2912354.14928</v>
      </c>
      <c r="T22" s="287">
        <f t="shared" si="0"/>
        <v>0</v>
      </c>
    </row>
    <row r="23" spans="1:20" s="266" customFormat="1" ht="16.5" thickTop="1" x14ac:dyDescent="0.25">
      <c r="A23" s="265"/>
      <c r="B23" s="265"/>
      <c r="G23" s="287"/>
      <c r="H23" s="287"/>
      <c r="I23" s="287"/>
      <c r="J23" s="287"/>
      <c r="K23" s="288"/>
      <c r="L23" s="287"/>
      <c r="M23" s="265"/>
      <c r="N23" s="265"/>
      <c r="S23" s="287"/>
    </row>
    <row r="24" spans="1:20" s="266" customFormat="1" x14ac:dyDescent="0.25">
      <c r="A24" s="265" t="s">
        <v>19</v>
      </c>
      <c r="B24" s="296"/>
      <c r="G24" s="287">
        <f>'Billing Determ'!Q93</f>
        <v>2919243.53</v>
      </c>
      <c r="H24" s="287"/>
      <c r="I24" s="287"/>
      <c r="J24" s="287"/>
      <c r="K24" s="288"/>
      <c r="L24" s="287"/>
      <c r="M24" s="265" t="s">
        <v>109</v>
      </c>
      <c r="N24" s="296"/>
      <c r="S24" s="86">
        <f>S22-J22</f>
        <v>0</v>
      </c>
    </row>
    <row r="25" spans="1:20" s="266" customFormat="1" x14ac:dyDescent="0.25">
      <c r="A25" s="296"/>
      <c r="B25" s="296"/>
      <c r="G25" s="296"/>
      <c r="H25" s="296"/>
      <c r="I25" s="296"/>
      <c r="J25" s="296"/>
      <c r="K25" s="297"/>
      <c r="L25" s="296"/>
      <c r="N25" s="296"/>
      <c r="S25" s="296"/>
    </row>
    <row r="26" spans="1:20" s="266" customFormat="1" x14ac:dyDescent="0.25">
      <c r="A26" s="265" t="s">
        <v>13</v>
      </c>
      <c r="B26" s="296"/>
      <c r="G26" s="46">
        <f>G22-G24</f>
        <v>-6889.3807199997827</v>
      </c>
      <c r="H26" s="46"/>
      <c r="I26" s="46"/>
      <c r="J26" s="46">
        <f>J22-G22</f>
        <v>0</v>
      </c>
      <c r="K26" s="298"/>
      <c r="L26" s="48"/>
      <c r="M26" s="265" t="s">
        <v>110</v>
      </c>
      <c r="N26" s="296"/>
      <c r="S26" s="299">
        <f>S24/J22</f>
        <v>0</v>
      </c>
    </row>
    <row r="27" spans="1:20" s="266" customFormat="1" x14ac:dyDescent="0.25">
      <c r="A27" s="296"/>
      <c r="B27" s="296"/>
      <c r="G27" s="287"/>
      <c r="H27" s="287"/>
      <c r="I27" s="287"/>
      <c r="J27" s="287"/>
      <c r="K27" s="288"/>
      <c r="L27" s="287"/>
      <c r="N27" s="296"/>
      <c r="S27" s="287"/>
    </row>
    <row r="28" spans="1:20" s="266" customFormat="1" x14ac:dyDescent="0.25">
      <c r="A28" s="265" t="s">
        <v>26</v>
      </c>
      <c r="B28" s="296"/>
      <c r="G28" s="47">
        <f>G26/G24</f>
        <v>-2.359988349447428E-3</v>
      </c>
      <c r="H28" s="47"/>
      <c r="I28" s="47"/>
      <c r="J28" s="47">
        <f>J26/G24</f>
        <v>0</v>
      </c>
      <c r="K28" s="300"/>
      <c r="L28" s="47"/>
      <c r="M28" s="265" t="s">
        <v>85</v>
      </c>
      <c r="N28" s="296"/>
      <c r="S28" s="90">
        <f>S24/P11</f>
        <v>0</v>
      </c>
    </row>
    <row r="29" spans="1:20" s="266" customFormat="1" x14ac:dyDescent="0.25">
      <c r="A29" s="265"/>
      <c r="B29" s="296"/>
      <c r="G29" s="47"/>
      <c r="H29" s="47"/>
      <c r="I29" s="47"/>
      <c r="J29" s="47"/>
      <c r="K29" s="47"/>
      <c r="L29" s="47"/>
      <c r="M29" s="265"/>
      <c r="N29" s="296"/>
      <c r="S29" s="47"/>
    </row>
    <row r="30" spans="1:20" s="266" customFormat="1" x14ac:dyDescent="0.25">
      <c r="A30" s="265"/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S30" s="47"/>
    </row>
    <row r="31" spans="1:20" s="266" customFormat="1" x14ac:dyDescent="0.25">
      <c r="A31" s="265"/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S31" s="47"/>
    </row>
    <row r="32" spans="1:20" s="266" customFormat="1" x14ac:dyDescent="0.25">
      <c r="A32" s="265"/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S32" s="47"/>
    </row>
    <row r="33" spans="1:20" s="266" customFormat="1" x14ac:dyDescent="0.25">
      <c r="A33" s="265"/>
      <c r="B33" s="296"/>
      <c r="G33" s="47"/>
      <c r="H33" s="47"/>
      <c r="I33" s="47"/>
      <c r="J33" s="47"/>
      <c r="K33" s="47"/>
      <c r="L33" s="47"/>
      <c r="M33" s="265"/>
      <c r="N33" s="296"/>
      <c r="S33" s="47"/>
    </row>
    <row r="34" spans="1:20" s="266" customFormat="1" x14ac:dyDescent="0.25">
      <c r="A34" s="265"/>
      <c r="B34" s="296"/>
      <c r="G34" s="47"/>
      <c r="H34" s="47"/>
      <c r="I34" s="47"/>
      <c r="J34" s="47"/>
      <c r="K34" s="47"/>
      <c r="L34" s="47"/>
      <c r="M34" s="265"/>
      <c r="N34" s="296"/>
      <c r="S34" s="47"/>
    </row>
    <row r="35" spans="1:20" s="266" customFormat="1" ht="18.75" customHeight="1" x14ac:dyDescent="0.25">
      <c r="A35" s="265"/>
      <c r="B35" s="287"/>
      <c r="G35" s="47"/>
      <c r="H35" s="47"/>
      <c r="I35" s="47"/>
      <c r="J35" s="47"/>
      <c r="K35" s="47"/>
      <c r="L35" s="47"/>
    </row>
    <row r="36" spans="1:20" s="266" customFormat="1" x14ac:dyDescent="0.25">
      <c r="E36" s="287"/>
    </row>
    <row r="41" spans="1:20" s="266" customFormat="1" x14ac:dyDescent="0.25">
      <c r="T41" s="301"/>
    </row>
    <row r="42" spans="1:20" s="266" customFormat="1" x14ac:dyDescent="0.25">
      <c r="T42" s="301"/>
    </row>
    <row r="43" spans="1:20" s="266" customFormat="1" x14ac:dyDescent="0.25">
      <c r="T43" s="301"/>
    </row>
    <row r="44" spans="1:20" s="266" customFormat="1" x14ac:dyDescent="0.25">
      <c r="T44" s="301"/>
    </row>
    <row r="45" spans="1:20" s="266" customFormat="1" x14ac:dyDescent="0.25">
      <c r="T45" s="301"/>
    </row>
    <row r="46" spans="1:20" s="266" customFormat="1" x14ac:dyDescent="0.25">
      <c r="T46" s="301"/>
    </row>
    <row r="47" spans="1:20" s="266" customFormat="1" x14ac:dyDescent="0.25">
      <c r="T47" s="301"/>
    </row>
    <row r="48" spans="1:20" s="266" customFormat="1" x14ac:dyDescent="0.25">
      <c r="T48" s="301"/>
    </row>
    <row r="49" spans="20:20" s="266" customFormat="1" x14ac:dyDescent="0.25">
      <c r="T49" s="301"/>
    </row>
    <row r="50" spans="20:20" s="266" customFormat="1" ht="16.5" customHeight="1" x14ac:dyDescent="0.25">
      <c r="T50" s="301"/>
    </row>
    <row r="51" spans="20:20" s="266" customFormat="1" x14ac:dyDescent="0.25">
      <c r="T51" s="301"/>
    </row>
    <row r="52" spans="20:20" s="266" customFormat="1" x14ac:dyDescent="0.25">
      <c r="T52" s="301"/>
    </row>
    <row r="55" spans="20:20" s="266" customFormat="1" x14ac:dyDescent="0.25">
      <c r="T55" s="302"/>
    </row>
    <row r="56" spans="20:20" s="266" customFormat="1" x14ac:dyDescent="0.25">
      <c r="T56" s="302"/>
    </row>
    <row r="58" spans="20:20" s="266" customFormat="1" x14ac:dyDescent="0.25">
      <c r="T58" s="302"/>
    </row>
    <row r="59" spans="20:20" s="266" customFormat="1" x14ac:dyDescent="0.25">
      <c r="T59" s="302"/>
    </row>
    <row r="60" spans="20:20" s="266" customFormat="1" x14ac:dyDescent="0.25">
      <c r="T60" s="302"/>
    </row>
    <row r="61" spans="20:20" s="266" customFormat="1" x14ac:dyDescent="0.25">
      <c r="T61" s="302"/>
    </row>
    <row r="62" spans="20:20" s="266" customFormat="1" x14ac:dyDescent="0.25">
      <c r="T62" s="302"/>
    </row>
    <row r="63" spans="20:20" s="266" customFormat="1" x14ac:dyDescent="0.25">
      <c r="T63" s="302"/>
    </row>
    <row r="64" spans="20:20" s="266" customFormat="1" x14ac:dyDescent="0.25">
      <c r="T64" s="302"/>
    </row>
    <row r="65" spans="20:20" s="266" customFormat="1" x14ac:dyDescent="0.25">
      <c r="T65" s="302"/>
    </row>
    <row r="66" spans="20:20" s="266" customFormat="1" x14ac:dyDescent="0.25">
      <c r="T66" s="302"/>
    </row>
    <row r="67" spans="20:20" s="266" customFormat="1" x14ac:dyDescent="0.25">
      <c r="T67" s="302"/>
    </row>
    <row r="68" spans="20:20" s="266" customFormat="1" x14ac:dyDescent="0.25">
      <c r="T68" s="302"/>
    </row>
    <row r="69" spans="20:20" s="266" customFormat="1" x14ac:dyDescent="0.25">
      <c r="T69" s="302"/>
    </row>
    <row r="70" spans="20:20" s="266" customFormat="1" x14ac:dyDescent="0.25">
      <c r="T70" s="303"/>
    </row>
    <row r="71" spans="20:20" s="266" customFormat="1" x14ac:dyDescent="0.25">
      <c r="T71" s="303"/>
    </row>
    <row r="72" spans="20:20" s="266" customFormat="1" x14ac:dyDescent="0.25">
      <c r="T72" s="303"/>
    </row>
    <row r="73" spans="20:20" s="266" customFormat="1" x14ac:dyDescent="0.25">
      <c r="T73" s="303"/>
    </row>
    <row r="74" spans="20:20" s="266" customFormat="1" x14ac:dyDescent="0.25">
      <c r="T74" s="303"/>
    </row>
    <row r="75" spans="20:20" s="266" customFormat="1" x14ac:dyDescent="0.25">
      <c r="T75" s="303"/>
    </row>
    <row r="76" spans="20:20" s="266" customFormat="1" x14ac:dyDescent="0.25">
      <c r="T76" s="303"/>
    </row>
    <row r="77" spans="20:20" s="266" customFormat="1" x14ac:dyDescent="0.25">
      <c r="T77" s="303"/>
    </row>
    <row r="78" spans="20:20" s="266" customFormat="1" x14ac:dyDescent="0.25">
      <c r="T78" s="303"/>
    </row>
    <row r="79" spans="20:20" s="266" customFormat="1" x14ac:dyDescent="0.25">
      <c r="T79" s="303"/>
    </row>
    <row r="80" spans="20:20" s="266" customFormat="1" x14ac:dyDescent="0.25">
      <c r="T80" s="303"/>
    </row>
    <row r="81" spans="20:20" s="266" customFormat="1" x14ac:dyDescent="0.25">
      <c r="T81" s="303"/>
    </row>
    <row r="82" spans="20:20" s="266" customFormat="1" x14ac:dyDescent="0.25">
      <c r="T82" s="303"/>
    </row>
    <row r="83" spans="20:20" s="266" customFormat="1" ht="15" customHeight="1" x14ac:dyDescent="0.25">
      <c r="T83" s="303"/>
    </row>
    <row r="84" spans="20:20" s="266" customFormat="1" x14ac:dyDescent="0.25">
      <c r="T84" s="303"/>
    </row>
    <row r="85" spans="20:20" s="266" customFormat="1" x14ac:dyDescent="0.25">
      <c r="T85" s="303"/>
    </row>
    <row r="86" spans="20:20" s="266" customFormat="1" x14ac:dyDescent="0.25">
      <c r="T86" s="303"/>
    </row>
    <row r="87" spans="20:20" s="266" customFormat="1" x14ac:dyDescent="0.25">
      <c r="T87" s="303"/>
    </row>
    <row r="88" spans="20:20" s="266" customFormat="1" x14ac:dyDescent="0.25">
      <c r="T88" s="303"/>
    </row>
    <row r="89" spans="20:20" s="266" customFormat="1" x14ac:dyDescent="0.25">
      <c r="T89" s="303"/>
    </row>
    <row r="90" spans="20:20" s="266" customFormat="1" x14ac:dyDescent="0.25">
      <c r="T90" s="303"/>
    </row>
    <row r="91" spans="20:20" s="266" customFormat="1" x14ac:dyDescent="0.25">
      <c r="T91" s="303"/>
    </row>
    <row r="92" spans="20:20" s="266" customFormat="1" x14ac:dyDescent="0.25">
      <c r="T92" s="303"/>
    </row>
    <row r="93" spans="20:20" s="266" customFormat="1" x14ac:dyDescent="0.25">
      <c r="T93" s="303"/>
    </row>
    <row r="94" spans="20:20" s="266" customFormat="1" x14ac:dyDescent="0.25">
      <c r="T94" s="303"/>
    </row>
    <row r="95" spans="20:20" s="266" customFormat="1" x14ac:dyDescent="0.25">
      <c r="T95" s="303"/>
    </row>
    <row r="96" spans="20:20" s="266" customFormat="1" x14ac:dyDescent="0.25">
      <c r="T96" s="303"/>
    </row>
    <row r="97" spans="20:20" s="266" customFormat="1" x14ac:dyDescent="0.25">
      <c r="T97" s="303"/>
    </row>
    <row r="98" spans="20:20" s="266" customFormat="1" x14ac:dyDescent="0.25">
      <c r="T98" s="303"/>
    </row>
    <row r="99" spans="20:20" s="266" customFormat="1" x14ac:dyDescent="0.25">
      <c r="T99" s="303"/>
    </row>
    <row r="100" spans="20:20" s="266" customFormat="1" x14ac:dyDescent="0.25">
      <c r="T100" s="303"/>
    </row>
    <row r="101" spans="20:20" s="266" customFormat="1" x14ac:dyDescent="0.25">
      <c r="T101" s="303"/>
    </row>
    <row r="102" spans="20:20" s="266" customFormat="1" x14ac:dyDescent="0.25">
      <c r="T102" s="303"/>
    </row>
    <row r="103" spans="20:20" s="266" customFormat="1" x14ac:dyDescent="0.25">
      <c r="T103" s="303"/>
    </row>
    <row r="104" spans="20:20" s="266" customFormat="1" x14ac:dyDescent="0.25">
      <c r="T104" s="303"/>
    </row>
    <row r="105" spans="20:20" s="266" customFormat="1" x14ac:dyDescent="0.25">
      <c r="T105" s="303"/>
    </row>
    <row r="106" spans="20:20" s="266" customFormat="1" x14ac:dyDescent="0.25">
      <c r="T106" s="303"/>
    </row>
    <row r="107" spans="20:20" s="266" customFormat="1" x14ac:dyDescent="0.25">
      <c r="T107" s="303"/>
    </row>
    <row r="108" spans="20:20" s="266" customFormat="1" x14ac:dyDescent="0.25">
      <c r="T108" s="303"/>
    </row>
    <row r="109" spans="20:20" s="266" customFormat="1" x14ac:dyDescent="0.25">
      <c r="T109" s="303"/>
    </row>
    <row r="110" spans="20:20" s="266" customFormat="1" x14ac:dyDescent="0.25">
      <c r="T110" s="303"/>
    </row>
    <row r="111" spans="20:20" s="266" customFormat="1" x14ac:dyDescent="0.25">
      <c r="T111" s="303"/>
    </row>
    <row r="112" spans="20:20" s="266" customFormat="1" x14ac:dyDescent="0.25">
      <c r="T112" s="303"/>
    </row>
    <row r="113" spans="20:20" s="266" customFormat="1" x14ac:dyDescent="0.25">
      <c r="T113" s="303"/>
    </row>
    <row r="114" spans="20:20" s="266" customFormat="1" x14ac:dyDescent="0.25">
      <c r="T114" s="303"/>
    </row>
    <row r="115" spans="20:20" s="266" customFormat="1" x14ac:dyDescent="0.25">
      <c r="T115" s="303"/>
    </row>
    <row r="129" spans="3:14" s="266" customFormat="1" x14ac:dyDescent="0.25">
      <c r="N129" s="302"/>
    </row>
    <row r="130" spans="3:14" s="266" customFormat="1" x14ac:dyDescent="0.25">
      <c r="C130" s="302"/>
      <c r="D130" s="302"/>
      <c r="N130" s="302"/>
    </row>
    <row r="131" spans="3:14" s="266" customFormat="1" x14ac:dyDescent="0.25">
      <c r="C131" s="304"/>
      <c r="D131" s="305"/>
      <c r="E131" s="306"/>
      <c r="N131" s="302"/>
    </row>
    <row r="132" spans="3:14" s="266" customFormat="1" x14ac:dyDescent="0.25">
      <c r="C132" s="304"/>
      <c r="D132" s="305"/>
      <c r="E132" s="306"/>
      <c r="N132" s="302"/>
    </row>
    <row r="133" spans="3:14" s="266" customFormat="1" x14ac:dyDescent="0.25">
      <c r="C133" s="304"/>
      <c r="D133" s="305"/>
      <c r="E133" s="306"/>
      <c r="N133" s="30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59" orientation="landscape" r:id="rId1"/>
  <headerFooter alignWithMargins="0">
    <oddFooter>&amp;RExhibit JW-9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T133"/>
  <sheetViews>
    <sheetView tabSelected="1" view="pageBreakPreview" zoomScale="75" zoomScaleNormal="85" zoomScaleSheetLayoutView="75" workbookViewId="0">
      <selection activeCell="T28" sqref="T28"/>
    </sheetView>
  </sheetViews>
  <sheetFormatPr defaultColWidth="9.140625" defaultRowHeight="15.75" x14ac:dyDescent="0.25"/>
  <cols>
    <col min="1" max="1" width="4.7109375" style="266" customWidth="1"/>
    <col min="2" max="2" width="15.42578125" style="266" customWidth="1"/>
    <col min="3" max="3" width="5.28515625" style="266" customWidth="1"/>
    <col min="4" max="4" width="15" style="266" bestFit="1" customWidth="1"/>
    <col min="5" max="5" width="16.28515625" style="266" bestFit="1" customWidth="1"/>
    <col min="6" max="6" width="3.140625" style="266" customWidth="1"/>
    <col min="7" max="7" width="16.42578125" style="266" customWidth="1"/>
    <col min="8" max="8" width="2.7109375" style="266" customWidth="1"/>
    <col min="9" max="10" width="16.42578125" style="266" customWidth="1"/>
    <col min="11" max="12" width="2.85546875" style="266" customWidth="1"/>
    <col min="13" max="13" width="4.7109375" style="266" customWidth="1"/>
    <col min="14" max="14" width="15.85546875" style="266" customWidth="1"/>
    <col min="15" max="15" width="3" style="266" customWidth="1"/>
    <col min="16" max="16" width="15.7109375" style="266" customWidth="1"/>
    <col min="17" max="17" width="15.140625" style="266" customWidth="1"/>
    <col min="18" max="18" width="2.42578125" style="266" customWidth="1"/>
    <col min="19" max="19" width="17.42578125" style="266" customWidth="1"/>
    <col min="20" max="20" width="11.140625" style="266" customWidth="1"/>
    <col min="21" max="21" width="14.28515625" style="266" bestFit="1" customWidth="1"/>
    <col min="22" max="16384" width="9.140625" style="266"/>
  </cols>
  <sheetData>
    <row r="1" spans="1:20" s="266" customFormat="1" x14ac:dyDescent="0.25">
      <c r="A1" s="265" t="s">
        <v>129</v>
      </c>
      <c r="N1" s="265"/>
    </row>
    <row r="2" spans="1:20" s="266" customFormat="1" x14ac:dyDescent="0.25">
      <c r="A2" s="265" t="str">
        <f>List!B14</f>
        <v>All Electric Schools AES</v>
      </c>
    </row>
    <row r="3" spans="1:20" s="266" customFormat="1" ht="16.5" thickBot="1" x14ac:dyDescent="0.3">
      <c r="A3" s="267">
        <f>List!C14</f>
        <v>52</v>
      </c>
    </row>
    <row r="4" spans="1:20" s="266" customFormat="1" x14ac:dyDescent="0.25">
      <c r="D4" s="268" t="s">
        <v>30</v>
      </c>
      <c r="E4" s="269"/>
      <c r="F4" s="269"/>
      <c r="G4" s="270"/>
      <c r="H4" s="271"/>
      <c r="I4" s="268" t="s">
        <v>108</v>
      </c>
      <c r="J4" s="270"/>
      <c r="K4" s="272"/>
      <c r="L4" s="271"/>
      <c r="P4" s="268" t="s">
        <v>90</v>
      </c>
      <c r="Q4" s="269"/>
      <c r="R4" s="269"/>
      <c r="S4" s="270"/>
    </row>
    <row r="5" spans="1:20" s="266" customFormat="1" ht="16.5" thickBot="1" x14ac:dyDescent="0.3">
      <c r="A5" s="273"/>
      <c r="B5" s="274"/>
      <c r="C5" s="271"/>
      <c r="D5" s="275"/>
      <c r="E5" s="276"/>
      <c r="F5" s="276"/>
      <c r="G5" s="277"/>
      <c r="H5" s="271"/>
      <c r="I5" s="275"/>
      <c r="J5" s="277"/>
      <c r="K5" s="272"/>
      <c r="L5" s="271"/>
      <c r="M5" s="273"/>
      <c r="N5" s="274"/>
      <c r="O5" s="271"/>
      <c r="P5" s="275"/>
      <c r="Q5" s="276"/>
      <c r="R5" s="276"/>
      <c r="S5" s="277"/>
    </row>
    <row r="6" spans="1:20" s="266" customFormat="1" x14ac:dyDescent="0.25">
      <c r="A6" s="278"/>
      <c r="B6" s="278"/>
      <c r="C6" s="278"/>
      <c r="D6" s="278" t="s">
        <v>1</v>
      </c>
      <c r="E6" s="278"/>
      <c r="F6" s="278"/>
      <c r="G6" s="278" t="s">
        <v>2</v>
      </c>
      <c r="H6" s="278"/>
      <c r="I6" s="278"/>
      <c r="J6" s="278" t="s">
        <v>2</v>
      </c>
      <c r="K6" s="279"/>
      <c r="L6" s="278"/>
      <c r="M6" s="278"/>
      <c r="N6" s="278"/>
      <c r="O6" s="278"/>
      <c r="P6" s="278" t="s">
        <v>1</v>
      </c>
      <c r="Q6" s="278"/>
      <c r="R6" s="278"/>
      <c r="S6" s="278" t="s">
        <v>2</v>
      </c>
    </row>
    <row r="7" spans="1:20" s="266" customFormat="1" ht="16.5" thickBot="1" x14ac:dyDescent="0.3">
      <c r="A7" s="280"/>
      <c r="B7" s="280"/>
      <c r="C7" s="280"/>
      <c r="D7" s="280" t="s">
        <v>4</v>
      </c>
      <c r="E7" s="276" t="s">
        <v>5</v>
      </c>
      <c r="F7" s="276"/>
      <c r="G7" s="280" t="s">
        <v>6</v>
      </c>
      <c r="H7" s="280"/>
      <c r="I7" s="280" t="s">
        <v>5</v>
      </c>
      <c r="J7" s="280" t="s">
        <v>6</v>
      </c>
      <c r="K7" s="281"/>
      <c r="L7" s="280"/>
      <c r="M7" s="280"/>
      <c r="N7" s="280"/>
      <c r="O7" s="280"/>
      <c r="P7" s="280" t="s">
        <v>4</v>
      </c>
      <c r="Q7" s="276" t="s">
        <v>5</v>
      </c>
      <c r="R7" s="276"/>
      <c r="S7" s="280" t="s">
        <v>6</v>
      </c>
      <c r="T7" s="280" t="s">
        <v>247</v>
      </c>
    </row>
    <row r="8" spans="1:20" s="266" customFormat="1" x14ac:dyDescent="0.25">
      <c r="K8" s="282"/>
    </row>
    <row r="9" spans="1:20" s="266" customFormat="1" x14ac:dyDescent="0.25">
      <c r="A9" s="283" t="s">
        <v>10</v>
      </c>
      <c r="K9" s="282"/>
      <c r="M9" s="283" t="s">
        <v>10</v>
      </c>
    </row>
    <row r="10" spans="1:20" s="266" customFormat="1" x14ac:dyDescent="0.25">
      <c r="D10" s="284" t="s">
        <v>94</v>
      </c>
      <c r="E10" s="284" t="s">
        <v>95</v>
      </c>
      <c r="I10" s="284" t="s">
        <v>95</v>
      </c>
      <c r="K10" s="282"/>
      <c r="P10" s="285" t="s">
        <v>94</v>
      </c>
      <c r="Q10" s="285" t="s">
        <v>95</v>
      </c>
    </row>
    <row r="11" spans="1:20" s="266" customFormat="1" x14ac:dyDescent="0.25">
      <c r="B11" s="266" t="s">
        <v>107</v>
      </c>
      <c r="D11" s="286">
        <f>'Billing Determ'!Q14</f>
        <v>276</v>
      </c>
      <c r="E11" s="74">
        <f>'Present and Proposed Rates'!F29</f>
        <v>57.73</v>
      </c>
      <c r="G11" s="287">
        <f>D11*E11</f>
        <v>15933.48</v>
      </c>
      <c r="H11" s="287"/>
      <c r="I11" s="74">
        <f>'Present and Proposed Rates'!G29</f>
        <v>57.73</v>
      </c>
      <c r="J11" s="287">
        <f>I11*D11</f>
        <v>15933.48</v>
      </c>
      <c r="K11" s="288"/>
      <c r="L11" s="287"/>
      <c r="N11" s="266" t="s">
        <v>102</v>
      </c>
      <c r="P11" s="286">
        <f>D11</f>
        <v>276</v>
      </c>
      <c r="Q11" s="74">
        <f>'Present and Proposed Rates'!H29</f>
        <v>57.73</v>
      </c>
      <c r="S11" s="287">
        <f>P11*Q11</f>
        <v>15933.48</v>
      </c>
      <c r="T11" s="287">
        <f>S11-J11</f>
        <v>0</v>
      </c>
    </row>
    <row r="12" spans="1:20" s="266" customFormat="1" x14ac:dyDescent="0.25">
      <c r="D12" s="286"/>
      <c r="G12" s="287"/>
      <c r="H12" s="287"/>
      <c r="J12" s="287"/>
      <c r="K12" s="288"/>
      <c r="L12" s="287"/>
      <c r="P12" s="286"/>
      <c r="S12" s="287"/>
      <c r="T12" s="287"/>
    </row>
    <row r="13" spans="1:20" s="266" customFormat="1" x14ac:dyDescent="0.25">
      <c r="A13" s="265" t="s">
        <v>7</v>
      </c>
      <c r="D13" s="286"/>
      <c r="G13" s="287"/>
      <c r="H13" s="287"/>
      <c r="J13" s="287"/>
      <c r="K13" s="288"/>
      <c r="L13" s="287"/>
      <c r="M13" s="265" t="s">
        <v>7</v>
      </c>
      <c r="P13" s="286"/>
      <c r="S13" s="287"/>
      <c r="T13" s="287"/>
    </row>
    <row r="14" spans="1:20" s="266" customFormat="1" x14ac:dyDescent="0.25">
      <c r="D14" s="289" t="s">
        <v>8</v>
      </c>
      <c r="E14" s="290" t="s">
        <v>11</v>
      </c>
      <c r="G14" s="287"/>
      <c r="H14" s="287"/>
      <c r="I14" s="290" t="s">
        <v>11</v>
      </c>
      <c r="J14" s="287"/>
      <c r="K14" s="288"/>
      <c r="L14" s="287"/>
      <c r="P14" s="291" t="s">
        <v>8</v>
      </c>
      <c r="Q14" s="292" t="s">
        <v>11</v>
      </c>
      <c r="S14" s="287"/>
      <c r="T14" s="287"/>
    </row>
    <row r="15" spans="1:20" s="266" customFormat="1" x14ac:dyDescent="0.25">
      <c r="B15" s="266" t="s">
        <v>164</v>
      </c>
      <c r="D15" s="286">
        <f>'Billing Determ'!Q185</f>
        <v>9939021</v>
      </c>
      <c r="E15" s="293">
        <f>'Present and Proposed Rates'!F30</f>
        <v>7.7090000000000006E-2</v>
      </c>
      <c r="G15" s="287">
        <f>D15*E15</f>
        <v>766199.12889000005</v>
      </c>
      <c r="H15" s="287"/>
      <c r="I15" s="293">
        <f>'Present and Proposed Rates'!G30</f>
        <v>8.8910000000000003E-2</v>
      </c>
      <c r="J15" s="287">
        <f>D15*I15</f>
        <v>883678.35710999998</v>
      </c>
      <c r="K15" s="288"/>
      <c r="L15" s="287"/>
      <c r="N15" s="266" t="s">
        <v>164</v>
      </c>
      <c r="P15" s="286">
        <f>D15</f>
        <v>9939021</v>
      </c>
      <c r="Q15" s="293">
        <f>'Present and Proposed Rates'!H30</f>
        <v>8.8910000000000003E-2</v>
      </c>
      <c r="S15" s="287">
        <f>P15*Q15</f>
        <v>883678.35710999998</v>
      </c>
      <c r="T15" s="287">
        <f t="shared" ref="T15:T22" si="0">S15-J15</f>
        <v>0</v>
      </c>
    </row>
    <row r="16" spans="1:20" s="266" customFormat="1" x14ac:dyDescent="0.25">
      <c r="A16" s="265"/>
      <c r="B16" s="265"/>
      <c r="C16" s="294"/>
      <c r="D16" s="286"/>
      <c r="E16" s="293"/>
      <c r="G16" s="287"/>
      <c r="H16" s="287"/>
      <c r="I16" s="287"/>
      <c r="J16" s="287"/>
      <c r="K16" s="288"/>
      <c r="L16" s="287"/>
      <c r="M16" s="265"/>
      <c r="N16" s="265"/>
      <c r="O16" s="294"/>
      <c r="P16" s="286"/>
      <c r="Q16" s="293"/>
      <c r="S16" s="287"/>
      <c r="T16" s="287"/>
    </row>
    <row r="17" spans="1:20" s="266" customFormat="1" x14ac:dyDescent="0.25">
      <c r="A17" s="265" t="s">
        <v>99</v>
      </c>
      <c r="B17" s="265"/>
      <c r="C17" s="294"/>
      <c r="D17" s="286"/>
      <c r="E17" s="293"/>
      <c r="G17" s="287"/>
      <c r="H17" s="287"/>
      <c r="I17" s="287"/>
      <c r="J17" s="287"/>
      <c r="K17" s="288"/>
      <c r="L17" s="287"/>
      <c r="M17" s="265" t="s">
        <v>99</v>
      </c>
      <c r="N17" s="265"/>
      <c r="O17" s="294"/>
      <c r="P17" s="286"/>
      <c r="Q17" s="293"/>
      <c r="S17" s="287"/>
      <c r="T17" s="287"/>
    </row>
    <row r="18" spans="1:20" s="266" customFormat="1" x14ac:dyDescent="0.25">
      <c r="A18" s="265"/>
      <c r="B18" s="266" t="s">
        <v>93</v>
      </c>
      <c r="C18" s="294"/>
      <c r="D18" s="286"/>
      <c r="E18" s="293"/>
      <c r="G18" s="287">
        <f>'Billing Determ'!Q109</f>
        <v>110862.23000000001</v>
      </c>
      <c r="H18" s="287"/>
      <c r="I18" s="287"/>
      <c r="J18" s="287">
        <f>G18-(J15-G15)</f>
        <v>-6616.9982199999213</v>
      </c>
      <c r="K18" s="288"/>
      <c r="L18" s="287"/>
      <c r="M18" s="265"/>
      <c r="N18" s="266" t="s">
        <v>93</v>
      </c>
      <c r="O18" s="294"/>
      <c r="P18" s="286"/>
      <c r="Q18" s="293"/>
      <c r="S18" s="287">
        <f>J18</f>
        <v>-6616.9982199999213</v>
      </c>
      <c r="T18" s="287">
        <f t="shared" si="0"/>
        <v>0</v>
      </c>
    </row>
    <row r="19" spans="1:20" s="266" customFormat="1" x14ac:dyDescent="0.25">
      <c r="A19" s="265"/>
      <c r="B19" s="266" t="s">
        <v>101</v>
      </c>
      <c r="C19" s="294"/>
      <c r="D19" s="286"/>
      <c r="E19" s="293"/>
      <c r="G19" s="287">
        <f>'Billing Determ'!Q125</f>
        <v>87893.68</v>
      </c>
      <c r="H19" s="287"/>
      <c r="I19" s="287"/>
      <c r="J19" s="287">
        <f>G19</f>
        <v>87893.68</v>
      </c>
      <c r="K19" s="288"/>
      <c r="L19" s="287"/>
      <c r="M19" s="265"/>
      <c r="N19" s="266" t="s">
        <v>101</v>
      </c>
      <c r="O19" s="294"/>
      <c r="P19" s="286"/>
      <c r="Q19" s="293"/>
      <c r="S19" s="287">
        <f t="shared" ref="S19:S20" si="1">J19</f>
        <v>87893.68</v>
      </c>
      <c r="T19" s="287">
        <f t="shared" si="0"/>
        <v>0</v>
      </c>
    </row>
    <row r="20" spans="1:20" s="266" customFormat="1" x14ac:dyDescent="0.25">
      <c r="A20" s="265"/>
      <c r="B20" s="266" t="s">
        <v>139</v>
      </c>
      <c r="C20" s="294"/>
      <c r="D20" s="286"/>
      <c r="E20" s="293"/>
      <c r="G20" s="287">
        <f>Lighting!L57*0</f>
        <v>0</v>
      </c>
      <c r="H20" s="287"/>
      <c r="I20" s="287"/>
      <c r="J20" s="287">
        <f>G20</f>
        <v>0</v>
      </c>
      <c r="K20" s="288"/>
      <c r="L20" s="287"/>
      <c r="M20" s="265"/>
      <c r="N20" s="266" t="s">
        <v>139</v>
      </c>
      <c r="O20" s="294"/>
      <c r="P20" s="286"/>
      <c r="Q20" s="293"/>
      <c r="S20" s="287">
        <f t="shared" si="1"/>
        <v>0</v>
      </c>
      <c r="T20" s="287">
        <f t="shared" si="0"/>
        <v>0</v>
      </c>
    </row>
    <row r="21" spans="1:20" s="266" customFormat="1" x14ac:dyDescent="0.25">
      <c r="A21" s="265"/>
      <c r="D21" s="87"/>
      <c r="G21" s="287"/>
      <c r="H21" s="287"/>
      <c r="I21" s="287"/>
      <c r="J21" s="287"/>
      <c r="K21" s="288"/>
      <c r="L21" s="287"/>
      <c r="M21" s="265"/>
      <c r="S21" s="287"/>
      <c r="T21" s="287"/>
    </row>
    <row r="22" spans="1:20" s="266" customFormat="1" ht="16.5" thickBot="1" x14ac:dyDescent="0.3">
      <c r="A22" s="265" t="s">
        <v>80</v>
      </c>
      <c r="G22" s="295">
        <f>SUM(G11:G20)</f>
        <v>980888.51888999995</v>
      </c>
      <c r="H22" s="287"/>
      <c r="I22" s="287"/>
      <c r="J22" s="295">
        <f>SUM(J11:J20)</f>
        <v>980888.51888999995</v>
      </c>
      <c r="K22" s="288"/>
      <c r="L22" s="287"/>
      <c r="M22" s="265" t="s">
        <v>80</v>
      </c>
      <c r="S22" s="295">
        <f>SUM(S11:S20)</f>
        <v>980888.51888999995</v>
      </c>
      <c r="T22" s="287">
        <f t="shared" si="0"/>
        <v>0</v>
      </c>
    </row>
    <row r="23" spans="1:20" s="266" customFormat="1" ht="16.5" thickTop="1" x14ac:dyDescent="0.25">
      <c r="A23" s="265"/>
      <c r="B23" s="265"/>
      <c r="G23" s="287"/>
      <c r="H23" s="287"/>
      <c r="I23" s="287"/>
      <c r="J23" s="287"/>
      <c r="K23" s="288"/>
      <c r="L23" s="287"/>
      <c r="M23" s="265"/>
      <c r="N23" s="265"/>
      <c r="S23" s="287"/>
    </row>
    <row r="24" spans="1:20" s="266" customFormat="1" x14ac:dyDescent="0.25">
      <c r="A24" s="265" t="s">
        <v>19</v>
      </c>
      <c r="B24" s="296"/>
      <c r="G24" s="287">
        <f>'Billing Determ'!Q94</f>
        <v>969766.56</v>
      </c>
      <c r="H24" s="287"/>
      <c r="I24" s="287"/>
      <c r="J24" s="287"/>
      <c r="K24" s="288"/>
      <c r="L24" s="287"/>
      <c r="M24" s="265" t="s">
        <v>109</v>
      </c>
      <c r="N24" s="296"/>
      <c r="S24" s="86">
        <f>S22-J22</f>
        <v>0</v>
      </c>
    </row>
    <row r="25" spans="1:20" s="266" customFormat="1" x14ac:dyDescent="0.25">
      <c r="A25" s="296"/>
      <c r="B25" s="296"/>
      <c r="G25" s="296"/>
      <c r="H25" s="296"/>
      <c r="I25" s="296"/>
      <c r="J25" s="296"/>
      <c r="K25" s="297"/>
      <c r="L25" s="296"/>
      <c r="N25" s="296"/>
      <c r="S25" s="296"/>
    </row>
    <row r="26" spans="1:20" s="266" customFormat="1" x14ac:dyDescent="0.25">
      <c r="A26" s="265" t="s">
        <v>13</v>
      </c>
      <c r="B26" s="296"/>
      <c r="G26" s="46">
        <f>G22-G24</f>
        <v>11121.958889999893</v>
      </c>
      <c r="H26" s="46"/>
      <c r="I26" s="46"/>
      <c r="J26" s="46">
        <f>J22-G22</f>
        <v>0</v>
      </c>
      <c r="K26" s="298"/>
      <c r="L26" s="48"/>
      <c r="M26" s="265" t="s">
        <v>110</v>
      </c>
      <c r="N26" s="296"/>
      <c r="S26" s="299">
        <f>S24/J22</f>
        <v>0</v>
      </c>
    </row>
    <row r="27" spans="1:20" s="266" customFormat="1" x14ac:dyDescent="0.25">
      <c r="A27" s="296"/>
      <c r="B27" s="296"/>
      <c r="G27" s="287"/>
      <c r="H27" s="287"/>
      <c r="I27" s="287"/>
      <c r="J27" s="287"/>
      <c r="K27" s="288"/>
      <c r="L27" s="287"/>
      <c r="N27" s="296"/>
      <c r="S27" s="287"/>
    </row>
    <row r="28" spans="1:20" s="266" customFormat="1" x14ac:dyDescent="0.25">
      <c r="A28" s="265" t="s">
        <v>26</v>
      </c>
      <c r="B28" s="296"/>
      <c r="G28" s="47">
        <f>G26/G24</f>
        <v>1.1468697054268289E-2</v>
      </c>
      <c r="H28" s="47"/>
      <c r="I28" s="47"/>
      <c r="J28" s="47">
        <f>J26/G24</f>
        <v>0</v>
      </c>
      <c r="K28" s="300"/>
      <c r="L28" s="47"/>
      <c r="M28" s="265" t="s">
        <v>85</v>
      </c>
      <c r="N28" s="296"/>
      <c r="S28" s="90">
        <f>S24/P11</f>
        <v>0</v>
      </c>
    </row>
    <row r="29" spans="1:20" s="266" customFormat="1" x14ac:dyDescent="0.25">
      <c r="A29" s="265"/>
      <c r="B29" s="296"/>
      <c r="G29" s="47"/>
      <c r="H29" s="47"/>
      <c r="I29" s="47"/>
      <c r="J29" s="47"/>
      <c r="K29" s="47"/>
      <c r="L29" s="47"/>
      <c r="M29" s="265"/>
      <c r="N29" s="296"/>
      <c r="S29" s="47"/>
    </row>
    <row r="30" spans="1:20" s="266" customFormat="1" x14ac:dyDescent="0.25">
      <c r="A30" s="265"/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S30" s="47"/>
    </row>
    <row r="31" spans="1:20" s="266" customFormat="1" x14ac:dyDescent="0.25">
      <c r="A31" s="265"/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S31" s="47"/>
    </row>
    <row r="32" spans="1:20" s="266" customFormat="1" x14ac:dyDescent="0.25">
      <c r="A32" s="265"/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S32" s="47"/>
    </row>
    <row r="33" spans="1:20" s="266" customFormat="1" x14ac:dyDescent="0.25">
      <c r="A33" s="265"/>
      <c r="B33" s="296"/>
      <c r="G33" s="47"/>
      <c r="H33" s="47"/>
      <c r="I33" s="47"/>
      <c r="J33" s="47"/>
      <c r="K33" s="47"/>
      <c r="L33" s="47"/>
      <c r="M33" s="265"/>
      <c r="N33" s="296"/>
      <c r="S33" s="47"/>
    </row>
    <row r="34" spans="1:20" s="266" customFormat="1" x14ac:dyDescent="0.25">
      <c r="A34" s="265"/>
      <c r="B34" s="296"/>
      <c r="G34" s="47"/>
      <c r="H34" s="47"/>
      <c r="I34" s="47"/>
      <c r="J34" s="47"/>
      <c r="K34" s="47"/>
      <c r="L34" s="47"/>
      <c r="M34" s="265"/>
      <c r="N34" s="296"/>
      <c r="S34" s="47"/>
    </row>
    <row r="35" spans="1:20" s="266" customFormat="1" ht="18.75" customHeight="1" x14ac:dyDescent="0.25">
      <c r="A35" s="265"/>
      <c r="B35" s="287"/>
      <c r="G35" s="47"/>
      <c r="H35" s="47"/>
      <c r="I35" s="47"/>
      <c r="J35" s="47"/>
      <c r="K35" s="47"/>
      <c r="L35" s="47"/>
    </row>
    <row r="36" spans="1:20" s="266" customFormat="1" x14ac:dyDescent="0.25">
      <c r="E36" s="287"/>
    </row>
    <row r="41" spans="1:20" s="266" customFormat="1" x14ac:dyDescent="0.25">
      <c r="T41" s="301"/>
    </row>
    <row r="42" spans="1:20" s="266" customFormat="1" x14ac:dyDescent="0.25">
      <c r="T42" s="301"/>
    </row>
    <row r="43" spans="1:20" s="266" customFormat="1" x14ac:dyDescent="0.25">
      <c r="T43" s="301"/>
    </row>
    <row r="44" spans="1:20" s="266" customFormat="1" x14ac:dyDescent="0.25">
      <c r="T44" s="301"/>
    </row>
    <row r="45" spans="1:20" s="266" customFormat="1" x14ac:dyDescent="0.25">
      <c r="T45" s="301"/>
    </row>
    <row r="46" spans="1:20" s="266" customFormat="1" x14ac:dyDescent="0.25">
      <c r="T46" s="301"/>
    </row>
    <row r="47" spans="1:20" s="266" customFormat="1" x14ac:dyDescent="0.25">
      <c r="T47" s="301"/>
    </row>
    <row r="48" spans="1:20" s="266" customFormat="1" x14ac:dyDescent="0.25">
      <c r="T48" s="301"/>
    </row>
    <row r="49" spans="20:20" s="266" customFormat="1" x14ac:dyDescent="0.25">
      <c r="T49" s="301"/>
    </row>
    <row r="50" spans="20:20" s="266" customFormat="1" ht="16.5" customHeight="1" x14ac:dyDescent="0.25">
      <c r="T50" s="301"/>
    </row>
    <row r="51" spans="20:20" s="266" customFormat="1" x14ac:dyDescent="0.25">
      <c r="T51" s="301"/>
    </row>
    <row r="52" spans="20:20" s="266" customFormat="1" x14ac:dyDescent="0.25">
      <c r="T52" s="301"/>
    </row>
    <row r="55" spans="20:20" s="266" customFormat="1" x14ac:dyDescent="0.25">
      <c r="T55" s="302"/>
    </row>
    <row r="56" spans="20:20" s="266" customFormat="1" x14ac:dyDescent="0.25">
      <c r="T56" s="302"/>
    </row>
    <row r="58" spans="20:20" s="266" customFormat="1" x14ac:dyDescent="0.25">
      <c r="T58" s="302"/>
    </row>
    <row r="59" spans="20:20" s="266" customFormat="1" x14ac:dyDescent="0.25">
      <c r="T59" s="302"/>
    </row>
    <row r="60" spans="20:20" s="266" customFormat="1" x14ac:dyDescent="0.25">
      <c r="T60" s="302"/>
    </row>
    <row r="61" spans="20:20" s="266" customFormat="1" x14ac:dyDescent="0.25">
      <c r="T61" s="302"/>
    </row>
    <row r="62" spans="20:20" s="266" customFormat="1" x14ac:dyDescent="0.25">
      <c r="T62" s="302"/>
    </row>
    <row r="63" spans="20:20" s="266" customFormat="1" x14ac:dyDescent="0.25">
      <c r="T63" s="302"/>
    </row>
    <row r="64" spans="20:20" s="266" customFormat="1" x14ac:dyDescent="0.25">
      <c r="T64" s="302"/>
    </row>
    <row r="65" spans="20:20" s="266" customFormat="1" x14ac:dyDescent="0.25">
      <c r="T65" s="302"/>
    </row>
    <row r="66" spans="20:20" s="266" customFormat="1" x14ac:dyDescent="0.25">
      <c r="T66" s="302"/>
    </row>
    <row r="67" spans="20:20" s="266" customFormat="1" x14ac:dyDescent="0.25">
      <c r="T67" s="302"/>
    </row>
    <row r="68" spans="20:20" s="266" customFormat="1" x14ac:dyDescent="0.25">
      <c r="T68" s="302"/>
    </row>
    <row r="69" spans="20:20" s="266" customFormat="1" x14ac:dyDescent="0.25">
      <c r="T69" s="302"/>
    </row>
    <row r="70" spans="20:20" s="266" customFormat="1" x14ac:dyDescent="0.25">
      <c r="T70" s="303"/>
    </row>
    <row r="71" spans="20:20" s="266" customFormat="1" x14ac:dyDescent="0.25">
      <c r="T71" s="303"/>
    </row>
    <row r="72" spans="20:20" s="266" customFormat="1" x14ac:dyDescent="0.25">
      <c r="T72" s="303"/>
    </row>
    <row r="73" spans="20:20" s="266" customFormat="1" x14ac:dyDescent="0.25">
      <c r="T73" s="303"/>
    </row>
    <row r="74" spans="20:20" s="266" customFormat="1" x14ac:dyDescent="0.25">
      <c r="T74" s="303"/>
    </row>
    <row r="75" spans="20:20" s="266" customFormat="1" x14ac:dyDescent="0.25">
      <c r="T75" s="303"/>
    </row>
    <row r="76" spans="20:20" s="266" customFormat="1" x14ac:dyDescent="0.25">
      <c r="T76" s="303"/>
    </row>
    <row r="77" spans="20:20" s="266" customFormat="1" x14ac:dyDescent="0.25">
      <c r="T77" s="303"/>
    </row>
    <row r="78" spans="20:20" s="266" customFormat="1" x14ac:dyDescent="0.25">
      <c r="T78" s="303"/>
    </row>
    <row r="79" spans="20:20" s="266" customFormat="1" x14ac:dyDescent="0.25">
      <c r="T79" s="303"/>
    </row>
    <row r="80" spans="20:20" s="266" customFormat="1" x14ac:dyDescent="0.25">
      <c r="T80" s="303"/>
    </row>
    <row r="81" spans="20:20" s="266" customFormat="1" x14ac:dyDescent="0.25">
      <c r="T81" s="303"/>
    </row>
    <row r="82" spans="20:20" s="266" customFormat="1" x14ac:dyDescent="0.25">
      <c r="T82" s="303"/>
    </row>
    <row r="83" spans="20:20" s="266" customFormat="1" ht="15" customHeight="1" x14ac:dyDescent="0.25">
      <c r="T83" s="303"/>
    </row>
    <row r="84" spans="20:20" s="266" customFormat="1" x14ac:dyDescent="0.25">
      <c r="T84" s="303"/>
    </row>
    <row r="85" spans="20:20" s="266" customFormat="1" x14ac:dyDescent="0.25">
      <c r="T85" s="303"/>
    </row>
    <row r="86" spans="20:20" s="266" customFormat="1" x14ac:dyDescent="0.25">
      <c r="T86" s="303"/>
    </row>
    <row r="87" spans="20:20" s="266" customFormat="1" x14ac:dyDescent="0.25">
      <c r="T87" s="303"/>
    </row>
    <row r="88" spans="20:20" s="266" customFormat="1" x14ac:dyDescent="0.25">
      <c r="T88" s="303"/>
    </row>
    <row r="89" spans="20:20" s="266" customFormat="1" x14ac:dyDescent="0.25">
      <c r="T89" s="303"/>
    </row>
    <row r="90" spans="20:20" s="266" customFormat="1" x14ac:dyDescent="0.25">
      <c r="T90" s="303"/>
    </row>
    <row r="91" spans="20:20" s="266" customFormat="1" x14ac:dyDescent="0.25">
      <c r="T91" s="303"/>
    </row>
    <row r="92" spans="20:20" s="266" customFormat="1" x14ac:dyDescent="0.25">
      <c r="T92" s="303"/>
    </row>
    <row r="93" spans="20:20" s="266" customFormat="1" x14ac:dyDescent="0.25">
      <c r="T93" s="303"/>
    </row>
    <row r="94" spans="20:20" s="266" customFormat="1" x14ac:dyDescent="0.25">
      <c r="T94" s="303"/>
    </row>
    <row r="95" spans="20:20" s="266" customFormat="1" x14ac:dyDescent="0.25">
      <c r="T95" s="303"/>
    </row>
    <row r="96" spans="20:20" s="266" customFormat="1" x14ac:dyDescent="0.25">
      <c r="T96" s="303"/>
    </row>
    <row r="97" spans="20:20" s="266" customFormat="1" x14ac:dyDescent="0.25">
      <c r="T97" s="303"/>
    </row>
    <row r="98" spans="20:20" s="266" customFormat="1" x14ac:dyDescent="0.25">
      <c r="T98" s="303"/>
    </row>
    <row r="99" spans="20:20" s="266" customFormat="1" x14ac:dyDescent="0.25">
      <c r="T99" s="303"/>
    </row>
    <row r="100" spans="20:20" s="266" customFormat="1" x14ac:dyDescent="0.25">
      <c r="T100" s="303"/>
    </row>
    <row r="101" spans="20:20" s="266" customFormat="1" x14ac:dyDescent="0.25">
      <c r="T101" s="303"/>
    </row>
    <row r="102" spans="20:20" s="266" customFormat="1" x14ac:dyDescent="0.25">
      <c r="T102" s="303"/>
    </row>
    <row r="103" spans="20:20" s="266" customFormat="1" x14ac:dyDescent="0.25">
      <c r="T103" s="303"/>
    </row>
    <row r="104" spans="20:20" s="266" customFormat="1" x14ac:dyDescent="0.25">
      <c r="T104" s="303"/>
    </row>
    <row r="105" spans="20:20" s="266" customFormat="1" x14ac:dyDescent="0.25">
      <c r="T105" s="303"/>
    </row>
    <row r="106" spans="20:20" s="266" customFormat="1" x14ac:dyDescent="0.25">
      <c r="T106" s="303"/>
    </row>
    <row r="107" spans="20:20" s="266" customFormat="1" x14ac:dyDescent="0.25">
      <c r="T107" s="303"/>
    </row>
    <row r="108" spans="20:20" s="266" customFormat="1" x14ac:dyDescent="0.25">
      <c r="T108" s="303"/>
    </row>
    <row r="109" spans="20:20" s="266" customFormat="1" x14ac:dyDescent="0.25">
      <c r="T109" s="303"/>
    </row>
    <row r="110" spans="20:20" s="266" customFormat="1" x14ac:dyDescent="0.25">
      <c r="T110" s="303"/>
    </row>
    <row r="111" spans="20:20" s="266" customFormat="1" x14ac:dyDescent="0.25">
      <c r="T111" s="303"/>
    </row>
    <row r="112" spans="20:20" s="266" customFormat="1" x14ac:dyDescent="0.25">
      <c r="T112" s="303"/>
    </row>
    <row r="113" spans="20:20" s="266" customFormat="1" x14ac:dyDescent="0.25">
      <c r="T113" s="303"/>
    </row>
    <row r="114" spans="20:20" s="266" customFormat="1" x14ac:dyDescent="0.25">
      <c r="T114" s="303"/>
    </row>
    <row r="115" spans="20:20" s="266" customFormat="1" x14ac:dyDescent="0.25">
      <c r="T115" s="303"/>
    </row>
    <row r="129" spans="3:14" s="266" customFormat="1" x14ac:dyDescent="0.25">
      <c r="N129" s="302"/>
    </row>
    <row r="130" spans="3:14" s="266" customFormat="1" x14ac:dyDescent="0.25">
      <c r="C130" s="302"/>
      <c r="D130" s="302"/>
      <c r="N130" s="302"/>
    </row>
    <row r="131" spans="3:14" s="266" customFormat="1" x14ac:dyDescent="0.25">
      <c r="C131" s="304"/>
      <c r="D131" s="305"/>
      <c r="E131" s="306"/>
      <c r="N131" s="302"/>
    </row>
    <row r="132" spans="3:14" s="266" customFormat="1" x14ac:dyDescent="0.25">
      <c r="C132" s="304"/>
      <c r="D132" s="305"/>
      <c r="E132" s="306"/>
      <c r="N132" s="302"/>
    </row>
    <row r="133" spans="3:14" s="266" customFormat="1" x14ac:dyDescent="0.25">
      <c r="C133" s="304"/>
      <c r="D133" s="305"/>
      <c r="E133" s="306"/>
      <c r="N133" s="30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0" orientation="landscape" r:id="rId1"/>
  <headerFooter alignWithMargins="0">
    <oddFooter>&amp;RExhibit JW-9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N159"/>
  <sheetViews>
    <sheetView tabSelected="1" view="pageBreakPreview" topLeftCell="A30" zoomScale="75" zoomScaleNormal="100" zoomScaleSheetLayoutView="75" workbookViewId="0">
      <selection activeCell="T28" sqref="T28"/>
    </sheetView>
  </sheetViews>
  <sheetFormatPr defaultColWidth="9.140625" defaultRowHeight="15.75" x14ac:dyDescent="0.25"/>
  <cols>
    <col min="1" max="2" width="4.28515625" style="266" customWidth="1"/>
    <col min="3" max="3" width="37.28515625" style="266" customWidth="1"/>
    <col min="4" max="4" width="19.85546875" style="266" bestFit="1" customWidth="1"/>
    <col min="5" max="5" width="7.7109375" style="266" bestFit="1" customWidth="1"/>
    <col min="6" max="6" width="7.7109375" style="44" customWidth="1"/>
    <col min="7" max="7" width="3.140625" style="44" customWidth="1"/>
    <col min="8" max="8" width="13.140625" style="44" customWidth="1"/>
    <col min="9" max="9" width="3" style="266" customWidth="1"/>
    <col min="10" max="10" width="10.42578125" style="266" customWidth="1"/>
    <col min="11" max="11" width="10.85546875" style="266" customWidth="1"/>
    <col min="12" max="12" width="14.140625" style="266" customWidth="1"/>
    <col min="13" max="13" width="3.28515625" style="266" customWidth="1"/>
    <col min="14" max="14" width="10.85546875" style="266" customWidth="1"/>
    <col min="15" max="15" width="15.28515625" style="266" customWidth="1"/>
    <col min="16" max="16" width="2" style="266" customWidth="1"/>
    <col min="17" max="17" width="2.7109375" style="266" customWidth="1"/>
    <col min="18" max="18" width="16.5703125" style="266" customWidth="1"/>
    <col min="19" max="19" width="15.140625" style="266" customWidth="1"/>
    <col min="20" max="20" width="7.5703125" style="266" customWidth="1"/>
    <col min="21" max="21" width="15.28515625" style="266" customWidth="1"/>
    <col min="22" max="22" width="15.42578125" style="266" customWidth="1"/>
    <col min="23" max="23" width="16.7109375" style="266" customWidth="1"/>
    <col min="24" max="25" width="10.85546875" style="266" bestFit="1" customWidth="1"/>
    <col min="26" max="26" width="9.140625" style="266" bestFit="1" customWidth="1"/>
    <col min="27" max="27" width="8" style="266" bestFit="1" customWidth="1"/>
    <col min="28" max="28" width="6.85546875" style="266" bestFit="1" customWidth="1"/>
    <col min="29" max="29" width="13" style="266" customWidth="1"/>
    <col min="30" max="30" width="10.28515625" style="266" bestFit="1" customWidth="1"/>
    <col min="31" max="32" width="9.140625" style="266" bestFit="1" customWidth="1"/>
    <col min="33" max="33" width="12" style="266" bestFit="1" customWidth="1"/>
    <col min="34" max="35" width="9.140625" style="266"/>
    <col min="36" max="36" width="13.140625" style="266" bestFit="1" customWidth="1"/>
    <col min="37" max="37" width="12" style="266" bestFit="1" customWidth="1"/>
    <col min="38" max="39" width="10.28515625" style="266" bestFit="1" customWidth="1"/>
    <col min="40" max="40" width="13.140625" style="266" bestFit="1" customWidth="1"/>
    <col min="41" max="16384" width="9.140625" style="266"/>
  </cols>
  <sheetData>
    <row r="1" spans="1:40" x14ac:dyDescent="0.25">
      <c r="A1" s="265" t="s">
        <v>129</v>
      </c>
      <c r="B1" s="265"/>
      <c r="C1" s="265"/>
      <c r="D1" s="265"/>
    </row>
    <row r="2" spans="1:40" x14ac:dyDescent="0.25">
      <c r="A2" s="265" t="str">
        <f>List!B15</f>
        <v>Outdoor Lighting</v>
      </c>
      <c r="B2" s="265"/>
      <c r="C2" s="265"/>
      <c r="D2" s="265"/>
    </row>
    <row r="3" spans="1:40" ht="16.5" thickBot="1" x14ac:dyDescent="0.3">
      <c r="A3" s="265" t="str">
        <f>List!C15</f>
        <v>OL</v>
      </c>
      <c r="B3" s="265"/>
      <c r="C3" s="265"/>
      <c r="D3" s="265"/>
    </row>
    <row r="4" spans="1:40" x14ac:dyDescent="0.25">
      <c r="J4" s="268" t="s">
        <v>30</v>
      </c>
      <c r="K4" s="269"/>
      <c r="L4" s="270"/>
      <c r="M4" s="271"/>
      <c r="N4" s="268" t="s">
        <v>108</v>
      </c>
      <c r="O4" s="270"/>
      <c r="P4" s="282"/>
      <c r="Q4" s="271"/>
      <c r="R4" s="268" t="s">
        <v>90</v>
      </c>
      <c r="S4" s="269"/>
      <c r="T4" s="269"/>
      <c r="U4" s="270"/>
      <c r="V4" s="265"/>
      <c r="W4" s="265"/>
      <c r="AC4" s="315"/>
      <c r="AD4" s="315"/>
      <c r="AE4" s="315"/>
    </row>
    <row r="5" spans="1:40" ht="16.5" thickBot="1" x14ac:dyDescent="0.3">
      <c r="J5" s="275"/>
      <c r="K5" s="276"/>
      <c r="L5" s="277"/>
      <c r="M5" s="271"/>
      <c r="N5" s="275"/>
      <c r="O5" s="277"/>
      <c r="P5" s="282"/>
      <c r="Q5" s="271"/>
      <c r="R5" s="275"/>
      <c r="S5" s="276"/>
      <c r="T5" s="276"/>
      <c r="U5" s="277"/>
      <c r="V5" s="265"/>
      <c r="W5" s="265"/>
      <c r="Y5" s="271"/>
      <c r="Z5" s="271"/>
      <c r="AA5" s="271"/>
      <c r="AB5" s="271"/>
      <c r="AC5" s="315"/>
      <c r="AD5" s="315"/>
      <c r="AE5" s="315"/>
    </row>
    <row r="6" spans="1:40" x14ac:dyDescent="0.25">
      <c r="J6" s="278" t="s">
        <v>1</v>
      </c>
      <c r="K6" s="278"/>
      <c r="L6" s="278" t="s">
        <v>2</v>
      </c>
      <c r="M6" s="278"/>
      <c r="N6" s="278"/>
      <c r="O6" s="278" t="s">
        <v>2</v>
      </c>
      <c r="P6" s="282"/>
      <c r="Q6" s="278"/>
      <c r="R6" s="278" t="s">
        <v>1</v>
      </c>
      <c r="S6" s="278"/>
      <c r="T6" s="278"/>
      <c r="U6" s="278" t="s">
        <v>2</v>
      </c>
      <c r="V6" s="278"/>
      <c r="W6" s="278"/>
      <c r="Y6" s="278"/>
      <c r="Z6" s="278"/>
      <c r="AA6" s="278"/>
      <c r="AB6" s="278"/>
      <c r="AC6" s="278"/>
      <c r="AD6" s="278"/>
      <c r="AE6" s="278"/>
    </row>
    <row r="7" spans="1:40" ht="16.5" thickBot="1" x14ac:dyDescent="0.3">
      <c r="A7" s="316" t="s">
        <v>3</v>
      </c>
      <c r="B7" s="316"/>
      <c r="C7" s="316"/>
      <c r="D7" s="316"/>
      <c r="E7" s="317"/>
      <c r="F7" s="167"/>
      <c r="G7" s="167"/>
      <c r="H7" s="167"/>
      <c r="I7" s="317"/>
      <c r="J7" s="280" t="s">
        <v>4</v>
      </c>
      <c r="K7" s="280" t="s">
        <v>5</v>
      </c>
      <c r="L7" s="280" t="s">
        <v>6</v>
      </c>
      <c r="M7" s="317"/>
      <c r="N7" s="280" t="s">
        <v>5</v>
      </c>
      <c r="O7" s="280" t="s">
        <v>6</v>
      </c>
      <c r="P7" s="281"/>
      <c r="Q7" s="278"/>
      <c r="R7" s="280" t="s">
        <v>4</v>
      </c>
      <c r="S7" s="280" t="s">
        <v>5</v>
      </c>
      <c r="T7" s="280"/>
      <c r="U7" s="280" t="s">
        <v>6</v>
      </c>
      <c r="V7" s="280" t="s">
        <v>59</v>
      </c>
      <c r="W7" s="278"/>
      <c r="Y7" s="278"/>
      <c r="Z7" s="278"/>
      <c r="AA7" s="278"/>
      <c r="AB7" s="278"/>
      <c r="AC7" s="278"/>
      <c r="AD7" s="271"/>
      <c r="AE7" s="278"/>
    </row>
    <row r="8" spans="1:40" x14ac:dyDescent="0.25">
      <c r="P8" s="282"/>
    </row>
    <row r="9" spans="1:40" x14ac:dyDescent="0.25">
      <c r="A9" s="265" t="s">
        <v>16</v>
      </c>
      <c r="B9" s="265"/>
      <c r="C9" s="265"/>
      <c r="D9" s="265"/>
      <c r="J9" s="318" t="s">
        <v>102</v>
      </c>
      <c r="K9" s="319"/>
      <c r="L9" s="296"/>
      <c r="M9" s="296"/>
      <c r="N9" s="296"/>
      <c r="O9" s="296"/>
      <c r="P9" s="282"/>
      <c r="Q9" s="296"/>
      <c r="R9" s="318" t="s">
        <v>102</v>
      </c>
      <c r="S9" s="319"/>
      <c r="T9" s="319"/>
      <c r="U9" s="296"/>
      <c r="W9" s="296"/>
      <c r="Y9" s="265"/>
      <c r="AC9" s="286"/>
      <c r="AE9" s="296"/>
    </row>
    <row r="10" spans="1:40" x14ac:dyDescent="0.25">
      <c r="F10" s="44" t="s">
        <v>222</v>
      </c>
      <c r="J10" s="289" t="s">
        <v>16</v>
      </c>
      <c r="K10" s="290" t="s">
        <v>17</v>
      </c>
      <c r="L10" s="296"/>
      <c r="M10" s="296"/>
      <c r="N10" s="320" t="s">
        <v>17</v>
      </c>
      <c r="O10" s="296"/>
      <c r="P10" s="288"/>
      <c r="Q10" s="296"/>
      <c r="R10" s="289" t="s">
        <v>16</v>
      </c>
      <c r="S10" s="290" t="s">
        <v>17</v>
      </c>
      <c r="T10" s="319"/>
      <c r="U10" s="296"/>
      <c r="W10" s="296"/>
      <c r="Y10" s="302" t="s">
        <v>237</v>
      </c>
      <c r="Z10" s="302" t="s">
        <v>238</v>
      </c>
      <c r="AA10" s="302" t="s">
        <v>239</v>
      </c>
      <c r="AB10" s="302">
        <v>8</v>
      </c>
      <c r="AC10" s="321">
        <v>12</v>
      </c>
      <c r="AD10" s="322"/>
      <c r="AE10" s="322"/>
      <c r="AF10" s="322"/>
      <c r="AJ10" s="266">
        <v>12</v>
      </c>
    </row>
    <row r="11" spans="1:40" x14ac:dyDescent="0.25">
      <c r="E11" s="323"/>
      <c r="F11" s="168"/>
      <c r="G11" s="168"/>
      <c r="H11" s="168"/>
      <c r="I11" s="44"/>
      <c r="J11" s="44"/>
      <c r="K11" s="121"/>
      <c r="L11" s="54"/>
      <c r="M11" s="54"/>
      <c r="N11" s="74"/>
      <c r="O11" s="54"/>
      <c r="P11" s="288"/>
      <c r="Q11" s="54"/>
      <c r="R11" s="44"/>
      <c r="S11" s="121"/>
      <c r="T11" s="121"/>
      <c r="U11" s="54"/>
      <c r="W11" s="287"/>
      <c r="AB11" s="286"/>
      <c r="AC11" s="45"/>
      <c r="AD11" s="311"/>
      <c r="AE11" s="287"/>
    </row>
    <row r="12" spans="1:40" x14ac:dyDescent="0.25">
      <c r="B12" s="287" t="s">
        <v>168</v>
      </c>
      <c r="C12" s="287"/>
      <c r="D12" s="287"/>
      <c r="E12" s="287"/>
      <c r="I12" s="44"/>
      <c r="J12" s="44"/>
      <c r="K12" s="121"/>
      <c r="L12" s="54"/>
      <c r="M12" s="54"/>
      <c r="N12" s="74"/>
      <c r="O12" s="54"/>
      <c r="P12" s="288"/>
      <c r="Q12" s="54"/>
      <c r="R12" s="44"/>
      <c r="S12" s="121"/>
      <c r="T12" s="121"/>
      <c r="U12" s="54"/>
      <c r="W12" s="287"/>
      <c r="AB12" s="286"/>
      <c r="AC12" s="45"/>
      <c r="AD12" s="311"/>
      <c r="AE12" s="287"/>
    </row>
    <row r="13" spans="1:40" x14ac:dyDescent="0.25">
      <c r="B13" s="287"/>
      <c r="C13" s="287" t="s">
        <v>169</v>
      </c>
      <c r="D13" s="287" t="s">
        <v>170</v>
      </c>
      <c r="E13" s="287" t="s">
        <v>171</v>
      </c>
      <c r="F13" s="44">
        <v>156</v>
      </c>
      <c r="H13" s="44">
        <f>F13*J13</f>
        <v>174096</v>
      </c>
      <c r="I13" s="44"/>
      <c r="J13" s="44">
        <v>1116</v>
      </c>
      <c r="K13" s="244">
        <v>15.89</v>
      </c>
      <c r="L13" s="54">
        <f>K13*J13</f>
        <v>17733.240000000002</v>
      </c>
      <c r="M13" s="54"/>
      <c r="N13" s="153">
        <v>17.73</v>
      </c>
      <c r="O13" s="54">
        <f>N13*J13</f>
        <v>19786.68</v>
      </c>
      <c r="P13" s="288"/>
      <c r="Q13" s="54"/>
      <c r="R13" s="44">
        <f>J13</f>
        <v>1116</v>
      </c>
      <c r="S13" s="153">
        <f>N13</f>
        <v>17.73</v>
      </c>
      <c r="T13" s="153"/>
      <c r="U13" s="54">
        <f>S13*R13</f>
        <v>19786.68</v>
      </c>
      <c r="V13" s="287">
        <f>U13-O13</f>
        <v>0</v>
      </c>
      <c r="W13" s="287"/>
      <c r="X13" s="324">
        <f>J13/12</f>
        <v>93</v>
      </c>
      <c r="Y13" s="266">
        <v>17</v>
      </c>
      <c r="Z13" s="266">
        <v>63</v>
      </c>
      <c r="AA13" s="266">
        <v>1</v>
      </c>
      <c r="AB13" s="286">
        <v>8</v>
      </c>
      <c r="AC13" s="54">
        <f>Y13*N13*$AC$10</f>
        <v>3616.92</v>
      </c>
      <c r="AD13" s="86">
        <f>Z13*N13*$AC$10</f>
        <v>13403.880000000001</v>
      </c>
      <c r="AE13" s="86">
        <f>AA13*N13*$AC$10</f>
        <v>212.76</v>
      </c>
      <c r="AF13" s="86">
        <f>AB13*N13*$AC$10</f>
        <v>1702.08</v>
      </c>
      <c r="AG13" s="287">
        <f>SUM(AC13:AF13)</f>
        <v>18935.64</v>
      </c>
      <c r="AJ13" s="324">
        <f>Y13*$F13*$AJ$10</f>
        <v>31824</v>
      </c>
      <c r="AK13" s="324">
        <f t="shared" ref="AK13:AM13" si="0">Z13*$F13*$AJ$10</f>
        <v>117936</v>
      </c>
      <c r="AL13" s="324">
        <f t="shared" si="0"/>
        <v>1872</v>
      </c>
      <c r="AM13" s="324">
        <f t="shared" si="0"/>
        <v>14976</v>
      </c>
      <c r="AN13" s="324">
        <f>SUM(AJ13:AM13)</f>
        <v>166608</v>
      </c>
    </row>
    <row r="14" spans="1:40" x14ac:dyDescent="0.25">
      <c r="B14" s="287"/>
      <c r="C14" s="287" t="s">
        <v>172</v>
      </c>
      <c r="D14" s="287" t="s">
        <v>170</v>
      </c>
      <c r="E14" s="287" t="s">
        <v>173</v>
      </c>
      <c r="F14" s="44">
        <v>87</v>
      </c>
      <c r="H14" s="44">
        <f t="shared" ref="H14:H32" si="1">F14*J14</f>
        <v>37584</v>
      </c>
      <c r="I14" s="44"/>
      <c r="J14" s="44">
        <v>432</v>
      </c>
      <c r="K14" s="244">
        <v>17.32</v>
      </c>
      <c r="L14" s="54">
        <f t="shared" ref="L14:L45" si="2">K14*J14</f>
        <v>7482.24</v>
      </c>
      <c r="M14" s="54"/>
      <c r="N14" s="153">
        <v>18.350000000000001</v>
      </c>
      <c r="O14" s="54">
        <f t="shared" ref="O14:O45" si="3">N14*J14</f>
        <v>7927.2000000000007</v>
      </c>
      <c r="P14" s="288"/>
      <c r="Q14" s="54"/>
      <c r="R14" s="44">
        <f t="shared" ref="R14:R45" si="4">J14</f>
        <v>432</v>
      </c>
      <c r="S14" s="153">
        <f t="shared" ref="S14:S45" si="5">N14</f>
        <v>18.350000000000001</v>
      </c>
      <c r="T14" s="153"/>
      <c r="U14" s="54">
        <f>S14*R14</f>
        <v>7927.2000000000007</v>
      </c>
      <c r="V14" s="287">
        <f t="shared" ref="V14:V47" si="6">U14-O14</f>
        <v>0</v>
      </c>
      <c r="W14" s="287"/>
      <c r="X14" s="324">
        <f t="shared" ref="X14:X41" si="7">J14/12</f>
        <v>36</v>
      </c>
      <c r="Y14" s="266">
        <v>15</v>
      </c>
      <c r="Z14" s="266">
        <v>17</v>
      </c>
      <c r="AA14" s="266">
        <v>3</v>
      </c>
      <c r="AB14" s="286"/>
      <c r="AC14" s="54">
        <f t="shared" ref="AC14:AC44" si="8">Y14*N14*$AC$10</f>
        <v>3303</v>
      </c>
      <c r="AD14" s="86">
        <f t="shared" ref="AD14:AD44" si="9">Z14*N14*$AC$10</f>
        <v>3743.4000000000005</v>
      </c>
      <c r="AE14" s="86">
        <f t="shared" ref="AE14:AE44" si="10">AA14*N14*$AC$10</f>
        <v>660.6</v>
      </c>
      <c r="AF14" s="86">
        <f t="shared" ref="AF14:AF44" si="11">AB14*N14*$AC$10</f>
        <v>0</v>
      </c>
      <c r="AG14" s="287">
        <f t="shared" ref="AG14:AG44" si="12">SUM(AC14:AF14)</f>
        <v>7707.0000000000009</v>
      </c>
      <c r="AJ14" s="324">
        <f t="shared" ref="AJ14:AJ44" si="13">Y14*$F14*$AJ$10</f>
        <v>15660</v>
      </c>
      <c r="AK14" s="324">
        <f t="shared" ref="AK14:AK44" si="14">Z14*$F14*$AJ$10</f>
        <v>17748</v>
      </c>
      <c r="AL14" s="324">
        <f t="shared" ref="AL14:AL44" si="15">AA14*$F14*$AJ$10</f>
        <v>3132</v>
      </c>
      <c r="AM14" s="324">
        <f t="shared" ref="AM14:AM44" si="16">AB14*$F14*$AJ$10</f>
        <v>0</v>
      </c>
      <c r="AN14" s="324">
        <f t="shared" ref="AN14:AN44" si="17">SUM(AJ14:AM14)</f>
        <v>36540</v>
      </c>
    </row>
    <row r="15" spans="1:40" x14ac:dyDescent="0.25">
      <c r="B15" s="287"/>
      <c r="C15" s="287" t="s">
        <v>174</v>
      </c>
      <c r="D15" s="287" t="s">
        <v>170</v>
      </c>
      <c r="E15" s="287" t="s">
        <v>175</v>
      </c>
      <c r="F15" s="44">
        <v>88</v>
      </c>
      <c r="H15" s="44">
        <f t="shared" si="1"/>
        <v>149952</v>
      </c>
      <c r="I15" s="44"/>
      <c r="J15" s="44">
        <v>1704</v>
      </c>
      <c r="K15" s="244">
        <v>13.77</v>
      </c>
      <c r="L15" s="54">
        <f t="shared" si="2"/>
        <v>23464.079999999998</v>
      </c>
      <c r="M15" s="54"/>
      <c r="N15" s="153">
        <v>14.81</v>
      </c>
      <c r="O15" s="54">
        <f t="shared" si="3"/>
        <v>25236.240000000002</v>
      </c>
      <c r="P15" s="288"/>
      <c r="Q15" s="54"/>
      <c r="R15" s="44">
        <f t="shared" si="4"/>
        <v>1704</v>
      </c>
      <c r="S15" s="153">
        <f t="shared" si="5"/>
        <v>14.81</v>
      </c>
      <c r="T15" s="153"/>
      <c r="U15" s="54">
        <f>S15*R15</f>
        <v>25236.240000000002</v>
      </c>
      <c r="V15" s="287">
        <f t="shared" si="6"/>
        <v>0</v>
      </c>
      <c r="W15" s="287"/>
      <c r="X15" s="324">
        <f t="shared" si="7"/>
        <v>142</v>
      </c>
      <c r="Y15" s="266">
        <v>67</v>
      </c>
      <c r="Z15" s="266">
        <v>51</v>
      </c>
      <c r="AA15" s="266">
        <v>3</v>
      </c>
      <c r="AB15" s="286"/>
      <c r="AC15" s="54">
        <f t="shared" si="8"/>
        <v>11907.24</v>
      </c>
      <c r="AD15" s="86">
        <f t="shared" si="9"/>
        <v>9063.7200000000012</v>
      </c>
      <c r="AE15" s="86">
        <f t="shared" si="10"/>
        <v>533.16</v>
      </c>
      <c r="AF15" s="86">
        <f t="shared" si="11"/>
        <v>0</v>
      </c>
      <c r="AG15" s="287">
        <f t="shared" si="12"/>
        <v>21504.12</v>
      </c>
      <c r="AJ15" s="324">
        <f t="shared" si="13"/>
        <v>70752</v>
      </c>
      <c r="AK15" s="324">
        <f t="shared" si="14"/>
        <v>53856</v>
      </c>
      <c r="AL15" s="324">
        <f t="shared" si="15"/>
        <v>3168</v>
      </c>
      <c r="AM15" s="324">
        <f t="shared" si="16"/>
        <v>0</v>
      </c>
      <c r="AN15" s="324">
        <f t="shared" si="17"/>
        <v>127776</v>
      </c>
    </row>
    <row r="16" spans="1:40" x14ac:dyDescent="0.25">
      <c r="B16" s="287"/>
      <c r="C16" s="287" t="s">
        <v>176</v>
      </c>
      <c r="D16" s="287" t="s">
        <v>170</v>
      </c>
      <c r="E16" s="287" t="s">
        <v>177</v>
      </c>
      <c r="F16" s="44">
        <v>169</v>
      </c>
      <c r="H16" s="44">
        <f t="shared" si="1"/>
        <v>156156</v>
      </c>
      <c r="I16" s="44"/>
      <c r="J16" s="44">
        <v>924</v>
      </c>
      <c r="K16" s="244">
        <v>13.37</v>
      </c>
      <c r="L16" s="54">
        <f t="shared" si="2"/>
        <v>12353.88</v>
      </c>
      <c r="M16" s="54"/>
      <c r="N16" s="153">
        <v>15.37</v>
      </c>
      <c r="O16" s="54">
        <f t="shared" si="3"/>
        <v>14201.88</v>
      </c>
      <c r="P16" s="288"/>
      <c r="Q16" s="54"/>
      <c r="R16" s="44">
        <f t="shared" si="4"/>
        <v>924</v>
      </c>
      <c r="S16" s="153">
        <f t="shared" si="5"/>
        <v>15.37</v>
      </c>
      <c r="T16" s="153"/>
      <c r="U16" s="54">
        <f>S16*R16</f>
        <v>14201.88</v>
      </c>
      <c r="V16" s="287">
        <f t="shared" si="6"/>
        <v>0</v>
      </c>
      <c r="W16" s="287"/>
      <c r="X16" s="324">
        <f t="shared" si="7"/>
        <v>77</v>
      </c>
      <c r="Y16" s="266">
        <v>14</v>
      </c>
      <c r="Z16" s="266">
        <v>49</v>
      </c>
      <c r="AA16" s="266">
        <v>5</v>
      </c>
      <c r="AB16" s="286"/>
      <c r="AC16" s="54">
        <f t="shared" si="8"/>
        <v>2582.16</v>
      </c>
      <c r="AD16" s="86">
        <f t="shared" si="9"/>
        <v>9037.56</v>
      </c>
      <c r="AE16" s="86">
        <f t="shared" si="10"/>
        <v>922.19999999999993</v>
      </c>
      <c r="AF16" s="86">
        <f t="shared" si="11"/>
        <v>0</v>
      </c>
      <c r="AG16" s="287">
        <f t="shared" si="12"/>
        <v>12541.92</v>
      </c>
      <c r="AJ16" s="324">
        <f t="shared" si="13"/>
        <v>28392</v>
      </c>
      <c r="AK16" s="324">
        <f t="shared" si="14"/>
        <v>99372</v>
      </c>
      <c r="AL16" s="324">
        <f t="shared" si="15"/>
        <v>10140</v>
      </c>
      <c r="AM16" s="324">
        <f t="shared" si="16"/>
        <v>0</v>
      </c>
      <c r="AN16" s="324">
        <f t="shared" si="17"/>
        <v>137904</v>
      </c>
    </row>
    <row r="17" spans="2:40" x14ac:dyDescent="0.25">
      <c r="B17" s="287" t="s">
        <v>178</v>
      </c>
      <c r="C17" s="287"/>
      <c r="D17" s="287"/>
      <c r="E17" s="287"/>
      <c r="I17" s="44"/>
      <c r="J17" s="44"/>
      <c r="K17" s="244"/>
      <c r="L17" s="54"/>
      <c r="M17" s="54"/>
      <c r="N17" s="153"/>
      <c r="O17" s="54"/>
      <c r="P17" s="288"/>
      <c r="Q17" s="54"/>
      <c r="R17" s="44"/>
      <c r="S17" s="153"/>
      <c r="T17" s="153"/>
      <c r="U17" s="54"/>
      <c r="V17" s="287"/>
      <c r="W17" s="287"/>
      <c r="X17" s="324">
        <f t="shared" si="7"/>
        <v>0</v>
      </c>
      <c r="AB17" s="286"/>
      <c r="AC17" s="54">
        <f t="shared" si="8"/>
        <v>0</v>
      </c>
      <c r="AD17" s="86">
        <f t="shared" si="9"/>
        <v>0</v>
      </c>
      <c r="AE17" s="86">
        <f t="shared" si="10"/>
        <v>0</v>
      </c>
      <c r="AF17" s="86">
        <f t="shared" si="11"/>
        <v>0</v>
      </c>
      <c r="AG17" s="287">
        <f t="shared" si="12"/>
        <v>0</v>
      </c>
      <c r="AJ17" s="324">
        <f t="shared" si="13"/>
        <v>0</v>
      </c>
      <c r="AK17" s="324">
        <f t="shared" si="14"/>
        <v>0</v>
      </c>
      <c r="AL17" s="324">
        <f t="shared" si="15"/>
        <v>0</v>
      </c>
      <c r="AM17" s="324">
        <f t="shared" si="16"/>
        <v>0</v>
      </c>
      <c r="AN17" s="324">
        <f t="shared" si="17"/>
        <v>0</v>
      </c>
    </row>
    <row r="18" spans="2:40" x14ac:dyDescent="0.25">
      <c r="B18" s="287"/>
      <c r="C18" s="287" t="s">
        <v>179</v>
      </c>
      <c r="D18" s="287" t="s">
        <v>180</v>
      </c>
      <c r="E18" s="287" t="s">
        <v>181</v>
      </c>
      <c r="F18" s="44">
        <v>70</v>
      </c>
      <c r="H18" s="44">
        <f t="shared" si="1"/>
        <v>9699480</v>
      </c>
      <c r="I18" s="44"/>
      <c r="J18" s="44">
        <v>138564</v>
      </c>
      <c r="K18" s="244">
        <v>9.58</v>
      </c>
      <c r="L18" s="54">
        <f t="shared" si="2"/>
        <v>1327443.1200000001</v>
      </c>
      <c r="M18" s="54"/>
      <c r="N18" s="153">
        <v>10.41</v>
      </c>
      <c r="O18" s="54">
        <f t="shared" si="3"/>
        <v>1442451.24</v>
      </c>
      <c r="P18" s="288"/>
      <c r="Q18" s="54"/>
      <c r="R18" s="44">
        <f t="shared" si="4"/>
        <v>138564</v>
      </c>
      <c r="S18" s="153">
        <f t="shared" si="5"/>
        <v>10.41</v>
      </c>
      <c r="T18" s="153"/>
      <c r="U18" s="54">
        <f t="shared" ref="U18:U25" si="18">S18*R18</f>
        <v>1442451.24</v>
      </c>
      <c r="V18" s="287">
        <f t="shared" si="6"/>
        <v>0</v>
      </c>
      <c r="W18" s="287"/>
      <c r="X18" s="324">
        <f t="shared" si="7"/>
        <v>11547</v>
      </c>
      <c r="Y18" s="266">
        <v>7162</v>
      </c>
      <c r="Z18" s="266">
        <v>394</v>
      </c>
      <c r="AA18" s="266">
        <v>21</v>
      </c>
      <c r="AB18" s="286">
        <v>3</v>
      </c>
      <c r="AC18" s="54">
        <f t="shared" si="8"/>
        <v>894677.04</v>
      </c>
      <c r="AD18" s="86">
        <f t="shared" si="9"/>
        <v>49218.479999999996</v>
      </c>
      <c r="AE18" s="86">
        <f t="shared" si="10"/>
        <v>2623.32</v>
      </c>
      <c r="AF18" s="86">
        <f t="shared" si="11"/>
        <v>374.76</v>
      </c>
      <c r="AG18" s="287">
        <f t="shared" si="12"/>
        <v>946893.6</v>
      </c>
      <c r="AJ18" s="324">
        <f t="shared" si="13"/>
        <v>6016080</v>
      </c>
      <c r="AK18" s="324">
        <f t="shared" si="14"/>
        <v>330960</v>
      </c>
      <c r="AL18" s="324">
        <f t="shared" si="15"/>
        <v>17640</v>
      </c>
      <c r="AM18" s="324">
        <f t="shared" si="16"/>
        <v>2520</v>
      </c>
      <c r="AN18" s="324">
        <f t="shared" si="17"/>
        <v>6367200</v>
      </c>
    </row>
    <row r="19" spans="2:40" x14ac:dyDescent="0.25">
      <c r="B19" s="287"/>
      <c r="C19" s="287" t="s">
        <v>169</v>
      </c>
      <c r="D19" s="287" t="s">
        <v>182</v>
      </c>
      <c r="E19" s="287" t="s">
        <v>183</v>
      </c>
      <c r="F19" s="44">
        <v>156</v>
      </c>
      <c r="H19" s="44">
        <f t="shared" si="1"/>
        <v>580320</v>
      </c>
      <c r="I19" s="44"/>
      <c r="J19" s="44">
        <v>3720</v>
      </c>
      <c r="K19" s="244">
        <v>18.190000000000001</v>
      </c>
      <c r="L19" s="54">
        <f t="shared" si="2"/>
        <v>67666.8</v>
      </c>
      <c r="M19" s="54"/>
      <c r="N19" s="153">
        <v>20.03</v>
      </c>
      <c r="O19" s="54">
        <f t="shared" si="3"/>
        <v>74511.600000000006</v>
      </c>
      <c r="P19" s="288"/>
      <c r="Q19" s="54"/>
      <c r="R19" s="44">
        <f t="shared" si="4"/>
        <v>3720</v>
      </c>
      <c r="S19" s="153">
        <f t="shared" si="5"/>
        <v>20.03</v>
      </c>
      <c r="T19" s="153"/>
      <c r="U19" s="54">
        <f t="shared" si="18"/>
        <v>74511.600000000006</v>
      </c>
      <c r="V19" s="287">
        <f t="shared" si="6"/>
        <v>0</v>
      </c>
      <c r="W19" s="287"/>
      <c r="X19" s="324">
        <f t="shared" si="7"/>
        <v>310</v>
      </c>
      <c r="Y19" s="266">
        <v>139</v>
      </c>
      <c r="Z19" s="266">
        <v>85</v>
      </c>
      <c r="AA19" s="266">
        <v>3</v>
      </c>
      <c r="AB19" s="286">
        <v>1</v>
      </c>
      <c r="AC19" s="54">
        <f t="shared" si="8"/>
        <v>33410.04</v>
      </c>
      <c r="AD19" s="86">
        <f t="shared" si="9"/>
        <v>20430.600000000002</v>
      </c>
      <c r="AE19" s="86">
        <f t="shared" si="10"/>
        <v>721.08</v>
      </c>
      <c r="AF19" s="86">
        <f t="shared" si="11"/>
        <v>240.36</v>
      </c>
      <c r="AG19" s="287">
        <f t="shared" si="12"/>
        <v>54802.080000000002</v>
      </c>
      <c r="AJ19" s="324">
        <f t="shared" si="13"/>
        <v>260208</v>
      </c>
      <c r="AK19" s="324">
        <f t="shared" si="14"/>
        <v>159120</v>
      </c>
      <c r="AL19" s="324">
        <f t="shared" si="15"/>
        <v>5616</v>
      </c>
      <c r="AM19" s="324">
        <f t="shared" si="16"/>
        <v>1872</v>
      </c>
      <c r="AN19" s="324">
        <f t="shared" si="17"/>
        <v>426816</v>
      </c>
    </row>
    <row r="20" spans="2:40" x14ac:dyDescent="0.25">
      <c r="B20" s="287"/>
      <c r="C20" s="287" t="s">
        <v>184</v>
      </c>
      <c r="D20" s="287" t="s">
        <v>182</v>
      </c>
      <c r="E20" s="287" t="s">
        <v>185</v>
      </c>
      <c r="F20" s="44">
        <v>376</v>
      </c>
      <c r="H20" s="44">
        <f t="shared" si="1"/>
        <v>577536</v>
      </c>
      <c r="I20" s="44"/>
      <c r="J20" s="44">
        <v>1536</v>
      </c>
      <c r="K20" s="244">
        <v>36.51</v>
      </c>
      <c r="L20" s="54">
        <f t="shared" si="2"/>
        <v>56079.360000000001</v>
      </c>
      <c r="M20" s="54"/>
      <c r="N20" s="153">
        <v>40.950000000000003</v>
      </c>
      <c r="O20" s="54">
        <f t="shared" si="3"/>
        <v>62899.200000000004</v>
      </c>
      <c r="P20" s="288"/>
      <c r="Q20" s="54"/>
      <c r="R20" s="44">
        <f t="shared" si="4"/>
        <v>1536</v>
      </c>
      <c r="S20" s="153">
        <f t="shared" si="5"/>
        <v>40.950000000000003</v>
      </c>
      <c r="T20" s="153"/>
      <c r="U20" s="54">
        <f t="shared" si="18"/>
        <v>62899.200000000004</v>
      </c>
      <c r="V20" s="287">
        <f t="shared" si="6"/>
        <v>0</v>
      </c>
      <c r="W20" s="287"/>
      <c r="X20" s="324">
        <f t="shared" si="7"/>
        <v>128</v>
      </c>
      <c r="Y20" s="266">
        <v>7</v>
      </c>
      <c r="Z20" s="266">
        <v>28</v>
      </c>
      <c r="AA20" s="266">
        <v>4</v>
      </c>
      <c r="AB20" s="286">
        <v>16</v>
      </c>
      <c r="AC20" s="54">
        <f t="shared" si="8"/>
        <v>3439.8</v>
      </c>
      <c r="AD20" s="86">
        <f t="shared" si="9"/>
        <v>13759.2</v>
      </c>
      <c r="AE20" s="86">
        <f t="shared" si="10"/>
        <v>1965.6000000000001</v>
      </c>
      <c r="AF20" s="86">
        <f t="shared" si="11"/>
        <v>7862.4000000000005</v>
      </c>
      <c r="AG20" s="287">
        <f t="shared" si="12"/>
        <v>27027</v>
      </c>
      <c r="AJ20" s="324">
        <f t="shared" si="13"/>
        <v>31584</v>
      </c>
      <c r="AK20" s="324">
        <f t="shared" si="14"/>
        <v>126336</v>
      </c>
      <c r="AL20" s="324">
        <f t="shared" si="15"/>
        <v>18048</v>
      </c>
      <c r="AM20" s="324">
        <f t="shared" si="16"/>
        <v>72192</v>
      </c>
      <c r="AN20" s="324">
        <f t="shared" si="17"/>
        <v>248160</v>
      </c>
    </row>
    <row r="21" spans="2:40" x14ac:dyDescent="0.25">
      <c r="B21" s="287"/>
      <c r="C21" s="287" t="s">
        <v>186</v>
      </c>
      <c r="D21" s="287" t="s">
        <v>180</v>
      </c>
      <c r="E21" s="287" t="s">
        <v>187</v>
      </c>
      <c r="F21" s="44">
        <v>70</v>
      </c>
      <c r="H21" s="44">
        <f t="shared" si="1"/>
        <v>7253400</v>
      </c>
      <c r="I21" s="44"/>
      <c r="J21" s="44">
        <v>103620</v>
      </c>
      <c r="K21" s="244">
        <v>9.58</v>
      </c>
      <c r="L21" s="54">
        <f t="shared" si="2"/>
        <v>992679.6</v>
      </c>
      <c r="M21" s="54"/>
      <c r="N21" s="153">
        <v>10.41</v>
      </c>
      <c r="O21" s="54">
        <f t="shared" si="3"/>
        <v>1078684.2</v>
      </c>
      <c r="P21" s="288"/>
      <c r="Q21" s="54"/>
      <c r="R21" s="44">
        <f t="shared" si="4"/>
        <v>103620</v>
      </c>
      <c r="S21" s="153">
        <f t="shared" si="5"/>
        <v>10.41</v>
      </c>
      <c r="T21" s="153"/>
      <c r="U21" s="54">
        <f t="shared" si="18"/>
        <v>1078684.2</v>
      </c>
      <c r="V21" s="287">
        <f t="shared" si="6"/>
        <v>0</v>
      </c>
      <c r="W21" s="287"/>
      <c r="X21" s="324">
        <f t="shared" si="7"/>
        <v>8635</v>
      </c>
      <c r="Y21" s="266">
        <v>7406</v>
      </c>
      <c r="Z21" s="266">
        <v>364</v>
      </c>
      <c r="AA21" s="266">
        <v>21</v>
      </c>
      <c r="AB21" s="286"/>
      <c r="AC21" s="54">
        <f t="shared" si="8"/>
        <v>925157.52</v>
      </c>
      <c r="AD21" s="86">
        <f t="shared" si="9"/>
        <v>45470.880000000005</v>
      </c>
      <c r="AE21" s="86">
        <f t="shared" si="10"/>
        <v>2623.32</v>
      </c>
      <c r="AF21" s="86">
        <f t="shared" si="11"/>
        <v>0</v>
      </c>
      <c r="AG21" s="287">
        <f t="shared" si="12"/>
        <v>973251.72</v>
      </c>
      <c r="AJ21" s="324">
        <f t="shared" si="13"/>
        <v>6221040</v>
      </c>
      <c r="AK21" s="324">
        <f t="shared" si="14"/>
        <v>305760</v>
      </c>
      <c r="AL21" s="324">
        <f t="shared" si="15"/>
        <v>17640</v>
      </c>
      <c r="AM21" s="324">
        <f t="shared" si="16"/>
        <v>0</v>
      </c>
      <c r="AN21" s="324">
        <f t="shared" si="17"/>
        <v>6544440</v>
      </c>
    </row>
    <row r="22" spans="2:40" x14ac:dyDescent="0.25">
      <c r="B22" s="287"/>
      <c r="C22" s="287" t="s">
        <v>174</v>
      </c>
      <c r="D22" s="287" t="s">
        <v>182</v>
      </c>
      <c r="E22" s="287" t="s">
        <v>188</v>
      </c>
      <c r="F22" s="44">
        <v>88</v>
      </c>
      <c r="H22" s="44">
        <f t="shared" si="1"/>
        <v>427680</v>
      </c>
      <c r="I22" s="44"/>
      <c r="J22" s="44">
        <v>4860</v>
      </c>
      <c r="K22" s="244">
        <v>15.35</v>
      </c>
      <c r="L22" s="54">
        <f t="shared" si="2"/>
        <v>74601</v>
      </c>
      <c r="M22" s="54"/>
      <c r="N22" s="153">
        <v>16.39</v>
      </c>
      <c r="O22" s="54">
        <f t="shared" si="3"/>
        <v>79655.400000000009</v>
      </c>
      <c r="P22" s="288"/>
      <c r="Q22" s="54"/>
      <c r="R22" s="44">
        <f t="shared" si="4"/>
        <v>4860</v>
      </c>
      <c r="S22" s="153">
        <f t="shared" si="5"/>
        <v>16.39</v>
      </c>
      <c r="T22" s="153"/>
      <c r="U22" s="54">
        <f t="shared" si="18"/>
        <v>79655.400000000009</v>
      </c>
      <c r="V22" s="287">
        <f t="shared" si="6"/>
        <v>0</v>
      </c>
      <c r="W22" s="287"/>
      <c r="X22" s="324">
        <f t="shared" si="7"/>
        <v>405</v>
      </c>
      <c r="Y22" s="266">
        <v>282</v>
      </c>
      <c r="Z22" s="266">
        <v>70</v>
      </c>
      <c r="AA22" s="266">
        <v>5</v>
      </c>
      <c r="AB22" s="286"/>
      <c r="AC22" s="54">
        <f t="shared" si="8"/>
        <v>55463.760000000009</v>
      </c>
      <c r="AD22" s="86">
        <f t="shared" si="9"/>
        <v>13767.599999999999</v>
      </c>
      <c r="AE22" s="86">
        <f t="shared" si="10"/>
        <v>983.40000000000009</v>
      </c>
      <c r="AF22" s="86">
        <f t="shared" si="11"/>
        <v>0</v>
      </c>
      <c r="AG22" s="287">
        <f t="shared" si="12"/>
        <v>70214.760000000009</v>
      </c>
      <c r="AJ22" s="324">
        <f t="shared" si="13"/>
        <v>297792</v>
      </c>
      <c r="AK22" s="324">
        <f t="shared" si="14"/>
        <v>73920</v>
      </c>
      <c r="AL22" s="324">
        <f t="shared" si="15"/>
        <v>5280</v>
      </c>
      <c r="AM22" s="324">
        <f t="shared" si="16"/>
        <v>0</v>
      </c>
      <c r="AN22" s="324">
        <f t="shared" si="17"/>
        <v>376992</v>
      </c>
    </row>
    <row r="23" spans="2:40" x14ac:dyDescent="0.25">
      <c r="B23" s="287"/>
      <c r="C23" s="287" t="s">
        <v>176</v>
      </c>
      <c r="D23" s="287" t="s">
        <v>182</v>
      </c>
      <c r="E23" s="287" t="s">
        <v>189</v>
      </c>
      <c r="F23" s="44">
        <v>159</v>
      </c>
      <c r="H23" s="44">
        <f t="shared" si="1"/>
        <v>1137168</v>
      </c>
      <c r="J23" s="44">
        <v>7152</v>
      </c>
      <c r="K23" s="244">
        <v>17.79</v>
      </c>
      <c r="L23" s="54">
        <f t="shared" si="2"/>
        <v>127234.07999999999</v>
      </c>
      <c r="N23" s="153">
        <v>19.670000000000002</v>
      </c>
      <c r="O23" s="54">
        <f t="shared" si="3"/>
        <v>140679.84000000003</v>
      </c>
      <c r="P23" s="288"/>
      <c r="R23" s="44">
        <f t="shared" si="4"/>
        <v>7152</v>
      </c>
      <c r="S23" s="153">
        <f t="shared" si="5"/>
        <v>19.670000000000002</v>
      </c>
      <c r="T23" s="153"/>
      <c r="U23" s="54">
        <f t="shared" si="18"/>
        <v>140679.84000000003</v>
      </c>
      <c r="V23" s="287">
        <f t="shared" si="6"/>
        <v>0</v>
      </c>
      <c r="W23" s="287"/>
      <c r="X23" s="324">
        <f t="shared" si="7"/>
        <v>596</v>
      </c>
      <c r="Y23" s="266">
        <v>327</v>
      </c>
      <c r="Z23" s="266">
        <v>213</v>
      </c>
      <c r="AA23" s="266">
        <v>39</v>
      </c>
      <c r="AB23" s="286">
        <v>8</v>
      </c>
      <c r="AC23" s="54">
        <f t="shared" si="8"/>
        <v>77185.08</v>
      </c>
      <c r="AD23" s="86">
        <f t="shared" si="9"/>
        <v>50276.520000000004</v>
      </c>
      <c r="AE23" s="86">
        <f t="shared" si="10"/>
        <v>9205.5600000000013</v>
      </c>
      <c r="AF23" s="86">
        <f t="shared" si="11"/>
        <v>1888.3200000000002</v>
      </c>
      <c r="AG23" s="287">
        <f t="shared" si="12"/>
        <v>138555.48000000001</v>
      </c>
      <c r="AJ23" s="324">
        <f t="shared" si="13"/>
        <v>623916</v>
      </c>
      <c r="AK23" s="324">
        <f t="shared" si="14"/>
        <v>406404</v>
      </c>
      <c r="AL23" s="324">
        <f t="shared" si="15"/>
        <v>74412</v>
      </c>
      <c r="AM23" s="324">
        <f t="shared" si="16"/>
        <v>15264</v>
      </c>
      <c r="AN23" s="324">
        <f t="shared" si="17"/>
        <v>1119996</v>
      </c>
    </row>
    <row r="24" spans="2:40" x14ac:dyDescent="0.25">
      <c r="B24" s="287"/>
      <c r="C24" s="287" t="s">
        <v>190</v>
      </c>
      <c r="D24" s="287" t="s">
        <v>180</v>
      </c>
      <c r="E24" s="287" t="s">
        <v>191</v>
      </c>
      <c r="F24" s="44">
        <v>25</v>
      </c>
      <c r="H24" s="44">
        <f t="shared" si="1"/>
        <v>6600</v>
      </c>
      <c r="J24" s="44">
        <v>264</v>
      </c>
      <c r="K24" s="244">
        <v>9.9499999999999993</v>
      </c>
      <c r="L24" s="54">
        <f t="shared" si="2"/>
        <v>2626.7999999999997</v>
      </c>
      <c r="N24" s="153">
        <v>10.25</v>
      </c>
      <c r="O24" s="54">
        <f t="shared" si="3"/>
        <v>2706</v>
      </c>
      <c r="P24" s="288"/>
      <c r="R24" s="44">
        <f t="shared" si="4"/>
        <v>264</v>
      </c>
      <c r="S24" s="153">
        <f t="shared" si="5"/>
        <v>10.25</v>
      </c>
      <c r="T24" s="153"/>
      <c r="U24" s="54">
        <f t="shared" si="18"/>
        <v>2706</v>
      </c>
      <c r="V24" s="287">
        <f t="shared" si="6"/>
        <v>0</v>
      </c>
      <c r="W24" s="287"/>
      <c r="X24" s="324">
        <f t="shared" si="7"/>
        <v>22</v>
      </c>
      <c r="Y24" s="266">
        <v>5426</v>
      </c>
      <c r="Z24" s="266">
        <v>300</v>
      </c>
      <c r="AA24" s="266">
        <v>7</v>
      </c>
      <c r="AB24" s="286">
        <v>16</v>
      </c>
      <c r="AC24" s="54">
        <f t="shared" si="8"/>
        <v>667398</v>
      </c>
      <c r="AD24" s="86">
        <f t="shared" si="9"/>
        <v>36900</v>
      </c>
      <c r="AE24" s="86">
        <f t="shared" si="10"/>
        <v>861</v>
      </c>
      <c r="AF24" s="86">
        <f t="shared" si="11"/>
        <v>1968</v>
      </c>
      <c r="AG24" s="287">
        <f t="shared" si="12"/>
        <v>707127</v>
      </c>
      <c r="AJ24" s="324">
        <f t="shared" si="13"/>
        <v>1627800</v>
      </c>
      <c r="AK24" s="324">
        <f t="shared" si="14"/>
        <v>90000</v>
      </c>
      <c r="AL24" s="324">
        <f t="shared" si="15"/>
        <v>2100</v>
      </c>
      <c r="AM24" s="324">
        <f t="shared" si="16"/>
        <v>4800</v>
      </c>
      <c r="AN24" s="324">
        <f t="shared" si="17"/>
        <v>1724700</v>
      </c>
    </row>
    <row r="25" spans="2:40" x14ac:dyDescent="0.25">
      <c r="B25" s="287"/>
      <c r="C25" s="287" t="s">
        <v>192</v>
      </c>
      <c r="D25" s="287" t="s">
        <v>182</v>
      </c>
      <c r="E25" s="287" t="s">
        <v>193</v>
      </c>
      <c r="F25" s="44">
        <v>46</v>
      </c>
      <c r="H25" s="44">
        <f t="shared" si="1"/>
        <v>2760</v>
      </c>
      <c r="J25" s="44">
        <v>60</v>
      </c>
      <c r="K25" s="244">
        <v>15.6</v>
      </c>
      <c r="L25" s="54">
        <f t="shared" si="2"/>
        <v>936</v>
      </c>
      <c r="N25" s="153">
        <v>16.14</v>
      </c>
      <c r="O25" s="54">
        <f t="shared" si="3"/>
        <v>968.40000000000009</v>
      </c>
      <c r="P25" s="288"/>
      <c r="R25" s="44">
        <f t="shared" si="4"/>
        <v>60</v>
      </c>
      <c r="S25" s="153">
        <f t="shared" si="5"/>
        <v>16.14</v>
      </c>
      <c r="T25" s="153"/>
      <c r="U25" s="54">
        <f t="shared" si="18"/>
        <v>968.40000000000009</v>
      </c>
      <c r="V25" s="287">
        <f t="shared" si="6"/>
        <v>0</v>
      </c>
      <c r="W25" s="287"/>
      <c r="X25" s="324">
        <f t="shared" si="7"/>
        <v>5</v>
      </c>
      <c r="Y25" s="266">
        <v>471</v>
      </c>
      <c r="Z25" s="266">
        <v>199</v>
      </c>
      <c r="AA25" s="266">
        <v>24</v>
      </c>
      <c r="AB25" s="286">
        <v>8</v>
      </c>
      <c r="AC25" s="54">
        <f t="shared" si="8"/>
        <v>91223.28</v>
      </c>
      <c r="AD25" s="86">
        <f t="shared" si="9"/>
        <v>38542.32</v>
      </c>
      <c r="AE25" s="86">
        <f t="shared" si="10"/>
        <v>4648.32</v>
      </c>
      <c r="AF25" s="86">
        <f t="shared" si="11"/>
        <v>1549.44</v>
      </c>
      <c r="AG25" s="287">
        <f t="shared" si="12"/>
        <v>135963.36000000002</v>
      </c>
      <c r="AJ25" s="324">
        <f t="shared" si="13"/>
        <v>259992</v>
      </c>
      <c r="AK25" s="324">
        <f t="shared" si="14"/>
        <v>109848</v>
      </c>
      <c r="AL25" s="324">
        <f t="shared" si="15"/>
        <v>13248</v>
      </c>
      <c r="AM25" s="324">
        <f t="shared" si="16"/>
        <v>4416</v>
      </c>
      <c r="AN25" s="324">
        <f t="shared" si="17"/>
        <v>387504</v>
      </c>
    </row>
    <row r="26" spans="2:40" x14ac:dyDescent="0.25">
      <c r="B26" s="287" t="s">
        <v>194</v>
      </c>
      <c r="C26" s="287"/>
      <c r="D26" s="287"/>
      <c r="E26" s="287"/>
      <c r="J26" s="44"/>
      <c r="K26" s="244"/>
      <c r="L26" s="54"/>
      <c r="N26" s="153"/>
      <c r="O26" s="54"/>
      <c r="P26" s="288"/>
      <c r="R26" s="44"/>
      <c r="S26" s="153"/>
      <c r="T26" s="153"/>
      <c r="U26" s="54"/>
      <c r="V26" s="287"/>
      <c r="W26" s="287"/>
      <c r="X26" s="324">
        <f t="shared" si="7"/>
        <v>0</v>
      </c>
      <c r="AB26" s="286"/>
      <c r="AC26" s="54">
        <f t="shared" si="8"/>
        <v>0</v>
      </c>
      <c r="AD26" s="86">
        <f t="shared" si="9"/>
        <v>0</v>
      </c>
      <c r="AE26" s="86">
        <f t="shared" si="10"/>
        <v>0</v>
      </c>
      <c r="AF26" s="86">
        <f t="shared" si="11"/>
        <v>0</v>
      </c>
      <c r="AG26" s="287">
        <f t="shared" si="12"/>
        <v>0</v>
      </c>
      <c r="AJ26" s="324">
        <f t="shared" si="13"/>
        <v>0</v>
      </c>
      <c r="AK26" s="324">
        <f t="shared" si="14"/>
        <v>0</v>
      </c>
      <c r="AL26" s="324">
        <f t="shared" si="15"/>
        <v>0</v>
      </c>
      <c r="AM26" s="324">
        <f t="shared" si="16"/>
        <v>0</v>
      </c>
      <c r="AN26" s="324">
        <f t="shared" si="17"/>
        <v>0</v>
      </c>
    </row>
    <row r="27" spans="2:40" x14ac:dyDescent="0.25">
      <c r="B27" s="287"/>
      <c r="C27" s="287" t="s">
        <v>179</v>
      </c>
      <c r="D27" s="287" t="s">
        <v>195</v>
      </c>
      <c r="E27" s="287" t="s">
        <v>196</v>
      </c>
      <c r="F27" s="44">
        <v>72</v>
      </c>
      <c r="H27" s="44">
        <f t="shared" si="1"/>
        <v>13824</v>
      </c>
      <c r="J27" s="44">
        <v>192</v>
      </c>
      <c r="K27" s="244">
        <v>17.64</v>
      </c>
      <c r="L27" s="54">
        <f t="shared" si="2"/>
        <v>3386.88</v>
      </c>
      <c r="N27" s="153">
        <v>18.489999999999998</v>
      </c>
      <c r="O27" s="54">
        <f t="shared" si="3"/>
        <v>3550.08</v>
      </c>
      <c r="P27" s="288"/>
      <c r="R27" s="44">
        <f t="shared" si="4"/>
        <v>192</v>
      </c>
      <c r="S27" s="153">
        <f t="shared" si="5"/>
        <v>18.489999999999998</v>
      </c>
      <c r="T27" s="153"/>
      <c r="U27" s="54">
        <f t="shared" ref="U27:U32" si="19">S27*R27</f>
        <v>3550.08</v>
      </c>
      <c r="V27" s="287">
        <f t="shared" si="6"/>
        <v>0</v>
      </c>
      <c r="W27" s="287"/>
      <c r="X27" s="324">
        <f t="shared" si="7"/>
        <v>16</v>
      </c>
      <c r="Y27" s="266">
        <v>12</v>
      </c>
      <c r="Z27" s="266">
        <v>31</v>
      </c>
      <c r="AB27" s="286"/>
      <c r="AC27" s="54">
        <f t="shared" si="8"/>
        <v>2662.56</v>
      </c>
      <c r="AD27" s="86">
        <f t="shared" si="9"/>
        <v>6878.2799999999988</v>
      </c>
      <c r="AE27" s="86">
        <f t="shared" si="10"/>
        <v>0</v>
      </c>
      <c r="AF27" s="86">
        <f t="shared" si="11"/>
        <v>0</v>
      </c>
      <c r="AG27" s="287">
        <f t="shared" si="12"/>
        <v>9540.8399999999983</v>
      </c>
      <c r="AJ27" s="324">
        <f t="shared" si="13"/>
        <v>10368</v>
      </c>
      <c r="AK27" s="324">
        <f t="shared" si="14"/>
        <v>26784</v>
      </c>
      <c r="AL27" s="324">
        <f t="shared" si="15"/>
        <v>0</v>
      </c>
      <c r="AM27" s="324">
        <f t="shared" si="16"/>
        <v>0</v>
      </c>
      <c r="AN27" s="324">
        <f t="shared" si="17"/>
        <v>37152</v>
      </c>
    </row>
    <row r="28" spans="2:40" x14ac:dyDescent="0.25">
      <c r="B28" s="287"/>
      <c r="C28" s="287" t="s">
        <v>186</v>
      </c>
      <c r="D28" s="287" t="s">
        <v>195</v>
      </c>
      <c r="E28" s="287" t="s">
        <v>197</v>
      </c>
      <c r="F28" s="44">
        <v>42</v>
      </c>
      <c r="H28" s="44">
        <f t="shared" si="1"/>
        <v>19656</v>
      </c>
      <c r="J28" s="44">
        <v>468</v>
      </c>
      <c r="K28" s="244">
        <v>12.44</v>
      </c>
      <c r="L28" s="54">
        <f t="shared" si="2"/>
        <v>5821.92</v>
      </c>
      <c r="N28" s="153">
        <v>12.94</v>
      </c>
      <c r="O28" s="54">
        <f t="shared" si="3"/>
        <v>6055.92</v>
      </c>
      <c r="P28" s="288"/>
      <c r="R28" s="44">
        <f t="shared" si="4"/>
        <v>468</v>
      </c>
      <c r="S28" s="153">
        <f t="shared" si="5"/>
        <v>12.94</v>
      </c>
      <c r="T28" s="153"/>
      <c r="U28" s="54">
        <f t="shared" si="19"/>
        <v>6055.92</v>
      </c>
      <c r="V28" s="287">
        <f t="shared" si="6"/>
        <v>0</v>
      </c>
      <c r="W28" s="287"/>
      <c r="X28" s="324">
        <f t="shared" si="7"/>
        <v>39</v>
      </c>
      <c r="Y28" s="266">
        <v>28</v>
      </c>
      <c r="Z28" s="266">
        <v>13</v>
      </c>
      <c r="AB28" s="286"/>
      <c r="AC28" s="54">
        <f t="shared" si="8"/>
        <v>4347.84</v>
      </c>
      <c r="AD28" s="86">
        <f t="shared" si="9"/>
        <v>2018.6399999999999</v>
      </c>
      <c r="AE28" s="86">
        <f t="shared" si="10"/>
        <v>0</v>
      </c>
      <c r="AF28" s="86">
        <f t="shared" si="11"/>
        <v>0</v>
      </c>
      <c r="AG28" s="287">
        <f t="shared" si="12"/>
        <v>6366.48</v>
      </c>
      <c r="AJ28" s="324">
        <f t="shared" si="13"/>
        <v>14112</v>
      </c>
      <c r="AK28" s="324">
        <f t="shared" si="14"/>
        <v>6552</v>
      </c>
      <c r="AL28" s="324">
        <f t="shared" si="15"/>
        <v>0</v>
      </c>
      <c r="AM28" s="324">
        <f t="shared" si="16"/>
        <v>0</v>
      </c>
      <c r="AN28" s="324">
        <f t="shared" si="17"/>
        <v>20664</v>
      </c>
    </row>
    <row r="29" spans="2:40" x14ac:dyDescent="0.25">
      <c r="B29" s="287"/>
      <c r="C29" s="287" t="s">
        <v>186</v>
      </c>
      <c r="D29" s="287" t="s">
        <v>198</v>
      </c>
      <c r="E29" s="287" t="s">
        <v>199</v>
      </c>
      <c r="F29" s="44">
        <v>42</v>
      </c>
      <c r="H29" s="44">
        <f t="shared" si="1"/>
        <v>14112</v>
      </c>
      <c r="J29" s="44">
        <v>336</v>
      </c>
      <c r="K29" s="244">
        <v>8.1199999999999992</v>
      </c>
      <c r="L29" s="54">
        <f t="shared" si="2"/>
        <v>2728.3199999999997</v>
      </c>
      <c r="N29" s="153">
        <v>8.6300000000000008</v>
      </c>
      <c r="O29" s="54">
        <f t="shared" si="3"/>
        <v>2899.6800000000003</v>
      </c>
      <c r="P29" s="288"/>
      <c r="R29" s="44">
        <f t="shared" si="4"/>
        <v>336</v>
      </c>
      <c r="S29" s="153">
        <f t="shared" si="5"/>
        <v>8.6300000000000008</v>
      </c>
      <c r="T29" s="153"/>
      <c r="U29" s="54">
        <f t="shared" si="19"/>
        <v>2899.6800000000003</v>
      </c>
      <c r="V29" s="287">
        <f t="shared" si="6"/>
        <v>0</v>
      </c>
      <c r="W29" s="287"/>
      <c r="X29" s="324">
        <f t="shared" si="7"/>
        <v>28</v>
      </c>
      <c r="Y29" s="266">
        <v>31</v>
      </c>
      <c r="Z29" s="266">
        <v>13</v>
      </c>
      <c r="AB29" s="286"/>
      <c r="AC29" s="54">
        <f t="shared" si="8"/>
        <v>3210.3600000000006</v>
      </c>
      <c r="AD29" s="86">
        <f t="shared" si="9"/>
        <v>1346.2800000000002</v>
      </c>
      <c r="AE29" s="86">
        <f t="shared" si="10"/>
        <v>0</v>
      </c>
      <c r="AF29" s="86">
        <f t="shared" si="11"/>
        <v>0</v>
      </c>
      <c r="AG29" s="287">
        <f t="shared" si="12"/>
        <v>4556.6400000000012</v>
      </c>
      <c r="AJ29" s="324">
        <f t="shared" si="13"/>
        <v>15624</v>
      </c>
      <c r="AK29" s="324">
        <f t="shared" si="14"/>
        <v>6552</v>
      </c>
      <c r="AL29" s="324">
        <f t="shared" si="15"/>
        <v>0</v>
      </c>
      <c r="AM29" s="324">
        <f t="shared" si="16"/>
        <v>0</v>
      </c>
      <c r="AN29" s="324">
        <f t="shared" si="17"/>
        <v>22176</v>
      </c>
    </row>
    <row r="30" spans="2:40" x14ac:dyDescent="0.25">
      <c r="B30" s="287"/>
      <c r="C30" s="287" t="s">
        <v>179</v>
      </c>
      <c r="D30" s="287" t="s">
        <v>198</v>
      </c>
      <c r="E30" s="287" t="s">
        <v>200</v>
      </c>
      <c r="F30" s="44">
        <v>72</v>
      </c>
      <c r="H30" s="44">
        <f t="shared" si="1"/>
        <v>120960</v>
      </c>
      <c r="I30" s="302"/>
      <c r="J30" s="44">
        <v>1680</v>
      </c>
      <c r="K30" s="244">
        <v>9.44</v>
      </c>
      <c r="L30" s="54">
        <f t="shared" si="2"/>
        <v>15859.199999999999</v>
      </c>
      <c r="M30" s="302"/>
      <c r="N30" s="153">
        <v>10.29</v>
      </c>
      <c r="O30" s="54">
        <f t="shared" si="3"/>
        <v>17287.199999999997</v>
      </c>
      <c r="P30" s="288"/>
      <c r="Q30" s="302"/>
      <c r="R30" s="44">
        <f t="shared" si="4"/>
        <v>1680</v>
      </c>
      <c r="S30" s="153">
        <f t="shared" si="5"/>
        <v>10.29</v>
      </c>
      <c r="T30" s="153"/>
      <c r="U30" s="54">
        <f t="shared" si="19"/>
        <v>17287.199999999997</v>
      </c>
      <c r="V30" s="287">
        <f t="shared" si="6"/>
        <v>0</v>
      </c>
      <c r="W30" s="287"/>
      <c r="X30" s="324">
        <f t="shared" si="7"/>
        <v>140</v>
      </c>
      <c r="Y30" s="266">
        <v>102</v>
      </c>
      <c r="Z30" s="266">
        <v>8</v>
      </c>
      <c r="AA30" s="266">
        <v>15</v>
      </c>
      <c r="AB30" s="286"/>
      <c r="AC30" s="54">
        <f t="shared" si="8"/>
        <v>12594.96</v>
      </c>
      <c r="AD30" s="86">
        <f t="shared" si="9"/>
        <v>987.83999999999992</v>
      </c>
      <c r="AE30" s="86">
        <f t="shared" si="10"/>
        <v>1852.1999999999998</v>
      </c>
      <c r="AF30" s="86">
        <f t="shared" si="11"/>
        <v>0</v>
      </c>
      <c r="AG30" s="287">
        <f t="shared" si="12"/>
        <v>15435</v>
      </c>
      <c r="AJ30" s="324">
        <f t="shared" si="13"/>
        <v>88128</v>
      </c>
      <c r="AK30" s="324">
        <f t="shared" si="14"/>
        <v>6912</v>
      </c>
      <c r="AL30" s="324">
        <f t="shared" si="15"/>
        <v>12960</v>
      </c>
      <c r="AM30" s="324">
        <f t="shared" si="16"/>
        <v>0</v>
      </c>
      <c r="AN30" s="324">
        <f t="shared" si="17"/>
        <v>108000</v>
      </c>
    </row>
    <row r="31" spans="2:40" x14ac:dyDescent="0.25">
      <c r="B31" s="287"/>
      <c r="C31" s="287" t="s">
        <v>176</v>
      </c>
      <c r="D31" s="287" t="s">
        <v>201</v>
      </c>
      <c r="E31" s="287" t="s">
        <v>202</v>
      </c>
      <c r="F31" s="44">
        <v>156</v>
      </c>
      <c r="H31" s="44">
        <f t="shared" si="1"/>
        <v>63648</v>
      </c>
      <c r="J31" s="44">
        <v>408</v>
      </c>
      <c r="K31" s="244">
        <v>22.15</v>
      </c>
      <c r="L31" s="54">
        <f t="shared" si="2"/>
        <v>9037.1999999999989</v>
      </c>
      <c r="N31" s="153">
        <v>23.99</v>
      </c>
      <c r="O31" s="54">
        <f t="shared" si="3"/>
        <v>9787.92</v>
      </c>
      <c r="P31" s="288"/>
      <c r="R31" s="44">
        <f t="shared" si="4"/>
        <v>408</v>
      </c>
      <c r="S31" s="153">
        <f t="shared" si="5"/>
        <v>23.99</v>
      </c>
      <c r="T31" s="153"/>
      <c r="U31" s="54">
        <f t="shared" si="19"/>
        <v>9787.92</v>
      </c>
      <c r="V31" s="287">
        <f t="shared" si="6"/>
        <v>0</v>
      </c>
      <c r="W31" s="287"/>
      <c r="X31" s="324">
        <f t="shared" si="7"/>
        <v>34</v>
      </c>
      <c r="Y31" s="266">
        <v>8</v>
      </c>
      <c r="Z31" s="266">
        <v>26</v>
      </c>
      <c r="AB31" s="286"/>
      <c r="AC31" s="54">
        <f t="shared" si="8"/>
        <v>2303.04</v>
      </c>
      <c r="AD31" s="86">
        <f t="shared" si="9"/>
        <v>7484.88</v>
      </c>
      <c r="AE31" s="86">
        <f t="shared" si="10"/>
        <v>0</v>
      </c>
      <c r="AF31" s="86">
        <f t="shared" si="11"/>
        <v>0</v>
      </c>
      <c r="AG31" s="287">
        <f t="shared" si="12"/>
        <v>9787.92</v>
      </c>
      <c r="AJ31" s="324">
        <f t="shared" si="13"/>
        <v>14976</v>
      </c>
      <c r="AK31" s="324">
        <f t="shared" si="14"/>
        <v>48672</v>
      </c>
      <c r="AL31" s="324">
        <f t="shared" si="15"/>
        <v>0</v>
      </c>
      <c r="AM31" s="324">
        <f t="shared" si="16"/>
        <v>0</v>
      </c>
      <c r="AN31" s="324">
        <f t="shared" si="17"/>
        <v>63648</v>
      </c>
    </row>
    <row r="32" spans="2:40" x14ac:dyDescent="0.25">
      <c r="B32" s="287"/>
      <c r="C32" s="287" t="s">
        <v>203</v>
      </c>
      <c r="D32" s="287" t="s">
        <v>198</v>
      </c>
      <c r="E32" s="287" t="s">
        <v>204</v>
      </c>
      <c r="F32" s="44">
        <v>20</v>
      </c>
      <c r="H32" s="44">
        <f t="shared" si="1"/>
        <v>27600</v>
      </c>
      <c r="I32" s="323"/>
      <c r="J32" s="44">
        <v>1380</v>
      </c>
      <c r="K32" s="244">
        <v>12.5</v>
      </c>
      <c r="L32" s="54">
        <f t="shared" si="2"/>
        <v>17250</v>
      </c>
      <c r="M32" s="323"/>
      <c r="N32" s="153">
        <v>12.74</v>
      </c>
      <c r="O32" s="54">
        <f t="shared" si="3"/>
        <v>17581.2</v>
      </c>
      <c r="P32" s="288"/>
      <c r="Q32" s="323"/>
      <c r="R32" s="44">
        <f t="shared" si="4"/>
        <v>1380</v>
      </c>
      <c r="S32" s="153">
        <f t="shared" si="5"/>
        <v>12.74</v>
      </c>
      <c r="T32" s="153"/>
      <c r="U32" s="54">
        <f t="shared" si="19"/>
        <v>17581.2</v>
      </c>
      <c r="V32" s="287">
        <f t="shared" si="6"/>
        <v>0</v>
      </c>
      <c r="W32" s="287"/>
      <c r="X32" s="324">
        <f t="shared" si="7"/>
        <v>115</v>
      </c>
      <c r="Y32" s="266">
        <v>48</v>
      </c>
      <c r="Z32" s="266">
        <v>54</v>
      </c>
      <c r="AB32" s="286"/>
      <c r="AC32" s="54">
        <f t="shared" si="8"/>
        <v>7338.24</v>
      </c>
      <c r="AD32" s="86">
        <f t="shared" si="9"/>
        <v>8255.52</v>
      </c>
      <c r="AE32" s="86">
        <f t="shared" si="10"/>
        <v>0</v>
      </c>
      <c r="AF32" s="86">
        <f t="shared" si="11"/>
        <v>0</v>
      </c>
      <c r="AG32" s="287">
        <f t="shared" si="12"/>
        <v>15593.76</v>
      </c>
      <c r="AJ32" s="324">
        <f t="shared" si="13"/>
        <v>11520</v>
      </c>
      <c r="AK32" s="324">
        <f t="shared" si="14"/>
        <v>12960</v>
      </c>
      <c r="AL32" s="324">
        <f t="shared" si="15"/>
        <v>0</v>
      </c>
      <c r="AM32" s="324">
        <f t="shared" si="16"/>
        <v>0</v>
      </c>
      <c r="AN32" s="324">
        <f t="shared" si="17"/>
        <v>24480</v>
      </c>
    </row>
    <row r="33" spans="2:40" x14ac:dyDescent="0.25">
      <c r="B33" s="287" t="s">
        <v>205</v>
      </c>
      <c r="C33" s="287"/>
      <c r="D33" s="287"/>
      <c r="E33" s="287"/>
      <c r="J33" s="44"/>
      <c r="K33" s="244"/>
      <c r="L33" s="54"/>
      <c r="N33" s="153"/>
      <c r="O33" s="54"/>
      <c r="P33" s="288"/>
      <c r="R33" s="44"/>
      <c r="S33" s="153"/>
      <c r="T33" s="153"/>
      <c r="U33" s="54"/>
      <c r="V33" s="287"/>
      <c r="W33" s="287"/>
      <c r="X33" s="324"/>
      <c r="AB33" s="286"/>
      <c r="AC33" s="54">
        <f t="shared" si="8"/>
        <v>0</v>
      </c>
      <c r="AD33" s="86">
        <f t="shared" si="9"/>
        <v>0</v>
      </c>
      <c r="AE33" s="86">
        <f t="shared" si="10"/>
        <v>0</v>
      </c>
      <c r="AF33" s="86">
        <f t="shared" si="11"/>
        <v>0</v>
      </c>
      <c r="AG33" s="287">
        <f t="shared" si="12"/>
        <v>0</v>
      </c>
      <c r="AJ33" s="324">
        <f t="shared" si="13"/>
        <v>0</v>
      </c>
      <c r="AK33" s="324">
        <f t="shared" si="14"/>
        <v>0</v>
      </c>
      <c r="AL33" s="324">
        <f t="shared" si="15"/>
        <v>0</v>
      </c>
      <c r="AM33" s="324">
        <f t="shared" si="16"/>
        <v>0</v>
      </c>
      <c r="AN33" s="324">
        <f t="shared" si="17"/>
        <v>0</v>
      </c>
    </row>
    <row r="34" spans="2:40" x14ac:dyDescent="0.25">
      <c r="B34" s="287"/>
      <c r="C34" s="287" t="s">
        <v>206</v>
      </c>
      <c r="D34" s="287"/>
      <c r="E34" s="287"/>
      <c r="J34" s="44">
        <v>3180</v>
      </c>
      <c r="K34" s="244">
        <v>5.29</v>
      </c>
      <c r="L34" s="54">
        <f t="shared" si="2"/>
        <v>16822.2</v>
      </c>
      <c r="N34" s="153">
        <v>5.29</v>
      </c>
      <c r="O34" s="54">
        <f t="shared" si="3"/>
        <v>16822.2</v>
      </c>
      <c r="P34" s="288"/>
      <c r="R34" s="44">
        <f t="shared" si="4"/>
        <v>3180</v>
      </c>
      <c r="S34" s="153">
        <f t="shared" si="5"/>
        <v>5.29</v>
      </c>
      <c r="T34" s="153"/>
      <c r="U34" s="54">
        <f t="shared" ref="U34:U45" si="20">S34*R34</f>
        <v>16822.2</v>
      </c>
      <c r="V34" s="287">
        <f t="shared" si="6"/>
        <v>0</v>
      </c>
      <c r="W34" s="287"/>
      <c r="X34" s="324">
        <f t="shared" si="7"/>
        <v>265</v>
      </c>
      <c r="Y34" s="266">
        <v>221</v>
      </c>
      <c r="Z34" s="266">
        <v>81</v>
      </c>
      <c r="AA34" s="266">
        <v>15</v>
      </c>
      <c r="AB34" s="286"/>
      <c r="AC34" s="54">
        <f t="shared" si="8"/>
        <v>14029.079999999998</v>
      </c>
      <c r="AD34" s="86">
        <f t="shared" si="9"/>
        <v>5141.88</v>
      </c>
      <c r="AE34" s="86">
        <f t="shared" si="10"/>
        <v>952.19999999999993</v>
      </c>
      <c r="AF34" s="86">
        <f t="shared" si="11"/>
        <v>0</v>
      </c>
      <c r="AG34" s="287">
        <f t="shared" si="12"/>
        <v>20123.16</v>
      </c>
      <c r="AJ34" s="324">
        <f t="shared" si="13"/>
        <v>0</v>
      </c>
      <c r="AK34" s="324">
        <f t="shared" si="14"/>
        <v>0</v>
      </c>
      <c r="AL34" s="324">
        <f t="shared" si="15"/>
        <v>0</v>
      </c>
      <c r="AM34" s="324">
        <f t="shared" si="16"/>
        <v>0</v>
      </c>
      <c r="AN34" s="324">
        <f t="shared" si="17"/>
        <v>0</v>
      </c>
    </row>
    <row r="35" spans="2:40" x14ac:dyDescent="0.25">
      <c r="B35" s="287"/>
      <c r="C35" s="287" t="s">
        <v>207</v>
      </c>
      <c r="D35" s="287"/>
      <c r="E35" s="287"/>
      <c r="J35" s="44">
        <v>0</v>
      </c>
      <c r="K35" s="244">
        <v>4.63</v>
      </c>
      <c r="L35" s="54">
        <f t="shared" si="2"/>
        <v>0</v>
      </c>
      <c r="N35" s="153">
        <v>4.63</v>
      </c>
      <c r="O35" s="54">
        <f t="shared" si="3"/>
        <v>0</v>
      </c>
      <c r="P35" s="288"/>
      <c r="R35" s="44">
        <f t="shared" si="4"/>
        <v>0</v>
      </c>
      <c r="S35" s="153">
        <f t="shared" si="5"/>
        <v>4.63</v>
      </c>
      <c r="T35" s="153"/>
      <c r="U35" s="54">
        <f t="shared" si="20"/>
        <v>0</v>
      </c>
      <c r="V35" s="287">
        <f t="shared" si="6"/>
        <v>0</v>
      </c>
      <c r="W35" s="287"/>
      <c r="X35" s="324">
        <f t="shared" si="7"/>
        <v>0</v>
      </c>
      <c r="AB35" s="286"/>
      <c r="AC35" s="54">
        <f t="shared" si="8"/>
        <v>0</v>
      </c>
      <c r="AD35" s="86">
        <f t="shared" si="9"/>
        <v>0</v>
      </c>
      <c r="AE35" s="86">
        <f t="shared" si="10"/>
        <v>0</v>
      </c>
      <c r="AF35" s="86">
        <f t="shared" si="11"/>
        <v>0</v>
      </c>
      <c r="AG35" s="287">
        <f t="shared" si="12"/>
        <v>0</v>
      </c>
      <c r="AJ35" s="324">
        <f t="shared" si="13"/>
        <v>0</v>
      </c>
      <c r="AK35" s="324">
        <f t="shared" si="14"/>
        <v>0</v>
      </c>
      <c r="AL35" s="324">
        <f t="shared" si="15"/>
        <v>0</v>
      </c>
      <c r="AM35" s="324">
        <f t="shared" si="16"/>
        <v>0</v>
      </c>
      <c r="AN35" s="324">
        <f t="shared" si="17"/>
        <v>0</v>
      </c>
    </row>
    <row r="36" spans="2:40" x14ac:dyDescent="0.25">
      <c r="B36" s="287"/>
      <c r="C36" s="287" t="s">
        <v>208</v>
      </c>
      <c r="D36" s="287"/>
      <c r="E36" s="287"/>
      <c r="J36" s="44">
        <v>60</v>
      </c>
      <c r="K36" s="244">
        <v>25.19</v>
      </c>
      <c r="L36" s="54">
        <f t="shared" si="2"/>
        <v>1511.4</v>
      </c>
      <c r="N36" s="153">
        <v>25.19</v>
      </c>
      <c r="O36" s="54">
        <f t="shared" si="3"/>
        <v>1511.4</v>
      </c>
      <c r="P36" s="288"/>
      <c r="R36" s="44">
        <f t="shared" si="4"/>
        <v>60</v>
      </c>
      <c r="S36" s="153">
        <f t="shared" si="5"/>
        <v>25.19</v>
      </c>
      <c r="T36" s="153"/>
      <c r="U36" s="54">
        <f t="shared" si="20"/>
        <v>1511.4</v>
      </c>
      <c r="V36" s="287">
        <f t="shared" si="6"/>
        <v>0</v>
      </c>
      <c r="W36" s="287"/>
      <c r="X36" s="324">
        <f t="shared" si="7"/>
        <v>5</v>
      </c>
      <c r="Y36" s="266">
        <v>17</v>
      </c>
      <c r="Z36" s="266">
        <v>13</v>
      </c>
      <c r="AB36" s="286"/>
      <c r="AC36" s="54">
        <f t="shared" si="8"/>
        <v>5138.76</v>
      </c>
      <c r="AD36" s="86">
        <f t="shared" si="9"/>
        <v>3929.6400000000003</v>
      </c>
      <c r="AE36" s="86">
        <f t="shared" si="10"/>
        <v>0</v>
      </c>
      <c r="AF36" s="86">
        <f t="shared" si="11"/>
        <v>0</v>
      </c>
      <c r="AG36" s="287">
        <f t="shared" si="12"/>
        <v>9068.4000000000015</v>
      </c>
      <c r="AJ36" s="324">
        <f t="shared" si="13"/>
        <v>0</v>
      </c>
      <c r="AK36" s="324">
        <f t="shared" si="14"/>
        <v>0</v>
      </c>
      <c r="AL36" s="324">
        <f t="shared" si="15"/>
        <v>0</v>
      </c>
      <c r="AM36" s="324">
        <f t="shared" si="16"/>
        <v>0</v>
      </c>
      <c r="AN36" s="324">
        <f t="shared" si="17"/>
        <v>0</v>
      </c>
    </row>
    <row r="37" spans="2:40" x14ac:dyDescent="0.25">
      <c r="B37" s="287"/>
      <c r="C37" s="287" t="s">
        <v>209</v>
      </c>
      <c r="D37" s="287"/>
      <c r="E37" s="287"/>
      <c r="I37" s="302"/>
      <c r="J37" s="44">
        <v>0</v>
      </c>
      <c r="K37" s="244">
        <v>9.0399999999999991</v>
      </c>
      <c r="L37" s="54">
        <f t="shared" si="2"/>
        <v>0</v>
      </c>
      <c r="M37" s="302"/>
      <c r="N37" s="153">
        <v>9.0399999999999991</v>
      </c>
      <c r="O37" s="54">
        <f t="shared" si="3"/>
        <v>0</v>
      </c>
      <c r="P37" s="288"/>
      <c r="Q37" s="302"/>
      <c r="R37" s="44">
        <f t="shared" si="4"/>
        <v>0</v>
      </c>
      <c r="S37" s="153">
        <f t="shared" si="5"/>
        <v>9.0399999999999991</v>
      </c>
      <c r="T37" s="153"/>
      <c r="U37" s="54">
        <f t="shared" si="20"/>
        <v>0</v>
      </c>
      <c r="V37" s="287">
        <f t="shared" si="6"/>
        <v>0</v>
      </c>
      <c r="W37" s="287"/>
      <c r="X37" s="324">
        <f t="shared" si="7"/>
        <v>0</v>
      </c>
      <c r="AB37" s="286"/>
      <c r="AC37" s="54">
        <f t="shared" si="8"/>
        <v>0</v>
      </c>
      <c r="AD37" s="86">
        <f t="shared" si="9"/>
        <v>0</v>
      </c>
      <c r="AE37" s="86">
        <f t="shared" si="10"/>
        <v>0</v>
      </c>
      <c r="AF37" s="86">
        <f t="shared" si="11"/>
        <v>0</v>
      </c>
      <c r="AG37" s="287">
        <f t="shared" si="12"/>
        <v>0</v>
      </c>
      <c r="AJ37" s="324">
        <f t="shared" si="13"/>
        <v>0</v>
      </c>
      <c r="AK37" s="324">
        <f t="shared" si="14"/>
        <v>0</v>
      </c>
      <c r="AL37" s="324">
        <f t="shared" si="15"/>
        <v>0</v>
      </c>
      <c r="AM37" s="324">
        <f t="shared" si="16"/>
        <v>0</v>
      </c>
      <c r="AN37" s="324">
        <f t="shared" si="17"/>
        <v>0</v>
      </c>
    </row>
    <row r="38" spans="2:40" x14ac:dyDescent="0.25">
      <c r="B38" s="287"/>
      <c r="C38" s="287" t="s">
        <v>210</v>
      </c>
      <c r="D38" s="287"/>
      <c r="E38" s="287"/>
      <c r="J38" s="44">
        <v>1020</v>
      </c>
      <c r="K38" s="244">
        <v>30.48</v>
      </c>
      <c r="L38" s="54">
        <f t="shared" si="2"/>
        <v>31089.600000000002</v>
      </c>
      <c r="N38" s="153">
        <v>30.48</v>
      </c>
      <c r="O38" s="54">
        <f t="shared" si="3"/>
        <v>31089.600000000002</v>
      </c>
      <c r="P38" s="288"/>
      <c r="R38" s="44">
        <f t="shared" si="4"/>
        <v>1020</v>
      </c>
      <c r="S38" s="153">
        <f t="shared" si="5"/>
        <v>30.48</v>
      </c>
      <c r="T38" s="153"/>
      <c r="U38" s="54">
        <f t="shared" si="20"/>
        <v>31089.600000000002</v>
      </c>
      <c r="V38" s="287">
        <f t="shared" si="6"/>
        <v>0</v>
      </c>
      <c r="W38" s="287"/>
      <c r="X38" s="324">
        <f t="shared" si="7"/>
        <v>85</v>
      </c>
      <c r="Z38" s="266">
        <v>81</v>
      </c>
      <c r="AA38" s="266">
        <v>4</v>
      </c>
      <c r="AB38" s="286"/>
      <c r="AC38" s="54">
        <f t="shared" si="8"/>
        <v>0</v>
      </c>
      <c r="AD38" s="86">
        <f t="shared" si="9"/>
        <v>29626.560000000001</v>
      </c>
      <c r="AE38" s="86">
        <f t="shared" si="10"/>
        <v>1463.04</v>
      </c>
      <c r="AF38" s="86">
        <f t="shared" si="11"/>
        <v>0</v>
      </c>
      <c r="AG38" s="287">
        <f t="shared" si="12"/>
        <v>31089.600000000002</v>
      </c>
      <c r="AJ38" s="324">
        <f t="shared" si="13"/>
        <v>0</v>
      </c>
      <c r="AK38" s="324">
        <f t="shared" si="14"/>
        <v>0</v>
      </c>
      <c r="AL38" s="324">
        <f t="shared" si="15"/>
        <v>0</v>
      </c>
      <c r="AM38" s="324">
        <f t="shared" si="16"/>
        <v>0</v>
      </c>
      <c r="AN38" s="324">
        <f t="shared" si="17"/>
        <v>0</v>
      </c>
    </row>
    <row r="39" spans="2:40" x14ac:dyDescent="0.25">
      <c r="B39" s="287"/>
      <c r="C39" s="287" t="s">
        <v>211</v>
      </c>
      <c r="D39" s="287"/>
      <c r="E39" s="287"/>
      <c r="I39" s="323"/>
      <c r="J39" s="44">
        <v>60</v>
      </c>
      <c r="K39" s="244">
        <v>29.96</v>
      </c>
      <c r="L39" s="54">
        <f t="shared" si="2"/>
        <v>1797.6000000000001</v>
      </c>
      <c r="M39" s="323"/>
      <c r="N39" s="153">
        <v>29.96</v>
      </c>
      <c r="O39" s="54">
        <f t="shared" si="3"/>
        <v>1797.6000000000001</v>
      </c>
      <c r="P39" s="288"/>
      <c r="Q39" s="323"/>
      <c r="R39" s="44">
        <f t="shared" si="4"/>
        <v>60</v>
      </c>
      <c r="S39" s="153">
        <f t="shared" si="5"/>
        <v>29.96</v>
      </c>
      <c r="T39" s="153"/>
      <c r="U39" s="54">
        <f t="shared" si="20"/>
        <v>1797.6000000000001</v>
      </c>
      <c r="V39" s="287">
        <f t="shared" si="6"/>
        <v>0</v>
      </c>
      <c r="W39" s="287"/>
      <c r="X39" s="324">
        <f t="shared" si="7"/>
        <v>5</v>
      </c>
      <c r="Z39" s="266">
        <v>5</v>
      </c>
      <c r="AA39" s="266">
        <v>3</v>
      </c>
      <c r="AB39" s="286"/>
      <c r="AC39" s="54">
        <f t="shared" si="8"/>
        <v>0</v>
      </c>
      <c r="AD39" s="86">
        <f t="shared" si="9"/>
        <v>1797.6000000000001</v>
      </c>
      <c r="AE39" s="86">
        <f t="shared" si="10"/>
        <v>1078.56</v>
      </c>
      <c r="AF39" s="86">
        <f t="shared" si="11"/>
        <v>0</v>
      </c>
      <c r="AG39" s="287">
        <f t="shared" si="12"/>
        <v>2876.16</v>
      </c>
      <c r="AJ39" s="324">
        <f t="shared" si="13"/>
        <v>0</v>
      </c>
      <c r="AK39" s="324">
        <f t="shared" si="14"/>
        <v>0</v>
      </c>
      <c r="AL39" s="324">
        <f t="shared" si="15"/>
        <v>0</v>
      </c>
      <c r="AM39" s="324">
        <f t="shared" si="16"/>
        <v>0</v>
      </c>
      <c r="AN39" s="324">
        <f t="shared" si="17"/>
        <v>0</v>
      </c>
    </row>
    <row r="40" spans="2:40" x14ac:dyDescent="0.25">
      <c r="B40" s="287"/>
      <c r="C40" s="287" t="s">
        <v>212</v>
      </c>
      <c r="D40" s="287"/>
      <c r="E40" s="287"/>
      <c r="I40" s="323"/>
      <c r="J40" s="44">
        <v>192</v>
      </c>
      <c r="K40" s="244">
        <v>10.37</v>
      </c>
      <c r="L40" s="54">
        <f t="shared" si="2"/>
        <v>1991.04</v>
      </c>
      <c r="M40" s="323"/>
      <c r="N40" s="153">
        <v>10.37</v>
      </c>
      <c r="O40" s="54">
        <f t="shared" si="3"/>
        <v>1991.04</v>
      </c>
      <c r="P40" s="288"/>
      <c r="Q40" s="323"/>
      <c r="R40" s="44">
        <f t="shared" si="4"/>
        <v>192</v>
      </c>
      <c r="S40" s="153">
        <f t="shared" si="5"/>
        <v>10.37</v>
      </c>
      <c r="T40" s="153"/>
      <c r="U40" s="54">
        <f t="shared" si="20"/>
        <v>1991.04</v>
      </c>
      <c r="V40" s="287">
        <f t="shared" si="6"/>
        <v>0</v>
      </c>
      <c r="W40" s="287"/>
      <c r="X40" s="324">
        <f t="shared" si="7"/>
        <v>16</v>
      </c>
      <c r="Y40" s="266">
        <v>11</v>
      </c>
      <c r="Z40" s="266">
        <v>5</v>
      </c>
      <c r="AB40" s="286"/>
      <c r="AC40" s="54">
        <f t="shared" si="8"/>
        <v>1368.84</v>
      </c>
      <c r="AD40" s="86">
        <f t="shared" si="9"/>
        <v>622.19999999999993</v>
      </c>
      <c r="AE40" s="86">
        <f t="shared" si="10"/>
        <v>0</v>
      </c>
      <c r="AF40" s="86">
        <f t="shared" si="11"/>
        <v>0</v>
      </c>
      <c r="AG40" s="287">
        <f t="shared" si="12"/>
        <v>1991.04</v>
      </c>
      <c r="AJ40" s="324">
        <f t="shared" si="13"/>
        <v>0</v>
      </c>
      <c r="AK40" s="324">
        <f t="shared" si="14"/>
        <v>0</v>
      </c>
      <c r="AL40" s="324">
        <f t="shared" si="15"/>
        <v>0</v>
      </c>
      <c r="AM40" s="324">
        <f t="shared" si="16"/>
        <v>0</v>
      </c>
      <c r="AN40" s="324">
        <f t="shared" si="17"/>
        <v>0</v>
      </c>
    </row>
    <row r="41" spans="2:40" x14ac:dyDescent="0.25">
      <c r="B41" s="287"/>
      <c r="C41" s="287" t="s">
        <v>213</v>
      </c>
      <c r="D41" s="287"/>
      <c r="E41" s="287"/>
      <c r="I41" s="323"/>
      <c r="J41" s="44">
        <v>156</v>
      </c>
      <c r="K41" s="244">
        <v>34.81</v>
      </c>
      <c r="L41" s="54">
        <f t="shared" si="2"/>
        <v>5430.3600000000006</v>
      </c>
      <c r="M41" s="323"/>
      <c r="N41" s="153">
        <v>34.81</v>
      </c>
      <c r="O41" s="54">
        <f t="shared" si="3"/>
        <v>5430.3600000000006</v>
      </c>
      <c r="P41" s="288"/>
      <c r="Q41" s="323"/>
      <c r="R41" s="44">
        <f t="shared" si="4"/>
        <v>156</v>
      </c>
      <c r="S41" s="153">
        <f t="shared" si="5"/>
        <v>34.81</v>
      </c>
      <c r="T41" s="153"/>
      <c r="U41" s="54">
        <f t="shared" si="20"/>
        <v>5430.3600000000006</v>
      </c>
      <c r="V41" s="287">
        <f t="shared" si="6"/>
        <v>0</v>
      </c>
      <c r="W41" s="287"/>
      <c r="X41" s="324">
        <f t="shared" si="7"/>
        <v>13</v>
      </c>
      <c r="Y41" s="266">
        <v>3</v>
      </c>
      <c r="Z41" s="266">
        <v>15</v>
      </c>
      <c r="AB41" s="286"/>
      <c r="AC41" s="54">
        <f t="shared" si="8"/>
        <v>1253.1600000000001</v>
      </c>
      <c r="AD41" s="86">
        <f t="shared" si="9"/>
        <v>6265.8000000000011</v>
      </c>
      <c r="AE41" s="86">
        <f t="shared" si="10"/>
        <v>0</v>
      </c>
      <c r="AF41" s="86">
        <f t="shared" si="11"/>
        <v>0</v>
      </c>
      <c r="AG41" s="287">
        <f t="shared" si="12"/>
        <v>7518.9600000000009</v>
      </c>
      <c r="AJ41" s="324">
        <f t="shared" si="13"/>
        <v>0</v>
      </c>
      <c r="AK41" s="324">
        <f t="shared" si="14"/>
        <v>0</v>
      </c>
      <c r="AL41" s="324">
        <f t="shared" si="15"/>
        <v>0</v>
      </c>
      <c r="AM41" s="324">
        <f t="shared" si="16"/>
        <v>0</v>
      </c>
      <c r="AN41" s="324">
        <f t="shared" si="17"/>
        <v>0</v>
      </c>
    </row>
    <row r="42" spans="2:40" x14ac:dyDescent="0.25">
      <c r="B42" s="287"/>
      <c r="C42" s="287" t="s">
        <v>214</v>
      </c>
      <c r="D42" s="287"/>
      <c r="E42" s="287"/>
      <c r="J42" s="44">
        <v>0</v>
      </c>
      <c r="K42" s="244">
        <v>60.66</v>
      </c>
      <c r="L42" s="54">
        <f t="shared" si="2"/>
        <v>0</v>
      </c>
      <c r="N42" s="153">
        <v>60.66</v>
      </c>
      <c r="O42" s="54">
        <f t="shared" si="3"/>
        <v>0</v>
      </c>
      <c r="P42" s="288"/>
      <c r="R42" s="44">
        <f t="shared" si="4"/>
        <v>0</v>
      </c>
      <c r="S42" s="153">
        <f t="shared" si="5"/>
        <v>60.66</v>
      </c>
      <c r="T42" s="153"/>
      <c r="U42" s="54">
        <f t="shared" si="20"/>
        <v>0</v>
      </c>
      <c r="V42" s="287">
        <f t="shared" si="6"/>
        <v>0</v>
      </c>
      <c r="W42" s="287"/>
      <c r="X42" s="324"/>
      <c r="AB42" s="286"/>
      <c r="AC42" s="54">
        <f t="shared" si="8"/>
        <v>0</v>
      </c>
      <c r="AD42" s="86">
        <f t="shared" si="9"/>
        <v>0</v>
      </c>
      <c r="AE42" s="86">
        <f t="shared" si="10"/>
        <v>0</v>
      </c>
      <c r="AF42" s="86">
        <f t="shared" si="11"/>
        <v>0</v>
      </c>
      <c r="AG42" s="287">
        <f t="shared" si="12"/>
        <v>0</v>
      </c>
      <c r="AJ42" s="324">
        <f t="shared" si="13"/>
        <v>0</v>
      </c>
      <c r="AK42" s="324">
        <f t="shared" si="14"/>
        <v>0</v>
      </c>
      <c r="AL42" s="324">
        <f t="shared" si="15"/>
        <v>0</v>
      </c>
      <c r="AM42" s="324">
        <f t="shared" si="16"/>
        <v>0</v>
      </c>
      <c r="AN42" s="324">
        <f t="shared" si="17"/>
        <v>0</v>
      </c>
    </row>
    <row r="43" spans="2:40" x14ac:dyDescent="0.25">
      <c r="B43" s="287"/>
      <c r="C43" s="287" t="s">
        <v>215</v>
      </c>
      <c r="D43" s="287"/>
      <c r="E43" s="287"/>
      <c r="I43" s="323"/>
      <c r="J43" s="44">
        <v>0</v>
      </c>
      <c r="K43" s="244">
        <v>12.49</v>
      </c>
      <c r="L43" s="54">
        <f t="shared" si="2"/>
        <v>0</v>
      </c>
      <c r="M43" s="323"/>
      <c r="N43" s="153">
        <v>12.49</v>
      </c>
      <c r="O43" s="54">
        <f t="shared" si="3"/>
        <v>0</v>
      </c>
      <c r="P43" s="288"/>
      <c r="Q43" s="323"/>
      <c r="R43" s="44">
        <f t="shared" si="4"/>
        <v>0</v>
      </c>
      <c r="S43" s="153">
        <f t="shared" si="5"/>
        <v>12.49</v>
      </c>
      <c r="T43" s="153"/>
      <c r="U43" s="54">
        <f t="shared" si="20"/>
        <v>0</v>
      </c>
      <c r="V43" s="287">
        <f t="shared" si="6"/>
        <v>0</v>
      </c>
      <c r="W43" s="287"/>
      <c r="X43" s="324"/>
      <c r="AB43" s="286"/>
      <c r="AC43" s="54">
        <f t="shared" si="8"/>
        <v>0</v>
      </c>
      <c r="AD43" s="86">
        <f t="shared" si="9"/>
        <v>0</v>
      </c>
      <c r="AE43" s="86">
        <f t="shared" si="10"/>
        <v>0</v>
      </c>
      <c r="AF43" s="86">
        <f t="shared" si="11"/>
        <v>0</v>
      </c>
      <c r="AG43" s="287">
        <f t="shared" si="12"/>
        <v>0</v>
      </c>
      <c r="AJ43" s="324">
        <f t="shared" si="13"/>
        <v>0</v>
      </c>
      <c r="AK43" s="324">
        <f t="shared" si="14"/>
        <v>0</v>
      </c>
      <c r="AL43" s="324">
        <f t="shared" si="15"/>
        <v>0</v>
      </c>
      <c r="AM43" s="324">
        <f t="shared" si="16"/>
        <v>0</v>
      </c>
      <c r="AN43" s="324">
        <f t="shared" si="17"/>
        <v>0</v>
      </c>
    </row>
    <row r="44" spans="2:40" x14ac:dyDescent="0.25">
      <c r="B44" s="287"/>
      <c r="C44" s="287" t="s">
        <v>216</v>
      </c>
      <c r="D44" s="287"/>
      <c r="E44" s="287"/>
      <c r="J44" s="44">
        <v>0</v>
      </c>
      <c r="K44" s="244">
        <v>17.440000000000001</v>
      </c>
      <c r="L44" s="54">
        <f t="shared" si="2"/>
        <v>0</v>
      </c>
      <c r="N44" s="153">
        <v>17.440000000000001</v>
      </c>
      <c r="O44" s="54">
        <f t="shared" si="3"/>
        <v>0</v>
      </c>
      <c r="P44" s="288"/>
      <c r="R44" s="44">
        <f t="shared" si="4"/>
        <v>0</v>
      </c>
      <c r="S44" s="153">
        <f t="shared" si="5"/>
        <v>17.440000000000001</v>
      </c>
      <c r="T44" s="153"/>
      <c r="U44" s="54">
        <f t="shared" si="20"/>
        <v>0</v>
      </c>
      <c r="V44" s="287">
        <f t="shared" si="6"/>
        <v>0</v>
      </c>
      <c r="W44" s="287"/>
      <c r="X44" s="324"/>
      <c r="AB44" s="286"/>
      <c r="AC44" s="54">
        <f t="shared" si="8"/>
        <v>0</v>
      </c>
      <c r="AD44" s="86">
        <f t="shared" si="9"/>
        <v>0</v>
      </c>
      <c r="AE44" s="86">
        <f t="shared" si="10"/>
        <v>0</v>
      </c>
      <c r="AF44" s="86">
        <f t="shared" si="11"/>
        <v>0</v>
      </c>
      <c r="AG44" s="287">
        <f t="shared" si="12"/>
        <v>0</v>
      </c>
      <c r="AJ44" s="324">
        <f t="shared" si="13"/>
        <v>0</v>
      </c>
      <c r="AK44" s="324">
        <f t="shared" si="14"/>
        <v>0</v>
      </c>
      <c r="AL44" s="324">
        <f t="shared" si="15"/>
        <v>0</v>
      </c>
      <c r="AM44" s="324">
        <f t="shared" si="16"/>
        <v>0</v>
      </c>
      <c r="AN44" s="324">
        <f t="shared" si="17"/>
        <v>0</v>
      </c>
    </row>
    <row r="45" spans="2:40" x14ac:dyDescent="0.25">
      <c r="B45" s="287"/>
      <c r="C45" s="287" t="s">
        <v>217</v>
      </c>
      <c r="D45" s="287"/>
      <c r="E45" s="287"/>
      <c r="J45" s="44">
        <v>0</v>
      </c>
      <c r="K45" s="244">
        <v>8.66</v>
      </c>
      <c r="L45" s="54">
        <f t="shared" si="2"/>
        <v>0</v>
      </c>
      <c r="N45" s="153">
        <v>8.66</v>
      </c>
      <c r="O45" s="54">
        <f t="shared" si="3"/>
        <v>0</v>
      </c>
      <c r="P45" s="288"/>
      <c r="R45" s="44">
        <f t="shared" si="4"/>
        <v>0</v>
      </c>
      <c r="S45" s="153">
        <f t="shared" si="5"/>
        <v>8.66</v>
      </c>
      <c r="T45" s="153"/>
      <c r="U45" s="54">
        <f t="shared" si="20"/>
        <v>0</v>
      </c>
      <c r="V45" s="287">
        <f t="shared" si="6"/>
        <v>0</v>
      </c>
      <c r="W45" s="287"/>
      <c r="X45" s="324"/>
      <c r="AB45" s="286"/>
      <c r="AC45" s="45"/>
      <c r="AD45" s="311"/>
      <c r="AE45" s="287"/>
    </row>
    <row r="46" spans="2:40" x14ac:dyDescent="0.25">
      <c r="F46" s="45"/>
      <c r="G46" s="45"/>
      <c r="H46" s="45"/>
      <c r="I46" s="286"/>
      <c r="J46" s="44"/>
      <c r="K46" s="74"/>
      <c r="L46" s="325"/>
      <c r="M46" s="287"/>
      <c r="N46" s="74"/>
      <c r="O46" s="287"/>
      <c r="P46" s="288"/>
      <c r="Q46" s="287"/>
      <c r="R46" s="44"/>
      <c r="S46" s="74"/>
      <c r="T46" s="74"/>
      <c r="U46" s="325"/>
      <c r="V46" s="287"/>
      <c r="W46" s="287"/>
      <c r="AB46" s="286"/>
      <c r="AC46" s="286"/>
      <c r="AD46" s="311"/>
      <c r="AE46" s="287"/>
    </row>
    <row r="47" spans="2:40" ht="16.5" thickBot="1" x14ac:dyDescent="0.3">
      <c r="E47" s="326" t="s">
        <v>84</v>
      </c>
      <c r="F47" s="169"/>
      <c r="G47" s="169"/>
      <c r="H47" s="169">
        <f>SUM(H13:H45)</f>
        <v>20462532</v>
      </c>
      <c r="I47" s="327"/>
      <c r="J47" s="327"/>
      <c r="K47" s="327"/>
      <c r="L47" s="61">
        <f>SUM(L13:L45)</f>
        <v>2823025.9200000004</v>
      </c>
      <c r="M47" s="54"/>
      <c r="N47" s="74"/>
      <c r="O47" s="61">
        <f>SUM(O13:O45)</f>
        <v>3065512.0800000005</v>
      </c>
      <c r="P47" s="288"/>
      <c r="Q47" s="54"/>
      <c r="R47" s="44"/>
      <c r="S47" s="74"/>
      <c r="T47" s="74"/>
      <c r="U47" s="61">
        <f>SUM(U13:U45)</f>
        <v>3065512.0800000005</v>
      </c>
      <c r="V47" s="287">
        <f t="shared" si="6"/>
        <v>0</v>
      </c>
      <c r="W47" s="287"/>
      <c r="X47" s="286"/>
      <c r="Y47" s="286">
        <f t="shared" ref="Y47:AB47" si="21">SUM(Y13:Y44)</f>
        <v>21814</v>
      </c>
      <c r="Z47" s="286">
        <f t="shared" si="21"/>
        <v>2178</v>
      </c>
      <c r="AA47" s="286">
        <f t="shared" si="21"/>
        <v>173</v>
      </c>
      <c r="AB47" s="286">
        <f t="shared" si="21"/>
        <v>60</v>
      </c>
      <c r="AC47" s="286">
        <f>SUM(AC13:AC44)</f>
        <v>2823610.68</v>
      </c>
      <c r="AD47" s="286">
        <f t="shared" ref="AD47:AG47" si="22">SUM(AD13:AD44)</f>
        <v>377969.28000000014</v>
      </c>
      <c r="AE47" s="286">
        <f t="shared" si="22"/>
        <v>31306.320000000003</v>
      </c>
      <c r="AF47" s="286">
        <f t="shared" si="22"/>
        <v>15585.36</v>
      </c>
      <c r="AG47" s="286">
        <f t="shared" si="22"/>
        <v>3248471.6399999997</v>
      </c>
      <c r="AH47" s="286"/>
      <c r="AI47" s="286"/>
      <c r="AJ47" s="286">
        <f t="shared" ref="AJ47:AN47" si="23">SUM(AJ13:AJ44)</f>
        <v>15639768</v>
      </c>
      <c r="AK47" s="286">
        <f t="shared" si="23"/>
        <v>1999692</v>
      </c>
      <c r="AL47" s="286">
        <f t="shared" si="23"/>
        <v>185256</v>
      </c>
      <c r="AM47" s="286">
        <f t="shared" si="23"/>
        <v>116040</v>
      </c>
      <c r="AN47" s="286">
        <f t="shared" si="23"/>
        <v>17940756</v>
      </c>
    </row>
    <row r="48" spans="2:40" ht="16.5" thickTop="1" x14ac:dyDescent="0.25">
      <c r="E48" s="328"/>
      <c r="F48" s="170"/>
      <c r="G48" s="170"/>
      <c r="H48" s="170"/>
      <c r="I48" s="324"/>
      <c r="J48" s="44"/>
      <c r="K48" s="293"/>
      <c r="L48" s="287"/>
      <c r="M48" s="287"/>
      <c r="N48" s="293"/>
      <c r="O48" s="287"/>
      <c r="P48" s="288"/>
      <c r="Q48" s="287"/>
      <c r="R48" s="44"/>
      <c r="S48" s="293"/>
      <c r="T48" s="293"/>
      <c r="U48" s="287"/>
      <c r="W48" s="287"/>
      <c r="AC48" s="286"/>
      <c r="AD48" s="293"/>
      <c r="AE48" s="287"/>
    </row>
    <row r="49" spans="1:40" hidden="1" x14ac:dyDescent="0.25">
      <c r="C49" s="329" t="s">
        <v>28</v>
      </c>
      <c r="D49" s="330">
        <v>10</v>
      </c>
      <c r="E49" s="328"/>
      <c r="F49" s="170"/>
      <c r="G49" s="170"/>
      <c r="H49" s="246">
        <f>197038+60797</f>
        <v>257835</v>
      </c>
      <c r="I49" s="324"/>
      <c r="J49" s="125">
        <f t="shared" ref="J49:J57" si="24">H49/H$58</f>
        <v>0.9081703098913021</v>
      </c>
      <c r="K49" s="171">
        <v>0.80878284439178849</v>
      </c>
      <c r="L49" s="331">
        <f>K49*L$47</f>
        <v>2283214.933369346</v>
      </c>
      <c r="M49" s="287"/>
      <c r="N49" s="293"/>
      <c r="O49" s="287"/>
      <c r="P49" s="288"/>
      <c r="Q49" s="287"/>
      <c r="R49" s="44"/>
      <c r="S49" s="293"/>
      <c r="T49" s="293"/>
      <c r="U49" s="287"/>
      <c r="W49" s="287"/>
      <c r="X49" s="307"/>
      <c r="Y49" s="307">
        <f t="shared" ref="Y49:AB49" si="25">Y47/12</f>
        <v>1817.8333333333333</v>
      </c>
      <c r="Z49" s="307">
        <f t="shared" si="25"/>
        <v>181.5</v>
      </c>
      <c r="AA49" s="307">
        <f t="shared" si="25"/>
        <v>14.416666666666666</v>
      </c>
      <c r="AB49" s="307">
        <f t="shared" si="25"/>
        <v>5</v>
      </c>
      <c r="AC49" s="286">
        <f>AC47/12</f>
        <v>235300.89</v>
      </c>
      <c r="AD49" s="286">
        <f t="shared" ref="AD49:AG49" si="26">AD47/12</f>
        <v>31497.440000000013</v>
      </c>
      <c r="AE49" s="286">
        <f t="shared" si="26"/>
        <v>2608.86</v>
      </c>
      <c r="AF49" s="286">
        <f t="shared" si="26"/>
        <v>1298.78</v>
      </c>
      <c r="AG49" s="286">
        <f t="shared" si="26"/>
        <v>270705.96999999997</v>
      </c>
      <c r="AH49" s="286"/>
      <c r="AI49" s="286"/>
      <c r="AJ49" s="286">
        <f t="shared" ref="AJ49:AN49" si="27">AJ47/12</f>
        <v>1303314</v>
      </c>
      <c r="AK49" s="286">
        <f t="shared" si="27"/>
        <v>166641</v>
      </c>
      <c r="AL49" s="286">
        <f t="shared" si="27"/>
        <v>15438</v>
      </c>
      <c r="AM49" s="286">
        <f t="shared" si="27"/>
        <v>9670</v>
      </c>
      <c r="AN49" s="286">
        <f t="shared" si="27"/>
        <v>1495063</v>
      </c>
    </row>
    <row r="50" spans="1:40" hidden="1" x14ac:dyDescent="0.25">
      <c r="C50" s="329" t="s">
        <v>130</v>
      </c>
      <c r="D50" s="330">
        <v>11</v>
      </c>
      <c r="E50" s="328"/>
      <c r="F50" s="170"/>
      <c r="G50" s="170"/>
      <c r="H50" s="246"/>
      <c r="I50" s="324"/>
      <c r="J50" s="125">
        <f t="shared" si="24"/>
        <v>0</v>
      </c>
      <c r="K50" s="171">
        <v>0</v>
      </c>
      <c r="L50" s="331"/>
      <c r="M50" s="287"/>
      <c r="N50" s="293"/>
      <c r="O50" s="287"/>
      <c r="P50" s="288"/>
      <c r="Q50" s="287"/>
      <c r="R50" s="44"/>
      <c r="S50" s="293"/>
      <c r="T50" s="293"/>
      <c r="U50" s="287"/>
      <c r="W50" s="287"/>
      <c r="Z50" s="328"/>
      <c r="AB50" s="324"/>
      <c r="AC50" s="286"/>
      <c r="AD50" s="293"/>
      <c r="AE50" s="287"/>
    </row>
    <row r="51" spans="1:40" hidden="1" x14ac:dyDescent="0.25">
      <c r="C51" s="329" t="s">
        <v>131</v>
      </c>
      <c r="D51" s="330">
        <v>20</v>
      </c>
      <c r="E51" s="328"/>
      <c r="F51" s="170"/>
      <c r="G51" s="170"/>
      <c r="H51" s="246">
        <f>18595+4861</f>
        <v>23456</v>
      </c>
      <c r="I51" s="324"/>
      <c r="J51" s="125">
        <f t="shared" si="24"/>
        <v>8.2618894986368721E-2</v>
      </c>
      <c r="K51" s="171">
        <v>0.11823418887322273</v>
      </c>
      <c r="L51" s="331">
        <f t="shared" ref="L51:L57" si="28">K51*L$47</f>
        <v>333778.17981928342</v>
      </c>
      <c r="M51" s="287"/>
      <c r="N51" s="293"/>
      <c r="O51" s="287"/>
      <c r="P51" s="288"/>
      <c r="Q51" s="287"/>
      <c r="R51" s="44"/>
      <c r="S51" s="293"/>
      <c r="T51" s="293"/>
      <c r="U51" s="287"/>
      <c r="W51" s="287"/>
      <c r="Z51" s="328"/>
      <c r="AB51" s="324"/>
      <c r="AC51" s="286"/>
      <c r="AD51" s="293"/>
      <c r="AE51" s="287"/>
    </row>
    <row r="52" spans="1:40" hidden="1" x14ac:dyDescent="0.25">
      <c r="C52" s="329" t="s">
        <v>132</v>
      </c>
      <c r="D52" s="330">
        <v>22</v>
      </c>
      <c r="E52" s="328"/>
      <c r="F52" s="170"/>
      <c r="G52" s="170"/>
      <c r="H52" s="246"/>
      <c r="I52" s="324"/>
      <c r="J52" s="125">
        <f t="shared" si="24"/>
        <v>0</v>
      </c>
      <c r="K52" s="171">
        <v>0</v>
      </c>
      <c r="L52" s="331"/>
      <c r="M52" s="287"/>
      <c r="N52" s="293"/>
      <c r="O52" s="287"/>
      <c r="P52" s="288"/>
      <c r="Q52" s="287"/>
      <c r="R52" s="44"/>
      <c r="S52" s="293"/>
      <c r="T52" s="293"/>
      <c r="U52" s="287"/>
      <c r="W52" s="287"/>
      <c r="Z52" s="328"/>
      <c r="AB52" s="324"/>
      <c r="AC52" s="286"/>
      <c r="AD52" s="293"/>
      <c r="AE52" s="287"/>
    </row>
    <row r="53" spans="1:40" hidden="1" x14ac:dyDescent="0.25">
      <c r="C53" s="329" t="s">
        <v>133</v>
      </c>
      <c r="D53" s="330">
        <v>40</v>
      </c>
      <c r="E53" s="328"/>
      <c r="F53" s="170"/>
      <c r="G53" s="170"/>
      <c r="H53" s="246">
        <f>1550+345</f>
        <v>1895</v>
      </c>
      <c r="I53" s="324"/>
      <c r="J53" s="125">
        <f t="shared" si="24"/>
        <v>6.6747444576726097E-3</v>
      </c>
      <c r="K53" s="171">
        <v>1.4195409014554744E-2</v>
      </c>
      <c r="L53" s="331">
        <f t="shared" si="28"/>
        <v>40074.007593089707</v>
      </c>
      <c r="M53" s="287"/>
      <c r="N53" s="293"/>
      <c r="O53" s="287"/>
      <c r="P53" s="288"/>
      <c r="Q53" s="287"/>
      <c r="R53" s="44"/>
      <c r="S53" s="293"/>
      <c r="T53" s="293"/>
      <c r="U53" s="287"/>
      <c r="W53" s="287"/>
      <c r="Z53" s="328"/>
      <c r="AB53" s="324"/>
      <c r="AC53" s="286"/>
      <c r="AD53" s="293"/>
      <c r="AE53" s="287"/>
    </row>
    <row r="54" spans="1:40" hidden="1" x14ac:dyDescent="0.25">
      <c r="C54" s="329" t="s">
        <v>134</v>
      </c>
      <c r="D54" s="330">
        <v>46</v>
      </c>
      <c r="E54" s="328"/>
      <c r="F54" s="170"/>
      <c r="G54" s="170"/>
      <c r="H54" s="246">
        <f>(432+288)/2</f>
        <v>360</v>
      </c>
      <c r="I54" s="324"/>
      <c r="J54" s="125">
        <f t="shared" si="24"/>
        <v>1.2680253323283058E-3</v>
      </c>
      <c r="K54" s="171">
        <v>1.020596588089444E-3</v>
      </c>
      <c r="L54" s="331">
        <f t="shared" si="28"/>
        <v>2881.1706220400642</v>
      </c>
      <c r="M54" s="287"/>
      <c r="N54" s="293"/>
      <c r="O54" s="287"/>
      <c r="P54" s="288"/>
      <c r="Q54" s="287"/>
      <c r="R54" s="44"/>
      <c r="S54" s="293"/>
      <c r="T54" s="293"/>
      <c r="U54" s="287"/>
      <c r="W54" s="287"/>
      <c r="Z54" s="328"/>
      <c r="AB54" s="324"/>
      <c r="AC54" s="286"/>
      <c r="AD54" s="293"/>
      <c r="AE54" s="287"/>
    </row>
    <row r="55" spans="1:40" hidden="1" x14ac:dyDescent="0.25">
      <c r="C55" s="329" t="s">
        <v>135</v>
      </c>
      <c r="D55" s="330">
        <v>47</v>
      </c>
      <c r="E55" s="328"/>
      <c r="F55" s="170"/>
      <c r="G55" s="170"/>
      <c r="H55" s="246">
        <f>H54</f>
        <v>360</v>
      </c>
      <c r="I55" s="324"/>
      <c r="J55" s="125">
        <f t="shared" si="24"/>
        <v>1.2680253323283058E-3</v>
      </c>
      <c r="K55" s="171">
        <v>2.2549095015616488E-3</v>
      </c>
      <c r="L55" s="331">
        <f t="shared" si="28"/>
        <v>6365.6679701628163</v>
      </c>
      <c r="M55" s="287"/>
      <c r="N55" s="293"/>
      <c r="O55" s="287"/>
      <c r="P55" s="288"/>
      <c r="Q55" s="287"/>
      <c r="R55" s="44"/>
      <c r="S55" s="293"/>
      <c r="T55" s="293"/>
      <c r="U55" s="287"/>
      <c r="W55" s="287"/>
      <c r="Z55" s="328"/>
      <c r="AB55" s="324"/>
      <c r="AC55" s="286"/>
      <c r="AD55" s="293"/>
      <c r="AE55" s="287"/>
    </row>
    <row r="56" spans="1:40" hidden="1" x14ac:dyDescent="0.25">
      <c r="C56" s="329" t="s">
        <v>136</v>
      </c>
      <c r="D56" s="330">
        <v>50</v>
      </c>
      <c r="E56" s="328"/>
      <c r="F56" s="170"/>
      <c r="G56" s="170"/>
      <c r="H56" s="170"/>
      <c r="I56" s="324"/>
      <c r="J56" s="125">
        <f t="shared" si="24"/>
        <v>0</v>
      </c>
      <c r="K56" s="171">
        <v>5.2805139560594266E-2</v>
      </c>
      <c r="L56" s="331">
        <f t="shared" si="28"/>
        <v>149070.27768877504</v>
      </c>
      <c r="M56" s="287"/>
      <c r="N56" s="293"/>
      <c r="O56" s="287"/>
      <c r="P56" s="288"/>
      <c r="Q56" s="287"/>
      <c r="R56" s="44"/>
      <c r="S56" s="293"/>
      <c r="T56" s="293"/>
      <c r="U56" s="287"/>
      <c r="W56" s="287"/>
      <c r="Z56" s="328"/>
      <c r="AB56" s="324"/>
      <c r="AC56" s="286"/>
      <c r="AD56" s="293"/>
      <c r="AE56" s="287"/>
    </row>
    <row r="57" spans="1:40" hidden="1" x14ac:dyDescent="0.25">
      <c r="C57" s="329" t="s">
        <v>137</v>
      </c>
      <c r="D57" s="330">
        <v>52</v>
      </c>
      <c r="E57" s="328"/>
      <c r="F57" s="170"/>
      <c r="G57" s="170"/>
      <c r="H57" s="170"/>
      <c r="I57" s="324"/>
      <c r="J57" s="125">
        <f t="shared" si="24"/>
        <v>0</v>
      </c>
      <c r="K57" s="87">
        <v>2.7069120701885834E-3</v>
      </c>
      <c r="L57" s="331">
        <f t="shared" si="28"/>
        <v>7641.6829373032315</v>
      </c>
      <c r="M57" s="287"/>
      <c r="N57" s="293"/>
      <c r="O57" s="287"/>
      <c r="P57" s="288"/>
      <c r="Q57" s="287"/>
      <c r="R57" s="44"/>
      <c r="S57" s="293"/>
      <c r="T57" s="293"/>
      <c r="U57" s="287"/>
      <c r="W57" s="287"/>
      <c r="Z57" s="328"/>
      <c r="AB57" s="324"/>
      <c r="AC57" s="286"/>
      <c r="AD57" s="293"/>
      <c r="AE57" s="287"/>
    </row>
    <row r="58" spans="1:40" hidden="1" x14ac:dyDescent="0.25">
      <c r="H58" s="44">
        <f>SUM(H49:H57)</f>
        <v>283906</v>
      </c>
      <c r="J58" s="286"/>
      <c r="L58" s="287"/>
      <c r="M58" s="287"/>
      <c r="N58" s="287"/>
      <c r="O58" s="287"/>
      <c r="P58" s="288"/>
      <c r="Q58" s="287"/>
      <c r="R58" s="286"/>
      <c r="U58" s="287"/>
      <c r="W58" s="287"/>
      <c r="AC58" s="286"/>
      <c r="AE58" s="287"/>
    </row>
    <row r="59" spans="1:40" x14ac:dyDescent="0.25">
      <c r="J59" s="286"/>
      <c r="L59" s="287"/>
      <c r="M59" s="287"/>
      <c r="N59" s="287"/>
      <c r="O59" s="287"/>
      <c r="P59" s="288"/>
      <c r="Q59" s="287"/>
      <c r="R59" s="286"/>
      <c r="U59" s="287"/>
      <c r="W59" s="287"/>
      <c r="AC59" s="286"/>
      <c r="AE59" s="287"/>
    </row>
    <row r="60" spans="1:40" ht="16.5" thickBot="1" x14ac:dyDescent="0.3">
      <c r="A60" s="265" t="s">
        <v>80</v>
      </c>
      <c r="B60" s="265"/>
      <c r="C60" s="265"/>
      <c r="D60" s="265"/>
      <c r="H60" s="44">
        <f>'Billing Determ'!Q186</f>
        <v>17940756</v>
      </c>
      <c r="L60" s="61">
        <f>L69+L47</f>
        <v>2823025.9200000004</v>
      </c>
      <c r="M60" s="54"/>
      <c r="N60" s="54"/>
      <c r="O60" s="61">
        <f>O47</f>
        <v>3065512.0800000005</v>
      </c>
      <c r="P60" s="288"/>
      <c r="Q60" s="54"/>
      <c r="R60" s="265" t="s">
        <v>80</v>
      </c>
      <c r="U60" s="295">
        <f>U47</f>
        <v>3065512.0800000005</v>
      </c>
      <c r="W60" s="54"/>
      <c r="Y60" s="265"/>
      <c r="AE60" s="54"/>
    </row>
    <row r="61" spans="1:40" ht="16.5" thickTop="1" x14ac:dyDescent="0.25">
      <c r="A61" s="265"/>
      <c r="B61" s="265"/>
      <c r="C61" s="265"/>
      <c r="D61" s="265"/>
      <c r="L61" s="287"/>
      <c r="M61" s="287"/>
      <c r="N61" s="287"/>
      <c r="O61" s="287"/>
      <c r="P61" s="288"/>
      <c r="Q61" s="287"/>
      <c r="R61" s="265"/>
      <c r="U61" s="287"/>
      <c r="W61" s="287"/>
      <c r="Y61" s="265"/>
      <c r="AE61" s="287"/>
    </row>
    <row r="62" spans="1:40" x14ac:dyDescent="0.25">
      <c r="A62" s="265" t="s">
        <v>19</v>
      </c>
      <c r="B62" s="265"/>
      <c r="C62" s="265"/>
      <c r="D62" s="265"/>
      <c r="J62" s="45"/>
      <c r="L62" s="287">
        <f>'Billing Determ'!Q95</f>
        <v>3035655.2399999998</v>
      </c>
      <c r="M62" s="287"/>
      <c r="N62" s="287"/>
      <c r="O62" s="287"/>
      <c r="P62" s="288"/>
      <c r="Q62" s="287"/>
      <c r="R62" s="265" t="s">
        <v>109</v>
      </c>
      <c r="U62" s="86">
        <f>U60-O60</f>
        <v>0</v>
      </c>
      <c r="W62" s="48"/>
      <c r="Y62" s="265"/>
      <c r="AC62" s="48"/>
      <c r="AE62" s="48"/>
    </row>
    <row r="63" spans="1:40" x14ac:dyDescent="0.25">
      <c r="A63" s="296"/>
      <c r="B63" s="296"/>
      <c r="C63" s="296"/>
      <c r="D63" s="296"/>
      <c r="L63" s="296"/>
      <c r="M63" s="296"/>
      <c r="N63" s="296"/>
      <c r="O63" s="296"/>
      <c r="P63" s="288"/>
      <c r="Q63" s="296"/>
      <c r="U63" s="296"/>
      <c r="W63" s="287"/>
      <c r="Y63" s="296"/>
      <c r="AC63" s="287"/>
      <c r="AE63" s="287"/>
    </row>
    <row r="64" spans="1:40" x14ac:dyDescent="0.25">
      <c r="A64" s="265" t="s">
        <v>13</v>
      </c>
      <c r="B64" s="265"/>
      <c r="C64" s="265"/>
      <c r="D64" s="265"/>
      <c r="J64" s="48"/>
      <c r="L64" s="46">
        <f>L60-L62</f>
        <v>-212629.31999999937</v>
      </c>
      <c r="M64" s="46"/>
      <c r="N64" s="46"/>
      <c r="O64" s="46">
        <f>O60-L60</f>
        <v>242486.16000000015</v>
      </c>
      <c r="P64" s="288"/>
      <c r="Q64" s="46"/>
      <c r="R64" s="265" t="s">
        <v>110</v>
      </c>
      <c r="U64" s="299">
        <f>IF(O60=0,0,U62/O60)</f>
        <v>0</v>
      </c>
      <c r="W64" s="49"/>
      <c r="Y64" s="265"/>
      <c r="AC64" s="49"/>
      <c r="AE64" s="49"/>
    </row>
    <row r="65" spans="1:31" x14ac:dyDescent="0.25">
      <c r="A65" s="296"/>
      <c r="B65" s="296"/>
      <c r="C65" s="296"/>
      <c r="D65" s="296"/>
      <c r="J65" s="287"/>
      <c r="L65" s="287"/>
      <c r="M65" s="287"/>
      <c r="N65" s="287"/>
      <c r="O65" s="287"/>
      <c r="P65" s="288"/>
      <c r="Q65" s="287"/>
      <c r="U65" s="287"/>
    </row>
    <row r="66" spans="1:31" x14ac:dyDescent="0.25">
      <c r="A66" s="265" t="s">
        <v>26</v>
      </c>
      <c r="B66" s="265"/>
      <c r="C66" s="265"/>
      <c r="D66" s="265"/>
      <c r="J66" s="49"/>
      <c r="L66" s="49">
        <f>(L60-L62)/L62</f>
        <v>-7.0043961909192098E-2</v>
      </c>
      <c r="M66" s="49"/>
      <c r="N66" s="49"/>
      <c r="O66" s="47">
        <f>O64/L62</f>
        <v>7.9879347563855826E-2</v>
      </c>
      <c r="P66" s="288"/>
      <c r="Q66" s="49"/>
      <c r="R66" s="265" t="s">
        <v>91</v>
      </c>
      <c r="U66" s="90">
        <f>IF(R47=0,0,U62/R47)</f>
        <v>0</v>
      </c>
    </row>
    <row r="67" spans="1:31" x14ac:dyDescent="0.25">
      <c r="A67" s="287"/>
      <c r="B67" s="287"/>
      <c r="C67" s="287"/>
      <c r="D67" s="287"/>
      <c r="L67" s="287"/>
      <c r="M67" s="287"/>
      <c r="N67" s="287"/>
      <c r="O67" s="287"/>
      <c r="Q67" s="287"/>
      <c r="U67" s="287"/>
      <c r="W67" s="314"/>
      <c r="Y67" s="287"/>
      <c r="Z67" s="287"/>
      <c r="AA67" s="287"/>
      <c r="AE67" s="314"/>
    </row>
    <row r="68" spans="1:31" x14ac:dyDescent="0.25">
      <c r="L68" s="287"/>
      <c r="M68" s="287"/>
      <c r="N68" s="287"/>
      <c r="O68" s="287"/>
      <c r="P68" s="300"/>
      <c r="Q68" s="287"/>
      <c r="R68" s="44"/>
      <c r="S68" s="293"/>
      <c r="T68" s="293"/>
      <c r="U68" s="287"/>
      <c r="W68" s="287"/>
      <c r="Z68" s="328"/>
      <c r="AB68" s="324"/>
      <c r="AC68" s="286"/>
      <c r="AD68" s="293"/>
      <c r="AE68" s="287"/>
    </row>
    <row r="69" spans="1:31" x14ac:dyDescent="0.25">
      <c r="L69" s="287"/>
      <c r="M69" s="287"/>
      <c r="N69" s="287"/>
      <c r="O69" s="287"/>
      <c r="P69" s="300"/>
      <c r="Q69" s="287"/>
      <c r="R69" s="44"/>
      <c r="S69" s="293"/>
      <c r="T69" s="293"/>
      <c r="U69" s="287"/>
      <c r="W69" s="287"/>
      <c r="Z69" s="328"/>
      <c r="AB69" s="324"/>
      <c r="AC69" s="286"/>
      <c r="AD69" s="293"/>
      <c r="AE69" s="287"/>
    </row>
    <row r="70" spans="1:31" ht="15" customHeight="1" x14ac:dyDescent="0.25">
      <c r="L70" s="296"/>
      <c r="M70" s="296"/>
      <c r="N70" s="296"/>
      <c r="O70" s="296"/>
      <c r="Q70" s="296"/>
      <c r="U70" s="296"/>
      <c r="Y70" s="296"/>
      <c r="Z70" s="296"/>
      <c r="AA70" s="296"/>
    </row>
    <row r="71" spans="1:31" x14ac:dyDescent="0.25">
      <c r="L71" s="296"/>
      <c r="M71" s="296"/>
      <c r="N71" s="296"/>
      <c r="O71" s="296"/>
      <c r="Q71" s="296"/>
      <c r="U71" s="296"/>
      <c r="W71" s="307"/>
      <c r="Y71" s="287"/>
      <c r="Z71" s="287"/>
      <c r="AC71" s="302"/>
      <c r="AE71" s="307"/>
    </row>
    <row r="72" spans="1:31" x14ac:dyDescent="0.25">
      <c r="L72" s="296"/>
      <c r="M72" s="296"/>
      <c r="N72" s="296"/>
      <c r="O72" s="296"/>
      <c r="Q72" s="296"/>
      <c r="U72" s="296"/>
      <c r="Y72" s="296"/>
      <c r="Z72" s="296"/>
      <c r="AA72" s="302"/>
      <c r="AB72" s="302"/>
      <c r="AC72" s="302"/>
    </row>
    <row r="73" spans="1:31" x14ac:dyDescent="0.25">
      <c r="L73" s="296"/>
      <c r="M73" s="296"/>
      <c r="N73" s="296"/>
      <c r="O73" s="296"/>
      <c r="Q73" s="296"/>
      <c r="U73" s="296"/>
      <c r="Y73" s="46"/>
      <c r="Z73" s="46"/>
      <c r="AA73" s="304"/>
      <c r="AB73" s="305"/>
      <c r="AC73" s="45"/>
    </row>
    <row r="74" spans="1:31" x14ac:dyDescent="0.25">
      <c r="L74" s="296"/>
      <c r="M74" s="296"/>
      <c r="N74" s="296"/>
      <c r="O74" s="296"/>
      <c r="Q74" s="296"/>
      <c r="U74" s="296"/>
      <c r="Y74" s="287"/>
      <c r="Z74" s="287"/>
      <c r="AA74" s="304"/>
      <c r="AB74" s="305"/>
      <c r="AC74" s="45"/>
    </row>
    <row r="75" spans="1:31" x14ac:dyDescent="0.25">
      <c r="L75" s="296"/>
      <c r="M75" s="296"/>
      <c r="N75" s="296"/>
      <c r="O75" s="296"/>
      <c r="Q75" s="296"/>
      <c r="U75" s="296"/>
      <c r="Y75" s="47"/>
      <c r="Z75" s="47"/>
      <c r="AA75" s="304"/>
      <c r="AB75" s="305"/>
      <c r="AC75" s="45"/>
    </row>
    <row r="76" spans="1:31" x14ac:dyDescent="0.25">
      <c r="L76" s="296"/>
      <c r="M76" s="296"/>
      <c r="N76" s="296"/>
      <c r="O76" s="296"/>
      <c r="Q76" s="296"/>
      <c r="U76" s="296"/>
      <c r="AA76" s="304"/>
      <c r="AB76" s="305"/>
      <c r="AC76" s="45"/>
    </row>
    <row r="77" spans="1:31" x14ac:dyDescent="0.25">
      <c r="L77" s="296"/>
      <c r="M77" s="296"/>
      <c r="N77" s="296"/>
      <c r="O77" s="296"/>
      <c r="Q77" s="296"/>
      <c r="U77" s="296"/>
      <c r="AA77" s="304"/>
      <c r="AB77" s="305"/>
      <c r="AC77" s="45"/>
    </row>
    <row r="78" spans="1:31" x14ac:dyDescent="0.25">
      <c r="L78" s="296"/>
      <c r="M78" s="296"/>
      <c r="N78" s="296"/>
      <c r="O78" s="296"/>
      <c r="Q78" s="296"/>
      <c r="U78" s="296"/>
      <c r="AA78" s="304"/>
      <c r="AB78" s="305"/>
      <c r="AC78" s="45"/>
    </row>
    <row r="79" spans="1:31" x14ac:dyDescent="0.25">
      <c r="L79" s="296"/>
      <c r="M79" s="296"/>
      <c r="N79" s="296"/>
      <c r="O79" s="296"/>
      <c r="Q79" s="296"/>
      <c r="U79" s="296"/>
      <c r="AA79" s="304"/>
      <c r="AB79" s="305"/>
      <c r="AC79" s="45"/>
    </row>
    <row r="80" spans="1:31" x14ac:dyDescent="0.25">
      <c r="L80" s="296"/>
      <c r="M80" s="296"/>
      <c r="N80" s="296"/>
      <c r="O80" s="296"/>
      <c r="Q80" s="296"/>
      <c r="U80" s="296"/>
      <c r="AA80" s="304"/>
      <c r="AB80" s="305"/>
      <c r="AC80" s="45"/>
    </row>
    <row r="81" spans="5:29" x14ac:dyDescent="0.25">
      <c r="L81" s="296"/>
      <c r="M81" s="296"/>
      <c r="N81" s="296"/>
      <c r="O81" s="296"/>
      <c r="Q81" s="296"/>
      <c r="U81" s="296"/>
      <c r="AA81" s="304"/>
      <c r="AB81" s="305"/>
      <c r="AC81" s="45"/>
    </row>
    <row r="82" spans="5:29" x14ac:dyDescent="0.25">
      <c r="L82" s="296"/>
      <c r="M82" s="296"/>
      <c r="N82" s="296"/>
      <c r="O82" s="296"/>
      <c r="Q82" s="296"/>
      <c r="U82" s="296"/>
      <c r="AA82" s="304"/>
      <c r="AB82" s="305"/>
      <c r="AC82" s="45"/>
    </row>
    <row r="83" spans="5:29" x14ac:dyDescent="0.25">
      <c r="L83" s="296"/>
      <c r="M83" s="296"/>
      <c r="N83" s="296"/>
      <c r="O83" s="296"/>
      <c r="Q83" s="296"/>
      <c r="U83" s="296"/>
      <c r="AA83" s="304"/>
      <c r="AB83" s="305"/>
      <c r="AC83" s="45"/>
    </row>
    <row r="84" spans="5:29" x14ac:dyDescent="0.25">
      <c r="L84" s="296"/>
      <c r="M84" s="296"/>
      <c r="N84" s="296"/>
      <c r="O84" s="296"/>
      <c r="Q84" s="296"/>
      <c r="U84" s="296"/>
      <c r="AA84" s="304"/>
      <c r="AB84" s="305"/>
      <c r="AC84" s="45"/>
    </row>
    <row r="85" spans="5:29" x14ac:dyDescent="0.25">
      <c r="I85" s="332"/>
      <c r="J85" s="274"/>
      <c r="K85" s="45"/>
      <c r="L85" s="296"/>
      <c r="M85" s="296"/>
      <c r="N85" s="296"/>
      <c r="O85" s="296"/>
      <c r="Q85" s="296"/>
      <c r="R85" s="274"/>
      <c r="S85" s="45"/>
      <c r="T85" s="45"/>
      <c r="U85" s="296"/>
      <c r="AC85" s="45"/>
    </row>
    <row r="86" spans="5:29" x14ac:dyDescent="0.25">
      <c r="L86" s="296"/>
      <c r="M86" s="296"/>
      <c r="N86" s="296"/>
      <c r="O86" s="296"/>
      <c r="Q86" s="296"/>
      <c r="U86" s="296"/>
    </row>
    <row r="87" spans="5:29" x14ac:dyDescent="0.25">
      <c r="F87" s="45"/>
      <c r="G87" s="45"/>
      <c r="H87" s="45"/>
      <c r="I87" s="274"/>
      <c r="K87" s="302"/>
      <c r="L87" s="296"/>
      <c r="M87" s="296"/>
      <c r="N87" s="296"/>
      <c r="O87" s="296"/>
      <c r="Q87" s="296"/>
      <c r="S87" s="302"/>
      <c r="T87" s="302"/>
      <c r="U87" s="296"/>
      <c r="AC87" s="324"/>
    </row>
    <row r="88" spans="5:29" x14ac:dyDescent="0.25">
      <c r="E88" s="302"/>
      <c r="F88" s="64"/>
      <c r="G88" s="64"/>
      <c r="H88" s="64"/>
      <c r="I88" s="274"/>
      <c r="J88" s="274"/>
      <c r="K88" s="302"/>
      <c r="L88" s="296"/>
      <c r="M88" s="296"/>
      <c r="N88" s="296"/>
      <c r="O88" s="296"/>
      <c r="Q88" s="296"/>
      <c r="R88" s="274"/>
      <c r="S88" s="302"/>
      <c r="T88" s="302"/>
      <c r="U88" s="296"/>
    </row>
    <row r="89" spans="5:29" x14ac:dyDescent="0.25">
      <c r="E89" s="302"/>
      <c r="F89" s="64"/>
      <c r="G89" s="64"/>
      <c r="H89" s="64"/>
      <c r="I89" s="274"/>
      <c r="J89" s="274"/>
      <c r="K89" s="302"/>
      <c r="L89" s="296"/>
      <c r="M89" s="296"/>
      <c r="N89" s="296"/>
      <c r="O89" s="296"/>
      <c r="Q89" s="296"/>
      <c r="R89" s="274"/>
      <c r="S89" s="302"/>
      <c r="T89" s="302"/>
      <c r="U89" s="296"/>
    </row>
    <row r="90" spans="5:29" x14ac:dyDescent="0.25">
      <c r="E90" s="302"/>
      <c r="F90" s="64"/>
      <c r="G90" s="64"/>
      <c r="H90" s="64"/>
      <c r="I90" s="274"/>
      <c r="J90" s="274"/>
      <c r="K90" s="302"/>
      <c r="L90" s="296"/>
      <c r="M90" s="296"/>
      <c r="N90" s="296"/>
      <c r="O90" s="296"/>
      <c r="Q90" s="296"/>
      <c r="R90" s="274"/>
      <c r="S90" s="302"/>
      <c r="T90" s="302"/>
      <c r="U90" s="296"/>
    </row>
    <row r="91" spans="5:29" x14ac:dyDescent="0.25">
      <c r="E91" s="302"/>
      <c r="F91" s="64"/>
      <c r="G91" s="64"/>
      <c r="H91" s="64"/>
      <c r="I91" s="274"/>
      <c r="J91" s="274"/>
      <c r="K91" s="302"/>
      <c r="L91" s="296"/>
      <c r="M91" s="296"/>
      <c r="N91" s="296"/>
      <c r="O91" s="296"/>
      <c r="Q91" s="296"/>
      <c r="R91" s="274"/>
      <c r="S91" s="302"/>
      <c r="T91" s="302"/>
      <c r="U91" s="296"/>
    </row>
    <row r="92" spans="5:29" x14ac:dyDescent="0.25">
      <c r="E92" s="302"/>
      <c r="F92" s="64"/>
      <c r="G92" s="64"/>
      <c r="H92" s="64"/>
      <c r="I92" s="274"/>
      <c r="J92" s="274"/>
      <c r="K92" s="302"/>
      <c r="L92" s="296"/>
      <c r="M92" s="296"/>
      <c r="N92" s="296"/>
      <c r="O92" s="296"/>
      <c r="Q92" s="296"/>
      <c r="R92" s="274"/>
      <c r="S92" s="302"/>
      <c r="T92" s="302"/>
      <c r="U92" s="296"/>
    </row>
    <row r="93" spans="5:29" x14ac:dyDescent="0.25">
      <c r="E93" s="302"/>
      <c r="F93" s="64"/>
      <c r="G93" s="64"/>
      <c r="H93" s="64"/>
      <c r="I93" s="274"/>
      <c r="J93" s="274"/>
      <c r="K93" s="302"/>
      <c r="L93" s="296"/>
      <c r="M93" s="296"/>
      <c r="N93" s="296"/>
      <c r="O93" s="296"/>
      <c r="Q93" s="296"/>
      <c r="R93" s="274"/>
      <c r="S93" s="302"/>
      <c r="T93" s="302"/>
      <c r="U93" s="296"/>
    </row>
    <row r="94" spans="5:29" x14ac:dyDescent="0.25">
      <c r="E94" s="302"/>
      <c r="F94" s="64"/>
      <c r="G94" s="64"/>
      <c r="H94" s="64"/>
      <c r="I94" s="274"/>
      <c r="J94" s="274"/>
      <c r="K94" s="302"/>
      <c r="L94" s="296"/>
      <c r="M94" s="296"/>
      <c r="N94" s="296"/>
      <c r="O94" s="296"/>
      <c r="Q94" s="296"/>
      <c r="R94" s="274"/>
      <c r="S94" s="302"/>
      <c r="T94" s="302"/>
      <c r="U94" s="296"/>
    </row>
    <row r="95" spans="5:29" x14ac:dyDescent="0.25">
      <c r="E95" s="302"/>
      <c r="F95" s="64"/>
      <c r="G95" s="64"/>
      <c r="H95" s="64"/>
      <c r="I95" s="274"/>
      <c r="J95" s="274"/>
      <c r="K95" s="302"/>
      <c r="L95" s="296"/>
      <c r="M95" s="296"/>
      <c r="N95" s="296"/>
      <c r="O95" s="296"/>
      <c r="Q95" s="296"/>
      <c r="R95" s="274"/>
      <c r="S95" s="302"/>
      <c r="T95" s="302"/>
      <c r="U95" s="296"/>
    </row>
    <row r="96" spans="5:29" x14ac:dyDescent="0.25">
      <c r="E96" s="302"/>
      <c r="F96" s="64"/>
      <c r="G96" s="64"/>
      <c r="H96" s="64"/>
      <c r="I96" s="274"/>
      <c r="J96" s="274"/>
      <c r="K96" s="302"/>
      <c r="L96" s="296"/>
      <c r="M96" s="296"/>
      <c r="N96" s="296"/>
      <c r="O96" s="296"/>
      <c r="Q96" s="296"/>
      <c r="R96" s="274"/>
      <c r="S96" s="302"/>
      <c r="T96" s="302"/>
      <c r="U96" s="296"/>
    </row>
    <row r="97" spans="5:21" x14ac:dyDescent="0.25">
      <c r="E97" s="302"/>
      <c r="F97" s="64"/>
      <c r="G97" s="64"/>
      <c r="H97" s="64"/>
      <c r="I97" s="274"/>
      <c r="J97" s="274"/>
      <c r="K97" s="302"/>
      <c r="L97" s="296"/>
      <c r="M97" s="296"/>
      <c r="N97" s="296"/>
      <c r="O97" s="296"/>
      <c r="Q97" s="296"/>
      <c r="R97" s="274"/>
      <c r="S97" s="302"/>
      <c r="T97" s="302"/>
      <c r="U97" s="296"/>
    </row>
    <row r="98" spans="5:21" x14ac:dyDescent="0.25">
      <c r="E98" s="302"/>
      <c r="F98" s="64"/>
      <c r="G98" s="64"/>
      <c r="H98" s="64"/>
      <c r="I98" s="274"/>
      <c r="J98" s="274"/>
      <c r="K98" s="302"/>
      <c r="L98" s="296"/>
      <c r="M98" s="296"/>
      <c r="N98" s="296"/>
      <c r="O98" s="296"/>
      <c r="Q98" s="296"/>
      <c r="R98" s="274"/>
      <c r="S98" s="302"/>
      <c r="T98" s="302"/>
      <c r="U98" s="296"/>
    </row>
    <row r="99" spans="5:21" x14ac:dyDescent="0.25">
      <c r="E99" s="302"/>
      <c r="F99" s="64"/>
      <c r="G99" s="64"/>
      <c r="H99" s="64"/>
      <c r="I99" s="274"/>
      <c r="J99" s="274"/>
      <c r="K99" s="302"/>
      <c r="L99" s="296"/>
      <c r="M99" s="296"/>
      <c r="N99" s="296"/>
      <c r="O99" s="296"/>
      <c r="Q99" s="296"/>
      <c r="R99" s="274"/>
      <c r="S99" s="302"/>
      <c r="T99" s="302"/>
      <c r="U99" s="296"/>
    </row>
    <row r="100" spans="5:21" x14ac:dyDescent="0.25">
      <c r="E100" s="302"/>
      <c r="F100" s="64"/>
      <c r="G100" s="64"/>
      <c r="H100" s="64"/>
      <c r="I100" s="274"/>
      <c r="J100" s="274"/>
      <c r="K100" s="302"/>
      <c r="L100" s="296"/>
      <c r="M100" s="296"/>
      <c r="N100" s="296"/>
      <c r="O100" s="296"/>
      <c r="Q100" s="296"/>
      <c r="R100" s="274"/>
      <c r="S100" s="302"/>
      <c r="T100" s="302"/>
      <c r="U100" s="296"/>
    </row>
    <row r="101" spans="5:21" x14ac:dyDescent="0.25">
      <c r="E101" s="302"/>
      <c r="F101" s="64"/>
      <c r="G101" s="64"/>
      <c r="H101" s="64"/>
      <c r="I101" s="274"/>
      <c r="J101" s="274"/>
      <c r="K101" s="302"/>
      <c r="L101" s="296"/>
      <c r="M101" s="296"/>
      <c r="N101" s="296"/>
      <c r="O101" s="296"/>
      <c r="Q101" s="296"/>
      <c r="R101" s="274"/>
      <c r="S101" s="302"/>
      <c r="T101" s="302"/>
      <c r="U101" s="296"/>
    </row>
    <row r="102" spans="5:21" x14ac:dyDescent="0.25">
      <c r="E102" s="302"/>
      <c r="F102" s="64"/>
      <c r="G102" s="64"/>
      <c r="H102" s="64"/>
      <c r="I102" s="274"/>
      <c r="J102" s="274"/>
      <c r="K102" s="302"/>
      <c r="L102" s="296"/>
      <c r="M102" s="296"/>
      <c r="N102" s="296"/>
      <c r="O102" s="296"/>
      <c r="Q102" s="296"/>
      <c r="R102" s="274"/>
      <c r="S102" s="302"/>
      <c r="T102" s="302"/>
      <c r="U102" s="296"/>
    </row>
    <row r="103" spans="5:21" x14ac:dyDescent="0.25">
      <c r="E103" s="302"/>
      <c r="F103" s="64"/>
      <c r="G103" s="64"/>
      <c r="H103" s="64"/>
      <c r="I103" s="274"/>
      <c r="J103" s="274"/>
      <c r="K103" s="302"/>
      <c r="L103" s="296"/>
      <c r="M103" s="296"/>
      <c r="N103" s="296"/>
      <c r="O103" s="296"/>
      <c r="Q103" s="296"/>
      <c r="R103" s="274"/>
      <c r="S103" s="302"/>
      <c r="T103" s="302"/>
      <c r="U103" s="296"/>
    </row>
    <row r="104" spans="5:21" x14ac:dyDescent="0.25">
      <c r="E104" s="302"/>
      <c r="F104" s="64"/>
      <c r="G104" s="64"/>
      <c r="H104" s="64"/>
      <c r="I104" s="274"/>
      <c r="J104" s="274"/>
      <c r="K104" s="302"/>
      <c r="L104" s="296"/>
      <c r="M104" s="296"/>
      <c r="N104" s="296"/>
      <c r="O104" s="296"/>
      <c r="Q104" s="296"/>
      <c r="R104" s="274"/>
      <c r="S104" s="302"/>
      <c r="T104" s="302"/>
      <c r="U104" s="296"/>
    </row>
    <row r="105" spans="5:21" x14ac:dyDescent="0.25">
      <c r="E105" s="302"/>
      <c r="F105" s="64"/>
      <c r="G105" s="64"/>
      <c r="H105" s="64"/>
      <c r="I105" s="274"/>
      <c r="J105" s="274"/>
      <c r="K105" s="302"/>
      <c r="L105" s="296"/>
      <c r="M105" s="296"/>
      <c r="N105" s="296"/>
      <c r="O105" s="296"/>
      <c r="Q105" s="296"/>
      <c r="R105" s="274"/>
      <c r="S105" s="302"/>
      <c r="T105" s="302"/>
      <c r="U105" s="296"/>
    </row>
    <row r="106" spans="5:21" x14ac:dyDescent="0.25">
      <c r="E106" s="302"/>
      <c r="F106" s="64"/>
      <c r="G106" s="64"/>
      <c r="H106" s="64"/>
      <c r="I106" s="274"/>
      <c r="J106" s="274"/>
      <c r="K106" s="302"/>
      <c r="L106" s="296"/>
      <c r="M106" s="296"/>
      <c r="N106" s="296"/>
      <c r="O106" s="296"/>
      <c r="Q106" s="296"/>
      <c r="R106" s="274"/>
      <c r="S106" s="302"/>
      <c r="T106" s="302"/>
      <c r="U106" s="296"/>
    </row>
    <row r="107" spans="5:21" x14ac:dyDescent="0.25">
      <c r="E107" s="302"/>
      <c r="F107" s="64"/>
      <c r="G107" s="64"/>
      <c r="H107" s="64"/>
      <c r="I107" s="274"/>
      <c r="J107" s="274"/>
      <c r="K107" s="302"/>
      <c r="L107" s="296"/>
      <c r="M107" s="296"/>
      <c r="N107" s="296"/>
      <c r="O107" s="296"/>
      <c r="Q107" s="296"/>
      <c r="R107" s="274"/>
      <c r="S107" s="302"/>
      <c r="T107" s="302"/>
      <c r="U107" s="296"/>
    </row>
    <row r="108" spans="5:21" x14ac:dyDescent="0.25">
      <c r="E108" s="302"/>
      <c r="F108" s="64"/>
      <c r="G108" s="64"/>
      <c r="H108" s="64"/>
      <c r="I108" s="274"/>
      <c r="J108" s="274"/>
      <c r="K108" s="302"/>
      <c r="L108" s="304"/>
      <c r="M108" s="304"/>
      <c r="N108" s="304"/>
      <c r="O108" s="304"/>
      <c r="Q108" s="304"/>
      <c r="R108" s="274"/>
      <c r="S108" s="302"/>
      <c r="T108" s="302"/>
      <c r="U108" s="304"/>
    </row>
    <row r="109" spans="5:21" x14ac:dyDescent="0.25">
      <c r="E109" s="302"/>
      <c r="F109" s="64"/>
      <c r="G109" s="64"/>
      <c r="H109" s="64"/>
      <c r="I109" s="274"/>
      <c r="J109" s="274"/>
      <c r="K109" s="302"/>
      <c r="L109" s="304"/>
      <c r="M109" s="304"/>
      <c r="N109" s="304"/>
      <c r="O109" s="304"/>
      <c r="Q109" s="304"/>
      <c r="R109" s="274"/>
      <c r="S109" s="302"/>
      <c r="T109" s="302"/>
      <c r="U109" s="304"/>
    </row>
    <row r="110" spans="5:21" x14ac:dyDescent="0.25">
      <c r="E110" s="302"/>
      <c r="F110" s="64"/>
      <c r="G110" s="64"/>
      <c r="H110" s="64"/>
      <c r="I110" s="274"/>
      <c r="J110" s="274"/>
      <c r="K110" s="302"/>
      <c r="L110" s="304"/>
      <c r="M110" s="304"/>
      <c r="N110" s="304"/>
      <c r="O110" s="304"/>
      <c r="Q110" s="304"/>
      <c r="R110" s="274"/>
      <c r="S110" s="302"/>
      <c r="T110" s="302"/>
      <c r="U110" s="304"/>
    </row>
    <row r="111" spans="5:21" x14ac:dyDescent="0.25">
      <c r="E111" s="302"/>
      <c r="F111" s="64"/>
      <c r="G111" s="64"/>
      <c r="H111" s="64"/>
      <c r="I111" s="274"/>
      <c r="J111" s="274"/>
      <c r="K111" s="302"/>
      <c r="L111" s="304"/>
      <c r="M111" s="304"/>
      <c r="N111" s="304"/>
      <c r="O111" s="304"/>
      <c r="Q111" s="304"/>
      <c r="R111" s="274"/>
      <c r="S111" s="302"/>
      <c r="T111" s="302"/>
      <c r="U111" s="304"/>
    </row>
    <row r="112" spans="5:21" x14ac:dyDescent="0.25">
      <c r="E112" s="302"/>
      <c r="F112" s="64"/>
      <c r="G112" s="64"/>
      <c r="H112" s="64"/>
      <c r="I112" s="274"/>
      <c r="J112" s="274"/>
      <c r="K112" s="302"/>
      <c r="L112" s="304"/>
      <c r="M112" s="304"/>
      <c r="N112" s="304"/>
      <c r="O112" s="304"/>
      <c r="Q112" s="304"/>
      <c r="R112" s="274"/>
      <c r="S112" s="302"/>
      <c r="T112" s="302"/>
      <c r="U112" s="304"/>
    </row>
    <row r="113" spans="5:21" x14ac:dyDescent="0.25">
      <c r="E113" s="302"/>
      <c r="F113" s="64"/>
      <c r="G113" s="64"/>
      <c r="H113" s="64"/>
      <c r="I113" s="274"/>
      <c r="J113" s="274"/>
      <c r="K113" s="302"/>
      <c r="L113" s="304"/>
      <c r="M113" s="304"/>
      <c r="N113" s="304"/>
      <c r="O113" s="304"/>
      <c r="Q113" s="304"/>
      <c r="R113" s="274"/>
      <c r="S113" s="302"/>
      <c r="T113" s="302"/>
      <c r="U113" s="304"/>
    </row>
    <row r="114" spans="5:21" x14ac:dyDescent="0.25">
      <c r="E114" s="302"/>
      <c r="F114" s="64"/>
      <c r="G114" s="64"/>
      <c r="H114" s="64"/>
      <c r="I114" s="274"/>
      <c r="J114" s="274"/>
      <c r="K114" s="302"/>
      <c r="L114" s="304"/>
      <c r="M114" s="304"/>
      <c r="N114" s="304"/>
      <c r="O114" s="304"/>
      <c r="Q114" s="304"/>
      <c r="R114" s="274"/>
      <c r="S114" s="302"/>
      <c r="T114" s="302"/>
      <c r="U114" s="304"/>
    </row>
    <row r="115" spans="5:21" x14ac:dyDescent="0.25">
      <c r="E115" s="302"/>
      <c r="F115" s="64"/>
      <c r="G115" s="64"/>
      <c r="H115" s="64"/>
      <c r="I115" s="274"/>
      <c r="J115" s="274"/>
      <c r="K115" s="302"/>
      <c r="L115" s="304"/>
      <c r="M115" s="304"/>
      <c r="N115" s="304"/>
      <c r="O115" s="304"/>
      <c r="Q115" s="304"/>
      <c r="R115" s="274"/>
      <c r="S115" s="302"/>
      <c r="T115" s="302"/>
      <c r="U115" s="304"/>
    </row>
    <row r="116" spans="5:21" x14ac:dyDescent="0.25">
      <c r="E116" s="302"/>
      <c r="F116" s="64"/>
      <c r="G116" s="64"/>
      <c r="H116" s="64"/>
      <c r="I116" s="274"/>
      <c r="J116" s="274"/>
      <c r="K116" s="302"/>
      <c r="L116" s="304"/>
      <c r="M116" s="304"/>
      <c r="N116" s="304"/>
      <c r="O116" s="304"/>
      <c r="Q116" s="304"/>
      <c r="R116" s="274"/>
      <c r="S116" s="302"/>
      <c r="T116" s="302"/>
      <c r="U116" s="304"/>
    </row>
    <row r="117" spans="5:21" x14ac:dyDescent="0.25">
      <c r="E117" s="302"/>
      <c r="F117" s="64"/>
      <c r="G117" s="64"/>
      <c r="H117" s="64"/>
      <c r="I117" s="274"/>
      <c r="J117" s="274"/>
      <c r="K117" s="302"/>
      <c r="L117" s="304"/>
      <c r="M117" s="304"/>
      <c r="N117" s="304"/>
      <c r="O117" s="304"/>
      <c r="Q117" s="304"/>
      <c r="R117" s="274"/>
      <c r="S117" s="302"/>
      <c r="T117" s="302"/>
      <c r="U117" s="304"/>
    </row>
    <row r="118" spans="5:21" x14ac:dyDescent="0.25">
      <c r="E118" s="302"/>
      <c r="F118" s="64"/>
      <c r="G118" s="64"/>
      <c r="H118" s="64"/>
      <c r="I118" s="274"/>
      <c r="J118" s="274"/>
      <c r="K118" s="302"/>
      <c r="L118" s="304"/>
      <c r="M118" s="304"/>
      <c r="N118" s="304"/>
      <c r="O118" s="304"/>
      <c r="Q118" s="304"/>
      <c r="R118" s="274"/>
      <c r="S118" s="302"/>
      <c r="T118" s="302"/>
      <c r="U118" s="304"/>
    </row>
    <row r="119" spans="5:21" x14ac:dyDescent="0.25">
      <c r="E119" s="302"/>
      <c r="F119" s="64"/>
      <c r="G119" s="64"/>
      <c r="H119" s="64"/>
      <c r="I119" s="274"/>
      <c r="J119" s="274"/>
      <c r="K119" s="302"/>
      <c r="L119" s="304"/>
      <c r="M119" s="304"/>
      <c r="N119" s="304"/>
      <c r="O119" s="304"/>
      <c r="Q119" s="304"/>
      <c r="R119" s="274"/>
      <c r="S119" s="302"/>
      <c r="T119" s="302"/>
      <c r="U119" s="304"/>
    </row>
    <row r="120" spans="5:21" x14ac:dyDescent="0.25">
      <c r="E120" s="302"/>
      <c r="F120" s="64"/>
      <c r="G120" s="64"/>
      <c r="H120" s="64"/>
      <c r="I120" s="274"/>
      <c r="J120" s="274"/>
      <c r="K120" s="302"/>
      <c r="L120" s="304"/>
      <c r="M120" s="304"/>
      <c r="N120" s="304"/>
      <c r="O120" s="304"/>
      <c r="Q120" s="304"/>
      <c r="R120" s="274"/>
      <c r="S120" s="302"/>
      <c r="T120" s="302"/>
      <c r="U120" s="304"/>
    </row>
    <row r="121" spans="5:21" x14ac:dyDescent="0.25">
      <c r="E121" s="302"/>
      <c r="F121" s="64"/>
      <c r="G121" s="64"/>
      <c r="H121" s="64"/>
      <c r="I121" s="274"/>
      <c r="J121" s="274"/>
      <c r="K121" s="302"/>
      <c r="L121" s="304"/>
      <c r="M121" s="304"/>
      <c r="N121" s="304"/>
      <c r="O121" s="304"/>
      <c r="Q121" s="304"/>
      <c r="R121" s="274"/>
      <c r="S121" s="302"/>
      <c r="T121" s="302"/>
      <c r="U121" s="304"/>
    </row>
    <row r="122" spans="5:21" x14ac:dyDescent="0.25">
      <c r="E122" s="302"/>
      <c r="F122" s="64"/>
      <c r="G122" s="64"/>
      <c r="H122" s="64"/>
      <c r="I122" s="274"/>
      <c r="J122" s="274"/>
      <c r="K122" s="302"/>
      <c r="L122" s="304"/>
      <c r="M122" s="304"/>
      <c r="N122" s="304"/>
      <c r="O122" s="304"/>
      <c r="Q122" s="304"/>
      <c r="R122" s="274"/>
      <c r="S122" s="302"/>
      <c r="T122" s="302"/>
      <c r="U122" s="304"/>
    </row>
    <row r="123" spans="5:21" x14ac:dyDescent="0.25">
      <c r="E123" s="302"/>
      <c r="F123" s="64"/>
      <c r="G123" s="64"/>
      <c r="H123" s="64"/>
      <c r="I123" s="274"/>
      <c r="J123" s="274"/>
      <c r="K123" s="302"/>
      <c r="L123" s="304"/>
      <c r="M123" s="304"/>
      <c r="N123" s="304"/>
      <c r="O123" s="304"/>
      <c r="Q123" s="304"/>
      <c r="R123" s="274"/>
      <c r="S123" s="302"/>
      <c r="T123" s="302"/>
      <c r="U123" s="304"/>
    </row>
    <row r="124" spans="5:21" x14ac:dyDescent="0.25">
      <c r="E124" s="302"/>
      <c r="F124" s="64"/>
      <c r="G124" s="64"/>
      <c r="H124" s="64"/>
      <c r="I124" s="274"/>
      <c r="J124" s="274"/>
      <c r="K124" s="302"/>
      <c r="L124" s="304"/>
      <c r="M124" s="304"/>
      <c r="N124" s="304"/>
      <c r="O124" s="304"/>
      <c r="Q124" s="304"/>
      <c r="R124" s="274"/>
      <c r="S124" s="302"/>
      <c r="T124" s="302"/>
      <c r="U124" s="304"/>
    </row>
    <row r="125" spans="5:21" x14ac:dyDescent="0.25">
      <c r="E125" s="302"/>
      <c r="F125" s="64"/>
      <c r="G125" s="64"/>
      <c r="H125" s="64"/>
      <c r="I125" s="274"/>
      <c r="J125" s="274"/>
      <c r="K125" s="302"/>
      <c r="L125" s="304"/>
      <c r="M125" s="304"/>
      <c r="N125" s="304"/>
      <c r="O125" s="304"/>
      <c r="Q125" s="304"/>
      <c r="R125" s="274"/>
      <c r="S125" s="302"/>
      <c r="T125" s="302"/>
      <c r="U125" s="304"/>
    </row>
    <row r="126" spans="5:21" x14ac:dyDescent="0.25">
      <c r="E126" s="302"/>
      <c r="F126" s="64"/>
      <c r="G126" s="64"/>
      <c r="H126" s="64"/>
      <c r="I126" s="274"/>
      <c r="J126" s="274"/>
      <c r="K126" s="302"/>
      <c r="L126" s="304"/>
      <c r="M126" s="304"/>
      <c r="N126" s="304"/>
      <c r="O126" s="304"/>
      <c r="Q126" s="304"/>
      <c r="R126" s="274"/>
      <c r="S126" s="302"/>
      <c r="T126" s="302"/>
      <c r="U126" s="304"/>
    </row>
    <row r="127" spans="5:21" x14ac:dyDescent="0.25">
      <c r="F127" s="45"/>
      <c r="G127" s="45"/>
      <c r="H127" s="45"/>
      <c r="I127" s="45"/>
      <c r="J127" s="45"/>
      <c r="K127" s="45"/>
      <c r="L127" s="304"/>
      <c r="M127" s="304"/>
      <c r="N127" s="304"/>
      <c r="O127" s="304"/>
      <c r="Q127" s="304"/>
      <c r="R127" s="45"/>
      <c r="S127" s="45"/>
      <c r="T127" s="45"/>
      <c r="U127" s="304"/>
    </row>
    <row r="128" spans="5:21" x14ac:dyDescent="0.25">
      <c r="F128" s="45"/>
      <c r="G128" s="45"/>
      <c r="H128" s="45"/>
      <c r="I128" s="45"/>
      <c r="J128" s="45"/>
      <c r="K128" s="45"/>
      <c r="L128" s="304"/>
      <c r="M128" s="304"/>
      <c r="N128" s="304"/>
      <c r="O128" s="304"/>
      <c r="Q128" s="304"/>
      <c r="R128" s="45"/>
      <c r="S128" s="45"/>
      <c r="T128" s="45"/>
      <c r="U128" s="304"/>
    </row>
    <row r="129" spans="6:21" x14ac:dyDescent="0.25">
      <c r="F129" s="45"/>
      <c r="G129" s="45"/>
      <c r="H129" s="45"/>
      <c r="I129" s="45"/>
      <c r="J129" s="45"/>
      <c r="K129" s="45"/>
      <c r="L129" s="304"/>
      <c r="M129" s="304"/>
      <c r="N129" s="304"/>
      <c r="O129" s="304"/>
      <c r="Q129" s="304"/>
      <c r="R129" s="45"/>
      <c r="S129" s="45"/>
      <c r="T129" s="45"/>
      <c r="U129" s="304"/>
    </row>
    <row r="130" spans="6:21" x14ac:dyDescent="0.25">
      <c r="F130" s="45"/>
      <c r="G130" s="45"/>
      <c r="H130" s="45"/>
      <c r="L130" s="314"/>
      <c r="M130" s="314"/>
      <c r="N130" s="314"/>
      <c r="O130" s="314"/>
      <c r="Q130" s="314"/>
      <c r="U130" s="314"/>
    </row>
    <row r="131" spans="6:21" x14ac:dyDescent="0.25">
      <c r="F131" s="45"/>
      <c r="G131" s="45"/>
      <c r="H131" s="45"/>
      <c r="I131" s="45"/>
      <c r="J131" s="45"/>
      <c r="K131" s="45"/>
      <c r="R131" s="45"/>
      <c r="S131" s="45"/>
      <c r="T131" s="45"/>
    </row>
    <row r="132" spans="6:21" x14ac:dyDescent="0.25">
      <c r="F132" s="45"/>
      <c r="G132" s="45"/>
      <c r="H132" s="45"/>
      <c r="I132" s="45"/>
      <c r="J132" s="45"/>
      <c r="K132" s="45"/>
      <c r="L132" s="302"/>
      <c r="M132" s="302"/>
      <c r="N132" s="302"/>
      <c r="O132" s="302"/>
      <c r="Q132" s="302"/>
      <c r="R132" s="45"/>
      <c r="S132" s="45"/>
      <c r="T132" s="45"/>
      <c r="U132" s="302"/>
    </row>
    <row r="133" spans="6:21" x14ac:dyDescent="0.25">
      <c r="F133" s="45"/>
      <c r="G133" s="45"/>
      <c r="H133" s="45"/>
      <c r="I133" s="45"/>
      <c r="J133" s="45"/>
      <c r="K133" s="45"/>
      <c r="L133" s="304"/>
      <c r="M133" s="304"/>
      <c r="N133" s="304"/>
      <c r="O133" s="304"/>
      <c r="Q133" s="304"/>
      <c r="R133" s="45"/>
      <c r="S133" s="45"/>
      <c r="T133" s="45"/>
      <c r="U133" s="304"/>
    </row>
    <row r="134" spans="6:21" x14ac:dyDescent="0.25">
      <c r="F134" s="45"/>
      <c r="G134" s="45"/>
      <c r="H134" s="45"/>
      <c r="I134" s="45"/>
      <c r="J134" s="45"/>
      <c r="K134" s="45"/>
      <c r="L134" s="304"/>
      <c r="M134" s="304"/>
      <c r="N134" s="304"/>
      <c r="O134" s="304"/>
      <c r="Q134" s="304"/>
      <c r="R134" s="45"/>
      <c r="S134" s="45"/>
      <c r="T134" s="45"/>
      <c r="U134" s="304"/>
    </row>
    <row r="135" spans="6:21" x14ac:dyDescent="0.25">
      <c r="F135" s="45"/>
      <c r="G135" s="45"/>
      <c r="H135" s="45"/>
      <c r="I135" s="45"/>
      <c r="J135" s="45"/>
      <c r="K135" s="45"/>
      <c r="L135" s="304"/>
      <c r="M135" s="304"/>
      <c r="N135" s="304"/>
      <c r="O135" s="304"/>
      <c r="Q135" s="304"/>
      <c r="R135" s="45"/>
      <c r="S135" s="45"/>
      <c r="T135" s="45"/>
      <c r="U135" s="304"/>
    </row>
    <row r="136" spans="6:21" x14ac:dyDescent="0.25">
      <c r="F136" s="45"/>
      <c r="G136" s="45"/>
      <c r="H136" s="45"/>
      <c r="I136" s="324"/>
      <c r="J136" s="324"/>
      <c r="K136" s="324"/>
      <c r="L136" s="304"/>
      <c r="M136" s="304"/>
      <c r="N136" s="304"/>
      <c r="O136" s="304"/>
      <c r="Q136" s="304"/>
      <c r="R136" s="324"/>
      <c r="S136" s="324"/>
      <c r="T136" s="324"/>
      <c r="U136" s="304"/>
    </row>
    <row r="137" spans="6:21" x14ac:dyDescent="0.25">
      <c r="F137" s="45"/>
      <c r="G137" s="45"/>
      <c r="H137" s="45"/>
      <c r="L137" s="304"/>
      <c r="M137" s="304"/>
      <c r="N137" s="304"/>
      <c r="O137" s="304"/>
      <c r="Q137" s="304"/>
      <c r="U137" s="304"/>
    </row>
    <row r="138" spans="6:21" x14ac:dyDescent="0.25">
      <c r="F138" s="45"/>
      <c r="G138" s="45"/>
      <c r="H138" s="45"/>
      <c r="J138" s="324"/>
      <c r="L138" s="304"/>
      <c r="M138" s="304"/>
      <c r="N138" s="304"/>
      <c r="O138" s="304"/>
      <c r="Q138" s="304"/>
      <c r="R138" s="324"/>
      <c r="U138" s="304"/>
    </row>
    <row r="139" spans="6:21" x14ac:dyDescent="0.25">
      <c r="L139" s="304"/>
      <c r="M139" s="304"/>
      <c r="N139" s="304"/>
      <c r="O139" s="304"/>
      <c r="Q139" s="304"/>
      <c r="U139" s="304"/>
    </row>
    <row r="140" spans="6:21" x14ac:dyDescent="0.25">
      <c r="L140" s="304"/>
      <c r="M140" s="304"/>
      <c r="N140" s="304"/>
      <c r="O140" s="304"/>
      <c r="Q140" s="304"/>
      <c r="U140" s="304"/>
    </row>
    <row r="141" spans="6:21" x14ac:dyDescent="0.25">
      <c r="L141" s="304"/>
      <c r="M141" s="304"/>
      <c r="N141" s="304"/>
      <c r="O141" s="304"/>
      <c r="Q141" s="304"/>
      <c r="U141" s="304"/>
    </row>
    <row r="142" spans="6:21" x14ac:dyDescent="0.25">
      <c r="L142" s="304"/>
      <c r="M142" s="304"/>
      <c r="N142" s="304"/>
      <c r="O142" s="304"/>
      <c r="Q142" s="304"/>
      <c r="U142" s="304"/>
    </row>
    <row r="143" spans="6:21" x14ac:dyDescent="0.25">
      <c r="L143" s="304"/>
      <c r="M143" s="304"/>
      <c r="N143" s="304"/>
      <c r="O143" s="304"/>
      <c r="Q143" s="304"/>
      <c r="U143" s="304"/>
    </row>
    <row r="144" spans="6:21" x14ac:dyDescent="0.25">
      <c r="L144" s="304"/>
      <c r="M144" s="304"/>
      <c r="N144" s="304"/>
      <c r="O144" s="304"/>
      <c r="Q144" s="304"/>
      <c r="U144" s="304"/>
    </row>
    <row r="145" spans="12:21" x14ac:dyDescent="0.25">
      <c r="L145" s="45"/>
      <c r="M145" s="45"/>
      <c r="N145" s="45"/>
      <c r="O145" s="45"/>
      <c r="Q145" s="45"/>
      <c r="U145" s="45"/>
    </row>
    <row r="146" spans="12:21" x14ac:dyDescent="0.25">
      <c r="L146" s="45"/>
      <c r="M146" s="45"/>
      <c r="N146" s="45"/>
      <c r="O146" s="45"/>
      <c r="Q146" s="45"/>
      <c r="U146" s="45"/>
    </row>
    <row r="147" spans="12:21" x14ac:dyDescent="0.25">
      <c r="L147" s="302"/>
      <c r="M147" s="302"/>
      <c r="N147" s="302"/>
      <c r="O147" s="302"/>
      <c r="Q147" s="302"/>
      <c r="U147" s="302"/>
    </row>
    <row r="148" spans="12:21" x14ac:dyDescent="0.25">
      <c r="L148" s="304"/>
      <c r="M148" s="304"/>
      <c r="N148" s="304"/>
      <c r="O148" s="304"/>
      <c r="Q148" s="304"/>
      <c r="U148" s="304"/>
    </row>
    <row r="149" spans="12:21" x14ac:dyDescent="0.25">
      <c r="L149" s="304"/>
      <c r="M149" s="304"/>
      <c r="N149" s="304"/>
      <c r="O149" s="304"/>
      <c r="Q149" s="304"/>
      <c r="U149" s="304"/>
    </row>
    <row r="150" spans="12:21" x14ac:dyDescent="0.25">
      <c r="L150" s="304"/>
      <c r="M150" s="304"/>
      <c r="N150" s="304"/>
      <c r="O150" s="304"/>
      <c r="Q150" s="304"/>
      <c r="U150" s="304"/>
    </row>
    <row r="151" spans="12:21" x14ac:dyDescent="0.25">
      <c r="L151" s="304"/>
      <c r="M151" s="304"/>
      <c r="N151" s="304"/>
      <c r="O151" s="304"/>
      <c r="Q151" s="304"/>
      <c r="U151" s="304"/>
    </row>
    <row r="152" spans="12:21" x14ac:dyDescent="0.25">
      <c r="L152" s="304"/>
      <c r="M152" s="304"/>
      <c r="N152" s="304"/>
      <c r="O152" s="304"/>
      <c r="Q152" s="304"/>
      <c r="U152" s="304"/>
    </row>
    <row r="153" spans="12:21" x14ac:dyDescent="0.25">
      <c r="L153" s="304"/>
      <c r="M153" s="304"/>
      <c r="N153" s="304"/>
      <c r="O153" s="304"/>
      <c r="Q153" s="304"/>
      <c r="U153" s="304"/>
    </row>
    <row r="154" spans="12:21" x14ac:dyDescent="0.25">
      <c r="L154" s="304"/>
      <c r="M154" s="304"/>
      <c r="N154" s="304"/>
      <c r="O154" s="304"/>
      <c r="Q154" s="304"/>
      <c r="U154" s="304"/>
    </row>
    <row r="155" spans="12:21" x14ac:dyDescent="0.25">
      <c r="L155" s="304"/>
      <c r="M155" s="304"/>
      <c r="N155" s="304"/>
      <c r="O155" s="304"/>
      <c r="Q155" s="304"/>
      <c r="U155" s="304"/>
    </row>
    <row r="156" spans="12:21" x14ac:dyDescent="0.25">
      <c r="L156" s="304"/>
      <c r="M156" s="304"/>
      <c r="N156" s="304"/>
      <c r="O156" s="304"/>
      <c r="Q156" s="304"/>
      <c r="U156" s="304"/>
    </row>
    <row r="157" spans="12:21" x14ac:dyDescent="0.25">
      <c r="L157" s="304"/>
      <c r="M157" s="304"/>
      <c r="N157" s="304"/>
      <c r="O157" s="304"/>
      <c r="Q157" s="304"/>
      <c r="U157" s="304"/>
    </row>
    <row r="158" spans="12:21" x14ac:dyDescent="0.25">
      <c r="L158" s="304"/>
      <c r="M158" s="304"/>
      <c r="N158" s="304"/>
      <c r="O158" s="304"/>
      <c r="Q158" s="304"/>
      <c r="U158" s="304"/>
    </row>
    <row r="159" spans="12:21" x14ac:dyDescent="0.25">
      <c r="L159" s="304"/>
      <c r="M159" s="304"/>
      <c r="N159" s="304"/>
      <c r="O159" s="304"/>
      <c r="Q159" s="304"/>
      <c r="U159" s="304"/>
    </row>
  </sheetData>
  <mergeCells count="4">
    <mergeCell ref="J4:L5"/>
    <mergeCell ref="AC4:AE5"/>
    <mergeCell ref="R4:U5"/>
    <mergeCell ref="N4:O5"/>
  </mergeCells>
  <pageMargins left="0.75" right="0.75" top="1" bottom="1" header="0.5" footer="0.5"/>
  <pageSetup scale="51" orientation="landscape" r:id="rId1"/>
  <headerFooter alignWithMargins="0">
    <oddFooter>&amp;RExhibit JW-9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N42"/>
  <sheetViews>
    <sheetView tabSelected="1" view="pageBreakPreview" zoomScale="75" zoomScaleNormal="100" zoomScaleSheetLayoutView="75" workbookViewId="0">
      <selection activeCell="T28" sqref="T28"/>
    </sheetView>
  </sheetViews>
  <sheetFormatPr defaultColWidth="9.140625" defaultRowHeight="15.75" x14ac:dyDescent="0.25"/>
  <cols>
    <col min="1" max="1" width="37" style="2" bestFit="1" customWidth="1"/>
    <col min="2" max="2" width="15.42578125" style="56" bestFit="1" customWidth="1"/>
    <col min="3" max="3" width="15" style="2" bestFit="1" customWidth="1"/>
    <col min="4" max="4" width="17.140625" style="2" customWidth="1"/>
    <col min="5" max="5" width="19.140625" style="2" customWidth="1"/>
    <col min="6" max="6" width="14.85546875" style="2" customWidth="1"/>
    <col min="7" max="7" width="12.5703125" style="2" bestFit="1" customWidth="1"/>
    <col min="8" max="8" width="19.140625" style="2" hidden="1" customWidth="1"/>
    <col min="9" max="9" width="15.85546875" style="2" hidden="1" customWidth="1"/>
    <col min="10" max="10" width="15.7109375" style="2" hidden="1" customWidth="1"/>
    <col min="11" max="11" width="4.5703125" style="2" customWidth="1"/>
    <col min="12" max="12" width="20" style="2" customWidth="1"/>
    <col min="13" max="13" width="18.140625" style="2" bestFit="1" customWidth="1"/>
    <col min="14" max="14" width="15.140625" style="2" customWidth="1"/>
    <col min="15" max="16" width="9.140625" style="2"/>
    <col min="17" max="17" width="10.7109375" style="2" customWidth="1"/>
    <col min="18" max="16384" width="9.140625" style="2"/>
  </cols>
  <sheetData>
    <row r="1" spans="1:14" ht="18.75" x14ac:dyDescent="0.3">
      <c r="A1" s="82" t="s">
        <v>129</v>
      </c>
      <c r="B1" s="94"/>
    </row>
    <row r="2" spans="1:14" x14ac:dyDescent="0.25">
      <c r="A2" s="1" t="s">
        <v>236</v>
      </c>
    </row>
    <row r="5" spans="1:14" ht="57" customHeight="1" x14ac:dyDescent="0.25">
      <c r="A5" s="29" t="s">
        <v>14</v>
      </c>
      <c r="B5" s="83" t="s">
        <v>81</v>
      </c>
      <c r="C5" s="30" t="s">
        <v>8</v>
      </c>
      <c r="D5" s="30" t="s">
        <v>19</v>
      </c>
      <c r="E5" s="30" t="s">
        <v>33</v>
      </c>
      <c r="F5" s="30" t="s">
        <v>13</v>
      </c>
      <c r="G5" s="30" t="s">
        <v>20</v>
      </c>
      <c r="H5" s="30" t="s">
        <v>15</v>
      </c>
      <c r="I5" s="30" t="s">
        <v>13</v>
      </c>
      <c r="J5" s="30" t="s">
        <v>20</v>
      </c>
    </row>
    <row r="7" spans="1:14" x14ac:dyDescent="0.25">
      <c r="A7" s="2" t="str">
        <f>List!B6</f>
        <v>Residential Service</v>
      </c>
      <c r="B7" s="56">
        <f>List!C6</f>
        <v>10</v>
      </c>
      <c r="C7" s="37">
        <f>'10'!D15</f>
        <v>576919032</v>
      </c>
      <c r="D7" s="85">
        <f>'10'!G24</f>
        <v>79408476.789999992</v>
      </c>
      <c r="E7" s="86">
        <f>'10'!G22</f>
        <v>80395170.289360002</v>
      </c>
      <c r="F7" s="86">
        <f t="shared" ref="F7:F15" si="0">E7-D7</f>
        <v>986693.49936001003</v>
      </c>
      <c r="G7" s="87">
        <f t="shared" ref="G7:G15" si="1">F7/D7</f>
        <v>1.242554371077252E-2</v>
      </c>
      <c r="H7" s="86">
        <v>0</v>
      </c>
      <c r="I7" s="86">
        <f t="shared" ref="I7:I11" si="2">H7-E7</f>
        <v>-80395170.289360002</v>
      </c>
      <c r="J7" s="87">
        <f t="shared" ref="J7:J17" si="3">I7/E7</f>
        <v>-1</v>
      </c>
      <c r="N7" s="11"/>
    </row>
    <row r="8" spans="1:14" x14ac:dyDescent="0.25">
      <c r="A8" s="2" t="str">
        <f>List!B7</f>
        <v>Residential Off Peak ETS</v>
      </c>
      <c r="B8" s="56">
        <f>List!C7</f>
        <v>11</v>
      </c>
      <c r="C8" s="37">
        <f>'11'!D17</f>
        <v>3316676</v>
      </c>
      <c r="D8" s="85">
        <f>'11'!G26</f>
        <v>253733.41</v>
      </c>
      <c r="E8" s="86">
        <f>'11'!G24</f>
        <v>257148.31487999999</v>
      </c>
      <c r="F8" s="86">
        <f t="shared" si="0"/>
        <v>3414.9048799999873</v>
      </c>
      <c r="G8" s="87">
        <f t="shared" si="1"/>
        <v>1.3458633137827561E-2</v>
      </c>
      <c r="H8" s="44">
        <v>0</v>
      </c>
      <c r="I8" s="44">
        <f t="shared" si="2"/>
        <v>-257148.31487999999</v>
      </c>
      <c r="J8" s="87">
        <f t="shared" si="3"/>
        <v>-1</v>
      </c>
    </row>
    <row r="9" spans="1:14" x14ac:dyDescent="0.25">
      <c r="A9" s="2" t="str">
        <f>List!B8</f>
        <v>Commercial Service &lt; 50 KW</v>
      </c>
      <c r="B9" s="56">
        <f>List!C8</f>
        <v>20</v>
      </c>
      <c r="C9" s="37">
        <f>'20'!D17</f>
        <v>59372503</v>
      </c>
      <c r="D9" s="85">
        <f>'20'!G27</f>
        <v>8211160.2300000014</v>
      </c>
      <c r="E9" s="86">
        <f>'20'!G25</f>
        <v>7782210.5406800006</v>
      </c>
      <c r="F9" s="86">
        <f t="shared" si="0"/>
        <v>-428949.68932000082</v>
      </c>
      <c r="G9" s="87">
        <f t="shared" si="1"/>
        <v>-5.2239839109801511E-2</v>
      </c>
      <c r="H9" s="44">
        <v>0</v>
      </c>
      <c r="I9" s="44">
        <f>H9-E9</f>
        <v>-7782210.5406800006</v>
      </c>
      <c r="J9" s="87">
        <f>I9/E9</f>
        <v>-1</v>
      </c>
    </row>
    <row r="10" spans="1:14" x14ac:dyDescent="0.25">
      <c r="A10" s="2" t="str">
        <f>List!B9</f>
        <v>Commercial Off Peak ETS</v>
      </c>
      <c r="B10" s="56">
        <f>List!C9</f>
        <v>22</v>
      </c>
      <c r="C10" s="37">
        <f>'22'!D17</f>
        <v>23150</v>
      </c>
      <c r="D10" s="154">
        <f>'22'!G26</f>
        <v>1552.53</v>
      </c>
      <c r="E10" s="54">
        <f>'22'!G24</f>
        <v>1621.671</v>
      </c>
      <c r="F10" s="54">
        <f t="shared" si="0"/>
        <v>69.141000000000076</v>
      </c>
      <c r="G10" s="87">
        <f t="shared" si="1"/>
        <v>4.4534405132268022E-2</v>
      </c>
      <c r="H10" s="45">
        <v>0</v>
      </c>
      <c r="I10" s="45">
        <f t="shared" si="2"/>
        <v>-1621.671</v>
      </c>
      <c r="J10" s="47">
        <f t="shared" si="3"/>
        <v>-1</v>
      </c>
    </row>
    <row r="11" spans="1:14" x14ac:dyDescent="0.25">
      <c r="A11" s="2" t="str">
        <f>List!B10</f>
        <v>Large Power Loads 50 KW and Over</v>
      </c>
      <c r="B11" s="56">
        <f>List!C10</f>
        <v>40</v>
      </c>
      <c r="C11" s="37">
        <f>'40'!D17</f>
        <v>74901660</v>
      </c>
      <c r="D11" s="154">
        <f>'40'!G30</f>
        <v>7903197.2500000009</v>
      </c>
      <c r="E11" s="54">
        <f>'40'!G28</f>
        <v>8023623.1396000003</v>
      </c>
      <c r="F11" s="54">
        <f t="shared" si="0"/>
        <v>120425.88959999941</v>
      </c>
      <c r="G11" s="87">
        <f t="shared" si="1"/>
        <v>1.5237616598775818E-2</v>
      </c>
      <c r="H11" s="45">
        <v>0</v>
      </c>
      <c r="I11" s="45">
        <f t="shared" si="2"/>
        <v>-8023623.1396000003</v>
      </c>
      <c r="J11" s="47">
        <f t="shared" si="3"/>
        <v>-1</v>
      </c>
    </row>
    <row r="12" spans="1:14" x14ac:dyDescent="0.25">
      <c r="A12" s="2" t="str">
        <f>List!B11</f>
        <v>Large Power Rate 500 KW and Over</v>
      </c>
      <c r="B12" s="56">
        <f>List!C11</f>
        <v>46</v>
      </c>
      <c r="C12" s="37">
        <f>'46'!D17</f>
        <v>97780556</v>
      </c>
      <c r="D12" s="154">
        <f>'46'!G30</f>
        <v>7615206.3700000001</v>
      </c>
      <c r="E12" s="54">
        <f>'46'!G28</f>
        <v>8149443.9975200007</v>
      </c>
      <c r="F12" s="54">
        <f t="shared" si="0"/>
        <v>534237.62752000056</v>
      </c>
      <c r="G12" s="87">
        <f t="shared" si="1"/>
        <v>7.015405775799094E-2</v>
      </c>
      <c r="H12" s="86">
        <v>0</v>
      </c>
      <c r="I12" s="86">
        <f t="shared" ref="I12:I13" si="4">H12-E12</f>
        <v>-8149443.9975200007</v>
      </c>
      <c r="J12" s="87">
        <f t="shared" ref="J12:J13" si="5">I12/E12</f>
        <v>-1</v>
      </c>
    </row>
    <row r="13" spans="1:14" x14ac:dyDescent="0.25">
      <c r="A13" s="2" t="str">
        <f>List!B12</f>
        <v>Large Power Rate 500 kW and Over</v>
      </c>
      <c r="B13" s="56">
        <f>List!C12</f>
        <v>47</v>
      </c>
      <c r="C13" s="37">
        <f>'47'!D17</f>
        <v>63304128</v>
      </c>
      <c r="D13" s="85">
        <f>'47'!G31</f>
        <v>5633626.5499999998</v>
      </c>
      <c r="E13" s="86">
        <f>'47'!G29</f>
        <v>5406241.7466736846</v>
      </c>
      <c r="F13" s="86">
        <f t="shared" si="0"/>
        <v>-227384.80332631525</v>
      </c>
      <c r="G13" s="87">
        <f t="shared" si="1"/>
        <v>-4.0362065413497322E-2</v>
      </c>
      <c r="H13" s="44">
        <v>0</v>
      </c>
      <c r="I13" s="44">
        <f t="shared" si="4"/>
        <v>-5406241.7466736846</v>
      </c>
      <c r="J13" s="87">
        <f t="shared" si="5"/>
        <v>-1</v>
      </c>
    </row>
    <row r="14" spans="1:14" x14ac:dyDescent="0.25">
      <c r="A14" s="2" t="str">
        <f>List!B13</f>
        <v>Schools, Churches, Halls &amp; Parks</v>
      </c>
      <c r="B14" s="56">
        <f>List!C13</f>
        <v>50</v>
      </c>
      <c r="C14" s="37">
        <f>'50'!D15</f>
        <v>22682514</v>
      </c>
      <c r="D14" s="85">
        <f>'50'!G24</f>
        <v>2919243.53</v>
      </c>
      <c r="E14" s="86">
        <f>'50'!G22</f>
        <v>2912354.14928</v>
      </c>
      <c r="F14" s="86">
        <f t="shared" si="0"/>
        <v>-6889.3807199997827</v>
      </c>
      <c r="G14" s="87">
        <f t="shared" si="1"/>
        <v>-2.359988349447428E-3</v>
      </c>
      <c r="H14" s="44">
        <v>0</v>
      </c>
      <c r="I14" s="44">
        <f>H14-E14</f>
        <v>-2912354.14928</v>
      </c>
      <c r="J14" s="87">
        <f>I14/E14</f>
        <v>-1</v>
      </c>
    </row>
    <row r="15" spans="1:14" x14ac:dyDescent="0.25">
      <c r="A15" s="2" t="str">
        <f>List!B14</f>
        <v>All Electric Schools AES</v>
      </c>
      <c r="B15" s="56">
        <f>List!C14</f>
        <v>52</v>
      </c>
      <c r="C15" s="37">
        <f>'52'!D15</f>
        <v>9939021</v>
      </c>
      <c r="D15" s="154">
        <f>'52'!G24</f>
        <v>969766.56</v>
      </c>
      <c r="E15" s="54">
        <f>'52'!G22</f>
        <v>980888.51888999995</v>
      </c>
      <c r="F15" s="54">
        <f t="shared" si="0"/>
        <v>11121.958889999893</v>
      </c>
      <c r="G15" s="87">
        <f t="shared" si="1"/>
        <v>1.1468697054268289E-2</v>
      </c>
      <c r="H15" s="45">
        <v>0</v>
      </c>
      <c r="I15" s="45">
        <f t="shared" ref="I15:I16" si="6">H15-E15</f>
        <v>-980888.51888999995</v>
      </c>
      <c r="J15" s="47">
        <f t="shared" ref="J15:J16" si="7">I15/E15</f>
        <v>-1</v>
      </c>
    </row>
    <row r="16" spans="1:14" x14ac:dyDescent="0.25">
      <c r="A16" s="2" t="str">
        <f>List!B15</f>
        <v>Outdoor Lighting</v>
      </c>
      <c r="B16" s="56" t="str">
        <f>List!C15</f>
        <v>OL</v>
      </c>
      <c r="C16" s="37">
        <v>0</v>
      </c>
      <c r="D16" s="154">
        <f>Lighting!L62</f>
        <v>3035655.2399999998</v>
      </c>
      <c r="E16" s="54">
        <f>Lighting!L60</f>
        <v>2823025.9200000004</v>
      </c>
      <c r="F16" s="54">
        <f t="shared" ref="F16" si="8">E16-D16</f>
        <v>-212629.31999999937</v>
      </c>
      <c r="G16" s="87">
        <f t="shared" ref="G16" si="9">F16/D16</f>
        <v>-7.0043961909192098E-2</v>
      </c>
      <c r="H16" s="45">
        <v>0</v>
      </c>
      <c r="I16" s="45">
        <f t="shared" si="6"/>
        <v>-2823025.9200000004</v>
      </c>
      <c r="J16" s="47">
        <f t="shared" si="7"/>
        <v>-1</v>
      </c>
    </row>
    <row r="17" spans="1:12" ht="16.5" thickBot="1" x14ac:dyDescent="0.3">
      <c r="C17" s="59">
        <f>SUM(C7:C16)</f>
        <v>908239240</v>
      </c>
      <c r="D17" s="24">
        <f t="shared" ref="D17:F17" si="10">SUM(D7:D16)</f>
        <v>115951618.45999999</v>
      </c>
      <c r="E17" s="24">
        <f t="shared" si="10"/>
        <v>116731728.28788368</v>
      </c>
      <c r="F17" s="24">
        <f t="shared" si="10"/>
        <v>780109.82788369479</v>
      </c>
      <c r="G17" s="60">
        <f>F17/D17</f>
        <v>6.7278908069128025E-3</v>
      </c>
      <c r="H17" s="61">
        <f>SUM(H7:H16)</f>
        <v>0</v>
      </c>
      <c r="I17" s="24">
        <f>SUM(I7:I16)</f>
        <v>-116731728.28788368</v>
      </c>
      <c r="J17" s="60">
        <f t="shared" si="3"/>
        <v>-1</v>
      </c>
    </row>
    <row r="18" spans="1:12" ht="16.5" thickTop="1" x14ac:dyDescent="0.25">
      <c r="E18" s="11"/>
      <c r="H18" s="11"/>
    </row>
    <row r="19" spans="1:12" ht="15.75" customHeight="1" x14ac:dyDescent="0.25">
      <c r="B19" s="56" t="s">
        <v>35</v>
      </c>
      <c r="C19" s="44">
        <f>C17</f>
        <v>908239240</v>
      </c>
      <c r="D19" s="14">
        <f>D17</f>
        <v>115951618.45999999</v>
      </c>
      <c r="E19" s="14">
        <f>E17</f>
        <v>116731728.28788368</v>
      </c>
      <c r="H19" s="43"/>
    </row>
    <row r="20" spans="1:12" ht="15.75" customHeight="1" x14ac:dyDescent="0.25">
      <c r="B20" s="56" t="s">
        <v>104</v>
      </c>
      <c r="C20" s="219">
        <v>926179996</v>
      </c>
      <c r="D20" s="36">
        <v>115951618</v>
      </c>
      <c r="E20" s="36">
        <f>D20</f>
        <v>115951618</v>
      </c>
      <c r="G20" s="19"/>
      <c r="H20" s="76"/>
    </row>
    <row r="21" spans="1:12" ht="15.75" customHeight="1" x14ac:dyDescent="0.25">
      <c r="B21" s="56" t="s">
        <v>13</v>
      </c>
      <c r="C21" s="14">
        <f>C20-C19</f>
        <v>17940756</v>
      </c>
      <c r="D21" s="14">
        <f>D20-D19</f>
        <v>-0.45999999344348907</v>
      </c>
      <c r="E21" s="14">
        <f>E20-E19</f>
        <v>-780110.28788368404</v>
      </c>
      <c r="F21" s="19"/>
      <c r="H21" s="77"/>
    </row>
    <row r="22" spans="1:12" ht="15.75" customHeight="1" x14ac:dyDescent="0.25">
      <c r="B22" s="56" t="s">
        <v>13</v>
      </c>
      <c r="C22" s="25">
        <f>C21/C20</f>
        <v>1.9370701243260277E-2</v>
      </c>
      <c r="D22" s="25">
        <f>D21/D20</f>
        <v>-3.9671718375114788E-9</v>
      </c>
      <c r="E22" s="25">
        <f>E21/E20</f>
        <v>-6.7278948007753027E-3</v>
      </c>
      <c r="F22" s="75"/>
      <c r="G22" s="25"/>
      <c r="H22" s="8"/>
      <c r="L22" s="14"/>
    </row>
    <row r="23" spans="1:12" ht="15.75" customHeight="1" x14ac:dyDescent="0.25">
      <c r="C23" s="19"/>
      <c r="D23" s="19"/>
      <c r="F23" s="19"/>
    </row>
    <row r="24" spans="1:12" x14ac:dyDescent="0.25">
      <c r="A24" s="40"/>
      <c r="C24" s="44"/>
      <c r="D24" s="44"/>
      <c r="E24" s="43"/>
    </row>
    <row r="25" spans="1:12" x14ac:dyDescent="0.25">
      <c r="A25" s="1"/>
      <c r="B25" s="3"/>
      <c r="C25" s="124"/>
      <c r="D25" s="126"/>
      <c r="E25" s="70"/>
      <c r="F25" s="70"/>
      <c r="G25" s="70"/>
      <c r="H25" s="70"/>
      <c r="I25" s="70"/>
      <c r="J25" s="70"/>
    </row>
    <row r="26" spans="1:12" x14ac:dyDescent="0.25">
      <c r="C26" s="4"/>
      <c r="D26" s="4"/>
      <c r="E26" s="4"/>
      <c r="F26" s="4"/>
      <c r="G26" s="4"/>
      <c r="H26" s="4"/>
    </row>
    <row r="27" spans="1:12" x14ac:dyDescent="0.25">
      <c r="A27" s="40"/>
      <c r="C27" s="37"/>
      <c r="D27" s="39"/>
      <c r="E27" s="23"/>
      <c r="F27" s="38"/>
      <c r="G27" s="38"/>
      <c r="H27" s="23"/>
      <c r="I27" s="38"/>
      <c r="J27" s="23"/>
    </row>
    <row r="28" spans="1:12" x14ac:dyDescent="0.25">
      <c r="A28" s="40"/>
      <c r="C28" s="37"/>
      <c r="D28" s="34"/>
      <c r="E28" s="45"/>
      <c r="F28" s="54"/>
      <c r="G28" s="47"/>
      <c r="H28" s="45"/>
      <c r="I28" s="54"/>
      <c r="J28" s="47"/>
    </row>
    <row r="29" spans="1:12" x14ac:dyDescent="0.25">
      <c r="A29" s="40"/>
      <c r="C29" s="37"/>
      <c r="D29" s="39"/>
      <c r="E29" s="23"/>
      <c r="F29" s="45"/>
      <c r="G29" s="45"/>
      <c r="H29" s="23"/>
      <c r="I29" s="54"/>
      <c r="J29" s="47"/>
    </row>
    <row r="30" spans="1:12" x14ac:dyDescent="0.25">
      <c r="A30" s="40"/>
      <c r="C30" s="37"/>
      <c r="D30" s="34"/>
      <c r="E30" s="45"/>
      <c r="F30" s="45"/>
      <c r="G30" s="45"/>
      <c r="H30" s="45"/>
      <c r="I30" s="54"/>
      <c r="J30" s="47"/>
    </row>
    <row r="31" spans="1:12" x14ac:dyDescent="0.25">
      <c r="A31" s="40"/>
      <c r="C31" s="37"/>
      <c r="D31" s="39"/>
      <c r="E31" s="23"/>
      <c r="F31" s="45"/>
      <c r="G31" s="45"/>
      <c r="H31" s="23"/>
      <c r="I31" s="54"/>
      <c r="J31" s="47"/>
    </row>
    <row r="32" spans="1:12" x14ac:dyDescent="0.25">
      <c r="A32" s="40"/>
      <c r="C32" s="37"/>
      <c r="D32" s="34"/>
      <c r="E32" s="45"/>
      <c r="F32" s="45"/>
      <c r="G32" s="45"/>
      <c r="H32" s="45"/>
      <c r="I32" s="54"/>
      <c r="J32" s="47"/>
    </row>
    <row r="33" spans="1:10" x14ac:dyDescent="0.25">
      <c r="A33" s="40"/>
      <c r="C33" s="39"/>
      <c r="D33" s="39"/>
      <c r="E33" s="23"/>
      <c r="F33" s="45"/>
      <c r="G33" s="45"/>
      <c r="H33" s="23"/>
      <c r="I33" s="54"/>
      <c r="J33" s="47"/>
    </row>
    <row r="34" spans="1:10" x14ac:dyDescent="0.25">
      <c r="A34" s="40"/>
      <c r="C34" s="8"/>
      <c r="D34" s="32"/>
      <c r="E34" s="33"/>
      <c r="F34" s="35"/>
      <c r="G34" s="35"/>
      <c r="H34" s="33"/>
      <c r="I34" s="11"/>
      <c r="J34" s="23"/>
    </row>
    <row r="35" spans="1:10" x14ac:dyDescent="0.25">
      <c r="A35" s="40"/>
      <c r="C35" s="8"/>
      <c r="D35" s="39"/>
      <c r="E35" s="23"/>
      <c r="F35" s="14"/>
      <c r="G35" s="14"/>
      <c r="H35" s="23"/>
    </row>
    <row r="36" spans="1:10" x14ac:dyDescent="0.25">
      <c r="C36" s="8"/>
      <c r="E36" s="26"/>
      <c r="F36" s="20"/>
      <c r="H36" s="53"/>
    </row>
    <row r="37" spans="1:10" x14ac:dyDescent="0.25">
      <c r="C37" s="8"/>
      <c r="F37" s="8"/>
      <c r="G37" s="8"/>
    </row>
    <row r="39" spans="1:10" x14ac:dyDescent="0.25">
      <c r="G39" s="25"/>
    </row>
    <row r="41" spans="1:10" x14ac:dyDescent="0.25">
      <c r="A41" s="40"/>
      <c r="C41" s="9"/>
    </row>
    <row r="42" spans="1:10" x14ac:dyDescent="0.25">
      <c r="A42" s="40"/>
    </row>
  </sheetData>
  <phoneticPr fontId="0" type="noConversion"/>
  <pageMargins left="0.75" right="0.35" top="1" bottom="1" header="0.5" footer="0.5"/>
  <pageSetup scale="94" orientation="landscape" r:id="rId1"/>
  <headerFooter alignWithMargins="0">
    <oddFooter>&amp;RExhibit JW-9
Page &amp;P of &amp;N</oddFooter>
  </headerFooter>
  <ignoredErrors>
    <ignoredError sqref="G1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M40"/>
  <sheetViews>
    <sheetView tabSelected="1" topLeftCell="A7" zoomScaleNormal="100" workbookViewId="0">
      <selection activeCell="T28" sqref="T28"/>
    </sheetView>
  </sheetViews>
  <sheetFormatPr defaultColWidth="9.140625" defaultRowHeight="12.75" x14ac:dyDescent="0.2"/>
  <cols>
    <col min="1" max="1" width="3.42578125" style="174" customWidth="1"/>
    <col min="2" max="2" width="6.5703125" style="173" customWidth="1"/>
    <col min="3" max="4" width="9.140625" style="174"/>
    <col min="5" max="5" width="10.28515625" style="174" bestFit="1" customWidth="1"/>
    <col min="6" max="6" width="10.28515625" style="174" customWidth="1"/>
    <col min="7" max="7" width="9.140625" style="174"/>
    <col min="8" max="8" width="10.5703125" style="174" customWidth="1"/>
    <col min="9" max="9" width="10.28515625" style="174" bestFit="1" customWidth="1"/>
    <col min="10" max="10" width="10.28515625" style="174" customWidth="1"/>
    <col min="11" max="11" width="9.140625" style="174"/>
    <col min="12" max="12" width="8.28515625" style="174" bestFit="1" customWidth="1"/>
    <col min="13" max="13" width="7.7109375" style="174" customWidth="1"/>
    <col min="14" max="16384" width="9.140625" style="174"/>
  </cols>
  <sheetData>
    <row r="1" spans="1:13" ht="18.75" x14ac:dyDescent="0.3">
      <c r="A1" s="172" t="str">
        <f>'Present and Proposed Rates'!A1</f>
        <v>JACKSON ENERGY COOPERATIVE</v>
      </c>
    </row>
    <row r="2" spans="1:13" ht="18.75" x14ac:dyDescent="0.3">
      <c r="A2" s="98" t="s">
        <v>245</v>
      </c>
      <c r="I2" s="175"/>
      <c r="J2" s="175"/>
    </row>
    <row r="3" spans="1:13" ht="18.75" x14ac:dyDescent="0.3">
      <c r="A3" s="172" t="s">
        <v>223</v>
      </c>
    </row>
    <row r="4" spans="1:13" ht="13.5" thickBot="1" x14ac:dyDescent="0.25"/>
    <row r="5" spans="1:13" ht="21" customHeight="1" thickTop="1" x14ac:dyDescent="0.2">
      <c r="B5" s="176"/>
      <c r="C5" s="177" t="s">
        <v>103</v>
      </c>
      <c r="D5" s="254" t="s">
        <v>127</v>
      </c>
      <c r="E5" s="254"/>
      <c r="F5" s="254"/>
      <c r="G5" s="255"/>
      <c r="H5" s="256" t="s">
        <v>128</v>
      </c>
      <c r="I5" s="254"/>
      <c r="J5" s="254"/>
      <c r="K5" s="255"/>
      <c r="L5" s="256" t="s">
        <v>59</v>
      </c>
      <c r="M5" s="257"/>
    </row>
    <row r="6" spans="1:13" ht="23.25" customHeight="1" x14ac:dyDescent="0.2">
      <c r="B6" s="178" t="s">
        <v>124</v>
      </c>
      <c r="C6" s="179" t="s">
        <v>8</v>
      </c>
      <c r="D6" s="180" t="s">
        <v>114</v>
      </c>
      <c r="E6" s="180" t="s">
        <v>125</v>
      </c>
      <c r="F6" s="180" t="s">
        <v>243</v>
      </c>
      <c r="G6" s="180" t="s">
        <v>84</v>
      </c>
      <c r="H6" s="180" t="s">
        <v>126</v>
      </c>
      <c r="I6" s="180" t="s">
        <v>115</v>
      </c>
      <c r="J6" s="180" t="s">
        <v>243</v>
      </c>
      <c r="K6" s="180" t="s">
        <v>84</v>
      </c>
      <c r="L6" s="180" t="s">
        <v>63</v>
      </c>
      <c r="M6" s="181" t="s">
        <v>64</v>
      </c>
    </row>
    <row r="7" spans="1:13" s="182" customFormat="1" ht="18" customHeight="1" thickBot="1" x14ac:dyDescent="0.25">
      <c r="B7" s="183"/>
      <c r="C7" s="184"/>
      <c r="D7" s="185">
        <f>'Present and Proposed Rates'!G9</f>
        <v>24.76</v>
      </c>
      <c r="E7" s="203">
        <f>'Present and Proposed Rates'!G10</f>
        <v>0.1018</v>
      </c>
      <c r="F7" s="203">
        <f>('10'!J18+'10'!J19)/'10'!D15</f>
        <v>1.2766555899927402E-2</v>
      </c>
      <c r="G7" s="186"/>
      <c r="H7" s="185">
        <f>'Present and Proposed Rates'!H9</f>
        <v>36.479999999999997</v>
      </c>
      <c r="I7" s="203">
        <f>'Present and Proposed Rates'!H10</f>
        <v>0.10011</v>
      </c>
      <c r="J7" s="203">
        <f>F7</f>
        <v>1.2766555899927402E-2</v>
      </c>
      <c r="K7" s="184"/>
      <c r="L7" s="184"/>
      <c r="M7" s="187"/>
    </row>
    <row r="8" spans="1:13" ht="13.5" thickTop="1" x14ac:dyDescent="0.2">
      <c r="B8" s="188">
        <v>1</v>
      </c>
      <c r="C8" s="189">
        <v>0</v>
      </c>
      <c r="D8" s="190">
        <f>D$7</f>
        <v>24.76</v>
      </c>
      <c r="E8" s="191">
        <f>$E$7*C8</f>
        <v>0</v>
      </c>
      <c r="F8" s="191">
        <f>F$7*C8</f>
        <v>0</v>
      </c>
      <c r="G8" s="192">
        <f>E8+D8+F8</f>
        <v>24.76</v>
      </c>
      <c r="H8" s="193">
        <f>$H$7</f>
        <v>36.479999999999997</v>
      </c>
      <c r="I8" s="191">
        <f>$I$7*C8</f>
        <v>0</v>
      </c>
      <c r="J8" s="191">
        <f>J$7*C8</f>
        <v>0</v>
      </c>
      <c r="K8" s="194">
        <f>H8+I8+J8</f>
        <v>36.479999999999997</v>
      </c>
      <c r="L8" s="193">
        <f t="shared" ref="L8:L38" si="0">K8-G8</f>
        <v>11.719999999999995</v>
      </c>
      <c r="M8" s="195">
        <f t="shared" ref="M8:M38" si="1">L8/G8</f>
        <v>0.47334410339256844</v>
      </c>
    </row>
    <row r="9" spans="1:13" x14ac:dyDescent="0.2">
      <c r="B9" s="188">
        <f>B8+1</f>
        <v>2</v>
      </c>
      <c r="C9" s="189">
        <f t="shared" ref="C9:C38" si="2">C8+100</f>
        <v>100</v>
      </c>
      <c r="D9" s="190">
        <f t="shared" ref="D9:D12" si="3">D$7</f>
        <v>24.76</v>
      </c>
      <c r="E9" s="191">
        <f t="shared" ref="E9" si="4">$E$7*C9</f>
        <v>10.18</v>
      </c>
      <c r="F9" s="191">
        <f t="shared" ref="F9:F38" si="5">F$7*C9</f>
        <v>1.2766555899927403</v>
      </c>
      <c r="G9" s="192">
        <f t="shared" ref="G9:G38" si="6">E9+D9+F9</f>
        <v>36.21665558999274</v>
      </c>
      <c r="H9" s="193">
        <f t="shared" ref="H9:H12" si="7">$H$7</f>
        <v>36.479999999999997</v>
      </c>
      <c r="I9" s="191">
        <f t="shared" ref="I9" si="8">$I$7*C9</f>
        <v>10.011000000000001</v>
      </c>
      <c r="J9" s="191">
        <f t="shared" ref="J9:J38" si="9">J$7*C9</f>
        <v>1.2766555899927403</v>
      </c>
      <c r="K9" s="194">
        <f t="shared" ref="K9:K38" si="10">H9+I9+J9</f>
        <v>47.767655589992742</v>
      </c>
      <c r="L9" s="193">
        <f t="shared" si="0"/>
        <v>11.551000000000002</v>
      </c>
      <c r="M9" s="195">
        <f t="shared" si="1"/>
        <v>0.3189416529998903</v>
      </c>
    </row>
    <row r="10" spans="1:13" x14ac:dyDescent="0.2">
      <c r="B10" s="188">
        <f t="shared" ref="B10:B38" si="11">B9+1</f>
        <v>3</v>
      </c>
      <c r="C10" s="189">
        <f t="shared" si="2"/>
        <v>200</v>
      </c>
      <c r="D10" s="190">
        <f t="shared" si="3"/>
        <v>24.76</v>
      </c>
      <c r="E10" s="191">
        <f t="shared" ref="E10:E12" si="12">$E$7*C10</f>
        <v>20.36</v>
      </c>
      <c r="F10" s="191">
        <f t="shared" si="5"/>
        <v>2.5533111799854806</v>
      </c>
      <c r="G10" s="192">
        <f t="shared" si="6"/>
        <v>47.673311179985483</v>
      </c>
      <c r="H10" s="193">
        <f t="shared" si="7"/>
        <v>36.479999999999997</v>
      </c>
      <c r="I10" s="191">
        <f t="shared" ref="I10:I12" si="13">$I$7*C10</f>
        <v>20.022000000000002</v>
      </c>
      <c r="J10" s="191">
        <f t="shared" si="9"/>
        <v>2.5533111799854806</v>
      </c>
      <c r="K10" s="194">
        <f t="shared" si="10"/>
        <v>59.055311179985473</v>
      </c>
      <c r="L10" s="193">
        <f t="shared" ref="L10:L12" si="14">K10-G10</f>
        <v>11.381999999999991</v>
      </c>
      <c r="M10" s="195">
        <f t="shared" ref="M10:M12" si="15">L10/G10</f>
        <v>0.23874993614411361</v>
      </c>
    </row>
    <row r="11" spans="1:13" x14ac:dyDescent="0.2">
      <c r="B11" s="188">
        <f t="shared" si="11"/>
        <v>4</v>
      </c>
      <c r="C11" s="189">
        <f t="shared" si="2"/>
        <v>300</v>
      </c>
      <c r="D11" s="190">
        <f t="shared" si="3"/>
        <v>24.76</v>
      </c>
      <c r="E11" s="191">
        <f t="shared" si="12"/>
        <v>30.54</v>
      </c>
      <c r="F11" s="191">
        <f t="shared" si="5"/>
        <v>3.8299667699782205</v>
      </c>
      <c r="G11" s="192">
        <f t="shared" si="6"/>
        <v>59.129966769978218</v>
      </c>
      <c r="H11" s="193">
        <f t="shared" si="7"/>
        <v>36.479999999999997</v>
      </c>
      <c r="I11" s="191">
        <f t="shared" si="13"/>
        <v>30.033000000000001</v>
      </c>
      <c r="J11" s="191">
        <f t="shared" si="9"/>
        <v>3.8299667699782205</v>
      </c>
      <c r="K11" s="194">
        <f t="shared" si="10"/>
        <v>70.342966769978233</v>
      </c>
      <c r="L11" s="193">
        <f t="shared" si="14"/>
        <v>11.213000000000015</v>
      </c>
      <c r="M11" s="195">
        <f t="shared" si="15"/>
        <v>0.1896331185779245</v>
      </c>
    </row>
    <row r="12" spans="1:13" x14ac:dyDescent="0.2">
      <c r="B12" s="188">
        <f t="shared" si="11"/>
        <v>5</v>
      </c>
      <c r="C12" s="189">
        <f t="shared" si="2"/>
        <v>400</v>
      </c>
      <c r="D12" s="190">
        <f t="shared" si="3"/>
        <v>24.76</v>
      </c>
      <c r="E12" s="191">
        <f t="shared" si="12"/>
        <v>40.72</v>
      </c>
      <c r="F12" s="191">
        <f t="shared" si="5"/>
        <v>5.1066223599709613</v>
      </c>
      <c r="G12" s="192">
        <f t="shared" si="6"/>
        <v>70.58662235997096</v>
      </c>
      <c r="H12" s="193">
        <f t="shared" si="7"/>
        <v>36.479999999999997</v>
      </c>
      <c r="I12" s="191">
        <f t="shared" si="13"/>
        <v>40.044000000000004</v>
      </c>
      <c r="J12" s="191">
        <f t="shared" si="9"/>
        <v>5.1066223599709613</v>
      </c>
      <c r="K12" s="194">
        <f t="shared" si="10"/>
        <v>81.630622359970957</v>
      </c>
      <c r="L12" s="193">
        <f t="shared" si="14"/>
        <v>11.043999999999997</v>
      </c>
      <c r="M12" s="195">
        <f t="shared" si="15"/>
        <v>0.15646024176760936</v>
      </c>
    </row>
    <row r="13" spans="1:13" x14ac:dyDescent="0.2">
      <c r="B13" s="188">
        <f t="shared" si="11"/>
        <v>6</v>
      </c>
      <c r="C13" s="189">
        <f t="shared" si="2"/>
        <v>500</v>
      </c>
      <c r="D13" s="190">
        <f t="shared" ref="D13:D39" si="16">D$7</f>
        <v>24.76</v>
      </c>
      <c r="E13" s="191">
        <f t="shared" ref="E13:E38" si="17">$E$7*C13</f>
        <v>50.9</v>
      </c>
      <c r="F13" s="191">
        <f t="shared" si="5"/>
        <v>6.3832779499637011</v>
      </c>
      <c r="G13" s="192">
        <f t="shared" si="6"/>
        <v>82.043277949963695</v>
      </c>
      <c r="H13" s="193">
        <f t="shared" ref="H13:H39" si="18">$H$7</f>
        <v>36.479999999999997</v>
      </c>
      <c r="I13" s="191">
        <f t="shared" ref="I13:I38" si="19">$I$7*C13</f>
        <v>50.055</v>
      </c>
      <c r="J13" s="191">
        <f t="shared" si="9"/>
        <v>6.3832779499637011</v>
      </c>
      <c r="K13" s="194">
        <f t="shared" si="10"/>
        <v>92.918277949963695</v>
      </c>
      <c r="L13" s="193">
        <f t="shared" si="0"/>
        <v>10.875</v>
      </c>
      <c r="M13" s="195">
        <f t="shared" si="1"/>
        <v>0.13255199294489931</v>
      </c>
    </row>
    <row r="14" spans="1:13" x14ac:dyDescent="0.2">
      <c r="B14" s="188">
        <f t="shared" si="11"/>
        <v>7</v>
      </c>
      <c r="C14" s="189">
        <f t="shared" si="2"/>
        <v>600</v>
      </c>
      <c r="D14" s="190">
        <f t="shared" si="16"/>
        <v>24.76</v>
      </c>
      <c r="E14" s="191">
        <f t="shared" si="17"/>
        <v>61.08</v>
      </c>
      <c r="F14" s="191">
        <f t="shared" si="5"/>
        <v>7.659933539956441</v>
      </c>
      <c r="G14" s="192">
        <f t="shared" si="6"/>
        <v>93.499933539956444</v>
      </c>
      <c r="H14" s="193">
        <f t="shared" si="18"/>
        <v>36.479999999999997</v>
      </c>
      <c r="I14" s="191">
        <f t="shared" si="19"/>
        <v>60.066000000000003</v>
      </c>
      <c r="J14" s="191">
        <f t="shared" si="9"/>
        <v>7.659933539956441</v>
      </c>
      <c r="K14" s="194">
        <f t="shared" si="10"/>
        <v>104.20593353995643</v>
      </c>
      <c r="L14" s="193">
        <f t="shared" si="0"/>
        <v>10.705999999999989</v>
      </c>
      <c r="M14" s="195">
        <f t="shared" si="1"/>
        <v>0.11450275518564798</v>
      </c>
    </row>
    <row r="15" spans="1:13" x14ac:dyDescent="0.2">
      <c r="B15" s="188">
        <f t="shared" si="11"/>
        <v>8</v>
      </c>
      <c r="C15" s="189">
        <f t="shared" si="2"/>
        <v>700</v>
      </c>
      <c r="D15" s="190">
        <f t="shared" si="16"/>
        <v>24.76</v>
      </c>
      <c r="E15" s="191">
        <f t="shared" si="17"/>
        <v>71.260000000000005</v>
      </c>
      <c r="F15" s="191">
        <f t="shared" si="5"/>
        <v>8.9365891299491818</v>
      </c>
      <c r="G15" s="192">
        <f t="shared" si="6"/>
        <v>104.95658912994919</v>
      </c>
      <c r="H15" s="193">
        <f t="shared" si="18"/>
        <v>36.479999999999997</v>
      </c>
      <c r="I15" s="191">
        <f t="shared" si="19"/>
        <v>70.076999999999998</v>
      </c>
      <c r="J15" s="191">
        <f t="shared" si="9"/>
        <v>8.9365891299491818</v>
      </c>
      <c r="K15" s="194">
        <f t="shared" si="10"/>
        <v>115.49358912994917</v>
      </c>
      <c r="L15" s="193">
        <f t="shared" si="0"/>
        <v>10.536999999999978</v>
      </c>
      <c r="M15" s="195">
        <f t="shared" si="1"/>
        <v>0.10039388748574778</v>
      </c>
    </row>
    <row r="16" spans="1:13" x14ac:dyDescent="0.2">
      <c r="B16" s="188">
        <f t="shared" si="11"/>
        <v>9</v>
      </c>
      <c r="C16" s="189">
        <f t="shared" si="2"/>
        <v>800</v>
      </c>
      <c r="D16" s="190">
        <f t="shared" si="16"/>
        <v>24.76</v>
      </c>
      <c r="E16" s="191">
        <f t="shared" si="17"/>
        <v>81.44</v>
      </c>
      <c r="F16" s="191">
        <f t="shared" si="5"/>
        <v>10.213244719941923</v>
      </c>
      <c r="G16" s="192">
        <f t="shared" si="6"/>
        <v>116.41324471994193</v>
      </c>
      <c r="H16" s="193">
        <f t="shared" si="18"/>
        <v>36.479999999999997</v>
      </c>
      <c r="I16" s="191">
        <f t="shared" si="19"/>
        <v>80.088000000000008</v>
      </c>
      <c r="J16" s="191">
        <f t="shared" si="9"/>
        <v>10.213244719941923</v>
      </c>
      <c r="K16" s="194">
        <f t="shared" si="10"/>
        <v>126.78124471994194</v>
      </c>
      <c r="L16" s="193">
        <f t="shared" si="0"/>
        <v>10.368000000000009</v>
      </c>
      <c r="M16" s="195">
        <f t="shared" si="1"/>
        <v>8.9062030913600515E-2</v>
      </c>
    </row>
    <row r="17" spans="2:13" x14ac:dyDescent="0.2">
      <c r="B17" s="188">
        <f t="shared" si="11"/>
        <v>10</v>
      </c>
      <c r="C17" s="189">
        <f t="shared" si="2"/>
        <v>900</v>
      </c>
      <c r="D17" s="190">
        <f t="shared" si="16"/>
        <v>24.76</v>
      </c>
      <c r="E17" s="191">
        <f t="shared" si="17"/>
        <v>91.62</v>
      </c>
      <c r="F17" s="191">
        <f t="shared" si="5"/>
        <v>11.489900309934661</v>
      </c>
      <c r="G17" s="192">
        <f t="shared" si="6"/>
        <v>127.86990030993468</v>
      </c>
      <c r="H17" s="193">
        <f t="shared" si="18"/>
        <v>36.479999999999997</v>
      </c>
      <c r="I17" s="191">
        <f t="shared" si="19"/>
        <v>90.099000000000004</v>
      </c>
      <c r="J17" s="191">
        <f t="shared" si="9"/>
        <v>11.489900309934661</v>
      </c>
      <c r="K17" s="194">
        <f t="shared" si="10"/>
        <v>138.06890030993466</v>
      </c>
      <c r="L17" s="193">
        <f t="shared" si="0"/>
        <v>10.198999999999984</v>
      </c>
      <c r="M17" s="195">
        <f t="shared" si="1"/>
        <v>7.9760756638422012E-2</v>
      </c>
    </row>
    <row r="18" spans="2:13" x14ac:dyDescent="0.2">
      <c r="B18" s="188">
        <f t="shared" si="11"/>
        <v>11</v>
      </c>
      <c r="C18" s="189">
        <f t="shared" si="2"/>
        <v>1000</v>
      </c>
      <c r="D18" s="190">
        <f t="shared" si="16"/>
        <v>24.76</v>
      </c>
      <c r="E18" s="191">
        <f t="shared" si="17"/>
        <v>101.8</v>
      </c>
      <c r="F18" s="191">
        <f t="shared" si="5"/>
        <v>12.766555899927402</v>
      </c>
      <c r="G18" s="192">
        <f t="shared" si="6"/>
        <v>139.3265558999274</v>
      </c>
      <c r="H18" s="193">
        <f t="shared" si="18"/>
        <v>36.479999999999997</v>
      </c>
      <c r="I18" s="191">
        <f t="shared" si="19"/>
        <v>100.11</v>
      </c>
      <c r="J18" s="191">
        <f t="shared" si="9"/>
        <v>12.766555899927402</v>
      </c>
      <c r="K18" s="194">
        <f t="shared" si="10"/>
        <v>149.3565558999274</v>
      </c>
      <c r="L18" s="193">
        <f t="shared" si="0"/>
        <v>10.030000000000001</v>
      </c>
      <c r="M18" s="195">
        <f t="shared" si="1"/>
        <v>7.1989147619525906E-2</v>
      </c>
    </row>
    <row r="19" spans="2:13" x14ac:dyDescent="0.2">
      <c r="B19" s="188">
        <f t="shared" si="11"/>
        <v>12</v>
      </c>
      <c r="C19" s="189">
        <f t="shared" si="2"/>
        <v>1100</v>
      </c>
      <c r="D19" s="190">
        <f t="shared" si="16"/>
        <v>24.76</v>
      </c>
      <c r="E19" s="191">
        <f t="shared" si="17"/>
        <v>111.98</v>
      </c>
      <c r="F19" s="191">
        <f t="shared" si="5"/>
        <v>14.043211489920143</v>
      </c>
      <c r="G19" s="192">
        <f t="shared" si="6"/>
        <v>150.78321148992015</v>
      </c>
      <c r="H19" s="193">
        <f t="shared" si="18"/>
        <v>36.479999999999997</v>
      </c>
      <c r="I19" s="191">
        <f t="shared" si="19"/>
        <v>110.12100000000001</v>
      </c>
      <c r="J19" s="191">
        <f t="shared" si="9"/>
        <v>14.043211489920143</v>
      </c>
      <c r="K19" s="194">
        <f t="shared" si="10"/>
        <v>160.64421148992014</v>
      </c>
      <c r="L19" s="193">
        <f t="shared" si="0"/>
        <v>9.86099999999999</v>
      </c>
      <c r="M19" s="195">
        <f t="shared" si="1"/>
        <v>6.5398527479030369E-2</v>
      </c>
    </row>
    <row r="20" spans="2:13" x14ac:dyDescent="0.2">
      <c r="B20" s="188">
        <f t="shared" si="11"/>
        <v>13</v>
      </c>
      <c r="C20" s="189">
        <f t="shared" si="2"/>
        <v>1200</v>
      </c>
      <c r="D20" s="190">
        <f t="shared" si="16"/>
        <v>24.76</v>
      </c>
      <c r="E20" s="191">
        <f t="shared" si="17"/>
        <v>122.16</v>
      </c>
      <c r="F20" s="191">
        <f t="shared" si="5"/>
        <v>15.319867079912882</v>
      </c>
      <c r="G20" s="192">
        <f t="shared" si="6"/>
        <v>162.23986707991287</v>
      </c>
      <c r="H20" s="193">
        <f t="shared" si="18"/>
        <v>36.479999999999997</v>
      </c>
      <c r="I20" s="191">
        <f t="shared" si="19"/>
        <v>120.13200000000001</v>
      </c>
      <c r="J20" s="191">
        <f t="shared" si="9"/>
        <v>15.319867079912882</v>
      </c>
      <c r="K20" s="194">
        <f t="shared" si="10"/>
        <v>171.93186707991288</v>
      </c>
      <c r="L20" s="193">
        <f t="shared" si="0"/>
        <v>9.6920000000000073</v>
      </c>
      <c r="M20" s="195">
        <f t="shared" si="1"/>
        <v>5.9738707719885618E-2</v>
      </c>
    </row>
    <row r="21" spans="2:13" x14ac:dyDescent="0.2">
      <c r="B21" s="188">
        <f t="shared" si="11"/>
        <v>14</v>
      </c>
      <c r="C21" s="189">
        <f t="shared" si="2"/>
        <v>1300</v>
      </c>
      <c r="D21" s="190">
        <f t="shared" si="16"/>
        <v>24.76</v>
      </c>
      <c r="E21" s="191">
        <f t="shared" si="17"/>
        <v>132.34</v>
      </c>
      <c r="F21" s="191">
        <f t="shared" si="5"/>
        <v>16.596522669905625</v>
      </c>
      <c r="G21" s="192">
        <f t="shared" si="6"/>
        <v>173.69652266990562</v>
      </c>
      <c r="H21" s="193">
        <f t="shared" si="18"/>
        <v>36.479999999999997</v>
      </c>
      <c r="I21" s="191">
        <f t="shared" si="19"/>
        <v>130.143</v>
      </c>
      <c r="J21" s="191">
        <f t="shared" si="9"/>
        <v>16.596522669905625</v>
      </c>
      <c r="K21" s="194">
        <f t="shared" si="10"/>
        <v>183.21952266990561</v>
      </c>
      <c r="L21" s="193">
        <f t="shared" si="0"/>
        <v>9.5229999999999961</v>
      </c>
      <c r="M21" s="195">
        <f t="shared" si="1"/>
        <v>5.4825507463368096E-2</v>
      </c>
    </row>
    <row r="22" spans="2:13" x14ac:dyDescent="0.2">
      <c r="B22" s="188">
        <f t="shared" si="11"/>
        <v>15</v>
      </c>
      <c r="C22" s="189">
        <f t="shared" si="2"/>
        <v>1400</v>
      </c>
      <c r="D22" s="190">
        <f t="shared" si="16"/>
        <v>24.76</v>
      </c>
      <c r="E22" s="191">
        <f t="shared" si="17"/>
        <v>142.52000000000001</v>
      </c>
      <c r="F22" s="191">
        <f t="shared" si="5"/>
        <v>17.873178259898364</v>
      </c>
      <c r="G22" s="192">
        <f t="shared" si="6"/>
        <v>185.15317825989837</v>
      </c>
      <c r="H22" s="193">
        <f t="shared" si="18"/>
        <v>36.479999999999997</v>
      </c>
      <c r="I22" s="191">
        <f t="shared" si="19"/>
        <v>140.154</v>
      </c>
      <c r="J22" s="191">
        <f t="shared" si="9"/>
        <v>17.873178259898364</v>
      </c>
      <c r="K22" s="194">
        <f t="shared" si="10"/>
        <v>194.50717825989835</v>
      </c>
      <c r="L22" s="193">
        <f t="shared" si="0"/>
        <v>9.353999999999985</v>
      </c>
      <c r="M22" s="195">
        <f t="shared" si="1"/>
        <v>5.0520331802621464E-2</v>
      </c>
    </row>
    <row r="23" spans="2:13" x14ac:dyDescent="0.2">
      <c r="B23" s="188">
        <f t="shared" si="11"/>
        <v>16</v>
      </c>
      <c r="C23" s="189">
        <f t="shared" si="2"/>
        <v>1500</v>
      </c>
      <c r="D23" s="190">
        <f t="shared" si="16"/>
        <v>24.76</v>
      </c>
      <c r="E23" s="191">
        <f t="shared" si="17"/>
        <v>152.69999999999999</v>
      </c>
      <c r="F23" s="191">
        <f t="shared" si="5"/>
        <v>19.149833849891102</v>
      </c>
      <c r="G23" s="192">
        <f t="shared" si="6"/>
        <v>196.60983384989109</v>
      </c>
      <c r="H23" s="193">
        <f t="shared" si="18"/>
        <v>36.479999999999997</v>
      </c>
      <c r="I23" s="191">
        <f t="shared" si="19"/>
        <v>150.16500000000002</v>
      </c>
      <c r="J23" s="191">
        <f t="shared" si="9"/>
        <v>19.149833849891102</v>
      </c>
      <c r="K23" s="194">
        <f t="shared" si="10"/>
        <v>205.79483384989112</v>
      </c>
      <c r="L23" s="193">
        <f t="shared" si="0"/>
        <v>9.1850000000000307</v>
      </c>
      <c r="M23" s="195">
        <f t="shared" si="1"/>
        <v>4.6716890097230089E-2</v>
      </c>
    </row>
    <row r="24" spans="2:13" x14ac:dyDescent="0.2">
      <c r="B24" s="188">
        <f t="shared" si="11"/>
        <v>17</v>
      </c>
      <c r="C24" s="189">
        <f t="shared" si="2"/>
        <v>1600</v>
      </c>
      <c r="D24" s="190">
        <f t="shared" si="16"/>
        <v>24.76</v>
      </c>
      <c r="E24" s="191">
        <f t="shared" si="17"/>
        <v>162.88</v>
      </c>
      <c r="F24" s="191">
        <f t="shared" si="5"/>
        <v>20.426489439883845</v>
      </c>
      <c r="G24" s="192">
        <f t="shared" si="6"/>
        <v>208.06648943988384</v>
      </c>
      <c r="H24" s="193">
        <f t="shared" si="18"/>
        <v>36.479999999999997</v>
      </c>
      <c r="I24" s="191">
        <f t="shared" si="19"/>
        <v>160.17600000000002</v>
      </c>
      <c r="J24" s="191">
        <f t="shared" si="9"/>
        <v>20.426489439883845</v>
      </c>
      <c r="K24" s="194">
        <f t="shared" si="10"/>
        <v>217.08248943988386</v>
      </c>
      <c r="L24" s="193">
        <f t="shared" si="0"/>
        <v>9.0160000000000196</v>
      </c>
      <c r="M24" s="195">
        <f t="shared" si="1"/>
        <v>4.3332302209121432E-2</v>
      </c>
    </row>
    <row r="25" spans="2:13" x14ac:dyDescent="0.2">
      <c r="B25" s="188">
        <f t="shared" si="11"/>
        <v>18</v>
      </c>
      <c r="C25" s="189">
        <f t="shared" si="2"/>
        <v>1700</v>
      </c>
      <c r="D25" s="190">
        <f t="shared" si="16"/>
        <v>24.76</v>
      </c>
      <c r="E25" s="191">
        <f t="shared" si="17"/>
        <v>173.06</v>
      </c>
      <c r="F25" s="191">
        <f t="shared" si="5"/>
        <v>21.703145029876584</v>
      </c>
      <c r="G25" s="192">
        <f t="shared" si="6"/>
        <v>219.52314502987659</v>
      </c>
      <c r="H25" s="193">
        <f t="shared" si="18"/>
        <v>36.479999999999997</v>
      </c>
      <c r="I25" s="191">
        <f t="shared" si="19"/>
        <v>170.18700000000001</v>
      </c>
      <c r="J25" s="191">
        <f t="shared" si="9"/>
        <v>21.703145029876584</v>
      </c>
      <c r="K25" s="194">
        <f t="shared" si="10"/>
        <v>228.3701450298766</v>
      </c>
      <c r="L25" s="193">
        <f t="shared" si="0"/>
        <v>8.8470000000000084</v>
      </c>
      <c r="M25" s="195">
        <f t="shared" si="1"/>
        <v>4.0300989669203001E-2</v>
      </c>
    </row>
    <row r="26" spans="2:13" x14ac:dyDescent="0.2">
      <c r="B26" s="188">
        <f t="shared" si="11"/>
        <v>19</v>
      </c>
      <c r="C26" s="189">
        <f t="shared" si="2"/>
        <v>1800</v>
      </c>
      <c r="D26" s="190">
        <f t="shared" si="16"/>
        <v>24.76</v>
      </c>
      <c r="E26" s="191">
        <f t="shared" si="17"/>
        <v>183.24</v>
      </c>
      <c r="F26" s="191">
        <f t="shared" si="5"/>
        <v>22.979800619869323</v>
      </c>
      <c r="G26" s="192">
        <f t="shared" si="6"/>
        <v>230.97980061986931</v>
      </c>
      <c r="H26" s="193">
        <f t="shared" si="18"/>
        <v>36.479999999999997</v>
      </c>
      <c r="I26" s="191">
        <f t="shared" si="19"/>
        <v>180.19800000000001</v>
      </c>
      <c r="J26" s="191">
        <f t="shared" si="9"/>
        <v>22.979800619869323</v>
      </c>
      <c r="K26" s="194">
        <f t="shared" si="10"/>
        <v>239.65780061986931</v>
      </c>
      <c r="L26" s="193">
        <f t="shared" si="0"/>
        <v>8.6779999999999973</v>
      </c>
      <c r="M26" s="195">
        <f t="shared" si="1"/>
        <v>3.7570384841926735E-2</v>
      </c>
    </row>
    <row r="27" spans="2:13" x14ac:dyDescent="0.2">
      <c r="B27" s="188">
        <f t="shared" si="11"/>
        <v>20</v>
      </c>
      <c r="C27" s="189">
        <f t="shared" si="2"/>
        <v>1900</v>
      </c>
      <c r="D27" s="190">
        <f t="shared" si="16"/>
        <v>24.76</v>
      </c>
      <c r="E27" s="191">
        <f t="shared" si="17"/>
        <v>193.42000000000002</v>
      </c>
      <c r="F27" s="191">
        <f t="shared" si="5"/>
        <v>24.256456209862066</v>
      </c>
      <c r="G27" s="192">
        <f t="shared" si="6"/>
        <v>242.43645620986206</v>
      </c>
      <c r="H27" s="193">
        <f t="shared" si="18"/>
        <v>36.479999999999997</v>
      </c>
      <c r="I27" s="191">
        <f t="shared" si="19"/>
        <v>190.209</v>
      </c>
      <c r="J27" s="191">
        <f t="shared" si="9"/>
        <v>24.256456209862066</v>
      </c>
      <c r="K27" s="194">
        <f t="shared" si="10"/>
        <v>250.94545620986207</v>
      </c>
      <c r="L27" s="193">
        <f t="shared" si="0"/>
        <v>8.5090000000000146</v>
      </c>
      <c r="M27" s="195">
        <f t="shared" si="1"/>
        <v>3.509785670449788E-2</v>
      </c>
    </row>
    <row r="28" spans="2:13" x14ac:dyDescent="0.2">
      <c r="B28" s="188">
        <f t="shared" si="11"/>
        <v>21</v>
      </c>
      <c r="C28" s="189">
        <f t="shared" si="2"/>
        <v>2000</v>
      </c>
      <c r="D28" s="190">
        <f t="shared" si="16"/>
        <v>24.76</v>
      </c>
      <c r="E28" s="191">
        <f t="shared" si="17"/>
        <v>203.6</v>
      </c>
      <c r="F28" s="191">
        <f t="shared" si="5"/>
        <v>25.533111799854805</v>
      </c>
      <c r="G28" s="192">
        <f t="shared" si="6"/>
        <v>253.89311179985478</v>
      </c>
      <c r="H28" s="193">
        <f t="shared" si="18"/>
        <v>36.479999999999997</v>
      </c>
      <c r="I28" s="191">
        <f t="shared" si="19"/>
        <v>200.22</v>
      </c>
      <c r="J28" s="191">
        <f t="shared" si="9"/>
        <v>25.533111799854805</v>
      </c>
      <c r="K28" s="194">
        <f t="shared" si="10"/>
        <v>262.23311179985478</v>
      </c>
      <c r="L28" s="193">
        <f t="shared" si="0"/>
        <v>8.3400000000000034</v>
      </c>
      <c r="M28" s="195">
        <f t="shared" si="1"/>
        <v>3.2848468951668403E-2</v>
      </c>
    </row>
    <row r="29" spans="2:13" x14ac:dyDescent="0.2">
      <c r="B29" s="188">
        <f t="shared" si="11"/>
        <v>22</v>
      </c>
      <c r="C29" s="189">
        <f t="shared" si="2"/>
        <v>2100</v>
      </c>
      <c r="D29" s="190">
        <f t="shared" si="16"/>
        <v>24.76</v>
      </c>
      <c r="E29" s="191">
        <f t="shared" si="17"/>
        <v>213.78</v>
      </c>
      <c r="F29" s="191">
        <f t="shared" si="5"/>
        <v>26.809767389847543</v>
      </c>
      <c r="G29" s="192">
        <f t="shared" si="6"/>
        <v>265.34976738984756</v>
      </c>
      <c r="H29" s="193">
        <f t="shared" si="18"/>
        <v>36.479999999999997</v>
      </c>
      <c r="I29" s="191">
        <f t="shared" si="19"/>
        <v>210.23100000000002</v>
      </c>
      <c r="J29" s="191">
        <f t="shared" si="9"/>
        <v>26.809767389847543</v>
      </c>
      <c r="K29" s="194">
        <f t="shared" si="10"/>
        <v>273.52076738984755</v>
      </c>
      <c r="L29" s="193">
        <f t="shared" si="0"/>
        <v>8.1709999999999923</v>
      </c>
      <c r="M29" s="195">
        <f t="shared" si="1"/>
        <v>3.0793318872578065E-2</v>
      </c>
    </row>
    <row r="30" spans="2:13" x14ac:dyDescent="0.2">
      <c r="B30" s="188">
        <f t="shared" si="11"/>
        <v>23</v>
      </c>
      <c r="C30" s="189">
        <f t="shared" si="2"/>
        <v>2200</v>
      </c>
      <c r="D30" s="190">
        <f t="shared" si="16"/>
        <v>24.76</v>
      </c>
      <c r="E30" s="191">
        <f t="shared" si="17"/>
        <v>223.96</v>
      </c>
      <c r="F30" s="191">
        <f t="shared" si="5"/>
        <v>28.086422979840286</v>
      </c>
      <c r="G30" s="192">
        <f t="shared" si="6"/>
        <v>276.80642297984031</v>
      </c>
      <c r="H30" s="193">
        <f t="shared" si="18"/>
        <v>36.479999999999997</v>
      </c>
      <c r="I30" s="191">
        <f t="shared" si="19"/>
        <v>220.24200000000002</v>
      </c>
      <c r="J30" s="191">
        <f t="shared" si="9"/>
        <v>28.086422979840286</v>
      </c>
      <c r="K30" s="194">
        <f t="shared" si="10"/>
        <v>284.80842297984032</v>
      </c>
      <c r="L30" s="193">
        <f t="shared" si="0"/>
        <v>8.0020000000000095</v>
      </c>
      <c r="M30" s="195">
        <f t="shared" si="1"/>
        <v>2.8908288737876549E-2</v>
      </c>
    </row>
    <row r="31" spans="2:13" x14ac:dyDescent="0.2">
      <c r="B31" s="188">
        <f t="shared" si="11"/>
        <v>24</v>
      </c>
      <c r="C31" s="189">
        <f t="shared" si="2"/>
        <v>2300</v>
      </c>
      <c r="D31" s="190">
        <f t="shared" si="16"/>
        <v>24.76</v>
      </c>
      <c r="E31" s="191">
        <f t="shared" si="17"/>
        <v>234.14000000000001</v>
      </c>
      <c r="F31" s="191">
        <f t="shared" si="5"/>
        <v>29.363078569833025</v>
      </c>
      <c r="G31" s="192">
        <f t="shared" si="6"/>
        <v>288.26307856983306</v>
      </c>
      <c r="H31" s="193">
        <f t="shared" si="18"/>
        <v>36.479999999999997</v>
      </c>
      <c r="I31" s="191">
        <f t="shared" si="19"/>
        <v>230.25300000000001</v>
      </c>
      <c r="J31" s="191">
        <f t="shared" si="9"/>
        <v>29.363078569833025</v>
      </c>
      <c r="K31" s="194">
        <f t="shared" si="10"/>
        <v>296.09607856983303</v>
      </c>
      <c r="L31" s="193">
        <f t="shared" si="0"/>
        <v>7.83299999999997</v>
      </c>
      <c r="M31" s="195">
        <f t="shared" si="1"/>
        <v>2.7173094934190088E-2</v>
      </c>
    </row>
    <row r="32" spans="2:13" x14ac:dyDescent="0.2">
      <c r="B32" s="188">
        <f t="shared" si="11"/>
        <v>25</v>
      </c>
      <c r="C32" s="189">
        <f t="shared" si="2"/>
        <v>2400</v>
      </c>
      <c r="D32" s="190">
        <f t="shared" si="16"/>
        <v>24.76</v>
      </c>
      <c r="E32" s="191">
        <f t="shared" si="17"/>
        <v>244.32</v>
      </c>
      <c r="F32" s="191">
        <f t="shared" si="5"/>
        <v>30.639734159825764</v>
      </c>
      <c r="G32" s="192">
        <f t="shared" si="6"/>
        <v>299.71973415982575</v>
      </c>
      <c r="H32" s="193">
        <f t="shared" si="18"/>
        <v>36.479999999999997</v>
      </c>
      <c r="I32" s="191">
        <f t="shared" si="19"/>
        <v>240.26400000000001</v>
      </c>
      <c r="J32" s="191">
        <f t="shared" si="9"/>
        <v>30.639734159825764</v>
      </c>
      <c r="K32" s="194">
        <f t="shared" si="10"/>
        <v>307.38373415982579</v>
      </c>
      <c r="L32" s="193">
        <f t="shared" si="0"/>
        <v>7.6640000000000441</v>
      </c>
      <c r="M32" s="195">
        <f t="shared" si="1"/>
        <v>2.5570555177101589E-2</v>
      </c>
    </row>
    <row r="33" spans="2:13" x14ac:dyDescent="0.2">
      <c r="B33" s="188">
        <f t="shared" si="11"/>
        <v>26</v>
      </c>
      <c r="C33" s="189">
        <f t="shared" si="2"/>
        <v>2500</v>
      </c>
      <c r="D33" s="190">
        <f t="shared" si="16"/>
        <v>24.76</v>
      </c>
      <c r="E33" s="191">
        <f t="shared" si="17"/>
        <v>254.5</v>
      </c>
      <c r="F33" s="191">
        <f t="shared" si="5"/>
        <v>31.916389749818507</v>
      </c>
      <c r="G33" s="192">
        <f t="shared" si="6"/>
        <v>311.1763897498185</v>
      </c>
      <c r="H33" s="193">
        <f t="shared" si="18"/>
        <v>36.479999999999997</v>
      </c>
      <c r="I33" s="191">
        <f t="shared" si="19"/>
        <v>250.27500000000001</v>
      </c>
      <c r="J33" s="191">
        <f t="shared" si="9"/>
        <v>31.916389749818507</v>
      </c>
      <c r="K33" s="194">
        <f t="shared" si="10"/>
        <v>318.6713897498185</v>
      </c>
      <c r="L33" s="193">
        <f t="shared" si="0"/>
        <v>7.4950000000000045</v>
      </c>
      <c r="M33" s="195">
        <f t="shared" si="1"/>
        <v>2.4086017599297557E-2</v>
      </c>
    </row>
    <row r="34" spans="2:13" x14ac:dyDescent="0.2">
      <c r="B34" s="188">
        <f t="shared" si="11"/>
        <v>27</v>
      </c>
      <c r="C34" s="189">
        <f t="shared" si="2"/>
        <v>2600</v>
      </c>
      <c r="D34" s="190">
        <f t="shared" si="16"/>
        <v>24.76</v>
      </c>
      <c r="E34" s="191">
        <f t="shared" si="17"/>
        <v>264.68</v>
      </c>
      <c r="F34" s="191">
        <f t="shared" si="5"/>
        <v>33.193045339811249</v>
      </c>
      <c r="G34" s="192">
        <f t="shared" si="6"/>
        <v>322.63304533981125</v>
      </c>
      <c r="H34" s="193">
        <f t="shared" si="18"/>
        <v>36.479999999999997</v>
      </c>
      <c r="I34" s="191">
        <f t="shared" si="19"/>
        <v>260.286</v>
      </c>
      <c r="J34" s="191">
        <f t="shared" si="9"/>
        <v>33.193045339811249</v>
      </c>
      <c r="K34" s="194">
        <f t="shared" si="10"/>
        <v>329.95904533981127</v>
      </c>
      <c r="L34" s="193">
        <f t="shared" si="0"/>
        <v>7.3260000000000218</v>
      </c>
      <c r="M34" s="195">
        <f t="shared" si="1"/>
        <v>2.2706911476733444E-2</v>
      </c>
    </row>
    <row r="35" spans="2:13" x14ac:dyDescent="0.2">
      <c r="B35" s="188">
        <f t="shared" si="11"/>
        <v>28</v>
      </c>
      <c r="C35" s="189">
        <f t="shared" si="2"/>
        <v>2700</v>
      </c>
      <c r="D35" s="190">
        <f t="shared" si="16"/>
        <v>24.76</v>
      </c>
      <c r="E35" s="191">
        <f t="shared" si="17"/>
        <v>274.86</v>
      </c>
      <c r="F35" s="191">
        <f t="shared" si="5"/>
        <v>34.469700929803984</v>
      </c>
      <c r="G35" s="192">
        <f t="shared" si="6"/>
        <v>334.089700929804</v>
      </c>
      <c r="H35" s="193">
        <f t="shared" si="18"/>
        <v>36.479999999999997</v>
      </c>
      <c r="I35" s="191">
        <f t="shared" si="19"/>
        <v>270.29700000000003</v>
      </c>
      <c r="J35" s="191">
        <f t="shared" si="9"/>
        <v>34.469700929803984</v>
      </c>
      <c r="K35" s="194">
        <f t="shared" si="10"/>
        <v>341.24670092980404</v>
      </c>
      <c r="L35" s="193">
        <f t="shared" si="0"/>
        <v>7.1570000000000391</v>
      </c>
      <c r="M35" s="195">
        <f t="shared" si="1"/>
        <v>2.1422390394200765E-2</v>
      </c>
    </row>
    <row r="36" spans="2:13" x14ac:dyDescent="0.2">
      <c r="B36" s="188">
        <f t="shared" si="11"/>
        <v>29</v>
      </c>
      <c r="C36" s="189">
        <f t="shared" si="2"/>
        <v>2800</v>
      </c>
      <c r="D36" s="190">
        <f t="shared" si="16"/>
        <v>24.76</v>
      </c>
      <c r="E36" s="191">
        <f t="shared" si="17"/>
        <v>285.04000000000002</v>
      </c>
      <c r="F36" s="191">
        <f t="shared" si="5"/>
        <v>35.746356519796727</v>
      </c>
      <c r="G36" s="192">
        <f t="shared" si="6"/>
        <v>345.54635651979675</v>
      </c>
      <c r="H36" s="193">
        <f t="shared" si="18"/>
        <v>36.479999999999997</v>
      </c>
      <c r="I36" s="191">
        <f t="shared" si="19"/>
        <v>280.30799999999999</v>
      </c>
      <c r="J36" s="191">
        <f t="shared" si="9"/>
        <v>35.746356519796727</v>
      </c>
      <c r="K36" s="194">
        <f t="shared" si="10"/>
        <v>352.53435651979675</v>
      </c>
      <c r="L36" s="193">
        <f t="shared" si="0"/>
        <v>6.9879999999999995</v>
      </c>
      <c r="M36" s="195">
        <f t="shared" si="1"/>
        <v>2.0223046396380246E-2</v>
      </c>
    </row>
    <row r="37" spans="2:13" x14ac:dyDescent="0.2">
      <c r="B37" s="188">
        <f t="shared" si="11"/>
        <v>30</v>
      </c>
      <c r="C37" s="189">
        <f t="shared" si="2"/>
        <v>2900</v>
      </c>
      <c r="D37" s="190">
        <f t="shared" si="16"/>
        <v>24.76</v>
      </c>
      <c r="E37" s="191">
        <f t="shared" si="17"/>
        <v>295.22000000000003</v>
      </c>
      <c r="F37" s="191">
        <f t="shared" si="5"/>
        <v>37.02301210978947</v>
      </c>
      <c r="G37" s="192">
        <f t="shared" si="6"/>
        <v>357.00301210978949</v>
      </c>
      <c r="H37" s="193">
        <f t="shared" si="18"/>
        <v>36.479999999999997</v>
      </c>
      <c r="I37" s="191">
        <f t="shared" si="19"/>
        <v>290.31900000000002</v>
      </c>
      <c r="J37" s="191">
        <f t="shared" si="9"/>
        <v>37.02301210978947</v>
      </c>
      <c r="K37" s="194">
        <f t="shared" si="10"/>
        <v>363.82201210978951</v>
      </c>
      <c r="L37" s="193">
        <f t="shared" si="0"/>
        <v>6.8190000000000168</v>
      </c>
      <c r="M37" s="195">
        <f t="shared" si="1"/>
        <v>1.9100679178311701E-2</v>
      </c>
    </row>
    <row r="38" spans="2:13" ht="13.5" thickBot="1" x14ac:dyDescent="0.25">
      <c r="B38" s="188">
        <f t="shared" si="11"/>
        <v>31</v>
      </c>
      <c r="C38" s="202">
        <f t="shared" si="2"/>
        <v>3000</v>
      </c>
      <c r="D38" s="196">
        <f t="shared" si="16"/>
        <v>24.76</v>
      </c>
      <c r="E38" s="197">
        <f t="shared" si="17"/>
        <v>305.39999999999998</v>
      </c>
      <c r="F38" s="197">
        <f t="shared" si="5"/>
        <v>38.299667699782205</v>
      </c>
      <c r="G38" s="198">
        <f t="shared" si="6"/>
        <v>368.45966769978219</v>
      </c>
      <c r="H38" s="199">
        <f t="shared" si="18"/>
        <v>36.479999999999997</v>
      </c>
      <c r="I38" s="197">
        <f t="shared" si="19"/>
        <v>300.33000000000004</v>
      </c>
      <c r="J38" s="197">
        <f t="shared" si="9"/>
        <v>38.299667699782205</v>
      </c>
      <c r="K38" s="200">
        <f t="shared" si="10"/>
        <v>375.10966769978228</v>
      </c>
      <c r="L38" s="199">
        <f t="shared" si="0"/>
        <v>6.6500000000000909</v>
      </c>
      <c r="M38" s="201">
        <f t="shared" si="1"/>
        <v>1.8048108335749938E-2</v>
      </c>
    </row>
    <row r="39" spans="2:13" ht="14.25" thickTop="1" thickBot="1" x14ac:dyDescent="0.25">
      <c r="B39" s="241" t="s">
        <v>244</v>
      </c>
      <c r="C39" s="242">
        <f>'10'!D15/'10'!D11</f>
        <v>998.9490204770002</v>
      </c>
      <c r="D39" s="196">
        <f t="shared" si="16"/>
        <v>24.76</v>
      </c>
      <c r="E39" s="197">
        <f t="shared" ref="E39" si="20">$E$7*C39</f>
        <v>101.69301028455862</v>
      </c>
      <c r="F39" s="197">
        <f t="shared" ref="F39" si="21">F$7*C39</f>
        <v>12.753138511097346</v>
      </c>
      <c r="G39" s="198">
        <f t="shared" ref="G39" si="22">E39+D39+F39</f>
        <v>139.20614879565596</v>
      </c>
      <c r="H39" s="199">
        <f t="shared" si="18"/>
        <v>36.479999999999997</v>
      </c>
      <c r="I39" s="197">
        <f t="shared" ref="I39" si="23">$I$7*C39</f>
        <v>100.0047864399525</v>
      </c>
      <c r="J39" s="197">
        <f t="shared" ref="J39" si="24">J$7*C39</f>
        <v>12.753138511097346</v>
      </c>
      <c r="K39" s="200">
        <f t="shared" ref="K39" si="25">H39+I39+J39</f>
        <v>149.23792495104985</v>
      </c>
      <c r="L39" s="199">
        <f t="shared" ref="L39" si="26">K39-G39</f>
        <v>10.031776155393885</v>
      </c>
      <c r="M39" s="201">
        <f t="shared" ref="M39" si="27">L39/G39</f>
        <v>7.2064174191901323E-2</v>
      </c>
    </row>
    <row r="40" spans="2:13" ht="13.5" thickTop="1" x14ac:dyDescent="0.2"/>
  </sheetData>
  <mergeCells count="3">
    <mergeCell ref="D5:G5"/>
    <mergeCell ref="H5:K5"/>
    <mergeCell ref="L5:M5"/>
  </mergeCells>
  <printOptions horizontalCentered="1"/>
  <pageMargins left="1" right="0.75" top="0.75" bottom="0.75" header="0.3" footer="0.3"/>
  <pageSetup scale="76" fitToHeight="2" orientation="portrait" r:id="rId1"/>
  <headerFooter>
    <oddFooter>&amp;RExhibit JW-9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5" tint="0.59999389629810485"/>
    <pageSetUpPr fitToPage="1"/>
  </sheetPr>
  <dimension ref="A1:K60"/>
  <sheetViews>
    <sheetView view="pageBreakPreview" topLeftCell="A21" zoomScaleNormal="75" zoomScaleSheetLayoutView="100" workbookViewId="0">
      <selection activeCell="T28" sqref="T28"/>
    </sheetView>
  </sheetViews>
  <sheetFormatPr defaultRowHeight="12.75" x14ac:dyDescent="0.2"/>
  <cols>
    <col min="1" max="1" width="9.140625" style="137"/>
    <col min="2" max="2" width="2.7109375" style="137" customWidth="1"/>
    <col min="3" max="3" width="37.5703125" style="137" bestFit="1" customWidth="1"/>
    <col min="4" max="4" width="13.5703125" style="137" customWidth="1"/>
    <col min="5" max="6" width="14" style="137" bestFit="1" customWidth="1"/>
    <col min="7" max="7" width="9.140625" style="137"/>
    <col min="8" max="8" width="37" bestFit="1" customWidth="1"/>
    <col min="9" max="9" width="14.7109375" customWidth="1"/>
    <col min="10" max="10" width="10.140625" style="137" customWidth="1"/>
    <col min="14" max="14" width="52" bestFit="1" customWidth="1"/>
  </cols>
  <sheetData>
    <row r="1" spans="1:11" ht="18.75" x14ac:dyDescent="0.3">
      <c r="A1" s="82" t="s">
        <v>129</v>
      </c>
      <c r="B1" s="133"/>
      <c r="C1" s="133"/>
      <c r="D1" s="133"/>
      <c r="E1" s="133"/>
      <c r="F1" s="133"/>
      <c r="G1" s="133"/>
      <c r="J1" s="133"/>
    </row>
    <row r="2" spans="1:11" x14ac:dyDescent="0.2">
      <c r="A2" s="132"/>
      <c r="B2" s="133"/>
      <c r="C2" s="133"/>
      <c r="D2" s="133"/>
      <c r="E2" s="133"/>
      <c r="F2" s="133"/>
      <c r="G2" s="133"/>
      <c r="J2" s="133"/>
    </row>
    <row r="3" spans="1:11" x14ac:dyDescent="0.2">
      <c r="A3" s="132" t="s">
        <v>118</v>
      </c>
      <c r="B3" s="133"/>
      <c r="C3" s="133"/>
      <c r="D3" s="133"/>
      <c r="E3" s="133"/>
      <c r="F3" s="133"/>
      <c r="G3" s="133"/>
      <c r="J3" s="133"/>
    </row>
    <row r="4" spans="1:11" ht="12.75" customHeight="1" x14ac:dyDescent="0.2">
      <c r="A4" s="133"/>
      <c r="B4" s="133"/>
      <c r="C4" s="133"/>
      <c r="D4" s="133"/>
      <c r="E4" s="133"/>
      <c r="F4" s="133"/>
      <c r="G4" s="133"/>
    </row>
    <row r="5" spans="1:11" ht="12.75" customHeight="1" x14ac:dyDescent="0.2">
      <c r="A5" s="133"/>
      <c r="B5" s="133"/>
      <c r="C5" s="133"/>
      <c r="D5" s="133"/>
      <c r="E5" s="258" t="s">
        <v>55</v>
      </c>
      <c r="F5" s="258"/>
      <c r="G5" s="133"/>
    </row>
    <row r="6" spans="1:11" x14ac:dyDescent="0.2">
      <c r="A6" s="133"/>
      <c r="B6" s="134" t="s">
        <v>54</v>
      </c>
      <c r="C6" s="133"/>
      <c r="D6" s="215" t="s">
        <v>61</v>
      </c>
      <c r="E6" s="210" t="s">
        <v>57</v>
      </c>
      <c r="F6" s="210" t="s">
        <v>58</v>
      </c>
      <c r="G6" s="133"/>
    </row>
    <row r="7" spans="1:11" x14ac:dyDescent="0.2">
      <c r="A7" s="133"/>
      <c r="B7" s="135" t="s">
        <v>28</v>
      </c>
      <c r="C7" s="150"/>
      <c r="D7" s="151">
        <v>10</v>
      </c>
      <c r="E7" s="150"/>
      <c r="F7" s="150"/>
      <c r="G7" s="133"/>
    </row>
    <row r="8" spans="1:11" x14ac:dyDescent="0.2">
      <c r="A8" s="133"/>
      <c r="B8" s="135"/>
      <c r="C8" s="204" t="s">
        <v>232</v>
      </c>
      <c r="D8" s="204"/>
      <c r="E8" s="220">
        <f>'Present and Proposed Rates'!G9</f>
        <v>24.76</v>
      </c>
      <c r="F8" s="220">
        <f>'Present and Proposed Rates'!H9</f>
        <v>36.479999999999997</v>
      </c>
      <c r="G8" s="133"/>
    </row>
    <row r="9" spans="1:11" x14ac:dyDescent="0.2">
      <c r="A9" s="133"/>
      <c r="B9" s="136"/>
      <c r="C9" s="204" t="s">
        <v>233</v>
      </c>
      <c r="D9" s="204"/>
      <c r="E9" s="205">
        <f>'Present and Proposed Rates'!G10</f>
        <v>0.1018</v>
      </c>
      <c r="F9" s="205">
        <f>'Present and Proposed Rates'!H10</f>
        <v>0.10011</v>
      </c>
      <c r="G9" s="133"/>
    </row>
    <row r="10" spans="1:11" x14ac:dyDescent="0.2">
      <c r="A10" s="133"/>
      <c r="B10" s="136"/>
      <c r="C10" s="204"/>
      <c r="D10" s="204"/>
      <c r="E10" s="205"/>
      <c r="F10" s="205"/>
      <c r="G10" s="133"/>
    </row>
    <row r="11" spans="1:11" x14ac:dyDescent="0.2">
      <c r="A11" s="133"/>
      <c r="B11" s="135" t="s">
        <v>224</v>
      </c>
      <c r="C11" s="150"/>
      <c r="D11" s="151"/>
      <c r="E11" s="150"/>
      <c r="F11" s="150"/>
      <c r="G11" s="133"/>
    </row>
    <row r="12" spans="1:11" x14ac:dyDescent="0.2">
      <c r="A12" s="133"/>
      <c r="B12" s="150"/>
      <c r="C12" s="150" t="s">
        <v>130</v>
      </c>
      <c r="D12" s="151">
        <v>11</v>
      </c>
      <c r="E12" s="213"/>
      <c r="F12" s="213"/>
      <c r="G12" s="133"/>
    </row>
    <row r="13" spans="1:11" x14ac:dyDescent="0.2">
      <c r="A13" s="133"/>
      <c r="B13" s="150"/>
      <c r="C13" s="150" t="s">
        <v>131</v>
      </c>
      <c r="D13" s="151">
        <v>20</v>
      </c>
      <c r="E13" s="213"/>
      <c r="F13" s="213"/>
      <c r="G13" s="133"/>
    </row>
    <row r="14" spans="1:11" x14ac:dyDescent="0.2">
      <c r="A14" s="133"/>
      <c r="B14" s="150"/>
      <c r="C14" s="150" t="s">
        <v>132</v>
      </c>
      <c r="D14" s="151">
        <v>22</v>
      </c>
      <c r="E14" s="213"/>
      <c r="F14" s="213"/>
      <c r="G14" s="133"/>
    </row>
    <row r="15" spans="1:11" ht="12.75" customHeight="1" x14ac:dyDescent="0.2">
      <c r="A15" s="133"/>
      <c r="B15" s="150"/>
      <c r="C15" s="150" t="s">
        <v>133</v>
      </c>
      <c r="D15" s="151">
        <v>40</v>
      </c>
      <c r="E15" s="213"/>
      <c r="F15" s="213"/>
      <c r="G15" s="133"/>
      <c r="K15" s="149"/>
    </row>
    <row r="16" spans="1:11" x14ac:dyDescent="0.2">
      <c r="A16" s="133"/>
      <c r="C16" s="150" t="s">
        <v>134</v>
      </c>
      <c r="D16" s="151">
        <v>46</v>
      </c>
      <c r="E16" s="214"/>
      <c r="F16" s="214"/>
      <c r="G16" s="133"/>
      <c r="K16" s="149"/>
    </row>
    <row r="17" spans="1:7" ht="12.75" customHeight="1" x14ac:dyDescent="0.2">
      <c r="A17" s="133"/>
      <c r="C17" s="150" t="s">
        <v>135</v>
      </c>
      <c r="D17" s="151">
        <v>47</v>
      </c>
      <c r="E17" s="214"/>
      <c r="F17" s="214"/>
      <c r="G17" s="133"/>
    </row>
    <row r="18" spans="1:7" x14ac:dyDescent="0.2">
      <c r="A18" s="133"/>
      <c r="C18" s="150" t="s">
        <v>218</v>
      </c>
      <c r="D18" s="151">
        <v>50</v>
      </c>
      <c r="E18" s="214"/>
      <c r="F18" s="214"/>
      <c r="G18" s="133"/>
    </row>
    <row r="19" spans="1:7" x14ac:dyDescent="0.2">
      <c r="A19" s="133"/>
      <c r="C19" s="150" t="s">
        <v>137</v>
      </c>
      <c r="D19" s="151">
        <v>52</v>
      </c>
      <c r="E19" s="214"/>
      <c r="F19" s="214"/>
      <c r="G19" s="133"/>
    </row>
    <row r="20" spans="1:7" x14ac:dyDescent="0.2">
      <c r="A20" s="133"/>
      <c r="C20" s="150" t="s">
        <v>138</v>
      </c>
      <c r="D20" s="151" t="s">
        <v>139</v>
      </c>
      <c r="E20" s="214"/>
      <c r="F20" s="214"/>
      <c r="G20" s="133"/>
    </row>
    <row r="21" spans="1:7" x14ac:dyDescent="0.2">
      <c r="A21" s="133"/>
      <c r="C21" s="150" t="s">
        <v>226</v>
      </c>
      <c r="D21" s="209">
        <v>48</v>
      </c>
      <c r="E21" s="214"/>
      <c r="F21" s="214"/>
      <c r="G21" s="133"/>
    </row>
    <row r="22" spans="1:7" x14ac:dyDescent="0.2">
      <c r="A22" s="133"/>
      <c r="C22" s="137" t="s">
        <v>227</v>
      </c>
      <c r="D22" s="214"/>
      <c r="E22" s="214"/>
      <c r="F22" s="214"/>
      <c r="G22" s="133"/>
    </row>
    <row r="23" spans="1:7" x14ac:dyDescent="0.2">
      <c r="A23" s="133"/>
      <c r="C23" s="137" t="s">
        <v>228</v>
      </c>
      <c r="D23" s="214"/>
      <c r="E23" s="214"/>
      <c r="F23" s="214"/>
      <c r="G23" s="133"/>
    </row>
    <row r="24" spans="1:7" x14ac:dyDescent="0.2">
      <c r="A24" s="133"/>
      <c r="C24" s="137" t="s">
        <v>229</v>
      </c>
      <c r="D24" s="214"/>
      <c r="E24" s="214"/>
      <c r="F24" s="214"/>
      <c r="G24" s="133"/>
    </row>
    <row r="25" spans="1:7" x14ac:dyDescent="0.2">
      <c r="A25" s="133"/>
      <c r="C25" s="137" t="s">
        <v>230</v>
      </c>
      <c r="D25" s="214"/>
      <c r="E25" s="214"/>
      <c r="F25" s="214"/>
      <c r="G25" s="133"/>
    </row>
    <row r="26" spans="1:7" x14ac:dyDescent="0.2">
      <c r="A26" s="133"/>
      <c r="C26" s="137" t="s">
        <v>231</v>
      </c>
      <c r="D26" s="214"/>
      <c r="E26" s="214"/>
      <c r="F26" s="214"/>
      <c r="G26" s="133"/>
    </row>
    <row r="27" spans="1:7" x14ac:dyDescent="0.2">
      <c r="A27" s="133"/>
      <c r="D27" s="214"/>
      <c r="E27" s="214"/>
      <c r="F27" s="214"/>
      <c r="G27" s="133"/>
    </row>
    <row r="28" spans="1:7" x14ac:dyDescent="0.2">
      <c r="A28" s="133"/>
      <c r="G28" s="133"/>
    </row>
    <row r="29" spans="1:7" ht="48.75" customHeight="1" x14ac:dyDescent="0.2">
      <c r="A29" s="133"/>
      <c r="C29" s="260" t="s">
        <v>121</v>
      </c>
      <c r="D29" s="260"/>
      <c r="E29" s="260"/>
      <c r="G29" s="133"/>
    </row>
    <row r="30" spans="1:7" x14ac:dyDescent="0.2">
      <c r="A30" s="133"/>
      <c r="C30" s="211"/>
      <c r="D30" s="211"/>
      <c r="E30" s="211"/>
      <c r="G30" s="133"/>
    </row>
    <row r="31" spans="1:7" x14ac:dyDescent="0.2">
      <c r="D31" s="259" t="s">
        <v>59</v>
      </c>
      <c r="E31" s="259"/>
    </row>
    <row r="32" spans="1:7" x14ac:dyDescent="0.2">
      <c r="C32" s="134" t="s">
        <v>54</v>
      </c>
      <c r="D32" s="148" t="s">
        <v>123</v>
      </c>
      <c r="E32" s="148" t="s">
        <v>117</v>
      </c>
    </row>
    <row r="33" spans="3:10" x14ac:dyDescent="0.2">
      <c r="C33" s="150" t="s">
        <v>28</v>
      </c>
      <c r="D33" s="142">
        <f>'Present and Proposed Rates'!O9</f>
        <v>5793611.5559199899</v>
      </c>
      <c r="E33" s="206">
        <f>'Present and Proposed Rates'!P9</f>
        <v>7.2064174191901087E-2</v>
      </c>
    </row>
    <row r="34" spans="3:10" x14ac:dyDescent="0.2">
      <c r="C34" s="150" t="s">
        <v>130</v>
      </c>
      <c r="D34" s="142">
        <f>'Present and Proposed Rates'!O11</f>
        <v>0</v>
      </c>
      <c r="E34" s="206">
        <f>'Present and Proposed Rates'!P11</f>
        <v>0</v>
      </c>
    </row>
    <row r="35" spans="3:10" x14ac:dyDescent="0.2">
      <c r="C35" s="150" t="s">
        <v>131</v>
      </c>
      <c r="D35" s="142">
        <f>'Present and Proposed Rates'!O13</f>
        <v>0</v>
      </c>
      <c r="E35" s="206">
        <f>'Present and Proposed Rates'!P13</f>
        <v>0</v>
      </c>
    </row>
    <row r="36" spans="3:10" x14ac:dyDescent="0.2">
      <c r="C36" s="150" t="s">
        <v>132</v>
      </c>
      <c r="D36" s="142">
        <f>'Present and Proposed Rates'!O15</f>
        <v>0</v>
      </c>
      <c r="E36" s="206">
        <f>'Present and Proposed Rates'!P15</f>
        <v>0</v>
      </c>
    </row>
    <row r="37" spans="3:10" x14ac:dyDescent="0.2">
      <c r="C37" s="150" t="s">
        <v>133</v>
      </c>
      <c r="D37" s="142">
        <f>'Present and Proposed Rates'!O17</f>
        <v>0</v>
      </c>
      <c r="E37" s="206">
        <f>'Present and Proposed Rates'!P17</f>
        <v>0</v>
      </c>
    </row>
    <row r="38" spans="3:10" x14ac:dyDescent="0.2">
      <c r="C38" s="150" t="s">
        <v>134</v>
      </c>
      <c r="D38" s="142">
        <f>'Present and Proposed Rates'!O20</f>
        <v>0</v>
      </c>
      <c r="E38" s="206">
        <f>'Present and Proposed Rates'!P20</f>
        <v>0</v>
      </c>
    </row>
    <row r="39" spans="3:10" x14ac:dyDescent="0.2">
      <c r="C39" s="150" t="s">
        <v>135</v>
      </c>
      <c r="D39" s="142">
        <f>'Present and Proposed Rates'!O23</f>
        <v>0</v>
      </c>
      <c r="E39" s="206">
        <f>'Present and Proposed Rates'!P23</f>
        <v>0</v>
      </c>
      <c r="J39" s="139"/>
    </row>
    <row r="40" spans="3:10" x14ac:dyDescent="0.2">
      <c r="C40" s="150" t="s">
        <v>218</v>
      </c>
      <c r="D40" s="142">
        <f>'Present and Proposed Rates'!O27</f>
        <v>0</v>
      </c>
      <c r="E40" s="206">
        <f>'Present and Proposed Rates'!P27</f>
        <v>0</v>
      </c>
      <c r="J40" s="139"/>
    </row>
    <row r="41" spans="3:10" x14ac:dyDescent="0.2">
      <c r="C41" s="150" t="s">
        <v>137</v>
      </c>
      <c r="D41" s="142">
        <f>'Present and Proposed Rates'!O29</f>
        <v>0</v>
      </c>
      <c r="E41" s="206">
        <f>'Present and Proposed Rates'!P29</f>
        <v>0</v>
      </c>
      <c r="J41" s="139"/>
    </row>
    <row r="42" spans="3:10" x14ac:dyDescent="0.2">
      <c r="C42" s="150" t="s">
        <v>138</v>
      </c>
      <c r="D42" s="142">
        <f>'Present and Proposed Rates'!O31</f>
        <v>0</v>
      </c>
      <c r="E42" s="206">
        <f>'Present and Proposed Rates'!P31</f>
        <v>0</v>
      </c>
      <c r="G42" s="141"/>
      <c r="J42" s="139"/>
    </row>
    <row r="43" spans="3:10" x14ac:dyDescent="0.2">
      <c r="C43" s="164" t="s">
        <v>84</v>
      </c>
      <c r="D43" s="143">
        <f>'Present and Proposed Rates'!O36</f>
        <v>5793611.5559199899</v>
      </c>
      <c r="E43" s="207">
        <f>'Present and Proposed Rates'!P36</f>
        <v>4.9528963141712373E-2</v>
      </c>
      <c r="G43" s="141"/>
      <c r="J43" s="139"/>
    </row>
    <row r="44" spans="3:10" x14ac:dyDescent="0.2">
      <c r="G44" s="141"/>
      <c r="J44" s="139"/>
    </row>
    <row r="45" spans="3:10" x14ac:dyDescent="0.2">
      <c r="G45" s="141"/>
      <c r="J45" s="139"/>
    </row>
    <row r="46" spans="3:10" ht="46.5" customHeight="1" x14ac:dyDescent="0.2">
      <c r="C46" s="260" t="s">
        <v>122</v>
      </c>
      <c r="D46" s="260"/>
      <c r="E46" s="260"/>
      <c r="F46" s="260"/>
      <c r="G46" s="141"/>
      <c r="J46" s="139"/>
    </row>
    <row r="47" spans="3:10" x14ac:dyDescent="0.2">
      <c r="C47" s="211"/>
      <c r="D47" s="211"/>
      <c r="E47" s="211"/>
      <c r="F47" s="211"/>
      <c r="G47" s="141"/>
      <c r="J47" s="139"/>
    </row>
    <row r="48" spans="3:10" x14ac:dyDescent="0.2">
      <c r="D48" s="146" t="s">
        <v>119</v>
      </c>
      <c r="E48" s="259" t="s">
        <v>59</v>
      </c>
      <c r="F48" s="259"/>
      <c r="G48" s="141"/>
    </row>
    <row r="49" spans="3:7" x14ac:dyDescent="0.2">
      <c r="C49" s="134" t="s">
        <v>54</v>
      </c>
      <c r="D49" s="147" t="s">
        <v>120</v>
      </c>
      <c r="E49" s="148" t="s">
        <v>123</v>
      </c>
      <c r="F49" s="148" t="s">
        <v>117</v>
      </c>
      <c r="G49" s="141"/>
    </row>
    <row r="50" spans="3:7" x14ac:dyDescent="0.2">
      <c r="C50" s="150" t="s">
        <v>28</v>
      </c>
      <c r="D50" s="145">
        <f>'10'!D15/'10'!D11</f>
        <v>998.9490204770002</v>
      </c>
      <c r="E50" s="141">
        <f>'Present and Proposed Rates'!Q9</f>
        <v>10.031776155393853</v>
      </c>
      <c r="F50" s="140">
        <f>'Present and Proposed Rates'!P9</f>
        <v>7.2064174191901087E-2</v>
      </c>
    </row>
    <row r="51" spans="3:7" x14ac:dyDescent="0.2">
      <c r="C51" s="150" t="s">
        <v>130</v>
      </c>
      <c r="D51" s="145">
        <f>'11'!D17/'11'!D12</f>
        <v>768.10467809170916</v>
      </c>
      <c r="E51" s="141">
        <f>'Present and Proposed Rates'!Q11</f>
        <v>0</v>
      </c>
      <c r="F51" s="140">
        <f>'Present and Proposed Rates'!P11</f>
        <v>0</v>
      </c>
    </row>
    <row r="52" spans="3:7" x14ac:dyDescent="0.2">
      <c r="C52" s="150" t="s">
        <v>131</v>
      </c>
      <c r="D52" s="145">
        <f>'20'!D17/'20'!D12</f>
        <v>1363.6625324421782</v>
      </c>
      <c r="E52" s="141">
        <f>'Present and Proposed Rates'!Q13</f>
        <v>0</v>
      </c>
      <c r="F52" s="140">
        <f>'Present and Proposed Rates'!P13</f>
        <v>0</v>
      </c>
    </row>
    <row r="53" spans="3:7" x14ac:dyDescent="0.2">
      <c r="C53" s="150" t="s">
        <v>132</v>
      </c>
      <c r="D53" s="145">
        <f>'22'!D17/'22'!D12</f>
        <v>661.42857142857144</v>
      </c>
      <c r="E53" s="141">
        <f>'Present and Proposed Rates'!Q15</f>
        <v>0</v>
      </c>
      <c r="F53" s="140">
        <f>'Present and Proposed Rates'!P15</f>
        <v>0</v>
      </c>
    </row>
    <row r="54" spans="3:7" x14ac:dyDescent="0.2">
      <c r="C54" s="150" t="s">
        <v>133</v>
      </c>
      <c r="D54" s="145">
        <f>'40'!D17/'40'!D12</f>
        <v>40443.660907127429</v>
      </c>
      <c r="E54" s="141">
        <f>'Present and Proposed Rates'!Q17</f>
        <v>0</v>
      </c>
      <c r="F54" s="140">
        <f>'Present and Proposed Rates'!P17</f>
        <v>0</v>
      </c>
    </row>
    <row r="55" spans="3:7" x14ac:dyDescent="0.2">
      <c r="C55" s="150" t="s">
        <v>134</v>
      </c>
      <c r="D55" s="145">
        <f>'46'!D17/'46'!D12</f>
        <v>1062832.1304347827</v>
      </c>
      <c r="E55" s="141">
        <f>'Present and Proposed Rates'!Q20</f>
        <v>0</v>
      </c>
      <c r="F55" s="140">
        <f>'Present and Proposed Rates'!P20</f>
        <v>0</v>
      </c>
    </row>
    <row r="56" spans="3:7" x14ac:dyDescent="0.2">
      <c r="C56" s="150" t="s">
        <v>135</v>
      </c>
      <c r="D56" s="145">
        <f>'47'!D17/'47'!D12</f>
        <v>891607.43661971833</v>
      </c>
      <c r="E56" s="141">
        <f>'Present and Proposed Rates'!Q23</f>
        <v>0</v>
      </c>
      <c r="F56" s="140">
        <f>'Present and Proposed Rates'!P23</f>
        <v>0</v>
      </c>
    </row>
    <row r="57" spans="3:7" x14ac:dyDescent="0.2">
      <c r="C57" s="150" t="s">
        <v>218</v>
      </c>
      <c r="D57" s="145">
        <f>'50'!D15/'50'!D11</f>
        <v>1900.6631473102061</v>
      </c>
      <c r="E57" s="141">
        <f>'Present and Proposed Rates'!Q27</f>
        <v>0</v>
      </c>
      <c r="F57" s="140">
        <f>'Present and Proposed Rates'!P27</f>
        <v>0</v>
      </c>
    </row>
    <row r="58" spans="3:7" x14ac:dyDescent="0.2">
      <c r="C58" s="150" t="s">
        <v>137</v>
      </c>
      <c r="D58" s="145">
        <f>'52'!D15/'52'!D11</f>
        <v>36010.945652173912</v>
      </c>
      <c r="E58" s="141">
        <f>'Present and Proposed Rates'!Q29</f>
        <v>0</v>
      </c>
      <c r="F58" s="140">
        <f>'Present and Proposed Rates'!P29</f>
        <v>0</v>
      </c>
    </row>
    <row r="59" spans="3:7" x14ac:dyDescent="0.2">
      <c r="C59" s="150" t="s">
        <v>138</v>
      </c>
      <c r="D59" s="208" t="s">
        <v>225</v>
      </c>
      <c r="E59" s="141">
        <f>'Present and Proposed Rates'!Q31</f>
        <v>0</v>
      </c>
      <c r="F59" s="140">
        <f>'Present and Proposed Rates'!P31</f>
        <v>0</v>
      </c>
    </row>
    <row r="60" spans="3:7" x14ac:dyDescent="0.2">
      <c r="C60" s="164" t="s">
        <v>84</v>
      </c>
      <c r="D60" s="216" t="s">
        <v>225</v>
      </c>
      <c r="E60" s="333" t="str">
        <f>'Present and Proposed Rates'!Q36</f>
        <v>NA</v>
      </c>
      <c r="F60" s="144">
        <f>'Present and Proposed Rates'!P36</f>
        <v>4.9528963141712373E-2</v>
      </c>
    </row>
  </sheetData>
  <mergeCells count="5">
    <mergeCell ref="E5:F5"/>
    <mergeCell ref="D31:E31"/>
    <mergeCell ref="E48:F48"/>
    <mergeCell ref="C29:E29"/>
    <mergeCell ref="C46:F46"/>
  </mergeCells>
  <pageMargins left="0.7" right="0.7" top="0.75" bottom="0.75" header="0.3" footer="0.3"/>
  <pageSetup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5" tint="0.59999389629810485"/>
  </sheetPr>
  <dimension ref="A1:U204"/>
  <sheetViews>
    <sheetView view="pageBreakPreview" topLeftCell="C181" zoomScale="75" zoomScaleNormal="100" zoomScaleSheetLayoutView="75" workbookViewId="0">
      <selection activeCell="Q184" sqref="Q184:Q185"/>
    </sheetView>
  </sheetViews>
  <sheetFormatPr defaultColWidth="9.140625" defaultRowHeight="12.75" x14ac:dyDescent="0.2"/>
  <cols>
    <col min="1" max="1" width="4.85546875" style="137" customWidth="1"/>
    <col min="2" max="2" width="5.85546875" style="137" customWidth="1"/>
    <col min="3" max="3" width="52" style="137" bestFit="1" customWidth="1"/>
    <col min="4" max="4" width="9.140625" style="137"/>
    <col min="5" max="5" width="16.140625" style="137" customWidth="1"/>
    <col min="6" max="8" width="14" style="137" customWidth="1"/>
    <col min="9" max="9" width="17.85546875" style="137" customWidth="1"/>
    <col min="10" max="10" width="14" style="137" customWidth="1"/>
    <col min="11" max="11" width="16.42578125" style="137" customWidth="1"/>
    <col min="12" max="12" width="15.5703125" style="137" customWidth="1"/>
    <col min="13" max="15" width="14" style="137" customWidth="1"/>
    <col min="16" max="16" width="15.140625" style="137" customWidth="1"/>
    <col min="17" max="17" width="17.28515625" style="137" customWidth="1"/>
    <col min="18" max="18" width="14" style="155" bestFit="1" customWidth="1"/>
    <col min="19" max="19" width="9.140625" style="209"/>
    <col min="20" max="23" width="9.140625" style="137"/>
    <col min="24" max="24" width="12.85546875" style="137" bestFit="1" customWidth="1"/>
    <col min="25" max="25" width="11.28515625" style="137" bestFit="1" customWidth="1"/>
    <col min="26" max="26" width="12.85546875" style="137" bestFit="1" customWidth="1"/>
    <col min="27" max="29" width="11.28515625" style="137" bestFit="1" customWidth="1"/>
    <col min="30" max="31" width="12.85546875" style="137" bestFit="1" customWidth="1"/>
    <col min="32" max="33" width="11.28515625" style="137" bestFit="1" customWidth="1"/>
    <col min="34" max="34" width="13.42578125" style="137" customWidth="1"/>
    <col min="35" max="35" width="12.85546875" style="137" bestFit="1" customWidth="1"/>
    <col min="36" max="36" width="17.28515625" style="137" customWidth="1"/>
    <col min="37" max="37" width="12.85546875" style="137" bestFit="1" customWidth="1"/>
    <col min="38" max="16384" width="9.140625" style="137"/>
  </cols>
  <sheetData>
    <row r="1" spans="1:21" x14ac:dyDescent="0.2">
      <c r="A1" s="162" t="s">
        <v>129</v>
      </c>
    </row>
    <row r="2" spans="1:21" x14ac:dyDescent="0.2">
      <c r="A2" s="162" t="s">
        <v>140</v>
      </c>
    </row>
    <row r="4" spans="1:21" x14ac:dyDescent="0.2">
      <c r="B4" s="162" t="s">
        <v>141</v>
      </c>
    </row>
    <row r="5" spans="1:21" x14ac:dyDescent="0.2">
      <c r="B5" s="235"/>
      <c r="E5" s="156" t="s">
        <v>142</v>
      </c>
      <c r="F5" s="156" t="s">
        <v>143</v>
      </c>
      <c r="G5" s="156" t="s">
        <v>144</v>
      </c>
      <c r="H5" s="156" t="s">
        <v>145</v>
      </c>
      <c r="I5" s="156" t="s">
        <v>146</v>
      </c>
      <c r="J5" s="156" t="s">
        <v>147</v>
      </c>
      <c r="K5" s="156" t="s">
        <v>148</v>
      </c>
      <c r="L5" s="156" t="s">
        <v>149</v>
      </c>
      <c r="M5" s="156" t="s">
        <v>150</v>
      </c>
      <c r="N5" s="156" t="s">
        <v>151</v>
      </c>
      <c r="O5" s="156" t="s">
        <v>152</v>
      </c>
      <c r="P5" s="156" t="s">
        <v>153</v>
      </c>
      <c r="Q5" s="156" t="s">
        <v>65</v>
      </c>
      <c r="R5" s="157" t="s">
        <v>154</v>
      </c>
      <c r="U5" s="137" t="s">
        <v>240</v>
      </c>
    </row>
    <row r="6" spans="1:21" x14ac:dyDescent="0.2">
      <c r="B6" s="151"/>
      <c r="C6" s="150" t="s">
        <v>28</v>
      </c>
      <c r="D6" s="151">
        <v>10</v>
      </c>
      <c r="E6" s="163">
        <v>48052</v>
      </c>
      <c r="F6" s="163">
        <v>47960</v>
      </c>
      <c r="G6" s="163">
        <v>48022</v>
      </c>
      <c r="H6" s="163">
        <v>47907</v>
      </c>
      <c r="I6" s="163">
        <v>48065</v>
      </c>
      <c r="J6" s="163">
        <v>48088</v>
      </c>
      <c r="K6" s="163">
        <v>48142</v>
      </c>
      <c r="L6" s="163">
        <v>48172</v>
      </c>
      <c r="M6" s="163">
        <v>48233</v>
      </c>
      <c r="N6" s="163">
        <v>48250</v>
      </c>
      <c r="O6" s="163">
        <v>48352</v>
      </c>
      <c r="P6" s="163">
        <v>48283</v>
      </c>
      <c r="Q6" s="155">
        <f>SUM(E6:P6)</f>
        <v>577526</v>
      </c>
      <c r="R6" s="155">
        <f>AVERAGE(E6:P6)</f>
        <v>48127.166666666664</v>
      </c>
      <c r="S6" s="209">
        <v>10</v>
      </c>
      <c r="U6" s="239">
        <f>P6-R6</f>
        <v>155.83333333333576</v>
      </c>
    </row>
    <row r="7" spans="1:21" x14ac:dyDescent="0.2">
      <c r="B7" s="151"/>
      <c r="C7" s="150" t="s">
        <v>130</v>
      </c>
      <c r="D7" s="151">
        <v>11</v>
      </c>
      <c r="E7" s="163">
        <v>538</v>
      </c>
      <c r="F7" s="163">
        <v>529</v>
      </c>
      <c r="G7" s="163">
        <v>527</v>
      </c>
      <c r="H7" s="163">
        <v>493</v>
      </c>
      <c r="I7" s="163">
        <v>413</v>
      </c>
      <c r="J7" s="163">
        <v>157</v>
      </c>
      <c r="K7" s="163">
        <v>122</v>
      </c>
      <c r="L7" s="163">
        <v>102</v>
      </c>
      <c r="M7" s="163">
        <v>115</v>
      </c>
      <c r="N7" s="163">
        <v>378</v>
      </c>
      <c r="O7" s="163">
        <v>461</v>
      </c>
      <c r="P7" s="163">
        <v>483</v>
      </c>
      <c r="Q7" s="155">
        <f t="shared" ref="Q7:Q15" si="0">SUM(E7:P7)</f>
        <v>4318</v>
      </c>
      <c r="R7" s="155">
        <f t="shared" ref="R7:R14" si="1">AVERAGE(E7:P7)</f>
        <v>359.83333333333331</v>
      </c>
      <c r="S7" s="209">
        <v>11</v>
      </c>
      <c r="U7" s="239">
        <f t="shared" ref="U7:U15" si="2">P7-R7</f>
        <v>123.16666666666669</v>
      </c>
    </row>
    <row r="8" spans="1:21" x14ac:dyDescent="0.2">
      <c r="B8" s="151"/>
      <c r="C8" s="150" t="s">
        <v>131</v>
      </c>
      <c r="D8" s="151">
        <v>20</v>
      </c>
      <c r="E8" s="163">
        <v>3636</v>
      </c>
      <c r="F8" s="163">
        <v>3617</v>
      </c>
      <c r="G8" s="163">
        <v>3615</v>
      </c>
      <c r="H8" s="163">
        <v>3593</v>
      </c>
      <c r="I8" s="163">
        <v>3604</v>
      </c>
      <c r="J8" s="163">
        <v>3616</v>
      </c>
      <c r="K8" s="163">
        <v>3635</v>
      </c>
      <c r="L8" s="163">
        <v>3657</v>
      </c>
      <c r="M8" s="163">
        <v>3643</v>
      </c>
      <c r="N8" s="163">
        <v>3644</v>
      </c>
      <c r="O8" s="163">
        <v>3650</v>
      </c>
      <c r="P8" s="163">
        <v>3629</v>
      </c>
      <c r="Q8" s="155">
        <f t="shared" si="0"/>
        <v>43539</v>
      </c>
      <c r="R8" s="155">
        <f t="shared" si="1"/>
        <v>3628.25</v>
      </c>
      <c r="S8" s="209">
        <v>20</v>
      </c>
      <c r="U8" s="239">
        <f t="shared" si="2"/>
        <v>0.75</v>
      </c>
    </row>
    <row r="9" spans="1:21" x14ac:dyDescent="0.2">
      <c r="B9" s="151"/>
      <c r="C9" s="150" t="s">
        <v>132</v>
      </c>
      <c r="D9" s="151">
        <v>22</v>
      </c>
      <c r="E9" s="163">
        <v>5</v>
      </c>
      <c r="F9" s="163">
        <v>6</v>
      </c>
      <c r="G9" s="163">
        <v>5</v>
      </c>
      <c r="H9" s="163">
        <v>3</v>
      </c>
      <c r="I9" s="163">
        <v>3</v>
      </c>
      <c r="J9" s="163">
        <v>2</v>
      </c>
      <c r="K9" s="163">
        <v>1</v>
      </c>
      <c r="L9" s="163">
        <v>1</v>
      </c>
      <c r="M9" s="163">
        <v>1</v>
      </c>
      <c r="N9" s="163">
        <v>2</v>
      </c>
      <c r="O9" s="163">
        <v>3</v>
      </c>
      <c r="P9" s="163">
        <v>3</v>
      </c>
      <c r="Q9" s="155">
        <f t="shared" si="0"/>
        <v>35</v>
      </c>
      <c r="R9" s="155">
        <f t="shared" si="1"/>
        <v>2.9166666666666665</v>
      </c>
      <c r="S9" s="209">
        <v>22</v>
      </c>
      <c r="U9" s="239">
        <f t="shared" si="2"/>
        <v>8.3333333333333481E-2</v>
      </c>
    </row>
    <row r="10" spans="1:21" x14ac:dyDescent="0.2">
      <c r="B10" s="151"/>
      <c r="C10" s="150" t="s">
        <v>133</v>
      </c>
      <c r="D10" s="151">
        <v>40</v>
      </c>
      <c r="E10" s="163">
        <v>157</v>
      </c>
      <c r="F10" s="163">
        <v>154</v>
      </c>
      <c r="G10" s="163">
        <v>154</v>
      </c>
      <c r="H10" s="163">
        <v>157</v>
      </c>
      <c r="I10" s="163">
        <v>155</v>
      </c>
      <c r="J10" s="163">
        <v>156</v>
      </c>
      <c r="K10" s="163">
        <v>157</v>
      </c>
      <c r="L10" s="163">
        <v>157</v>
      </c>
      <c r="M10" s="163">
        <v>159</v>
      </c>
      <c r="N10" s="163">
        <v>148</v>
      </c>
      <c r="O10" s="163">
        <v>149</v>
      </c>
      <c r="P10" s="163">
        <v>149</v>
      </c>
      <c r="Q10" s="155">
        <f t="shared" si="0"/>
        <v>1852</v>
      </c>
      <c r="R10" s="155">
        <f t="shared" si="1"/>
        <v>154.33333333333334</v>
      </c>
      <c r="S10" s="209">
        <v>40</v>
      </c>
      <c r="U10" s="239">
        <f t="shared" si="2"/>
        <v>-5.3333333333333428</v>
      </c>
    </row>
    <row r="11" spans="1:21" x14ac:dyDescent="0.2">
      <c r="B11" s="151"/>
      <c r="C11" s="150" t="s">
        <v>134</v>
      </c>
      <c r="D11" s="151">
        <v>46</v>
      </c>
      <c r="E11" s="163">
        <v>6</v>
      </c>
      <c r="F11" s="163">
        <v>6</v>
      </c>
      <c r="G11" s="163">
        <v>6</v>
      </c>
      <c r="H11" s="163">
        <v>6</v>
      </c>
      <c r="I11" s="163">
        <v>8</v>
      </c>
      <c r="J11" s="163">
        <v>8</v>
      </c>
      <c r="K11" s="163">
        <v>8</v>
      </c>
      <c r="L11" s="163">
        <v>8</v>
      </c>
      <c r="M11" s="163">
        <v>9</v>
      </c>
      <c r="N11" s="163">
        <v>9</v>
      </c>
      <c r="O11" s="163">
        <v>9</v>
      </c>
      <c r="P11" s="163">
        <v>9</v>
      </c>
      <c r="Q11" s="155">
        <f t="shared" si="0"/>
        <v>92</v>
      </c>
      <c r="R11" s="155">
        <f t="shared" si="1"/>
        <v>7.666666666666667</v>
      </c>
      <c r="S11" s="209">
        <v>46</v>
      </c>
      <c r="U11" s="239">
        <f t="shared" si="2"/>
        <v>1.333333333333333</v>
      </c>
    </row>
    <row r="12" spans="1:21" x14ac:dyDescent="0.2">
      <c r="B12" s="151"/>
      <c r="C12" s="150" t="s">
        <v>135</v>
      </c>
      <c r="D12" s="151">
        <v>47</v>
      </c>
      <c r="E12" s="163">
        <v>5</v>
      </c>
      <c r="F12" s="163">
        <v>6</v>
      </c>
      <c r="G12" s="163">
        <v>6</v>
      </c>
      <c r="H12" s="163">
        <v>6</v>
      </c>
      <c r="I12" s="163">
        <v>6</v>
      </c>
      <c r="J12" s="163">
        <v>6</v>
      </c>
      <c r="K12" s="163">
        <v>6</v>
      </c>
      <c r="L12" s="163">
        <v>6</v>
      </c>
      <c r="M12" s="163">
        <v>6</v>
      </c>
      <c r="N12" s="163">
        <v>6</v>
      </c>
      <c r="O12" s="163">
        <v>6</v>
      </c>
      <c r="P12" s="163">
        <v>6</v>
      </c>
      <c r="Q12" s="155">
        <f t="shared" si="0"/>
        <v>71</v>
      </c>
      <c r="R12" s="155">
        <f t="shared" si="1"/>
        <v>5.916666666666667</v>
      </c>
      <c r="S12" s="209">
        <v>47</v>
      </c>
      <c r="U12" s="239">
        <f t="shared" si="2"/>
        <v>8.3333333333333037E-2</v>
      </c>
    </row>
    <row r="13" spans="1:21" x14ac:dyDescent="0.2">
      <c r="B13" s="151"/>
      <c r="C13" s="150" t="s">
        <v>136</v>
      </c>
      <c r="D13" s="151">
        <v>50</v>
      </c>
      <c r="E13" s="163">
        <v>985</v>
      </c>
      <c r="F13" s="163">
        <v>987</v>
      </c>
      <c r="G13" s="163">
        <v>994</v>
      </c>
      <c r="H13" s="163">
        <v>991</v>
      </c>
      <c r="I13" s="163">
        <v>997</v>
      </c>
      <c r="J13" s="163">
        <v>1000</v>
      </c>
      <c r="K13" s="163">
        <v>997</v>
      </c>
      <c r="L13" s="163">
        <v>996</v>
      </c>
      <c r="M13" s="163">
        <v>994</v>
      </c>
      <c r="N13" s="163">
        <v>999</v>
      </c>
      <c r="O13" s="163">
        <v>999</v>
      </c>
      <c r="P13" s="163">
        <v>995</v>
      </c>
      <c r="Q13" s="155">
        <f t="shared" si="0"/>
        <v>11934</v>
      </c>
      <c r="R13" s="155">
        <f t="shared" si="1"/>
        <v>994.5</v>
      </c>
      <c r="S13" s="209">
        <v>50</v>
      </c>
      <c r="U13" s="239">
        <f t="shared" si="2"/>
        <v>0.5</v>
      </c>
    </row>
    <row r="14" spans="1:21" x14ac:dyDescent="0.2">
      <c r="B14" s="151"/>
      <c r="C14" s="150" t="s">
        <v>137</v>
      </c>
      <c r="D14" s="151">
        <v>52</v>
      </c>
      <c r="E14" s="163">
        <v>23</v>
      </c>
      <c r="F14" s="163">
        <v>23</v>
      </c>
      <c r="G14" s="163">
        <v>23</v>
      </c>
      <c r="H14" s="163">
        <v>23</v>
      </c>
      <c r="I14" s="163">
        <v>23</v>
      </c>
      <c r="J14" s="163">
        <v>23</v>
      </c>
      <c r="K14" s="163">
        <v>23</v>
      </c>
      <c r="L14" s="163">
        <v>23</v>
      </c>
      <c r="M14" s="163">
        <v>23</v>
      </c>
      <c r="N14" s="163">
        <v>23</v>
      </c>
      <c r="O14" s="163">
        <v>23</v>
      </c>
      <c r="P14" s="163">
        <v>23</v>
      </c>
      <c r="Q14" s="155">
        <f t="shared" si="0"/>
        <v>276</v>
      </c>
      <c r="R14" s="155">
        <f t="shared" si="1"/>
        <v>23</v>
      </c>
      <c r="S14" s="209">
        <v>52</v>
      </c>
      <c r="U14" s="239">
        <f t="shared" si="2"/>
        <v>0</v>
      </c>
    </row>
    <row r="15" spans="1:21" x14ac:dyDescent="0.2">
      <c r="B15" s="151"/>
      <c r="C15" s="150" t="s">
        <v>138</v>
      </c>
      <c r="D15" s="151" t="s">
        <v>139</v>
      </c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5">
        <f t="shared" si="0"/>
        <v>0</v>
      </c>
      <c r="R15" s="155">
        <v>0</v>
      </c>
      <c r="S15" s="209" t="s">
        <v>139</v>
      </c>
      <c r="U15" s="239">
        <f t="shared" si="2"/>
        <v>0</v>
      </c>
    </row>
    <row r="16" spans="1:21" x14ac:dyDescent="0.2">
      <c r="B16" s="160"/>
      <c r="C16" s="164" t="s">
        <v>65</v>
      </c>
      <c r="D16" s="160"/>
      <c r="E16" s="158">
        <f t="shared" ref="E16:R16" si="3">SUM(E6:E15)</f>
        <v>53407</v>
      </c>
      <c r="F16" s="158">
        <f t="shared" si="3"/>
        <v>53288</v>
      </c>
      <c r="G16" s="158">
        <f t="shared" si="3"/>
        <v>53352</v>
      </c>
      <c r="H16" s="158">
        <f t="shared" si="3"/>
        <v>53179</v>
      </c>
      <c r="I16" s="158">
        <f t="shared" si="3"/>
        <v>53274</v>
      </c>
      <c r="J16" s="158">
        <f t="shared" si="3"/>
        <v>53056</v>
      </c>
      <c r="K16" s="158">
        <f t="shared" si="3"/>
        <v>53091</v>
      </c>
      <c r="L16" s="158">
        <f t="shared" si="3"/>
        <v>53122</v>
      </c>
      <c r="M16" s="158">
        <f t="shared" si="3"/>
        <v>53183</v>
      </c>
      <c r="N16" s="158">
        <f t="shared" si="3"/>
        <v>53459</v>
      </c>
      <c r="O16" s="158">
        <f t="shared" si="3"/>
        <v>53652</v>
      </c>
      <c r="P16" s="158">
        <f t="shared" si="3"/>
        <v>53580</v>
      </c>
      <c r="Q16" s="158">
        <f t="shared" si="3"/>
        <v>639643</v>
      </c>
      <c r="R16" s="158">
        <f t="shared" si="3"/>
        <v>53303.583333333328</v>
      </c>
    </row>
    <row r="17" spans="2:19" x14ac:dyDescent="0.2">
      <c r="C17" s="150" t="s">
        <v>155</v>
      </c>
      <c r="E17" s="159">
        <f t="shared" ref="E17:P17" si="4">E16-E7-E9</f>
        <v>52864</v>
      </c>
      <c r="F17" s="159">
        <f t="shared" si="4"/>
        <v>52753</v>
      </c>
      <c r="G17" s="159">
        <f t="shared" si="4"/>
        <v>52820</v>
      </c>
      <c r="H17" s="159">
        <f t="shared" si="4"/>
        <v>52683</v>
      </c>
      <c r="I17" s="159">
        <f t="shared" si="4"/>
        <v>52858</v>
      </c>
      <c r="J17" s="159">
        <f t="shared" si="4"/>
        <v>52897</v>
      </c>
      <c r="K17" s="159">
        <f t="shared" si="4"/>
        <v>52968</v>
      </c>
      <c r="L17" s="159">
        <f t="shared" si="4"/>
        <v>53019</v>
      </c>
      <c r="M17" s="159">
        <f t="shared" si="4"/>
        <v>53067</v>
      </c>
      <c r="N17" s="159">
        <f t="shared" si="4"/>
        <v>53079</v>
      </c>
      <c r="O17" s="159">
        <f t="shared" si="4"/>
        <v>53188</v>
      </c>
      <c r="P17" s="159">
        <f t="shared" si="4"/>
        <v>53094</v>
      </c>
      <c r="Q17" s="159">
        <f>SUM(Q7:Q16)</f>
        <v>701760</v>
      </c>
      <c r="R17" s="159">
        <f>SUM(R7:R16)</f>
        <v>58479.999999999993</v>
      </c>
    </row>
    <row r="19" spans="2:19" x14ac:dyDescent="0.2">
      <c r="B19" s="162" t="s">
        <v>235</v>
      </c>
    </row>
    <row r="20" spans="2:19" x14ac:dyDescent="0.2">
      <c r="B20" s="235"/>
      <c r="E20" s="156" t="s">
        <v>142</v>
      </c>
      <c r="F20" s="156" t="s">
        <v>143</v>
      </c>
      <c r="G20" s="156" t="s">
        <v>144</v>
      </c>
      <c r="H20" s="156" t="s">
        <v>145</v>
      </c>
      <c r="I20" s="156" t="s">
        <v>146</v>
      </c>
      <c r="J20" s="156" t="s">
        <v>147</v>
      </c>
      <c r="K20" s="156" t="s">
        <v>148</v>
      </c>
      <c r="L20" s="156" t="s">
        <v>149</v>
      </c>
      <c r="M20" s="156" t="s">
        <v>150</v>
      </c>
      <c r="N20" s="156" t="s">
        <v>151</v>
      </c>
      <c r="O20" s="156" t="s">
        <v>152</v>
      </c>
      <c r="P20" s="156" t="s">
        <v>153</v>
      </c>
      <c r="Q20" s="156" t="s">
        <v>65</v>
      </c>
      <c r="R20" s="157" t="s">
        <v>154</v>
      </c>
    </row>
    <row r="21" spans="2:19" x14ac:dyDescent="0.2">
      <c r="B21" s="151">
        <v>1</v>
      </c>
      <c r="C21" s="150" t="s">
        <v>28</v>
      </c>
      <c r="D21" s="151">
        <v>10</v>
      </c>
      <c r="E21" s="163">
        <v>64693349</v>
      </c>
      <c r="F21" s="163">
        <v>52659992</v>
      </c>
      <c r="G21" s="163">
        <v>54342200</v>
      </c>
      <c r="H21" s="163">
        <v>38904318</v>
      </c>
      <c r="I21" s="163">
        <v>38654060</v>
      </c>
      <c r="J21" s="163">
        <v>41018916</v>
      </c>
      <c r="K21" s="163">
        <v>54121855</v>
      </c>
      <c r="L21" s="163">
        <v>50336829</v>
      </c>
      <c r="M21" s="163">
        <v>39708011</v>
      </c>
      <c r="N21" s="163">
        <v>38623526</v>
      </c>
      <c r="O21" s="163">
        <v>53535322</v>
      </c>
      <c r="P21" s="163">
        <v>65960422</v>
      </c>
      <c r="Q21" s="155">
        <f>SUM(E21:P21)</f>
        <v>592558800</v>
      </c>
      <c r="R21" s="155">
        <f>AVERAGE(E21:P21)</f>
        <v>49379900</v>
      </c>
      <c r="S21" s="209">
        <v>10</v>
      </c>
    </row>
    <row r="22" spans="2:19" x14ac:dyDescent="0.2">
      <c r="B22" s="151">
        <v>2</v>
      </c>
      <c r="C22" s="150" t="s">
        <v>130</v>
      </c>
      <c r="D22" s="151">
        <v>11</v>
      </c>
      <c r="E22" s="163">
        <v>701220</v>
      </c>
      <c r="F22" s="163">
        <v>543312</v>
      </c>
      <c r="G22" s="163">
        <v>544857</v>
      </c>
      <c r="H22" s="163">
        <v>249404</v>
      </c>
      <c r="I22" s="163">
        <v>88300</v>
      </c>
      <c r="J22" s="163">
        <v>13223</v>
      </c>
      <c r="K22" s="163">
        <v>8459</v>
      </c>
      <c r="L22" s="163">
        <v>3563</v>
      </c>
      <c r="M22" s="163">
        <v>5410</v>
      </c>
      <c r="N22" s="163">
        <v>137833</v>
      </c>
      <c r="O22" s="163">
        <v>420834</v>
      </c>
      <c r="P22" s="163">
        <v>600261</v>
      </c>
      <c r="Q22" s="155">
        <f t="shared" ref="Q22:Q30" si="5">SUM(E22:P22)</f>
        <v>3316676</v>
      </c>
      <c r="R22" s="155">
        <f t="shared" ref="R22:R30" si="6">AVERAGE(E22:P22)</f>
        <v>276389.66666666669</v>
      </c>
      <c r="S22" s="209">
        <v>11</v>
      </c>
    </row>
    <row r="23" spans="2:19" x14ac:dyDescent="0.2">
      <c r="B23" s="151">
        <v>3</v>
      </c>
      <c r="C23" s="150" t="s">
        <v>131</v>
      </c>
      <c r="D23" s="151">
        <v>20</v>
      </c>
      <c r="E23" s="163">
        <v>5608058</v>
      </c>
      <c r="F23" s="163">
        <v>4832009</v>
      </c>
      <c r="G23" s="163">
        <v>5142348</v>
      </c>
      <c r="H23" s="163">
        <v>4489036</v>
      </c>
      <c r="I23" s="163">
        <v>4761696</v>
      </c>
      <c r="J23" s="163">
        <v>4953085</v>
      </c>
      <c r="K23" s="163">
        <v>5725956</v>
      </c>
      <c r="L23" s="163">
        <v>5620271</v>
      </c>
      <c r="M23" s="163">
        <v>4960478</v>
      </c>
      <c r="N23" s="163">
        <v>4703947</v>
      </c>
      <c r="O23" s="163">
        <v>4950218</v>
      </c>
      <c r="P23" s="163">
        <v>5625093</v>
      </c>
      <c r="Q23" s="155">
        <f t="shared" si="5"/>
        <v>61372195</v>
      </c>
      <c r="R23" s="155">
        <f t="shared" si="6"/>
        <v>5114349.583333333</v>
      </c>
      <c r="S23" s="209">
        <v>20</v>
      </c>
    </row>
    <row r="24" spans="2:19" x14ac:dyDescent="0.2">
      <c r="B24" s="151">
        <v>4</v>
      </c>
      <c r="C24" s="150" t="s">
        <v>132</v>
      </c>
      <c r="D24" s="151">
        <v>22</v>
      </c>
      <c r="E24" s="163">
        <v>7068</v>
      </c>
      <c r="F24" s="163">
        <v>4044</v>
      </c>
      <c r="G24" s="163">
        <v>4400</v>
      </c>
      <c r="H24" s="163">
        <v>694</v>
      </c>
      <c r="I24" s="163">
        <v>206</v>
      </c>
      <c r="J24" s="163">
        <v>231</v>
      </c>
      <c r="K24" s="163">
        <v>564</v>
      </c>
      <c r="L24" s="163">
        <v>1</v>
      </c>
      <c r="M24" s="163">
        <v>1</v>
      </c>
      <c r="N24" s="163">
        <v>409</v>
      </c>
      <c r="O24" s="163">
        <v>1675</v>
      </c>
      <c r="P24" s="163">
        <v>3857</v>
      </c>
      <c r="Q24" s="155">
        <f t="shared" si="5"/>
        <v>23150</v>
      </c>
      <c r="R24" s="155">
        <f t="shared" si="6"/>
        <v>1929.1666666666667</v>
      </c>
      <c r="S24" s="209">
        <v>22</v>
      </c>
    </row>
    <row r="25" spans="2:19" x14ac:dyDescent="0.2">
      <c r="B25" s="151">
        <v>5</v>
      </c>
      <c r="C25" s="150" t="s">
        <v>133</v>
      </c>
      <c r="D25" s="151">
        <v>40</v>
      </c>
      <c r="E25" s="163">
        <v>6708933</v>
      </c>
      <c r="F25" s="163">
        <v>6061394</v>
      </c>
      <c r="G25" s="163">
        <v>6320710</v>
      </c>
      <c r="H25" s="163">
        <v>5982840</v>
      </c>
      <c r="I25" s="163">
        <v>6317607</v>
      </c>
      <c r="J25" s="163">
        <v>6351926</v>
      </c>
      <c r="K25" s="163">
        <v>6958249</v>
      </c>
      <c r="L25" s="163">
        <v>6896042</v>
      </c>
      <c r="M25" s="163">
        <v>6144211</v>
      </c>
      <c r="N25" s="163">
        <v>5772341</v>
      </c>
      <c r="O25" s="163">
        <v>5555816</v>
      </c>
      <c r="P25" s="163">
        <v>6016847</v>
      </c>
      <c r="Q25" s="155">
        <f t="shared" si="5"/>
        <v>75086916</v>
      </c>
      <c r="R25" s="155">
        <f t="shared" si="6"/>
        <v>6257243</v>
      </c>
      <c r="S25" s="209">
        <v>40</v>
      </c>
    </row>
    <row r="26" spans="2:19" x14ac:dyDescent="0.2">
      <c r="B26" s="151">
        <v>6</v>
      </c>
      <c r="C26" s="150" t="s">
        <v>134</v>
      </c>
      <c r="D26" s="151">
        <v>46</v>
      </c>
      <c r="E26" s="163">
        <v>4630118</v>
      </c>
      <c r="F26" s="163">
        <v>4799058</v>
      </c>
      <c r="G26" s="163">
        <v>6783998</v>
      </c>
      <c r="H26" s="163">
        <v>6753598</v>
      </c>
      <c r="I26" s="163">
        <v>7922878</v>
      </c>
      <c r="J26" s="163">
        <v>8034478</v>
      </c>
      <c r="K26" s="163">
        <v>8546558</v>
      </c>
      <c r="L26" s="163">
        <v>8587278</v>
      </c>
      <c r="M26" s="163">
        <v>9870798</v>
      </c>
      <c r="N26" s="163">
        <v>10950118</v>
      </c>
      <c r="O26" s="163">
        <v>10267378</v>
      </c>
      <c r="P26" s="163">
        <v>10634298</v>
      </c>
      <c r="Q26" s="155">
        <f t="shared" si="5"/>
        <v>97780556</v>
      </c>
      <c r="R26" s="155">
        <f t="shared" si="6"/>
        <v>8148379.666666667</v>
      </c>
      <c r="S26" s="209">
        <v>46</v>
      </c>
    </row>
    <row r="27" spans="2:19" x14ac:dyDescent="0.2">
      <c r="B27" s="151">
        <v>7</v>
      </c>
      <c r="C27" s="150" t="s">
        <v>135</v>
      </c>
      <c r="D27" s="151">
        <v>47</v>
      </c>
      <c r="E27" s="163">
        <v>4298544</v>
      </c>
      <c r="F27" s="163">
        <v>4498864</v>
      </c>
      <c r="G27" s="163">
        <v>5646704</v>
      </c>
      <c r="H27" s="163">
        <v>5242024</v>
      </c>
      <c r="I27" s="163">
        <v>5705704</v>
      </c>
      <c r="J27" s="163">
        <v>5803424</v>
      </c>
      <c r="K27" s="163">
        <v>5549864</v>
      </c>
      <c r="L27" s="163">
        <v>6074784</v>
      </c>
      <c r="M27" s="163">
        <v>5668224</v>
      </c>
      <c r="N27" s="163">
        <v>5508984</v>
      </c>
      <c r="O27" s="163">
        <v>4918504</v>
      </c>
      <c r="P27" s="163">
        <v>4388504</v>
      </c>
      <c r="Q27" s="155">
        <f t="shared" si="5"/>
        <v>63304128</v>
      </c>
      <c r="R27" s="155">
        <f t="shared" si="6"/>
        <v>5275344</v>
      </c>
      <c r="S27" s="209">
        <v>47</v>
      </c>
    </row>
    <row r="28" spans="2:19" x14ac:dyDescent="0.2">
      <c r="B28" s="151">
        <v>8</v>
      </c>
      <c r="C28" s="150" t="s">
        <v>136</v>
      </c>
      <c r="D28" s="151">
        <v>50</v>
      </c>
      <c r="E28" s="163">
        <v>2322961</v>
      </c>
      <c r="F28" s="163">
        <v>1962846</v>
      </c>
      <c r="G28" s="163">
        <v>2042821</v>
      </c>
      <c r="H28" s="163">
        <v>1482095</v>
      </c>
      <c r="I28" s="163">
        <v>1566750</v>
      </c>
      <c r="J28" s="163">
        <v>1616966</v>
      </c>
      <c r="K28" s="163">
        <v>2135290</v>
      </c>
      <c r="L28" s="163">
        <v>2184265</v>
      </c>
      <c r="M28" s="163">
        <v>1772021</v>
      </c>
      <c r="N28" s="163">
        <v>1567232</v>
      </c>
      <c r="O28" s="163">
        <v>1916227</v>
      </c>
      <c r="P28" s="163">
        <v>2229080</v>
      </c>
      <c r="Q28" s="155">
        <f t="shared" si="5"/>
        <v>22798554</v>
      </c>
      <c r="R28" s="155">
        <f t="shared" si="6"/>
        <v>1899879.5</v>
      </c>
      <c r="S28" s="209">
        <v>50</v>
      </c>
    </row>
    <row r="29" spans="2:19" x14ac:dyDescent="0.2">
      <c r="B29" s="151">
        <v>9</v>
      </c>
      <c r="C29" s="150" t="s">
        <v>137</v>
      </c>
      <c r="D29" s="151">
        <v>52</v>
      </c>
      <c r="E29" s="163">
        <v>933877</v>
      </c>
      <c r="F29" s="163">
        <v>811469</v>
      </c>
      <c r="G29" s="163">
        <v>881792</v>
      </c>
      <c r="H29" s="163">
        <v>692270</v>
      </c>
      <c r="I29" s="163">
        <v>776789</v>
      </c>
      <c r="J29" s="163">
        <v>709653</v>
      </c>
      <c r="K29" s="163">
        <v>783470</v>
      </c>
      <c r="L29" s="163">
        <v>967214</v>
      </c>
      <c r="M29" s="163">
        <v>863209</v>
      </c>
      <c r="N29" s="163">
        <v>833368</v>
      </c>
      <c r="O29" s="163">
        <v>816567</v>
      </c>
      <c r="P29" s="163">
        <v>869343</v>
      </c>
      <c r="Q29" s="155">
        <f t="shared" si="5"/>
        <v>9939021</v>
      </c>
      <c r="R29" s="155">
        <f t="shared" si="6"/>
        <v>828251.75</v>
      </c>
      <c r="S29" s="209">
        <v>52</v>
      </c>
    </row>
    <row r="30" spans="2:19" x14ac:dyDescent="0.2">
      <c r="B30" s="151">
        <v>10</v>
      </c>
      <c r="C30" s="150" t="s">
        <v>138</v>
      </c>
      <c r="D30" s="151" t="s">
        <v>139</v>
      </c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55">
        <f t="shared" si="5"/>
        <v>0</v>
      </c>
      <c r="R30" s="155" t="e">
        <f t="shared" si="6"/>
        <v>#DIV/0!</v>
      </c>
      <c r="S30" s="209" t="s">
        <v>139</v>
      </c>
    </row>
    <row r="31" spans="2:19" x14ac:dyDescent="0.2">
      <c r="B31" s="160"/>
      <c r="C31" s="164" t="s">
        <v>65</v>
      </c>
      <c r="D31" s="160"/>
      <c r="E31" s="158">
        <f t="shared" ref="E31:R31" si="7">SUM(E21:E30)</f>
        <v>89904128</v>
      </c>
      <c r="F31" s="158">
        <f t="shared" si="7"/>
        <v>76172988</v>
      </c>
      <c r="G31" s="158">
        <f t="shared" si="7"/>
        <v>81709830</v>
      </c>
      <c r="H31" s="158">
        <f t="shared" si="7"/>
        <v>63796279</v>
      </c>
      <c r="I31" s="158">
        <f t="shared" si="7"/>
        <v>65793990</v>
      </c>
      <c r="J31" s="158">
        <f t="shared" si="7"/>
        <v>68501902</v>
      </c>
      <c r="K31" s="158">
        <f t="shared" si="7"/>
        <v>83830265</v>
      </c>
      <c r="L31" s="158">
        <f t="shared" si="7"/>
        <v>80670247</v>
      </c>
      <c r="M31" s="158">
        <f t="shared" si="7"/>
        <v>68992363</v>
      </c>
      <c r="N31" s="158">
        <f t="shared" si="7"/>
        <v>68097758</v>
      </c>
      <c r="O31" s="158">
        <f t="shared" si="7"/>
        <v>82382541</v>
      </c>
      <c r="P31" s="158">
        <f t="shared" si="7"/>
        <v>96327705</v>
      </c>
      <c r="Q31" s="158">
        <f t="shared" si="7"/>
        <v>926179996</v>
      </c>
      <c r="R31" s="158" t="e">
        <f t="shared" si="7"/>
        <v>#DIV/0!</v>
      </c>
    </row>
    <row r="34" spans="2:19" x14ac:dyDescent="0.2">
      <c r="B34" s="162" t="s">
        <v>156</v>
      </c>
    </row>
    <row r="35" spans="2:19" x14ac:dyDescent="0.2">
      <c r="B35" s="235"/>
      <c r="E35" s="156" t="s">
        <v>142</v>
      </c>
      <c r="F35" s="156" t="s">
        <v>143</v>
      </c>
      <c r="G35" s="156" t="s">
        <v>144</v>
      </c>
      <c r="H35" s="156" t="s">
        <v>145</v>
      </c>
      <c r="I35" s="156" t="s">
        <v>146</v>
      </c>
      <c r="J35" s="156" t="s">
        <v>147</v>
      </c>
      <c r="K35" s="156" t="s">
        <v>148</v>
      </c>
      <c r="L35" s="156" t="s">
        <v>149</v>
      </c>
      <c r="M35" s="156" t="s">
        <v>150</v>
      </c>
      <c r="N35" s="156" t="s">
        <v>151</v>
      </c>
      <c r="O35" s="156" t="s">
        <v>152</v>
      </c>
      <c r="P35" s="156" t="s">
        <v>153</v>
      </c>
      <c r="Q35" s="156" t="s">
        <v>65</v>
      </c>
      <c r="R35" s="157" t="s">
        <v>154</v>
      </c>
    </row>
    <row r="36" spans="2:19" x14ac:dyDescent="0.2">
      <c r="B36" s="151"/>
      <c r="C36" s="150" t="s">
        <v>133</v>
      </c>
      <c r="D36" s="151">
        <v>40</v>
      </c>
      <c r="E36" s="163">
        <v>19850</v>
      </c>
      <c r="F36" s="163">
        <v>19864</v>
      </c>
      <c r="G36" s="163">
        <v>20097</v>
      </c>
      <c r="H36" s="163">
        <v>19328</v>
      </c>
      <c r="I36" s="163">
        <v>19307</v>
      </c>
      <c r="J36" s="163">
        <v>19081</v>
      </c>
      <c r="K36" s="163">
        <v>20208</v>
      </c>
      <c r="L36" s="163">
        <v>20014</v>
      </c>
      <c r="M36" s="163">
        <v>19122</v>
      </c>
      <c r="N36" s="163">
        <v>18228</v>
      </c>
      <c r="O36" s="163">
        <v>18491</v>
      </c>
      <c r="P36" s="163">
        <v>19296</v>
      </c>
      <c r="Q36" s="155">
        <f t="shared" ref="Q36:Q38" si="8">SUM(E36:P36)</f>
        <v>232886</v>
      </c>
      <c r="R36" s="155">
        <f t="shared" ref="R36:R38" si="9">AVERAGE(E36:P36)</f>
        <v>19407.166666666668</v>
      </c>
      <c r="S36" s="209">
        <v>40</v>
      </c>
    </row>
    <row r="37" spans="2:19" x14ac:dyDescent="0.2">
      <c r="B37" s="151"/>
      <c r="C37" s="150" t="s">
        <v>134</v>
      </c>
      <c r="D37" s="151">
        <v>46</v>
      </c>
      <c r="E37" s="163">
        <v>7295</v>
      </c>
      <c r="F37" s="163">
        <v>9634</v>
      </c>
      <c r="G37" s="163">
        <v>10755</v>
      </c>
      <c r="H37" s="163">
        <v>10872</v>
      </c>
      <c r="I37" s="163">
        <v>12345</v>
      </c>
      <c r="J37" s="163">
        <v>13544</v>
      </c>
      <c r="K37" s="163">
        <v>13951</v>
      </c>
      <c r="L37" s="163">
        <v>13301</v>
      </c>
      <c r="M37" s="163">
        <v>16170</v>
      </c>
      <c r="N37" s="163">
        <v>16445</v>
      </c>
      <c r="O37" s="163">
        <v>15485</v>
      </c>
      <c r="P37" s="163">
        <v>23993</v>
      </c>
      <c r="Q37" s="155">
        <f t="shared" si="8"/>
        <v>163790</v>
      </c>
      <c r="R37" s="155">
        <f t="shared" si="9"/>
        <v>13649.166666666666</v>
      </c>
      <c r="S37" s="209">
        <v>46</v>
      </c>
    </row>
    <row r="38" spans="2:19" x14ac:dyDescent="0.2">
      <c r="B38" s="151"/>
      <c r="C38" s="150" t="s">
        <v>135</v>
      </c>
      <c r="D38" s="151">
        <v>47</v>
      </c>
      <c r="E38" s="163">
        <v>9379</v>
      </c>
      <c r="F38" s="163">
        <v>9435</v>
      </c>
      <c r="G38" s="163">
        <v>10352</v>
      </c>
      <c r="H38" s="163">
        <v>10831</v>
      </c>
      <c r="I38" s="163">
        <v>11246</v>
      </c>
      <c r="J38" s="163">
        <v>11261</v>
      </c>
      <c r="K38" s="163">
        <v>11417</v>
      </c>
      <c r="L38" s="163">
        <v>11569</v>
      </c>
      <c r="M38" s="163">
        <v>11263</v>
      </c>
      <c r="N38" s="163">
        <v>10958</v>
      </c>
      <c r="O38" s="163">
        <v>11084</v>
      </c>
      <c r="P38" s="163">
        <v>9987</v>
      </c>
      <c r="Q38" s="155">
        <f t="shared" si="8"/>
        <v>128782</v>
      </c>
      <c r="R38" s="155">
        <f t="shared" si="9"/>
        <v>10731.833333333334</v>
      </c>
      <c r="S38" s="209">
        <v>47</v>
      </c>
    </row>
    <row r="39" spans="2:19" x14ac:dyDescent="0.2">
      <c r="B39" s="160"/>
      <c r="C39" s="164" t="s">
        <v>65</v>
      </c>
      <c r="D39" s="160"/>
      <c r="E39" s="158">
        <f t="shared" ref="E39:R39" si="10">SUM(E36:E38)</f>
        <v>36524</v>
      </c>
      <c r="F39" s="158">
        <f t="shared" si="10"/>
        <v>38933</v>
      </c>
      <c r="G39" s="158">
        <f t="shared" si="10"/>
        <v>41204</v>
      </c>
      <c r="H39" s="158">
        <f t="shared" si="10"/>
        <v>41031</v>
      </c>
      <c r="I39" s="158">
        <f t="shared" si="10"/>
        <v>42898</v>
      </c>
      <c r="J39" s="158">
        <f t="shared" si="10"/>
        <v>43886</v>
      </c>
      <c r="K39" s="158">
        <f t="shared" si="10"/>
        <v>45576</v>
      </c>
      <c r="L39" s="158">
        <f t="shared" si="10"/>
        <v>44884</v>
      </c>
      <c r="M39" s="158">
        <f t="shared" si="10"/>
        <v>46555</v>
      </c>
      <c r="N39" s="158">
        <f t="shared" si="10"/>
        <v>45631</v>
      </c>
      <c r="O39" s="158">
        <f t="shared" si="10"/>
        <v>45060</v>
      </c>
      <c r="P39" s="158">
        <f t="shared" si="10"/>
        <v>53276</v>
      </c>
      <c r="Q39" s="158">
        <f t="shared" si="10"/>
        <v>525458</v>
      </c>
      <c r="R39" s="158">
        <f t="shared" si="10"/>
        <v>43788.166666666672</v>
      </c>
    </row>
    <row r="41" spans="2:19" x14ac:dyDescent="0.2">
      <c r="B41" s="162" t="s">
        <v>157</v>
      </c>
    </row>
    <row r="42" spans="2:19" x14ac:dyDescent="0.2">
      <c r="B42" s="235"/>
      <c r="E42" s="156" t="s">
        <v>142</v>
      </c>
      <c r="F42" s="156" t="s">
        <v>143</v>
      </c>
      <c r="G42" s="156" t="s">
        <v>144</v>
      </c>
      <c r="H42" s="156" t="s">
        <v>145</v>
      </c>
      <c r="I42" s="156" t="s">
        <v>146</v>
      </c>
      <c r="J42" s="156" t="s">
        <v>147</v>
      </c>
      <c r="K42" s="156" t="s">
        <v>148</v>
      </c>
      <c r="L42" s="156" t="s">
        <v>149</v>
      </c>
      <c r="M42" s="156" t="s">
        <v>150</v>
      </c>
      <c r="N42" s="156" t="s">
        <v>151</v>
      </c>
      <c r="O42" s="156" t="s">
        <v>152</v>
      </c>
      <c r="P42" s="156" t="s">
        <v>153</v>
      </c>
      <c r="Q42" s="156" t="s">
        <v>65</v>
      </c>
      <c r="R42" s="157" t="s">
        <v>154</v>
      </c>
    </row>
    <row r="43" spans="2:19" x14ac:dyDescent="0.2">
      <c r="B43" s="151"/>
      <c r="C43" s="150" t="s">
        <v>133</v>
      </c>
      <c r="D43" s="151">
        <v>40</v>
      </c>
      <c r="E43" s="163">
        <v>19850</v>
      </c>
      <c r="F43" s="163">
        <v>19864</v>
      </c>
      <c r="G43" s="163">
        <v>20097</v>
      </c>
      <c r="H43" s="163">
        <v>19328</v>
      </c>
      <c r="I43" s="163">
        <v>19307</v>
      </c>
      <c r="J43" s="163">
        <v>19081</v>
      </c>
      <c r="K43" s="163">
        <v>20208</v>
      </c>
      <c r="L43" s="163">
        <v>20014</v>
      </c>
      <c r="M43" s="163">
        <v>19122</v>
      </c>
      <c r="N43" s="163">
        <v>18228</v>
      </c>
      <c r="O43" s="163">
        <v>18491</v>
      </c>
      <c r="P43" s="163">
        <v>19296</v>
      </c>
      <c r="Q43" s="155">
        <f t="shared" ref="Q43:Q45" si="11">SUM(E43:P43)</f>
        <v>232886</v>
      </c>
      <c r="R43" s="155">
        <f t="shared" ref="R43:R45" si="12">AVERAGE(E43:P43)</f>
        <v>19407.166666666668</v>
      </c>
      <c r="S43" s="209">
        <v>40</v>
      </c>
    </row>
    <row r="44" spans="2:19" x14ac:dyDescent="0.2">
      <c r="B44" s="151"/>
      <c r="C44" s="150" t="s">
        <v>134</v>
      </c>
      <c r="D44" s="151">
        <v>46</v>
      </c>
      <c r="E44" s="163">
        <v>8502</v>
      </c>
      <c r="F44" s="163">
        <v>10343</v>
      </c>
      <c r="G44" s="163">
        <v>11400</v>
      </c>
      <c r="H44" s="163">
        <v>11495</v>
      </c>
      <c r="I44" s="163">
        <v>12751</v>
      </c>
      <c r="J44" s="163">
        <v>13792.86</v>
      </c>
      <c r="K44" s="163">
        <v>18003</v>
      </c>
      <c r="L44" s="163">
        <v>14033</v>
      </c>
      <c r="M44" s="163">
        <v>16830</v>
      </c>
      <c r="N44" s="163">
        <v>18136</v>
      </c>
      <c r="O44" s="163">
        <v>18136</v>
      </c>
      <c r="P44" s="163">
        <v>27598</v>
      </c>
      <c r="Q44" s="155">
        <f t="shared" si="11"/>
        <v>181019.86</v>
      </c>
      <c r="R44" s="155">
        <f t="shared" si="12"/>
        <v>15084.988333333333</v>
      </c>
      <c r="S44" s="209">
        <v>46</v>
      </c>
    </row>
    <row r="45" spans="2:19" x14ac:dyDescent="0.2">
      <c r="B45" s="151"/>
      <c r="C45" s="150" t="s">
        <v>135</v>
      </c>
      <c r="D45" s="151">
        <v>47</v>
      </c>
      <c r="E45" s="163">
        <v>9978</v>
      </c>
      <c r="F45" s="163">
        <v>9979</v>
      </c>
      <c r="G45" s="163">
        <v>10919</v>
      </c>
      <c r="H45" s="163">
        <v>11052</v>
      </c>
      <c r="I45" s="163">
        <v>11246</v>
      </c>
      <c r="J45" s="163">
        <v>11315</v>
      </c>
      <c r="K45" s="163">
        <v>11442</v>
      </c>
      <c r="L45" s="163">
        <v>11589</v>
      </c>
      <c r="M45" s="163">
        <v>11380</v>
      </c>
      <c r="N45" s="163">
        <v>11251</v>
      </c>
      <c r="O45" s="163">
        <v>11353</v>
      </c>
      <c r="P45" s="163">
        <v>10619</v>
      </c>
      <c r="Q45" s="155">
        <f t="shared" si="11"/>
        <v>132123</v>
      </c>
      <c r="R45" s="155">
        <f t="shared" si="12"/>
        <v>11010.25</v>
      </c>
      <c r="S45" s="209">
        <v>47</v>
      </c>
    </row>
    <row r="46" spans="2:19" x14ac:dyDescent="0.2">
      <c r="B46" s="160"/>
      <c r="C46" s="164" t="s">
        <v>65</v>
      </c>
      <c r="D46" s="160"/>
      <c r="E46" s="158">
        <f t="shared" ref="E46:R46" si="13">SUM(E43:E45)</f>
        <v>38330</v>
      </c>
      <c r="F46" s="158">
        <f t="shared" si="13"/>
        <v>40186</v>
      </c>
      <c r="G46" s="158">
        <f t="shared" si="13"/>
        <v>42416</v>
      </c>
      <c r="H46" s="158">
        <f t="shared" si="13"/>
        <v>41875</v>
      </c>
      <c r="I46" s="158">
        <f t="shared" si="13"/>
        <v>43304</v>
      </c>
      <c r="J46" s="158">
        <f t="shared" si="13"/>
        <v>44188.86</v>
      </c>
      <c r="K46" s="158">
        <f t="shared" si="13"/>
        <v>49653</v>
      </c>
      <c r="L46" s="158">
        <f t="shared" si="13"/>
        <v>45636</v>
      </c>
      <c r="M46" s="158">
        <f t="shared" si="13"/>
        <v>47332</v>
      </c>
      <c r="N46" s="158">
        <f t="shared" si="13"/>
        <v>47615</v>
      </c>
      <c r="O46" s="158">
        <f t="shared" si="13"/>
        <v>47980</v>
      </c>
      <c r="P46" s="158">
        <f t="shared" si="13"/>
        <v>57513</v>
      </c>
      <c r="Q46" s="158">
        <f t="shared" si="13"/>
        <v>546028.86</v>
      </c>
      <c r="R46" s="158">
        <f t="shared" si="13"/>
        <v>45502.404999999999</v>
      </c>
    </row>
    <row r="47" spans="2:19" x14ac:dyDescent="0.2">
      <c r="C47" s="150"/>
      <c r="R47" s="159"/>
    </row>
    <row r="48" spans="2:19" x14ac:dyDescent="0.2">
      <c r="B48" s="162" t="s">
        <v>158</v>
      </c>
    </row>
    <row r="49" spans="2:19" x14ac:dyDescent="0.2">
      <c r="B49" s="235"/>
      <c r="E49" s="156" t="s">
        <v>142</v>
      </c>
      <c r="F49" s="156" t="s">
        <v>143</v>
      </c>
      <c r="G49" s="156" t="s">
        <v>144</v>
      </c>
      <c r="H49" s="156" t="s">
        <v>145</v>
      </c>
      <c r="I49" s="156" t="s">
        <v>146</v>
      </c>
      <c r="J49" s="156" t="s">
        <v>147</v>
      </c>
      <c r="K49" s="156" t="s">
        <v>148</v>
      </c>
      <c r="L49" s="156" t="s">
        <v>149</v>
      </c>
      <c r="M49" s="156" t="s">
        <v>150</v>
      </c>
      <c r="N49" s="156" t="s">
        <v>151</v>
      </c>
      <c r="O49" s="156" t="s">
        <v>152</v>
      </c>
      <c r="P49" s="156" t="s">
        <v>153</v>
      </c>
      <c r="Q49" s="156" t="s">
        <v>65</v>
      </c>
      <c r="R49" s="157" t="s">
        <v>154</v>
      </c>
    </row>
    <row r="50" spans="2:19" x14ac:dyDescent="0.2">
      <c r="B50" s="151"/>
      <c r="C50" s="150" t="s">
        <v>133</v>
      </c>
      <c r="D50" s="151">
        <v>40</v>
      </c>
      <c r="E50" s="163">
        <v>134982.82999999999</v>
      </c>
      <c r="F50" s="163">
        <v>135073.19</v>
      </c>
      <c r="G50" s="163">
        <v>136659.54999999999</v>
      </c>
      <c r="H50" s="163">
        <v>131432.29999999999</v>
      </c>
      <c r="I50" s="163">
        <v>131289.18</v>
      </c>
      <c r="J50" s="163">
        <v>129749.82</v>
      </c>
      <c r="K50" s="163">
        <v>137414.01</v>
      </c>
      <c r="L50" s="163">
        <v>136096.41</v>
      </c>
      <c r="M50" s="163">
        <v>129570.77</v>
      </c>
      <c r="N50" s="163">
        <v>123951.38</v>
      </c>
      <c r="O50" s="163">
        <v>125740.33</v>
      </c>
      <c r="P50" s="163">
        <v>131213.44</v>
      </c>
      <c r="Q50" s="155">
        <f t="shared" ref="Q50:Q52" si="14">SUM(E50:P50)</f>
        <v>1583173.21</v>
      </c>
      <c r="R50" s="155">
        <f t="shared" ref="R50:R52" si="15">AVERAGE(E50:P50)</f>
        <v>131931.10083333333</v>
      </c>
      <c r="S50" s="209">
        <v>40</v>
      </c>
    </row>
    <row r="51" spans="2:19" x14ac:dyDescent="0.2">
      <c r="B51" s="151"/>
      <c r="C51" s="150" t="s">
        <v>134</v>
      </c>
      <c r="D51" s="151">
        <v>46</v>
      </c>
      <c r="E51" s="163">
        <v>60024.05</v>
      </c>
      <c r="F51" s="163">
        <v>73020.66</v>
      </c>
      <c r="G51" s="163">
        <v>80482.45</v>
      </c>
      <c r="H51" s="163">
        <v>81154</v>
      </c>
      <c r="I51" s="163">
        <v>93019.95</v>
      </c>
      <c r="J51" s="163">
        <v>97377.58</v>
      </c>
      <c r="K51" s="163">
        <v>99381.14</v>
      </c>
      <c r="L51" s="163">
        <v>101426.78</v>
      </c>
      <c r="M51" s="163">
        <v>121109.85</v>
      </c>
      <c r="N51" s="163">
        <v>130333.81</v>
      </c>
      <c r="O51" s="163">
        <v>130333.81</v>
      </c>
      <c r="P51" s="163">
        <v>130562.06</v>
      </c>
      <c r="Q51" s="155">
        <f t="shared" si="14"/>
        <v>1198226.1400000001</v>
      </c>
      <c r="R51" s="155">
        <f t="shared" si="15"/>
        <v>99852.178333333344</v>
      </c>
      <c r="S51" s="209">
        <v>46</v>
      </c>
    </row>
    <row r="52" spans="2:19" x14ac:dyDescent="0.2">
      <c r="B52" s="151"/>
      <c r="C52" s="150" t="s">
        <v>135</v>
      </c>
      <c r="D52" s="151">
        <v>47</v>
      </c>
      <c r="E52" s="163">
        <v>71827.41</v>
      </c>
      <c r="F52" s="163">
        <v>71836.53</v>
      </c>
      <c r="G52" s="163">
        <v>78549.34</v>
      </c>
      <c r="H52" s="163">
        <v>79905.08</v>
      </c>
      <c r="I52" s="163">
        <v>81839.820000000007</v>
      </c>
      <c r="J52" s="163">
        <v>82522.33</v>
      </c>
      <c r="K52" s="163">
        <v>83770.55</v>
      </c>
      <c r="L52" s="163">
        <v>85211.72</v>
      </c>
      <c r="M52" s="163">
        <v>83167.44</v>
      </c>
      <c r="N52" s="163">
        <v>81885.240000000005</v>
      </c>
      <c r="O52" s="163">
        <v>82898.899999999994</v>
      </c>
      <c r="P52" s="163">
        <v>75702.5</v>
      </c>
      <c r="Q52" s="155">
        <f t="shared" si="14"/>
        <v>959116.86</v>
      </c>
      <c r="R52" s="155">
        <f t="shared" si="15"/>
        <v>79926.404999999999</v>
      </c>
      <c r="S52" s="209">
        <v>47</v>
      </c>
    </row>
    <row r="53" spans="2:19" x14ac:dyDescent="0.2">
      <c r="B53" s="160"/>
      <c r="C53" s="164" t="s">
        <v>65</v>
      </c>
      <c r="D53" s="160"/>
      <c r="E53" s="158">
        <f t="shared" ref="E53:R53" si="16">SUM(E50:E52)</f>
        <v>266834.29000000004</v>
      </c>
      <c r="F53" s="158">
        <f t="shared" si="16"/>
        <v>279930.38</v>
      </c>
      <c r="G53" s="158">
        <f t="shared" si="16"/>
        <v>295691.33999999997</v>
      </c>
      <c r="H53" s="158">
        <f t="shared" si="16"/>
        <v>292491.38</v>
      </c>
      <c r="I53" s="158">
        <f t="shared" si="16"/>
        <v>306148.95</v>
      </c>
      <c r="J53" s="158">
        <f t="shared" si="16"/>
        <v>309649.73000000004</v>
      </c>
      <c r="K53" s="158">
        <f t="shared" si="16"/>
        <v>320565.7</v>
      </c>
      <c r="L53" s="158">
        <f t="shared" si="16"/>
        <v>322734.91000000003</v>
      </c>
      <c r="M53" s="158">
        <f t="shared" si="16"/>
        <v>333848.06</v>
      </c>
      <c r="N53" s="158">
        <f t="shared" si="16"/>
        <v>336170.43</v>
      </c>
      <c r="O53" s="158">
        <f t="shared" si="16"/>
        <v>338973.04000000004</v>
      </c>
      <c r="P53" s="158">
        <f t="shared" si="16"/>
        <v>337478</v>
      </c>
      <c r="Q53" s="158">
        <f t="shared" si="16"/>
        <v>3740516.21</v>
      </c>
      <c r="R53" s="158">
        <f t="shared" si="16"/>
        <v>311709.6841666667</v>
      </c>
    </row>
    <row r="56" spans="2:19" x14ac:dyDescent="0.2">
      <c r="B56" s="162" t="s">
        <v>159</v>
      </c>
    </row>
    <row r="57" spans="2:19" x14ac:dyDescent="0.2">
      <c r="B57" s="235"/>
      <c r="E57" s="156" t="s">
        <v>142</v>
      </c>
      <c r="F57" s="156" t="s">
        <v>143</v>
      </c>
      <c r="G57" s="156" t="s">
        <v>144</v>
      </c>
      <c r="H57" s="156" t="s">
        <v>145</v>
      </c>
      <c r="I57" s="156" t="s">
        <v>146</v>
      </c>
      <c r="J57" s="156" t="s">
        <v>147</v>
      </c>
      <c r="K57" s="156" t="s">
        <v>148</v>
      </c>
      <c r="L57" s="156" t="s">
        <v>149</v>
      </c>
      <c r="M57" s="156" t="s">
        <v>150</v>
      </c>
      <c r="N57" s="156" t="s">
        <v>151</v>
      </c>
      <c r="O57" s="156" t="s">
        <v>152</v>
      </c>
      <c r="P57" s="156" t="s">
        <v>153</v>
      </c>
      <c r="Q57" s="156" t="s">
        <v>65</v>
      </c>
      <c r="R57" s="157" t="s">
        <v>154</v>
      </c>
    </row>
    <row r="58" spans="2:19" x14ac:dyDescent="0.2">
      <c r="B58" s="151">
        <v>1</v>
      </c>
      <c r="C58" s="150" t="s">
        <v>28</v>
      </c>
      <c r="D58" s="151">
        <v>10</v>
      </c>
      <c r="E58" s="165">
        <v>8729667.0399999991</v>
      </c>
      <c r="F58" s="165">
        <v>6782709.3200000003</v>
      </c>
      <c r="G58" s="165">
        <v>7726457.9500000002</v>
      </c>
      <c r="H58" s="165">
        <v>5897887.2400000002</v>
      </c>
      <c r="I58" s="165">
        <v>5792336.9500000002</v>
      </c>
      <c r="J58" s="165">
        <v>6118414.9299999997</v>
      </c>
      <c r="K58" s="165">
        <v>7780050.4400000004</v>
      </c>
      <c r="L58" s="165">
        <v>6826068.0999999996</v>
      </c>
      <c r="M58" s="165">
        <v>5498349.4199999999</v>
      </c>
      <c r="N58" s="165">
        <v>5597537.2400000002</v>
      </c>
      <c r="O58" s="165">
        <v>7452772.5599999996</v>
      </c>
      <c r="P58" s="165">
        <v>9045243.4399999995</v>
      </c>
      <c r="Q58" s="138">
        <f>SUM(E58:P58)</f>
        <v>83247494.629999995</v>
      </c>
      <c r="R58" s="155">
        <f>AVERAGE(E58:P58)</f>
        <v>6937291.2191666663</v>
      </c>
      <c r="S58" s="209">
        <v>10</v>
      </c>
    </row>
    <row r="59" spans="2:19" x14ac:dyDescent="0.2">
      <c r="B59" s="151">
        <v>2</v>
      </c>
      <c r="C59" s="150" t="s">
        <v>130</v>
      </c>
      <c r="D59" s="151">
        <v>11</v>
      </c>
      <c r="E59" s="165">
        <v>54203.8</v>
      </c>
      <c r="F59" s="165">
        <v>37501.39</v>
      </c>
      <c r="G59" s="165">
        <v>46063.63</v>
      </c>
      <c r="H59" s="165">
        <v>20005.77</v>
      </c>
      <c r="I59" s="165">
        <v>6986</v>
      </c>
      <c r="J59" s="165">
        <v>1115.9000000000001</v>
      </c>
      <c r="K59" s="165">
        <v>-561.94000000000005</v>
      </c>
      <c r="L59" s="165">
        <v>128.36000000000001</v>
      </c>
      <c r="M59" s="165">
        <v>430.2</v>
      </c>
      <c r="N59" s="165">
        <v>10322.26</v>
      </c>
      <c r="O59" s="165">
        <v>32709.78</v>
      </c>
      <c r="P59" s="165">
        <v>48212.26</v>
      </c>
      <c r="Q59" s="138">
        <f t="shared" ref="Q59:Q67" si="17">SUM(E59:P59)</f>
        <v>257117.41</v>
      </c>
      <c r="R59" s="155">
        <f t="shared" ref="R59:R67" si="18">AVERAGE(E59:P59)</f>
        <v>21426.450833333332</v>
      </c>
      <c r="S59" s="209">
        <v>11</v>
      </c>
    </row>
    <row r="60" spans="2:19" x14ac:dyDescent="0.2">
      <c r="B60" s="151">
        <v>3</v>
      </c>
      <c r="C60" s="150" t="s">
        <v>131</v>
      </c>
      <c r="D60" s="151">
        <v>20</v>
      </c>
      <c r="E60" s="165">
        <v>776117.22</v>
      </c>
      <c r="F60" s="165">
        <v>641674.39</v>
      </c>
      <c r="G60" s="165">
        <v>743775.68</v>
      </c>
      <c r="H60" s="165">
        <v>671089.05</v>
      </c>
      <c r="I60" s="165">
        <v>693780.98</v>
      </c>
      <c r="J60" s="165">
        <v>723617.25</v>
      </c>
      <c r="K60" s="165">
        <v>827488.03</v>
      </c>
      <c r="L60" s="165">
        <v>748989.46</v>
      </c>
      <c r="M60" s="165">
        <v>663516.77</v>
      </c>
      <c r="N60" s="165">
        <v>670239.31999999995</v>
      </c>
      <c r="O60" s="165">
        <v>717232.68</v>
      </c>
      <c r="P60" s="165">
        <v>807147.36</v>
      </c>
      <c r="Q60" s="138">
        <f t="shared" si="17"/>
        <v>8684668.1899999995</v>
      </c>
      <c r="R60" s="155">
        <f t="shared" si="18"/>
        <v>723722.34916666662</v>
      </c>
      <c r="S60" s="209">
        <v>20</v>
      </c>
    </row>
    <row r="61" spans="2:19" x14ac:dyDescent="0.2">
      <c r="B61" s="151">
        <v>4</v>
      </c>
      <c r="C61" s="150" t="s">
        <v>132</v>
      </c>
      <c r="D61" s="151">
        <v>22</v>
      </c>
      <c r="E61" s="165">
        <v>490.79</v>
      </c>
      <c r="F61" s="165">
        <v>249.38</v>
      </c>
      <c r="G61" s="165">
        <v>340.52</v>
      </c>
      <c r="H61" s="165">
        <v>50.36</v>
      </c>
      <c r="I61" s="165">
        <v>14.66</v>
      </c>
      <c r="J61" s="165">
        <v>16.53</v>
      </c>
      <c r="K61" s="165">
        <v>-10.039999999999999</v>
      </c>
      <c r="L61" s="165">
        <v>0.06</v>
      </c>
      <c r="M61" s="165">
        <v>0.05</v>
      </c>
      <c r="N61" s="165">
        <v>27.7</v>
      </c>
      <c r="O61" s="165">
        <v>118.22</v>
      </c>
      <c r="P61" s="165">
        <v>282.3</v>
      </c>
      <c r="Q61" s="138">
        <f t="shared" si="17"/>
        <v>1580.53</v>
      </c>
      <c r="R61" s="155">
        <f t="shared" si="18"/>
        <v>131.71083333333334</v>
      </c>
      <c r="S61" s="209">
        <v>22</v>
      </c>
    </row>
    <row r="62" spans="2:19" x14ac:dyDescent="0.2">
      <c r="B62" s="151">
        <v>5</v>
      </c>
      <c r="C62" s="150" t="s">
        <v>133</v>
      </c>
      <c r="D62" s="151">
        <v>40</v>
      </c>
      <c r="E62" s="165">
        <v>706131.83</v>
      </c>
      <c r="F62" s="165">
        <v>600131.13</v>
      </c>
      <c r="G62" s="165">
        <v>730121.32</v>
      </c>
      <c r="H62" s="165">
        <v>666688.68000000005</v>
      </c>
      <c r="I62" s="165">
        <v>684383.77</v>
      </c>
      <c r="J62" s="165">
        <v>693025.15</v>
      </c>
      <c r="K62" s="165">
        <v>774732.7</v>
      </c>
      <c r="L62" s="165">
        <v>683881.08</v>
      </c>
      <c r="M62" s="165">
        <v>603651.07999999996</v>
      </c>
      <c r="N62" s="165">
        <v>608670.56000000006</v>
      </c>
      <c r="O62" s="165">
        <v>612840.03</v>
      </c>
      <c r="P62" s="165">
        <v>673708</v>
      </c>
      <c r="Q62" s="138">
        <f t="shared" si="17"/>
        <v>8037965.330000001</v>
      </c>
      <c r="R62" s="155">
        <f t="shared" si="18"/>
        <v>669830.44416666671</v>
      </c>
      <c r="S62" s="209">
        <v>40</v>
      </c>
    </row>
    <row r="63" spans="2:19" x14ac:dyDescent="0.2">
      <c r="B63" s="151">
        <v>6</v>
      </c>
      <c r="C63" s="150" t="s">
        <v>134</v>
      </c>
      <c r="D63" s="151">
        <v>46</v>
      </c>
      <c r="E63" s="165">
        <v>385335.36</v>
      </c>
      <c r="F63" s="165">
        <v>369102.15</v>
      </c>
      <c r="G63" s="165">
        <v>572418.92000000004</v>
      </c>
      <c r="H63" s="165">
        <v>540621.30000000005</v>
      </c>
      <c r="I63" s="165">
        <v>632707.27</v>
      </c>
      <c r="J63" s="165">
        <v>633391.31000000006</v>
      </c>
      <c r="K63" s="165">
        <v>696592.41</v>
      </c>
      <c r="L63" s="165">
        <v>614048.62</v>
      </c>
      <c r="M63" s="165">
        <v>693080.33</v>
      </c>
      <c r="N63" s="165">
        <v>832522.56</v>
      </c>
      <c r="O63" s="165">
        <v>814041.67</v>
      </c>
      <c r="P63" s="165">
        <v>832050.47</v>
      </c>
      <c r="Q63" s="138">
        <f t="shared" si="17"/>
        <v>7615912.3700000001</v>
      </c>
      <c r="R63" s="155">
        <f t="shared" si="18"/>
        <v>634659.36416666664</v>
      </c>
      <c r="S63" s="209">
        <v>46</v>
      </c>
    </row>
    <row r="64" spans="2:19" x14ac:dyDescent="0.2">
      <c r="B64" s="151">
        <v>7</v>
      </c>
      <c r="C64" s="150" t="s">
        <v>135</v>
      </c>
      <c r="D64" s="151">
        <v>47</v>
      </c>
      <c r="E64" s="165">
        <v>407894.33</v>
      </c>
      <c r="F64" s="165">
        <v>369199.03</v>
      </c>
      <c r="G64" s="165">
        <v>532545.39</v>
      </c>
      <c r="H64" s="165">
        <v>482689.96</v>
      </c>
      <c r="I64" s="165">
        <v>511936.58</v>
      </c>
      <c r="J64" s="165">
        <v>520842.3</v>
      </c>
      <c r="K64" s="165">
        <v>532553.61</v>
      </c>
      <c r="L64" s="165">
        <v>503720.03</v>
      </c>
      <c r="M64" s="165">
        <v>463604.99</v>
      </c>
      <c r="N64" s="165">
        <v>483681.31</v>
      </c>
      <c r="O64" s="165">
        <v>458083.95</v>
      </c>
      <c r="P64" s="165">
        <v>427547.07</v>
      </c>
      <c r="Q64" s="138">
        <f t="shared" si="17"/>
        <v>5694298.5499999998</v>
      </c>
      <c r="R64" s="155">
        <f t="shared" si="18"/>
        <v>474524.87916666665</v>
      </c>
      <c r="S64" s="209">
        <v>47</v>
      </c>
    </row>
    <row r="65" spans="2:19" x14ac:dyDescent="0.2">
      <c r="B65" s="151">
        <v>8</v>
      </c>
      <c r="C65" s="150" t="s">
        <v>136</v>
      </c>
      <c r="D65" s="151">
        <v>50</v>
      </c>
      <c r="E65" s="165">
        <v>296535.59000000003</v>
      </c>
      <c r="F65" s="165">
        <v>236141.96</v>
      </c>
      <c r="G65" s="165">
        <v>280987.42</v>
      </c>
      <c r="H65" s="165">
        <v>185396.7</v>
      </c>
      <c r="I65" s="165">
        <v>213766.48</v>
      </c>
      <c r="J65" s="165">
        <v>222385.56</v>
      </c>
      <c r="K65" s="165">
        <v>290183.90000000002</v>
      </c>
      <c r="L65" s="165">
        <v>269611.96999999997</v>
      </c>
      <c r="M65" s="165">
        <v>218754</v>
      </c>
      <c r="N65" s="165">
        <v>207890.32</v>
      </c>
      <c r="O65" s="165">
        <v>254889.45</v>
      </c>
      <c r="P65" s="165">
        <v>297656.53999999998</v>
      </c>
      <c r="Q65" s="138">
        <f t="shared" si="17"/>
        <v>2974199.89</v>
      </c>
      <c r="R65" s="155">
        <f t="shared" si="18"/>
        <v>247849.99083333334</v>
      </c>
      <c r="S65" s="209">
        <v>50</v>
      </c>
    </row>
    <row r="66" spans="2:19" x14ac:dyDescent="0.2">
      <c r="B66" s="151">
        <v>9</v>
      </c>
      <c r="C66" s="150" t="s">
        <v>137</v>
      </c>
      <c r="D66" s="151">
        <v>52</v>
      </c>
      <c r="E66" s="165">
        <v>91979.13</v>
      </c>
      <c r="F66" s="165">
        <v>73054.05</v>
      </c>
      <c r="G66" s="165">
        <v>94359.34</v>
      </c>
      <c r="H66" s="165">
        <v>71076.259999999995</v>
      </c>
      <c r="I66" s="165">
        <v>78291.960000000006</v>
      </c>
      <c r="J66" s="165">
        <v>72396.649999999994</v>
      </c>
      <c r="K66" s="165">
        <v>82203.72</v>
      </c>
      <c r="L66" s="165">
        <v>89273.79</v>
      </c>
      <c r="M66" s="165">
        <v>77806.62</v>
      </c>
      <c r="N66" s="165">
        <v>80886.55</v>
      </c>
      <c r="O66" s="165">
        <v>82029.929999999993</v>
      </c>
      <c r="P66" s="165">
        <v>89574.56</v>
      </c>
      <c r="Q66" s="138">
        <f t="shared" si="17"/>
        <v>982932.56</v>
      </c>
      <c r="R66" s="155">
        <f t="shared" si="18"/>
        <v>81911.046666666676</v>
      </c>
      <c r="S66" s="209">
        <v>52</v>
      </c>
    </row>
    <row r="67" spans="2:19" x14ac:dyDescent="0.2">
      <c r="B67" s="151">
        <v>10</v>
      </c>
      <c r="C67" s="150" t="s">
        <v>138</v>
      </c>
      <c r="D67" s="151" t="s">
        <v>139</v>
      </c>
      <c r="E67" s="165">
        <v>0</v>
      </c>
      <c r="F67" s="165">
        <v>0</v>
      </c>
      <c r="G67" s="165">
        <v>0</v>
      </c>
      <c r="H67" s="165">
        <v>0</v>
      </c>
      <c r="I67" s="165">
        <v>0</v>
      </c>
      <c r="J67" s="165">
        <v>0</v>
      </c>
      <c r="K67" s="165">
        <v>0</v>
      </c>
      <c r="L67" s="165">
        <v>0</v>
      </c>
      <c r="M67" s="165">
        <v>0</v>
      </c>
      <c r="N67" s="165">
        <v>0</v>
      </c>
      <c r="O67" s="165">
        <v>0</v>
      </c>
      <c r="P67" s="165">
        <v>0</v>
      </c>
      <c r="Q67" s="138">
        <f t="shared" si="17"/>
        <v>0</v>
      </c>
      <c r="R67" s="155">
        <f t="shared" si="18"/>
        <v>0</v>
      </c>
      <c r="S67" s="209" t="s">
        <v>139</v>
      </c>
    </row>
    <row r="68" spans="2:19" x14ac:dyDescent="0.2">
      <c r="B68" s="160"/>
      <c r="C68" s="164" t="s">
        <v>65</v>
      </c>
      <c r="D68" s="160"/>
      <c r="E68" s="158">
        <f t="shared" ref="E68:R68" si="19">SUM(E58:E67)</f>
        <v>11448355.09</v>
      </c>
      <c r="F68" s="158">
        <f t="shared" si="19"/>
        <v>9109762.8000000007</v>
      </c>
      <c r="G68" s="158">
        <f t="shared" si="19"/>
        <v>10727070.17</v>
      </c>
      <c r="H68" s="158">
        <f t="shared" si="19"/>
        <v>8535505.3199999984</v>
      </c>
      <c r="I68" s="158">
        <f t="shared" si="19"/>
        <v>8614204.6500000004</v>
      </c>
      <c r="J68" s="158">
        <f t="shared" si="19"/>
        <v>8985205.5800000019</v>
      </c>
      <c r="K68" s="158">
        <f t="shared" si="19"/>
        <v>10983232.83</v>
      </c>
      <c r="L68" s="158">
        <f t="shared" si="19"/>
        <v>9735721.4699999988</v>
      </c>
      <c r="M68" s="158">
        <f t="shared" si="19"/>
        <v>8219193.4600000009</v>
      </c>
      <c r="N68" s="158">
        <f t="shared" si="19"/>
        <v>8491777.8200000003</v>
      </c>
      <c r="O68" s="158">
        <f t="shared" si="19"/>
        <v>10424718.269999998</v>
      </c>
      <c r="P68" s="158">
        <f t="shared" si="19"/>
        <v>12221422</v>
      </c>
      <c r="Q68" s="160">
        <f t="shared" si="19"/>
        <v>117496169.45999999</v>
      </c>
      <c r="R68" s="158">
        <f t="shared" si="19"/>
        <v>9791347.4550000001</v>
      </c>
    </row>
    <row r="69" spans="2:19" x14ac:dyDescent="0.2">
      <c r="C69" s="150"/>
      <c r="R69" s="159"/>
    </row>
    <row r="70" spans="2:19" x14ac:dyDescent="0.2">
      <c r="B70" s="162" t="s">
        <v>160</v>
      </c>
    </row>
    <row r="71" spans="2:19" x14ac:dyDescent="0.2">
      <c r="B71" s="235"/>
      <c r="E71" s="156" t="s">
        <v>142</v>
      </c>
      <c r="F71" s="156" t="s">
        <v>143</v>
      </c>
      <c r="G71" s="156" t="s">
        <v>144</v>
      </c>
      <c r="H71" s="156" t="s">
        <v>145</v>
      </c>
      <c r="I71" s="156" t="s">
        <v>146</v>
      </c>
      <c r="J71" s="156" t="s">
        <v>147</v>
      </c>
      <c r="K71" s="156" t="s">
        <v>148</v>
      </c>
      <c r="L71" s="156" t="s">
        <v>149</v>
      </c>
      <c r="M71" s="156" t="s">
        <v>150</v>
      </c>
      <c r="N71" s="156" t="s">
        <v>151</v>
      </c>
      <c r="O71" s="156" t="s">
        <v>152</v>
      </c>
      <c r="P71" s="156" t="s">
        <v>153</v>
      </c>
      <c r="Q71" s="156" t="s">
        <v>65</v>
      </c>
      <c r="R71" s="157" t="s">
        <v>154</v>
      </c>
    </row>
    <row r="72" spans="2:19" x14ac:dyDescent="0.2">
      <c r="B72" s="151">
        <v>1</v>
      </c>
      <c r="C72" s="150" t="s">
        <v>28</v>
      </c>
      <c r="D72" s="151">
        <v>10</v>
      </c>
      <c r="E72" s="165">
        <v>630908</v>
      </c>
      <c r="F72" s="165">
        <v>-555981</v>
      </c>
      <c r="G72" s="165">
        <v>-1019880</v>
      </c>
      <c r="H72" s="165">
        <v>-210489</v>
      </c>
      <c r="I72" s="165">
        <v>952</v>
      </c>
      <c r="J72" s="165">
        <v>-229946</v>
      </c>
      <c r="K72" s="165">
        <v>-123919</v>
      </c>
      <c r="L72" s="165">
        <v>455619</v>
      </c>
      <c r="M72" s="165">
        <v>112049</v>
      </c>
      <c r="N72" s="165">
        <v>-107270</v>
      </c>
      <c r="O72" s="165">
        <v>-36329</v>
      </c>
      <c r="P72" s="165">
        <v>-116711</v>
      </c>
      <c r="Q72" s="155">
        <v>-1200997</v>
      </c>
      <c r="R72" s="155">
        <f>AVERAGE(E72:P72)</f>
        <v>-100083.08333333333</v>
      </c>
      <c r="S72" s="209">
        <v>10</v>
      </c>
    </row>
    <row r="73" spans="2:19" x14ac:dyDescent="0.2">
      <c r="B73" s="151">
        <v>2</v>
      </c>
      <c r="C73" s="150" t="s">
        <v>130</v>
      </c>
      <c r="D73" s="151">
        <v>11</v>
      </c>
      <c r="E73" s="165">
        <v>2921</v>
      </c>
      <c r="F73" s="165">
        <v>-1447</v>
      </c>
      <c r="G73" s="165">
        <v>-3885</v>
      </c>
      <c r="H73" s="165">
        <v>-800</v>
      </c>
      <c r="I73" s="165">
        <v>4</v>
      </c>
      <c r="J73" s="165">
        <v>-876</v>
      </c>
      <c r="K73" s="165">
        <v>-472</v>
      </c>
      <c r="L73" s="165">
        <v>1736</v>
      </c>
      <c r="M73" s="165">
        <v>428</v>
      </c>
      <c r="N73" s="165">
        <v>-409</v>
      </c>
      <c r="O73" s="165">
        <v>-139</v>
      </c>
      <c r="P73" s="165">
        <v>-445</v>
      </c>
      <c r="Q73" s="155">
        <f t="shared" ref="Q73:Q81" si="20">SUM(E73:P73)</f>
        <v>-3384</v>
      </c>
      <c r="R73" s="155">
        <f t="shared" ref="R73:R81" si="21">AVERAGE(E73:P73)</f>
        <v>-282</v>
      </c>
      <c r="S73" s="209">
        <v>11</v>
      </c>
    </row>
    <row r="74" spans="2:19" x14ac:dyDescent="0.2">
      <c r="B74" s="151">
        <v>3</v>
      </c>
      <c r="C74" s="150" t="s">
        <v>131</v>
      </c>
      <c r="D74" s="151">
        <v>20</v>
      </c>
      <c r="E74" s="165">
        <v>62397</v>
      </c>
      <c r="F74" s="165">
        <v>-55207</v>
      </c>
      <c r="G74" s="165">
        <v>-101030</v>
      </c>
      <c r="H74" s="165">
        <v>-20852</v>
      </c>
      <c r="I74" s="165">
        <v>94</v>
      </c>
      <c r="J74" s="165">
        <v>-22778</v>
      </c>
      <c r="K74" s="165">
        <v>-12275</v>
      </c>
      <c r="L74" s="165">
        <v>45134</v>
      </c>
      <c r="M74" s="165">
        <v>11099</v>
      </c>
      <c r="N74" s="165">
        <v>-10626</v>
      </c>
      <c r="O74" s="165">
        <v>-3598</v>
      </c>
      <c r="P74" s="165">
        <v>-11562</v>
      </c>
      <c r="Q74" s="155">
        <f t="shared" si="20"/>
        <v>-119204</v>
      </c>
      <c r="R74" s="155">
        <f t="shared" si="21"/>
        <v>-9933.6666666666661</v>
      </c>
      <c r="S74" s="209">
        <v>20</v>
      </c>
    </row>
    <row r="75" spans="2:19" x14ac:dyDescent="0.2">
      <c r="B75" s="151">
        <v>4</v>
      </c>
      <c r="C75" s="150" t="s">
        <v>132</v>
      </c>
      <c r="D75" s="151">
        <v>22</v>
      </c>
      <c r="E75" s="165">
        <v>25</v>
      </c>
      <c r="F75" s="165">
        <v>-12</v>
      </c>
      <c r="G75" s="165">
        <v>-33</v>
      </c>
      <c r="H75" s="165">
        <v>-7</v>
      </c>
      <c r="I75" s="165">
        <v>0</v>
      </c>
      <c r="J75" s="165">
        <v>-7</v>
      </c>
      <c r="K75" s="165">
        <v>-4</v>
      </c>
      <c r="L75" s="165">
        <v>14</v>
      </c>
      <c r="M75" s="165">
        <v>4</v>
      </c>
      <c r="N75" s="165">
        <v>-3</v>
      </c>
      <c r="O75" s="165">
        <v>-1</v>
      </c>
      <c r="P75" s="165">
        <v>-4</v>
      </c>
      <c r="Q75" s="155">
        <f t="shared" si="20"/>
        <v>-28</v>
      </c>
      <c r="R75" s="155">
        <f t="shared" si="21"/>
        <v>-2.3333333333333335</v>
      </c>
      <c r="S75" s="209">
        <v>22</v>
      </c>
    </row>
    <row r="76" spans="2:19" x14ac:dyDescent="0.2">
      <c r="B76" s="151">
        <v>5</v>
      </c>
      <c r="C76" s="150" t="s">
        <v>133</v>
      </c>
      <c r="D76" s="151">
        <v>40</v>
      </c>
      <c r="E76" s="165">
        <v>67575</v>
      </c>
      <c r="F76" s="165">
        <v>-47632</v>
      </c>
      <c r="G76" s="165">
        <v>-100391</v>
      </c>
      <c r="H76" s="165">
        <v>-20720</v>
      </c>
      <c r="I76" s="165">
        <v>93</v>
      </c>
      <c r="J76" s="165">
        <v>-22634</v>
      </c>
      <c r="K76" s="165">
        <v>-12197</v>
      </c>
      <c r="L76" s="165">
        <v>44848</v>
      </c>
      <c r="M76" s="165">
        <v>11029</v>
      </c>
      <c r="N76" s="165">
        <v>-10559</v>
      </c>
      <c r="O76" s="165">
        <v>-3576</v>
      </c>
      <c r="P76" s="165">
        <v>-11488</v>
      </c>
      <c r="Q76" s="155">
        <f t="shared" si="20"/>
        <v>-105652</v>
      </c>
      <c r="R76" s="155">
        <f t="shared" si="21"/>
        <v>-8804.3333333333339</v>
      </c>
      <c r="S76" s="209">
        <v>40</v>
      </c>
    </row>
    <row r="77" spans="2:19" x14ac:dyDescent="0.2">
      <c r="B77" s="151">
        <v>6</v>
      </c>
      <c r="C77" s="150" t="s">
        <v>134</v>
      </c>
      <c r="D77" s="151">
        <v>46</v>
      </c>
      <c r="E77" s="165">
        <v>38115</v>
      </c>
      <c r="F77" s="165">
        <v>3667</v>
      </c>
      <c r="G77" s="165">
        <v>-33962</v>
      </c>
      <c r="H77" s="165">
        <v>-7010</v>
      </c>
      <c r="I77" s="165">
        <v>32</v>
      </c>
      <c r="J77" s="165">
        <v>-7657</v>
      </c>
      <c r="K77" s="165">
        <v>-4127</v>
      </c>
      <c r="L77" s="165">
        <v>15172</v>
      </c>
      <c r="M77" s="165">
        <v>3731</v>
      </c>
      <c r="N77" s="165">
        <v>-3572</v>
      </c>
      <c r="O77" s="165">
        <v>-1209</v>
      </c>
      <c r="P77" s="165">
        <v>-3886</v>
      </c>
      <c r="Q77" s="155">
        <v>-706</v>
      </c>
      <c r="R77" s="155">
        <f t="shared" si="21"/>
        <v>-58.833333333333336</v>
      </c>
      <c r="S77" s="209">
        <v>46</v>
      </c>
    </row>
    <row r="78" spans="2:19" x14ac:dyDescent="0.2">
      <c r="B78" s="151">
        <v>7</v>
      </c>
      <c r="C78" s="150" t="s">
        <v>135</v>
      </c>
      <c r="D78" s="151">
        <v>47</v>
      </c>
      <c r="E78" s="165">
        <v>39923</v>
      </c>
      <c r="F78" s="165">
        <v>-27235</v>
      </c>
      <c r="G78" s="165">
        <v>-58638</v>
      </c>
      <c r="H78" s="165">
        <v>-12102</v>
      </c>
      <c r="I78" s="165">
        <v>54</v>
      </c>
      <c r="J78" s="165">
        <v>-13221</v>
      </c>
      <c r="K78" s="165">
        <v>-7124</v>
      </c>
      <c r="L78" s="165">
        <v>26196</v>
      </c>
      <c r="M78" s="165">
        <v>6442</v>
      </c>
      <c r="N78" s="165">
        <v>-6167</v>
      </c>
      <c r="O78" s="165">
        <v>-2089</v>
      </c>
      <c r="P78" s="165">
        <v>-6711</v>
      </c>
      <c r="Q78" s="155">
        <f t="shared" si="20"/>
        <v>-60672</v>
      </c>
      <c r="R78" s="155">
        <f t="shared" si="21"/>
        <v>-5056</v>
      </c>
      <c r="S78" s="209">
        <v>47</v>
      </c>
    </row>
    <row r="79" spans="2:19" x14ac:dyDescent="0.2">
      <c r="B79" s="151">
        <v>8</v>
      </c>
      <c r="C79" s="150" t="s">
        <v>136</v>
      </c>
      <c r="D79" s="151">
        <v>50</v>
      </c>
      <c r="E79" s="165">
        <v>23262</v>
      </c>
      <c r="F79" s="165">
        <v>-18664</v>
      </c>
      <c r="G79" s="165">
        <v>-36241</v>
      </c>
      <c r="H79" s="165">
        <v>-7478</v>
      </c>
      <c r="I79" s="165">
        <v>34</v>
      </c>
      <c r="J79" s="165">
        <v>-8173</v>
      </c>
      <c r="K79" s="165">
        <v>-4404</v>
      </c>
      <c r="L79" s="165">
        <v>16190</v>
      </c>
      <c r="M79" s="165">
        <v>3982</v>
      </c>
      <c r="N79" s="165">
        <v>-3812</v>
      </c>
      <c r="O79" s="165">
        <v>-1291</v>
      </c>
      <c r="P79" s="165">
        <v>-4147</v>
      </c>
      <c r="Q79" s="155">
        <f t="shared" si="20"/>
        <v>-40742</v>
      </c>
      <c r="R79" s="155">
        <f t="shared" si="21"/>
        <v>-3395.1666666666665</v>
      </c>
      <c r="S79" s="209">
        <v>50</v>
      </c>
    </row>
    <row r="80" spans="2:19" x14ac:dyDescent="0.2">
      <c r="B80" s="151">
        <v>9</v>
      </c>
      <c r="C80" s="150" t="s">
        <v>137</v>
      </c>
      <c r="D80" s="151">
        <v>52</v>
      </c>
      <c r="E80" s="165">
        <v>7468</v>
      </c>
      <c r="F80" s="165">
        <v>-6036</v>
      </c>
      <c r="G80" s="165">
        <v>-11668</v>
      </c>
      <c r="H80" s="165">
        <v>-2409</v>
      </c>
      <c r="I80" s="165">
        <v>11</v>
      </c>
      <c r="J80" s="165">
        <v>-2630</v>
      </c>
      <c r="K80" s="165">
        <v>-1418</v>
      </c>
      <c r="L80" s="165">
        <v>5212</v>
      </c>
      <c r="M80" s="165">
        <v>1282</v>
      </c>
      <c r="N80" s="165">
        <v>-1227</v>
      </c>
      <c r="O80" s="165">
        <v>-416</v>
      </c>
      <c r="P80" s="165">
        <v>-1335</v>
      </c>
      <c r="Q80" s="155">
        <f t="shared" si="20"/>
        <v>-13166</v>
      </c>
      <c r="R80" s="155">
        <f t="shared" si="21"/>
        <v>-1097.1666666666667</v>
      </c>
      <c r="S80" s="209">
        <v>52</v>
      </c>
    </row>
    <row r="81" spans="2:19" x14ac:dyDescent="0.2">
      <c r="B81" s="151">
        <v>10</v>
      </c>
      <c r="C81" s="150" t="s">
        <v>138</v>
      </c>
      <c r="D81" s="151" t="s">
        <v>139</v>
      </c>
      <c r="E81" s="165">
        <v>0</v>
      </c>
      <c r="F81" s="165">
        <v>0</v>
      </c>
      <c r="G81" s="165">
        <v>0</v>
      </c>
      <c r="H81" s="165">
        <v>0</v>
      </c>
      <c r="I81" s="165">
        <v>0</v>
      </c>
      <c r="J81" s="165">
        <v>0</v>
      </c>
      <c r="K81" s="165">
        <v>0</v>
      </c>
      <c r="L81" s="165">
        <v>0</v>
      </c>
      <c r="M81" s="165">
        <v>0</v>
      </c>
      <c r="N81" s="165">
        <v>0</v>
      </c>
      <c r="O81" s="165">
        <v>0</v>
      </c>
      <c r="P81" s="165">
        <v>0</v>
      </c>
      <c r="Q81" s="155">
        <f t="shared" si="20"/>
        <v>0</v>
      </c>
      <c r="R81" s="155">
        <f t="shared" si="21"/>
        <v>0</v>
      </c>
      <c r="S81" s="209" t="s">
        <v>139</v>
      </c>
    </row>
    <row r="82" spans="2:19" x14ac:dyDescent="0.2">
      <c r="B82" s="160"/>
      <c r="C82" s="164" t="s">
        <v>65</v>
      </c>
      <c r="D82" s="160"/>
      <c r="E82" s="158">
        <f t="shared" ref="E82:R82" si="22">SUM(E72:E81)</f>
        <v>872594</v>
      </c>
      <c r="F82" s="158">
        <f t="shared" si="22"/>
        <v>-708547</v>
      </c>
      <c r="G82" s="158">
        <f t="shared" si="22"/>
        <v>-1365728</v>
      </c>
      <c r="H82" s="158">
        <f t="shared" si="22"/>
        <v>-281867</v>
      </c>
      <c r="I82" s="158">
        <f t="shared" si="22"/>
        <v>1274</v>
      </c>
      <c r="J82" s="158">
        <f t="shared" si="22"/>
        <v>-307922</v>
      </c>
      <c r="K82" s="158">
        <f t="shared" si="22"/>
        <v>-165940</v>
      </c>
      <c r="L82" s="158">
        <f t="shared" si="22"/>
        <v>610121</v>
      </c>
      <c r="M82" s="158">
        <f t="shared" si="22"/>
        <v>150046</v>
      </c>
      <c r="N82" s="158">
        <f t="shared" si="22"/>
        <v>-143645</v>
      </c>
      <c r="O82" s="158">
        <f t="shared" si="22"/>
        <v>-48648</v>
      </c>
      <c r="P82" s="158">
        <f t="shared" si="22"/>
        <v>-156289</v>
      </c>
      <c r="Q82" s="160">
        <f t="shared" si="22"/>
        <v>-1544551</v>
      </c>
      <c r="R82" s="158">
        <f t="shared" si="22"/>
        <v>-128712.58333333333</v>
      </c>
    </row>
    <row r="83" spans="2:19" x14ac:dyDescent="0.2">
      <c r="C83" s="150"/>
      <c r="R83" s="159"/>
    </row>
    <row r="84" spans="2:19" x14ac:dyDescent="0.2">
      <c r="B84" s="162" t="s">
        <v>161</v>
      </c>
    </row>
    <row r="85" spans="2:19" x14ac:dyDescent="0.2">
      <c r="B85" s="235"/>
      <c r="E85" s="156" t="s">
        <v>142</v>
      </c>
      <c r="F85" s="156" t="s">
        <v>143</v>
      </c>
      <c r="G85" s="156" t="s">
        <v>144</v>
      </c>
      <c r="H85" s="156" t="s">
        <v>145</v>
      </c>
      <c r="I85" s="156" t="s">
        <v>146</v>
      </c>
      <c r="J85" s="156" t="s">
        <v>147</v>
      </c>
      <c r="K85" s="156" t="s">
        <v>148</v>
      </c>
      <c r="L85" s="156" t="s">
        <v>149</v>
      </c>
      <c r="M85" s="156" t="s">
        <v>150</v>
      </c>
      <c r="N85" s="156" t="s">
        <v>151</v>
      </c>
      <c r="O85" s="156" t="s">
        <v>152</v>
      </c>
      <c r="P85" s="156" t="s">
        <v>153</v>
      </c>
      <c r="Q85" s="156" t="s">
        <v>65</v>
      </c>
      <c r="R85" s="157" t="s">
        <v>154</v>
      </c>
    </row>
    <row r="86" spans="2:19" x14ac:dyDescent="0.2">
      <c r="B86" s="151">
        <v>1</v>
      </c>
      <c r="C86" s="150" t="s">
        <v>28</v>
      </c>
      <c r="D86" s="151">
        <v>10</v>
      </c>
      <c r="E86" s="166">
        <f>E58+E72-E132</f>
        <v>9140739.9699999988</v>
      </c>
      <c r="F86" s="166">
        <f t="shared" ref="F86:P86" si="23">F58+F72-F132</f>
        <v>6006893.25</v>
      </c>
      <c r="G86" s="166">
        <f t="shared" si="23"/>
        <v>6486742.8799999999</v>
      </c>
      <c r="H86" s="166">
        <f t="shared" si="23"/>
        <v>5467563.1699999999</v>
      </c>
      <c r="I86" s="166">
        <f t="shared" si="23"/>
        <v>5573453.8799999999</v>
      </c>
      <c r="J86" s="166">
        <f t="shared" si="23"/>
        <v>5668633.8599999994</v>
      </c>
      <c r="K86" s="166">
        <f t="shared" si="23"/>
        <v>7436296.3700000001</v>
      </c>
      <c r="L86" s="166">
        <f t="shared" si="23"/>
        <v>7061852.0299999993</v>
      </c>
      <c r="M86" s="166">
        <f t="shared" si="23"/>
        <v>5390563.3499999996</v>
      </c>
      <c r="N86" s="166">
        <f t="shared" si="23"/>
        <v>5270432.17</v>
      </c>
      <c r="O86" s="166">
        <f t="shared" si="23"/>
        <v>7196608.4899999993</v>
      </c>
      <c r="P86" s="166">
        <f t="shared" si="23"/>
        <v>8708697.3699999992</v>
      </c>
      <c r="Q86" s="138">
        <f>SUM(E86:P86)</f>
        <v>79408476.789999992</v>
      </c>
      <c r="R86" s="155">
        <f>AVERAGE(E86:P86)</f>
        <v>6617373.0658333329</v>
      </c>
      <c r="S86" s="209">
        <v>10</v>
      </c>
    </row>
    <row r="87" spans="2:19" x14ac:dyDescent="0.2">
      <c r="B87" s="151">
        <v>2</v>
      </c>
      <c r="C87" s="150" t="s">
        <v>130</v>
      </c>
      <c r="D87" s="151">
        <v>11</v>
      </c>
      <c r="E87" s="166">
        <f t="shared" ref="E87:P94" si="24">E59+E73-E133</f>
        <v>57124.800000000003</v>
      </c>
      <c r="F87" s="166">
        <f t="shared" si="24"/>
        <v>36054.39</v>
      </c>
      <c r="G87" s="166">
        <f t="shared" si="24"/>
        <v>42178.63</v>
      </c>
      <c r="H87" s="166">
        <f t="shared" si="24"/>
        <v>19205.77</v>
      </c>
      <c r="I87" s="166">
        <f t="shared" si="24"/>
        <v>6990</v>
      </c>
      <c r="J87" s="166">
        <f t="shared" si="24"/>
        <v>239.90000000000009</v>
      </c>
      <c r="K87" s="166">
        <f t="shared" si="24"/>
        <v>-1033.94</v>
      </c>
      <c r="L87" s="166">
        <f t="shared" si="24"/>
        <v>1864.3600000000001</v>
      </c>
      <c r="M87" s="166">
        <f t="shared" si="24"/>
        <v>858.2</v>
      </c>
      <c r="N87" s="166">
        <f t="shared" si="24"/>
        <v>9913.26</v>
      </c>
      <c r="O87" s="166">
        <f t="shared" si="24"/>
        <v>32570.78</v>
      </c>
      <c r="P87" s="166">
        <f t="shared" si="24"/>
        <v>47767.26</v>
      </c>
      <c r="Q87" s="138">
        <f t="shared" ref="Q87:Q95" si="25">SUM(E87:P87)</f>
        <v>253733.41</v>
      </c>
      <c r="R87" s="155">
        <f t="shared" ref="R87:R95" si="26">AVERAGE(E87:P87)</f>
        <v>21144.450833333332</v>
      </c>
      <c r="S87" s="209">
        <v>11</v>
      </c>
    </row>
    <row r="88" spans="2:19" x14ac:dyDescent="0.2">
      <c r="B88" s="151">
        <v>3</v>
      </c>
      <c r="C88" s="150" t="s">
        <v>131</v>
      </c>
      <c r="D88" s="151">
        <v>20</v>
      </c>
      <c r="E88" s="166">
        <f t="shared" si="24"/>
        <v>808988.89</v>
      </c>
      <c r="F88" s="166">
        <f t="shared" si="24"/>
        <v>556942.06000000006</v>
      </c>
      <c r="G88" s="166">
        <f t="shared" si="24"/>
        <v>613220.35000000009</v>
      </c>
      <c r="H88" s="166">
        <f t="shared" si="24"/>
        <v>620711.72000000009</v>
      </c>
      <c r="I88" s="166">
        <f t="shared" si="24"/>
        <v>664349.65</v>
      </c>
      <c r="J88" s="166">
        <f t="shared" si="24"/>
        <v>671313.92000000004</v>
      </c>
      <c r="K88" s="166">
        <f t="shared" si="24"/>
        <v>785687.70000000007</v>
      </c>
      <c r="L88" s="166">
        <f t="shared" si="24"/>
        <v>764598.13</v>
      </c>
      <c r="M88" s="166">
        <f t="shared" si="24"/>
        <v>645090.44000000006</v>
      </c>
      <c r="N88" s="166">
        <f t="shared" si="24"/>
        <v>630087.99</v>
      </c>
      <c r="O88" s="166">
        <f t="shared" si="24"/>
        <v>684109.35000000009</v>
      </c>
      <c r="P88" s="166">
        <f t="shared" si="24"/>
        <v>766060.03</v>
      </c>
      <c r="Q88" s="138">
        <f t="shared" si="25"/>
        <v>8211160.2300000014</v>
      </c>
      <c r="R88" s="155">
        <f t="shared" si="26"/>
        <v>684263.35250000015</v>
      </c>
      <c r="S88" s="209">
        <v>20</v>
      </c>
    </row>
    <row r="89" spans="2:19" x14ac:dyDescent="0.2">
      <c r="B89" s="151">
        <v>4</v>
      </c>
      <c r="C89" s="150" t="s">
        <v>132</v>
      </c>
      <c r="D89" s="151">
        <v>22</v>
      </c>
      <c r="E89" s="166">
        <f t="shared" si="24"/>
        <v>515.79</v>
      </c>
      <c r="F89" s="166">
        <f t="shared" si="24"/>
        <v>237.38</v>
      </c>
      <c r="G89" s="166">
        <f t="shared" si="24"/>
        <v>307.52</v>
      </c>
      <c r="H89" s="166">
        <f t="shared" si="24"/>
        <v>43.36</v>
      </c>
      <c r="I89" s="166">
        <f t="shared" si="24"/>
        <v>14.66</v>
      </c>
      <c r="J89" s="166">
        <f t="shared" si="24"/>
        <v>9.5300000000000011</v>
      </c>
      <c r="K89" s="166">
        <f t="shared" si="24"/>
        <v>-14.04</v>
      </c>
      <c r="L89" s="166">
        <f t="shared" si="24"/>
        <v>14.06</v>
      </c>
      <c r="M89" s="166">
        <f t="shared" si="24"/>
        <v>4.05</v>
      </c>
      <c r="N89" s="166">
        <f t="shared" si="24"/>
        <v>24.7</v>
      </c>
      <c r="O89" s="166">
        <f t="shared" si="24"/>
        <v>117.22</v>
      </c>
      <c r="P89" s="166">
        <f t="shared" si="24"/>
        <v>278.3</v>
      </c>
      <c r="Q89" s="138">
        <f t="shared" si="25"/>
        <v>1552.53</v>
      </c>
      <c r="R89" s="155">
        <f t="shared" si="26"/>
        <v>129.3775</v>
      </c>
      <c r="S89" s="209">
        <v>22</v>
      </c>
    </row>
    <row r="90" spans="2:19" x14ac:dyDescent="0.2">
      <c r="B90" s="151">
        <v>5</v>
      </c>
      <c r="C90" s="150" t="s">
        <v>133</v>
      </c>
      <c r="D90" s="151">
        <v>40</v>
      </c>
      <c r="E90" s="166">
        <f t="shared" si="24"/>
        <v>771280.49</v>
      </c>
      <c r="F90" s="166">
        <f t="shared" si="24"/>
        <v>550072.79</v>
      </c>
      <c r="G90" s="166">
        <f t="shared" si="24"/>
        <v>627303.98</v>
      </c>
      <c r="H90" s="166">
        <f t="shared" si="24"/>
        <v>643542.34000000008</v>
      </c>
      <c r="I90" s="166">
        <f t="shared" si="24"/>
        <v>682050.43</v>
      </c>
      <c r="J90" s="166">
        <f t="shared" si="24"/>
        <v>667964.81000000006</v>
      </c>
      <c r="K90" s="166">
        <f t="shared" si="24"/>
        <v>760109.36</v>
      </c>
      <c r="L90" s="166">
        <f t="shared" si="24"/>
        <v>726302.74</v>
      </c>
      <c r="M90" s="166">
        <f t="shared" si="24"/>
        <v>612253.74</v>
      </c>
      <c r="N90" s="166">
        <f t="shared" si="24"/>
        <v>595685.22000000009</v>
      </c>
      <c r="O90" s="166">
        <f t="shared" si="24"/>
        <v>606837.69000000006</v>
      </c>
      <c r="P90" s="166">
        <f t="shared" si="24"/>
        <v>659793.66</v>
      </c>
      <c r="Q90" s="138">
        <f t="shared" si="25"/>
        <v>7903197.2500000009</v>
      </c>
      <c r="R90" s="155">
        <f t="shared" si="26"/>
        <v>658599.77083333337</v>
      </c>
      <c r="S90" s="209">
        <v>40</v>
      </c>
    </row>
    <row r="91" spans="2:19" x14ac:dyDescent="0.2">
      <c r="B91" s="151">
        <v>6</v>
      </c>
      <c r="C91" s="150" t="s">
        <v>134</v>
      </c>
      <c r="D91" s="151">
        <v>46</v>
      </c>
      <c r="E91" s="166">
        <f t="shared" si="24"/>
        <v>423450.36</v>
      </c>
      <c r="F91" s="166">
        <f t="shared" si="24"/>
        <v>372769.15</v>
      </c>
      <c r="G91" s="166">
        <f t="shared" si="24"/>
        <v>538456.92000000004</v>
      </c>
      <c r="H91" s="166">
        <f t="shared" si="24"/>
        <v>533611.30000000005</v>
      </c>
      <c r="I91" s="166">
        <f t="shared" si="24"/>
        <v>632739.27</v>
      </c>
      <c r="J91" s="166">
        <f t="shared" si="24"/>
        <v>625734.31000000006</v>
      </c>
      <c r="K91" s="166">
        <f t="shared" si="24"/>
        <v>692465.41</v>
      </c>
      <c r="L91" s="166">
        <f t="shared" si="24"/>
        <v>629220.62</v>
      </c>
      <c r="M91" s="166">
        <f t="shared" si="24"/>
        <v>696811.33</v>
      </c>
      <c r="N91" s="166">
        <f t="shared" si="24"/>
        <v>828950.56</v>
      </c>
      <c r="O91" s="166">
        <f t="shared" si="24"/>
        <v>812832.67</v>
      </c>
      <c r="P91" s="166">
        <f t="shared" si="24"/>
        <v>828164.47</v>
      </c>
      <c r="Q91" s="138">
        <f t="shared" si="25"/>
        <v>7615206.3700000001</v>
      </c>
      <c r="R91" s="155">
        <f t="shared" si="26"/>
        <v>634600.53083333338</v>
      </c>
      <c r="S91" s="209">
        <v>46</v>
      </c>
    </row>
    <row r="92" spans="2:19" x14ac:dyDescent="0.2">
      <c r="B92" s="151">
        <v>7</v>
      </c>
      <c r="C92" s="150" t="s">
        <v>135</v>
      </c>
      <c r="D92" s="151">
        <v>47</v>
      </c>
      <c r="E92" s="166">
        <f t="shared" si="24"/>
        <v>447817.33</v>
      </c>
      <c r="F92" s="166">
        <f t="shared" si="24"/>
        <v>341964.03</v>
      </c>
      <c r="G92" s="166">
        <f t="shared" si="24"/>
        <v>473907.39</v>
      </c>
      <c r="H92" s="166">
        <f t="shared" si="24"/>
        <v>470587.96</v>
      </c>
      <c r="I92" s="166">
        <f t="shared" si="24"/>
        <v>511990.58</v>
      </c>
      <c r="J92" s="166">
        <f t="shared" si="24"/>
        <v>507621.3</v>
      </c>
      <c r="K92" s="166">
        <f t="shared" si="24"/>
        <v>525429.61</v>
      </c>
      <c r="L92" s="166">
        <f t="shared" si="24"/>
        <v>529916.03</v>
      </c>
      <c r="M92" s="166">
        <f t="shared" si="24"/>
        <v>470046.99</v>
      </c>
      <c r="N92" s="166">
        <f t="shared" si="24"/>
        <v>477514.31</v>
      </c>
      <c r="O92" s="166">
        <f t="shared" si="24"/>
        <v>455994.95</v>
      </c>
      <c r="P92" s="166">
        <f t="shared" si="24"/>
        <v>420836.07</v>
      </c>
      <c r="Q92" s="138">
        <f t="shared" si="25"/>
        <v>5633626.5499999998</v>
      </c>
      <c r="R92" s="155">
        <f t="shared" si="26"/>
        <v>469468.87916666665</v>
      </c>
      <c r="S92" s="209">
        <v>47</v>
      </c>
    </row>
    <row r="93" spans="2:19" x14ac:dyDescent="0.2">
      <c r="B93" s="151">
        <v>8</v>
      </c>
      <c r="C93" s="150" t="s">
        <v>136</v>
      </c>
      <c r="D93" s="151">
        <v>50</v>
      </c>
      <c r="E93" s="166">
        <f t="shared" si="24"/>
        <v>318613.06</v>
      </c>
      <c r="F93" s="166">
        <f t="shared" si="24"/>
        <v>216293.43</v>
      </c>
      <c r="G93" s="166">
        <f t="shared" si="24"/>
        <v>243561.88999999998</v>
      </c>
      <c r="H93" s="166">
        <f t="shared" si="24"/>
        <v>176734.17</v>
      </c>
      <c r="I93" s="166">
        <f t="shared" si="24"/>
        <v>212615.95</v>
      </c>
      <c r="J93" s="166">
        <f t="shared" si="24"/>
        <v>213028.03</v>
      </c>
      <c r="K93" s="166">
        <f t="shared" si="24"/>
        <v>284595.37</v>
      </c>
      <c r="L93" s="166">
        <f t="shared" si="24"/>
        <v>284617.43999999994</v>
      </c>
      <c r="M93" s="166">
        <f t="shared" si="24"/>
        <v>221551.47</v>
      </c>
      <c r="N93" s="166">
        <f t="shared" si="24"/>
        <v>202893.79</v>
      </c>
      <c r="O93" s="166">
        <f t="shared" si="24"/>
        <v>252413.92</v>
      </c>
      <c r="P93" s="166">
        <f t="shared" si="24"/>
        <v>292325.00999999995</v>
      </c>
      <c r="Q93" s="138">
        <f t="shared" si="25"/>
        <v>2919243.53</v>
      </c>
      <c r="R93" s="155">
        <f t="shared" si="26"/>
        <v>243270.29416666666</v>
      </c>
      <c r="S93" s="209">
        <v>50</v>
      </c>
    </row>
    <row r="94" spans="2:19" x14ac:dyDescent="0.2">
      <c r="B94" s="151">
        <v>9</v>
      </c>
      <c r="C94" s="150" t="s">
        <v>137</v>
      </c>
      <c r="D94" s="151">
        <v>52</v>
      </c>
      <c r="E94" s="166">
        <f t="shared" si="24"/>
        <v>99447.13</v>
      </c>
      <c r="F94" s="166">
        <f t="shared" si="24"/>
        <v>67018.05</v>
      </c>
      <c r="G94" s="166">
        <f t="shared" si="24"/>
        <v>82691.34</v>
      </c>
      <c r="H94" s="166">
        <f t="shared" si="24"/>
        <v>68667.259999999995</v>
      </c>
      <c r="I94" s="166">
        <f t="shared" si="24"/>
        <v>78302.960000000006</v>
      </c>
      <c r="J94" s="166">
        <f t="shared" si="24"/>
        <v>69766.649999999994</v>
      </c>
      <c r="K94" s="166">
        <f t="shared" si="24"/>
        <v>80785.72</v>
      </c>
      <c r="L94" s="166">
        <f t="shared" si="24"/>
        <v>94485.79</v>
      </c>
      <c r="M94" s="166">
        <f t="shared" si="24"/>
        <v>79088.62</v>
      </c>
      <c r="N94" s="166">
        <f t="shared" si="24"/>
        <v>79659.55</v>
      </c>
      <c r="O94" s="166">
        <f t="shared" si="24"/>
        <v>81613.929999999993</v>
      </c>
      <c r="P94" s="166">
        <f t="shared" si="24"/>
        <v>88239.56</v>
      </c>
      <c r="Q94" s="138">
        <f t="shared" si="25"/>
        <v>969766.56</v>
      </c>
      <c r="R94" s="155">
        <f t="shared" si="26"/>
        <v>80813.88</v>
      </c>
      <c r="S94" s="209">
        <v>52</v>
      </c>
    </row>
    <row r="95" spans="2:19" x14ac:dyDescent="0.2">
      <c r="B95" s="151">
        <v>10</v>
      </c>
      <c r="C95" s="150" t="s">
        <v>138</v>
      </c>
      <c r="D95" s="151" t="s">
        <v>139</v>
      </c>
      <c r="E95" s="166">
        <f>E142</f>
        <v>252971.26999999996</v>
      </c>
      <c r="F95" s="166">
        <f t="shared" ref="F95:P95" si="27">F142</f>
        <v>252971.26999999996</v>
      </c>
      <c r="G95" s="166">
        <f t="shared" si="27"/>
        <v>252971.26999999996</v>
      </c>
      <c r="H95" s="166">
        <f t="shared" si="27"/>
        <v>252971.26999999996</v>
      </c>
      <c r="I95" s="166">
        <f t="shared" si="27"/>
        <v>252971.26999999996</v>
      </c>
      <c r="J95" s="166">
        <f t="shared" si="27"/>
        <v>252971.26999999996</v>
      </c>
      <c r="K95" s="166">
        <f t="shared" si="27"/>
        <v>252971.26999999996</v>
      </c>
      <c r="L95" s="166">
        <f t="shared" si="27"/>
        <v>252971.26999999996</v>
      </c>
      <c r="M95" s="166">
        <f t="shared" si="27"/>
        <v>252971.26999999996</v>
      </c>
      <c r="N95" s="166">
        <f t="shared" si="27"/>
        <v>252971.26999999996</v>
      </c>
      <c r="O95" s="166">
        <f t="shared" si="27"/>
        <v>252971.26999999996</v>
      </c>
      <c r="P95" s="166">
        <f t="shared" si="27"/>
        <v>252971.26999999996</v>
      </c>
      <c r="Q95" s="138">
        <f t="shared" si="25"/>
        <v>3035655.2399999998</v>
      </c>
      <c r="R95" s="155">
        <f t="shared" si="26"/>
        <v>252971.27</v>
      </c>
      <c r="S95" s="209" t="s">
        <v>139</v>
      </c>
    </row>
    <row r="96" spans="2:19" x14ac:dyDescent="0.2">
      <c r="B96" s="160"/>
      <c r="C96" s="164" t="s">
        <v>65</v>
      </c>
      <c r="D96" s="160"/>
      <c r="E96" s="158">
        <f t="shared" ref="E96:Q96" si="28">SUM(E86:E95)</f>
        <v>12320949.09</v>
      </c>
      <c r="F96" s="158">
        <f t="shared" si="28"/>
        <v>8401215.7999999989</v>
      </c>
      <c r="G96" s="158">
        <f t="shared" si="28"/>
        <v>9361342.1699999999</v>
      </c>
      <c r="H96" s="158">
        <f t="shared" si="28"/>
        <v>8253638.3199999984</v>
      </c>
      <c r="I96" s="158">
        <f t="shared" si="28"/>
        <v>8615478.6500000004</v>
      </c>
      <c r="J96" s="158">
        <f t="shared" si="28"/>
        <v>8677283.5800000001</v>
      </c>
      <c r="K96" s="158">
        <f t="shared" si="28"/>
        <v>10817292.829999998</v>
      </c>
      <c r="L96" s="158">
        <f t="shared" si="28"/>
        <v>10345842.469999995</v>
      </c>
      <c r="M96" s="158">
        <f t="shared" si="28"/>
        <v>8369239.46</v>
      </c>
      <c r="N96" s="158">
        <f t="shared" si="28"/>
        <v>8348132.8199999994</v>
      </c>
      <c r="O96" s="158">
        <f t="shared" si="28"/>
        <v>10376070.269999998</v>
      </c>
      <c r="P96" s="158">
        <f t="shared" si="28"/>
        <v>12065133</v>
      </c>
      <c r="Q96" s="161">
        <f t="shared" si="28"/>
        <v>115951618.45999999</v>
      </c>
      <c r="R96" s="158">
        <f t="shared" ref="R96" si="29">SUM(R86:R95)</f>
        <v>9662634.871666668</v>
      </c>
    </row>
    <row r="99" spans="2:19" x14ac:dyDescent="0.2">
      <c r="B99" s="162" t="s">
        <v>162</v>
      </c>
    </row>
    <row r="100" spans="2:19" x14ac:dyDescent="0.2">
      <c r="B100" s="235"/>
      <c r="E100" s="156" t="s">
        <v>142</v>
      </c>
      <c r="F100" s="156" t="s">
        <v>143</v>
      </c>
      <c r="G100" s="156" t="s">
        <v>144</v>
      </c>
      <c r="H100" s="156" t="s">
        <v>145</v>
      </c>
      <c r="I100" s="156" t="s">
        <v>146</v>
      </c>
      <c r="J100" s="156" t="s">
        <v>147</v>
      </c>
      <c r="K100" s="156" t="s">
        <v>148</v>
      </c>
      <c r="L100" s="156" t="s">
        <v>149</v>
      </c>
      <c r="M100" s="156" t="s">
        <v>150</v>
      </c>
      <c r="N100" s="156" t="s">
        <v>151</v>
      </c>
      <c r="O100" s="156" t="s">
        <v>152</v>
      </c>
      <c r="P100" s="156" t="s">
        <v>153</v>
      </c>
      <c r="Q100" s="156" t="s">
        <v>65</v>
      </c>
      <c r="R100" s="157" t="s">
        <v>154</v>
      </c>
    </row>
    <row r="101" spans="2:19" x14ac:dyDescent="0.2">
      <c r="B101" s="151">
        <v>1</v>
      </c>
      <c r="C101" s="150" t="s">
        <v>28</v>
      </c>
      <c r="D101" s="151">
        <v>10</v>
      </c>
      <c r="E101" s="163">
        <v>871538.47</v>
      </c>
      <c r="F101" s="163">
        <v>378034.26</v>
      </c>
      <c r="G101" s="163">
        <v>997267.62000000011</v>
      </c>
      <c r="H101" s="163">
        <v>551291.69999999995</v>
      </c>
      <c r="I101" s="163">
        <v>483090.64</v>
      </c>
      <c r="J101" s="163">
        <v>484185.34</v>
      </c>
      <c r="K101" s="163">
        <v>755465.69</v>
      </c>
      <c r="L101" s="163">
        <v>255775.87</v>
      </c>
      <c r="M101" s="163">
        <v>153297.34</v>
      </c>
      <c r="N101" s="163">
        <v>348547.09</v>
      </c>
      <c r="O101" s="163">
        <v>600474.06000000006</v>
      </c>
      <c r="P101" s="163">
        <v>877061.48</v>
      </c>
      <c r="Q101" s="155">
        <f>SUM(E101:P101)</f>
        <v>6756029.5600000005</v>
      </c>
      <c r="R101" s="155">
        <f>AVERAGE(E101:P101)</f>
        <v>563002.46333333338</v>
      </c>
      <c r="S101" s="209">
        <v>10</v>
      </c>
    </row>
    <row r="102" spans="2:19" x14ac:dyDescent="0.2">
      <c r="B102" s="151">
        <v>2</v>
      </c>
      <c r="C102" s="150" t="s">
        <v>130</v>
      </c>
      <c r="D102" s="151">
        <v>11</v>
      </c>
      <c r="E102" s="163">
        <v>8760.1200000000008</v>
      </c>
      <c r="F102" s="163">
        <v>3746.15</v>
      </c>
      <c r="G102" s="163">
        <v>10974.23</v>
      </c>
      <c r="H102" s="163">
        <v>3488.77</v>
      </c>
      <c r="I102" s="163">
        <v>1133.28</v>
      </c>
      <c r="J102" s="163">
        <v>160.26</v>
      </c>
      <c r="K102" s="163">
        <v>-107.98</v>
      </c>
      <c r="L102" s="163">
        <v>-17.53</v>
      </c>
      <c r="M102" s="163">
        <v>21.69</v>
      </c>
      <c r="N102" s="163">
        <v>1352.86</v>
      </c>
      <c r="O102" s="163">
        <v>4878.6499999999996</v>
      </c>
      <c r="P102" s="163">
        <v>8228.19</v>
      </c>
      <c r="Q102" s="155">
        <f t="shared" ref="Q102:Q110" si="30">SUM(E102:P102)</f>
        <v>42618.69</v>
      </c>
      <c r="R102" s="155">
        <f t="shared" ref="R102:R110" si="31">AVERAGE(E102:P102)</f>
        <v>3551.5575000000003</v>
      </c>
      <c r="S102" s="209">
        <v>11</v>
      </c>
    </row>
    <row r="103" spans="2:19" x14ac:dyDescent="0.2">
      <c r="B103" s="151">
        <v>3</v>
      </c>
      <c r="C103" s="150" t="s">
        <v>131</v>
      </c>
      <c r="D103" s="151">
        <v>20</v>
      </c>
      <c r="E103" s="163">
        <v>66153.38</v>
      </c>
      <c r="F103" s="163">
        <v>31365.27</v>
      </c>
      <c r="G103" s="163">
        <v>101972.56</v>
      </c>
      <c r="H103" s="163">
        <v>59344.2</v>
      </c>
      <c r="I103" s="163">
        <v>58735.95</v>
      </c>
      <c r="J103" s="163">
        <v>57767.07</v>
      </c>
      <c r="K103" s="163">
        <v>80902.080000000002</v>
      </c>
      <c r="L103" s="163">
        <v>21643.67</v>
      </c>
      <c r="M103" s="163">
        <v>19204.09</v>
      </c>
      <c r="N103" s="163">
        <v>45687.78</v>
      </c>
      <c r="O103" s="163">
        <v>55702.22</v>
      </c>
      <c r="P103" s="163">
        <v>75235.360000000001</v>
      </c>
      <c r="Q103" s="155">
        <f t="shared" si="30"/>
        <v>673713.63</v>
      </c>
      <c r="R103" s="155">
        <f t="shared" si="31"/>
        <v>56142.802499999998</v>
      </c>
      <c r="S103" s="209">
        <v>20</v>
      </c>
    </row>
    <row r="104" spans="2:19" x14ac:dyDescent="0.2">
      <c r="B104" s="151">
        <v>4</v>
      </c>
      <c r="C104" s="150" t="s">
        <v>132</v>
      </c>
      <c r="D104" s="151">
        <v>22</v>
      </c>
      <c r="E104" s="163">
        <v>83.97</v>
      </c>
      <c r="F104" s="163">
        <v>26.85</v>
      </c>
      <c r="G104" s="163">
        <v>88.31</v>
      </c>
      <c r="H104" s="163">
        <v>9.51</v>
      </c>
      <c r="I104" s="163">
        <v>2.64</v>
      </c>
      <c r="J104" s="163">
        <v>2.79</v>
      </c>
      <c r="K104" s="163">
        <v>-2.76</v>
      </c>
      <c r="L104" s="163">
        <v>0</v>
      </c>
      <c r="M104" s="163">
        <v>0</v>
      </c>
      <c r="N104" s="163">
        <v>4.17</v>
      </c>
      <c r="O104" s="163">
        <v>19.579999999999998</v>
      </c>
      <c r="P104" s="163">
        <v>53.38</v>
      </c>
      <c r="Q104" s="155">
        <f t="shared" si="30"/>
        <v>288.43999999999994</v>
      </c>
      <c r="R104" s="155">
        <f t="shared" si="31"/>
        <v>24.036666666666662</v>
      </c>
      <c r="S104" s="209">
        <v>22</v>
      </c>
    </row>
    <row r="105" spans="2:19" x14ac:dyDescent="0.2">
      <c r="B105" s="151">
        <v>5</v>
      </c>
      <c r="C105" s="150" t="s">
        <v>133</v>
      </c>
      <c r="D105" s="151">
        <v>40</v>
      </c>
      <c r="E105" s="163">
        <v>79523.98</v>
      </c>
      <c r="F105" s="163">
        <v>40148.089999999997</v>
      </c>
      <c r="G105" s="163">
        <v>130843.65</v>
      </c>
      <c r="H105" s="163">
        <v>81850.42</v>
      </c>
      <c r="I105" s="163">
        <v>80673.39</v>
      </c>
      <c r="J105" s="163">
        <v>76550.12</v>
      </c>
      <c r="K105" s="163">
        <v>101510.37</v>
      </c>
      <c r="L105" s="163">
        <v>25872.74</v>
      </c>
      <c r="M105" s="163">
        <v>24642.66</v>
      </c>
      <c r="N105" s="163">
        <v>58620.77</v>
      </c>
      <c r="O105" s="163">
        <v>64784.76</v>
      </c>
      <c r="P105" s="163">
        <v>83080.490000000005</v>
      </c>
      <c r="Q105" s="155">
        <f t="shared" si="30"/>
        <v>848101.44000000006</v>
      </c>
      <c r="R105" s="155">
        <f t="shared" si="31"/>
        <v>70675.12000000001</v>
      </c>
      <c r="S105" s="209">
        <v>40</v>
      </c>
    </row>
    <row r="106" spans="2:19" x14ac:dyDescent="0.2">
      <c r="B106" s="151">
        <v>6</v>
      </c>
      <c r="C106" s="150" t="s">
        <v>134</v>
      </c>
      <c r="D106" s="151">
        <v>46</v>
      </c>
      <c r="E106" s="163">
        <v>54965.43</v>
      </c>
      <c r="F106" s="163">
        <v>31827.51</v>
      </c>
      <c r="G106" s="163">
        <v>140697.45000000001</v>
      </c>
      <c r="H106" s="163">
        <v>92545.25</v>
      </c>
      <c r="I106" s="163">
        <v>101369.34</v>
      </c>
      <c r="J106" s="163">
        <v>97015.45</v>
      </c>
      <c r="K106" s="163">
        <v>124900.99</v>
      </c>
      <c r="L106" s="163">
        <v>32275.39</v>
      </c>
      <c r="M106" s="163">
        <v>39666.959999999999</v>
      </c>
      <c r="N106" s="163">
        <v>111437.61</v>
      </c>
      <c r="O106" s="163">
        <v>119985.92</v>
      </c>
      <c r="P106" s="163">
        <v>147131.66</v>
      </c>
      <c r="Q106" s="155">
        <f t="shared" si="30"/>
        <v>1093818.96</v>
      </c>
      <c r="R106" s="155">
        <f t="shared" si="31"/>
        <v>91151.58</v>
      </c>
      <c r="S106" s="209">
        <v>46</v>
      </c>
    </row>
    <row r="107" spans="2:19" x14ac:dyDescent="0.2">
      <c r="B107" s="151">
        <v>7</v>
      </c>
      <c r="C107" s="150" t="s">
        <v>135</v>
      </c>
      <c r="D107" s="151">
        <v>47</v>
      </c>
      <c r="E107" s="163">
        <v>51000.36</v>
      </c>
      <c r="F107" s="163">
        <v>29835.37</v>
      </c>
      <c r="G107" s="163">
        <v>117053.24</v>
      </c>
      <c r="H107" s="163">
        <v>71791.600000000006</v>
      </c>
      <c r="I107" s="163">
        <v>72961.53</v>
      </c>
      <c r="J107" s="163">
        <v>70037.91</v>
      </c>
      <c r="K107" s="163">
        <v>81057.38</v>
      </c>
      <c r="L107" s="163">
        <v>22820.21</v>
      </c>
      <c r="M107" s="163">
        <v>22763.81</v>
      </c>
      <c r="N107" s="163">
        <v>56024.62</v>
      </c>
      <c r="O107" s="163">
        <v>57432.04</v>
      </c>
      <c r="P107" s="163">
        <v>60659.62</v>
      </c>
      <c r="Q107" s="155">
        <f t="shared" si="30"/>
        <v>713437.69000000006</v>
      </c>
      <c r="R107" s="155">
        <f t="shared" si="31"/>
        <v>59453.140833333338</v>
      </c>
      <c r="S107" s="209">
        <v>47</v>
      </c>
    </row>
    <row r="108" spans="2:19" x14ac:dyDescent="0.2">
      <c r="B108" s="151">
        <v>8</v>
      </c>
      <c r="C108" s="150" t="s">
        <v>136</v>
      </c>
      <c r="D108" s="151">
        <v>50</v>
      </c>
      <c r="E108" s="163">
        <v>26701.49</v>
      </c>
      <c r="F108" s="163">
        <v>12496.77</v>
      </c>
      <c r="G108" s="163">
        <v>40666.68</v>
      </c>
      <c r="H108" s="163">
        <v>19171.080000000002</v>
      </c>
      <c r="I108" s="163">
        <v>19028.810000000001</v>
      </c>
      <c r="J108" s="163">
        <v>18564.88</v>
      </c>
      <c r="K108" s="163">
        <v>30039.29</v>
      </c>
      <c r="L108" s="163">
        <v>7934.32</v>
      </c>
      <c r="M108" s="163">
        <v>6804.6</v>
      </c>
      <c r="N108" s="163">
        <v>15140.51</v>
      </c>
      <c r="O108" s="163">
        <v>21489.11</v>
      </c>
      <c r="P108" s="163">
        <v>29787.93</v>
      </c>
      <c r="Q108" s="155">
        <f t="shared" si="30"/>
        <v>247825.47000000003</v>
      </c>
      <c r="R108" s="155">
        <f t="shared" si="31"/>
        <v>20652.122500000001</v>
      </c>
      <c r="S108" s="209">
        <v>50</v>
      </c>
    </row>
    <row r="109" spans="2:19" x14ac:dyDescent="0.2">
      <c r="B109" s="151">
        <v>9</v>
      </c>
      <c r="C109" s="150" t="s">
        <v>137</v>
      </c>
      <c r="D109" s="151">
        <v>52</v>
      </c>
      <c r="E109" s="163">
        <v>11046.72</v>
      </c>
      <c r="F109" s="163">
        <v>5361.45</v>
      </c>
      <c r="G109" s="163">
        <v>18213.830000000002</v>
      </c>
      <c r="H109" s="163">
        <v>9435.93</v>
      </c>
      <c r="I109" s="163">
        <v>9891.4699999999993</v>
      </c>
      <c r="J109" s="163">
        <v>8524.06</v>
      </c>
      <c r="K109" s="163">
        <v>11395.58</v>
      </c>
      <c r="L109" s="163">
        <v>3621.63</v>
      </c>
      <c r="M109" s="163">
        <v>3453.95</v>
      </c>
      <c r="N109" s="163">
        <v>8442.7999999999993</v>
      </c>
      <c r="O109" s="163">
        <v>9498.7099999999991</v>
      </c>
      <c r="P109" s="163">
        <v>11976.1</v>
      </c>
      <c r="Q109" s="155">
        <f t="shared" si="30"/>
        <v>110862.23000000001</v>
      </c>
      <c r="R109" s="155">
        <f t="shared" si="31"/>
        <v>9238.5191666666669</v>
      </c>
      <c r="S109" s="209">
        <v>52</v>
      </c>
    </row>
    <row r="110" spans="2:19" x14ac:dyDescent="0.2">
      <c r="B110" s="151">
        <v>10</v>
      </c>
      <c r="C110" s="150" t="s">
        <v>138</v>
      </c>
      <c r="D110" s="151" t="s">
        <v>139</v>
      </c>
      <c r="E110" s="163">
        <v>20724.07</v>
      </c>
      <c r="F110" s="163">
        <v>11154.2</v>
      </c>
      <c r="G110" s="163">
        <v>30060.199999999997</v>
      </c>
      <c r="H110" s="163">
        <v>22271.15</v>
      </c>
      <c r="I110" s="163">
        <v>19931.27</v>
      </c>
      <c r="J110" s="163">
        <v>18763.629999999997</v>
      </c>
      <c r="K110" s="163">
        <v>21990.480000000003</v>
      </c>
      <c r="L110" s="163">
        <v>7404.32</v>
      </c>
      <c r="M110" s="163">
        <v>6040.0000000000018</v>
      </c>
      <c r="N110" s="163">
        <v>14389.330000000002</v>
      </c>
      <c r="O110" s="163">
        <v>17376.11</v>
      </c>
      <c r="P110" s="163">
        <v>20468.16</v>
      </c>
      <c r="Q110" s="155">
        <f t="shared" si="30"/>
        <v>210572.92</v>
      </c>
      <c r="R110" s="155">
        <f t="shared" si="31"/>
        <v>17547.743333333336</v>
      </c>
      <c r="S110" s="209" t="s">
        <v>139</v>
      </c>
    </row>
    <row r="111" spans="2:19" x14ac:dyDescent="0.2">
      <c r="B111" s="160"/>
      <c r="C111" s="164" t="s">
        <v>65</v>
      </c>
      <c r="D111" s="160"/>
      <c r="E111" s="158">
        <f t="shared" ref="E111:R111" si="32">SUM(E101:E110)</f>
        <v>1190497.99</v>
      </c>
      <c r="F111" s="158">
        <f t="shared" si="32"/>
        <v>543995.91999999993</v>
      </c>
      <c r="G111" s="158">
        <f t="shared" si="32"/>
        <v>1587837.77</v>
      </c>
      <c r="H111" s="158">
        <f t="shared" si="32"/>
        <v>911199.61</v>
      </c>
      <c r="I111" s="158">
        <f t="shared" si="32"/>
        <v>846818.32000000007</v>
      </c>
      <c r="J111" s="158">
        <f t="shared" si="32"/>
        <v>831571.51000000013</v>
      </c>
      <c r="K111" s="158">
        <f t="shared" si="32"/>
        <v>1207151.1200000001</v>
      </c>
      <c r="L111" s="158">
        <f t="shared" si="32"/>
        <v>377330.62000000005</v>
      </c>
      <c r="M111" s="158">
        <f t="shared" si="32"/>
        <v>275895.09999999998</v>
      </c>
      <c r="N111" s="158">
        <f t="shared" si="32"/>
        <v>659647.54</v>
      </c>
      <c r="O111" s="158">
        <f t="shared" si="32"/>
        <v>951641.16</v>
      </c>
      <c r="P111" s="158">
        <f t="shared" si="32"/>
        <v>1313682.3699999999</v>
      </c>
      <c r="Q111" s="158">
        <f t="shared" si="32"/>
        <v>10697269.030000003</v>
      </c>
      <c r="R111" s="158">
        <f t="shared" si="32"/>
        <v>891439.08583333332</v>
      </c>
    </row>
    <row r="115" spans="2:19" x14ac:dyDescent="0.2">
      <c r="B115" s="162" t="s">
        <v>163</v>
      </c>
    </row>
    <row r="116" spans="2:19" x14ac:dyDescent="0.2">
      <c r="B116" s="235"/>
      <c r="E116" s="156" t="s">
        <v>142</v>
      </c>
      <c r="F116" s="156" t="s">
        <v>143</v>
      </c>
      <c r="G116" s="156" t="s">
        <v>144</v>
      </c>
      <c r="H116" s="156" t="s">
        <v>145</v>
      </c>
      <c r="I116" s="156" t="s">
        <v>146</v>
      </c>
      <c r="J116" s="156" t="s">
        <v>147</v>
      </c>
      <c r="K116" s="156" t="s">
        <v>148</v>
      </c>
      <c r="L116" s="156" t="s">
        <v>149</v>
      </c>
      <c r="M116" s="156" t="s">
        <v>150</v>
      </c>
      <c r="N116" s="156" t="s">
        <v>151</v>
      </c>
      <c r="O116" s="156" t="s">
        <v>152</v>
      </c>
      <c r="P116" s="156" t="s">
        <v>153</v>
      </c>
      <c r="Q116" s="156" t="s">
        <v>65</v>
      </c>
      <c r="R116" s="157" t="s">
        <v>154</v>
      </c>
    </row>
    <row r="117" spans="2:19" x14ac:dyDescent="0.2">
      <c r="B117" s="151">
        <v>1</v>
      </c>
      <c r="C117" s="150" t="s">
        <v>28</v>
      </c>
      <c r="D117" s="151">
        <v>10</v>
      </c>
      <c r="E117" s="163">
        <v>727764.64</v>
      </c>
      <c r="F117" s="163">
        <v>367571.08</v>
      </c>
      <c r="G117" s="163">
        <v>522164.32999999996</v>
      </c>
      <c r="H117" s="163">
        <v>538757.75</v>
      </c>
      <c r="I117" s="163">
        <v>520641.15</v>
      </c>
      <c r="J117" s="163">
        <v>631484.86</v>
      </c>
      <c r="K117" s="163">
        <v>836243.91</v>
      </c>
      <c r="L117" s="163">
        <v>732704.20000000007</v>
      </c>
      <c r="M117" s="163">
        <v>464879.31</v>
      </c>
      <c r="N117" s="163">
        <v>460622.52999999997</v>
      </c>
      <c r="O117" s="163">
        <v>715778.55</v>
      </c>
      <c r="P117" s="163">
        <v>909810.15999999992</v>
      </c>
      <c r="Q117" s="155">
        <f>SUM(E117:P117)</f>
        <v>7428422.4699999997</v>
      </c>
      <c r="R117" s="155">
        <f>AVERAGE(E117:P117)</f>
        <v>619035.20583333331</v>
      </c>
      <c r="S117" s="209">
        <v>10</v>
      </c>
    </row>
    <row r="118" spans="2:19" x14ac:dyDescent="0.2">
      <c r="B118" s="151">
        <v>2</v>
      </c>
      <c r="C118" s="150" t="s">
        <v>130</v>
      </c>
      <c r="D118" s="151">
        <v>11</v>
      </c>
      <c r="E118" s="163">
        <v>4371.41</v>
      </c>
      <c r="F118" s="163">
        <v>1905.06</v>
      </c>
      <c r="G118" s="163">
        <v>3158.05</v>
      </c>
      <c r="H118" s="163">
        <v>1847.4</v>
      </c>
      <c r="I118" s="163">
        <v>609.49</v>
      </c>
      <c r="J118" s="163">
        <v>105.25</v>
      </c>
      <c r="K118" s="163">
        <v>70.06</v>
      </c>
      <c r="L118" s="163">
        <v>24.36</v>
      </c>
      <c r="M118" s="163">
        <v>29.59</v>
      </c>
      <c r="N118" s="163">
        <v>836.04</v>
      </c>
      <c r="O118" s="163">
        <v>3138.76</v>
      </c>
      <c r="P118" s="163">
        <v>4806.6099999999997</v>
      </c>
      <c r="Q118" s="155">
        <f t="shared" ref="Q118:Q126" si="33">SUM(E118:P118)</f>
        <v>20902.079999999998</v>
      </c>
      <c r="R118" s="155">
        <f t="shared" ref="R118:R126" si="34">AVERAGE(E118:P118)</f>
        <v>1741.84</v>
      </c>
      <c r="S118" s="209">
        <v>11</v>
      </c>
    </row>
    <row r="119" spans="2:19" x14ac:dyDescent="0.2">
      <c r="B119" s="151">
        <v>3</v>
      </c>
      <c r="C119" s="150" t="s">
        <v>131</v>
      </c>
      <c r="D119" s="151">
        <v>20</v>
      </c>
      <c r="E119" s="163">
        <v>62720.11</v>
      </c>
      <c r="F119" s="163">
        <v>32266.68</v>
      </c>
      <c r="G119" s="163">
        <v>51463.37</v>
      </c>
      <c r="H119" s="163">
        <v>63044.46</v>
      </c>
      <c r="I119" s="163">
        <v>61777.65</v>
      </c>
      <c r="J119" s="163">
        <v>75916.539999999994</v>
      </c>
      <c r="K119" s="163">
        <v>89074.29</v>
      </c>
      <c r="L119" s="163">
        <v>80223.259999999995</v>
      </c>
      <c r="M119" s="163">
        <v>53955.46</v>
      </c>
      <c r="N119" s="163">
        <v>55173.87</v>
      </c>
      <c r="O119" s="163">
        <v>70044.56</v>
      </c>
      <c r="P119" s="163">
        <v>81204.12</v>
      </c>
      <c r="Q119" s="155">
        <f t="shared" si="33"/>
        <v>776864.37</v>
      </c>
      <c r="R119" s="155">
        <f t="shared" si="34"/>
        <v>64738.697500000002</v>
      </c>
      <c r="S119" s="209">
        <v>20</v>
      </c>
    </row>
    <row r="120" spans="2:19" x14ac:dyDescent="0.2">
      <c r="B120" s="151">
        <v>4</v>
      </c>
      <c r="C120" s="150" t="s">
        <v>132</v>
      </c>
      <c r="D120" s="151">
        <v>22</v>
      </c>
      <c r="E120" s="163">
        <v>39.700000000000003</v>
      </c>
      <c r="F120" s="163">
        <v>12.49</v>
      </c>
      <c r="G120" s="163">
        <v>23.67</v>
      </c>
      <c r="H120" s="163">
        <v>4.8</v>
      </c>
      <c r="I120" s="163">
        <v>1.32</v>
      </c>
      <c r="J120" s="163">
        <v>1.75</v>
      </c>
      <c r="K120" s="163">
        <v>4.5599999999999996</v>
      </c>
      <c r="L120" s="163">
        <v>0.01</v>
      </c>
      <c r="M120" s="163">
        <v>0</v>
      </c>
      <c r="N120" s="163">
        <v>2.29</v>
      </c>
      <c r="O120" s="163">
        <v>11.64</v>
      </c>
      <c r="P120" s="163">
        <v>28.59</v>
      </c>
      <c r="Q120" s="155">
        <f t="shared" si="33"/>
        <v>130.82000000000002</v>
      </c>
      <c r="R120" s="155">
        <f t="shared" si="34"/>
        <v>10.901666666666669</v>
      </c>
      <c r="S120" s="209">
        <v>22</v>
      </c>
    </row>
    <row r="121" spans="2:19" x14ac:dyDescent="0.2">
      <c r="B121" s="151">
        <v>5</v>
      </c>
      <c r="C121" s="150" t="s">
        <v>133</v>
      </c>
      <c r="D121" s="151">
        <v>40</v>
      </c>
      <c r="E121" s="163">
        <v>57224.63</v>
      </c>
      <c r="F121" s="163">
        <v>30033.58</v>
      </c>
      <c r="G121" s="163">
        <v>51303.42</v>
      </c>
      <c r="H121" s="163">
        <v>63426.23</v>
      </c>
      <c r="I121" s="163">
        <v>61292.36</v>
      </c>
      <c r="J121" s="163">
        <v>73346.19</v>
      </c>
      <c r="K121" s="163">
        <v>83848.89</v>
      </c>
      <c r="L121" s="163">
        <v>73687.09</v>
      </c>
      <c r="M121" s="163">
        <v>49154.58</v>
      </c>
      <c r="N121" s="163">
        <v>50445.35</v>
      </c>
      <c r="O121" s="163">
        <v>60363.74</v>
      </c>
      <c r="P121" s="163">
        <v>68216.33</v>
      </c>
      <c r="Q121" s="155">
        <f t="shared" si="33"/>
        <v>722342.3899999999</v>
      </c>
      <c r="R121" s="155">
        <f t="shared" si="34"/>
        <v>60195.199166666658</v>
      </c>
      <c r="S121" s="209">
        <v>40</v>
      </c>
    </row>
    <row r="122" spans="2:19" x14ac:dyDescent="0.2">
      <c r="B122" s="151">
        <v>6</v>
      </c>
      <c r="C122" s="150" t="s">
        <v>134</v>
      </c>
      <c r="D122" s="151">
        <v>46</v>
      </c>
      <c r="E122" s="163">
        <v>47063</v>
      </c>
      <c r="F122" s="163">
        <v>27527</v>
      </c>
      <c r="G122" s="163">
        <v>45090</v>
      </c>
      <c r="H122" s="163">
        <v>62000</v>
      </c>
      <c r="I122" s="163">
        <v>72800</v>
      </c>
      <c r="J122" s="163">
        <v>76867</v>
      </c>
      <c r="K122" s="163">
        <v>87731</v>
      </c>
      <c r="L122" s="163">
        <v>95429</v>
      </c>
      <c r="M122" s="163">
        <v>85250</v>
      </c>
      <c r="N122" s="163">
        <v>93438</v>
      </c>
      <c r="O122" s="163">
        <v>98967</v>
      </c>
      <c r="P122" s="163">
        <v>99308</v>
      </c>
      <c r="Q122" s="155">
        <f t="shared" si="33"/>
        <v>891470</v>
      </c>
      <c r="R122" s="155">
        <f t="shared" si="34"/>
        <v>74289.166666666672</v>
      </c>
      <c r="S122" s="209">
        <v>46</v>
      </c>
    </row>
    <row r="123" spans="2:19" x14ac:dyDescent="0.2">
      <c r="B123" s="151">
        <v>7</v>
      </c>
      <c r="C123" s="150" t="s">
        <v>135</v>
      </c>
      <c r="D123" s="151">
        <v>47</v>
      </c>
      <c r="E123" s="163">
        <v>48424</v>
      </c>
      <c r="F123" s="163">
        <v>28555</v>
      </c>
      <c r="G123" s="163">
        <v>41555</v>
      </c>
      <c r="H123" s="163">
        <v>55120</v>
      </c>
      <c r="I123" s="163">
        <v>58482</v>
      </c>
      <c r="J123" s="163">
        <v>62883</v>
      </c>
      <c r="K123" s="163">
        <v>66390</v>
      </c>
      <c r="L123" s="163">
        <v>76114</v>
      </c>
      <c r="M123" s="163">
        <v>55139</v>
      </c>
      <c r="N123" s="163">
        <v>53552</v>
      </c>
      <c r="O123" s="163">
        <v>55472</v>
      </c>
      <c r="P123" s="163">
        <v>50686</v>
      </c>
      <c r="Q123" s="155">
        <f t="shared" si="33"/>
        <v>652372</v>
      </c>
      <c r="R123" s="155">
        <f t="shared" si="34"/>
        <v>54364.333333333336</v>
      </c>
      <c r="S123" s="209">
        <v>47</v>
      </c>
    </row>
    <row r="124" spans="2:19" x14ac:dyDescent="0.2">
      <c r="B124" s="151">
        <v>8</v>
      </c>
      <c r="C124" s="150" t="s">
        <v>136</v>
      </c>
      <c r="D124" s="151">
        <v>50</v>
      </c>
      <c r="E124" s="163">
        <v>23937.38</v>
      </c>
      <c r="F124" s="163">
        <v>11794.43</v>
      </c>
      <c r="G124" s="163">
        <v>19695.46</v>
      </c>
      <c r="H124" s="163">
        <v>17932.3</v>
      </c>
      <c r="I124" s="163">
        <v>19093.650000000001</v>
      </c>
      <c r="J124" s="163">
        <v>23468.61</v>
      </c>
      <c r="K124" s="163">
        <v>31371.1</v>
      </c>
      <c r="L124" s="163">
        <v>28987.57</v>
      </c>
      <c r="M124" s="163">
        <v>17776.14</v>
      </c>
      <c r="N124" s="163">
        <v>17183.73</v>
      </c>
      <c r="O124" s="163">
        <v>25055.89</v>
      </c>
      <c r="P124" s="163">
        <v>30094.91</v>
      </c>
      <c r="Q124" s="155">
        <f t="shared" si="33"/>
        <v>266391.17</v>
      </c>
      <c r="R124" s="155">
        <f t="shared" si="34"/>
        <v>22199.264166666664</v>
      </c>
      <c r="S124" s="209">
        <v>50</v>
      </c>
    </row>
    <row r="125" spans="2:19" x14ac:dyDescent="0.2">
      <c r="B125" s="151">
        <v>9</v>
      </c>
      <c r="C125" s="150" t="s">
        <v>137</v>
      </c>
      <c r="D125" s="151">
        <v>52</v>
      </c>
      <c r="E125" s="163">
        <v>7439.48</v>
      </c>
      <c r="F125" s="163">
        <v>3657.23</v>
      </c>
      <c r="G125" s="163">
        <v>6632.17</v>
      </c>
      <c r="H125" s="163">
        <v>6765.5</v>
      </c>
      <c r="I125" s="163">
        <v>7013.77</v>
      </c>
      <c r="J125" s="163">
        <v>7664.31</v>
      </c>
      <c r="K125" s="163">
        <v>8899.16</v>
      </c>
      <c r="L125" s="163">
        <v>9621.94</v>
      </c>
      <c r="M125" s="163">
        <v>6339.16</v>
      </c>
      <c r="N125" s="163">
        <v>6705.93</v>
      </c>
      <c r="O125" s="163">
        <v>8082.45</v>
      </c>
      <c r="P125" s="163">
        <v>9072.58</v>
      </c>
      <c r="Q125" s="155">
        <f t="shared" si="33"/>
        <v>87893.68</v>
      </c>
      <c r="R125" s="155">
        <f t="shared" si="34"/>
        <v>7324.4733333333324</v>
      </c>
      <c r="S125" s="209">
        <v>52</v>
      </c>
    </row>
    <row r="126" spans="2:19" x14ac:dyDescent="0.2">
      <c r="B126" s="151">
        <v>10</v>
      </c>
      <c r="C126" s="150" t="s">
        <v>138</v>
      </c>
      <c r="D126" s="151" t="s">
        <v>139</v>
      </c>
      <c r="E126" s="163">
        <v>0</v>
      </c>
      <c r="F126" s="163">
        <v>0</v>
      </c>
      <c r="G126" s="163">
        <v>0</v>
      </c>
      <c r="H126" s="163">
        <v>0</v>
      </c>
      <c r="I126" s="163">
        <v>0</v>
      </c>
      <c r="J126" s="163">
        <v>0</v>
      </c>
      <c r="K126" s="163">
        <v>0</v>
      </c>
      <c r="L126" s="163">
        <v>0</v>
      </c>
      <c r="M126" s="163">
        <v>0</v>
      </c>
      <c r="N126" s="163">
        <v>0</v>
      </c>
      <c r="O126" s="163">
        <v>0</v>
      </c>
      <c r="P126" s="163">
        <v>0</v>
      </c>
      <c r="Q126" s="155">
        <f t="shared" si="33"/>
        <v>0</v>
      </c>
      <c r="R126" s="155">
        <f t="shared" si="34"/>
        <v>0</v>
      </c>
      <c r="S126" s="209" t="s">
        <v>139</v>
      </c>
    </row>
    <row r="127" spans="2:19" x14ac:dyDescent="0.2">
      <c r="B127" s="160"/>
      <c r="C127" s="164" t="s">
        <v>65</v>
      </c>
      <c r="D127" s="160"/>
      <c r="E127" s="158">
        <f t="shared" ref="E127:R127" si="35">SUM(E117:E126)</f>
        <v>978984.35</v>
      </c>
      <c r="F127" s="158">
        <f t="shared" si="35"/>
        <v>503322.55</v>
      </c>
      <c r="G127" s="158">
        <f t="shared" si="35"/>
        <v>741085.47000000009</v>
      </c>
      <c r="H127" s="158">
        <f t="shared" si="35"/>
        <v>808898.44000000006</v>
      </c>
      <c r="I127" s="158">
        <f t="shared" si="35"/>
        <v>801711.39</v>
      </c>
      <c r="J127" s="158">
        <f t="shared" si="35"/>
        <v>951737.51000000013</v>
      </c>
      <c r="K127" s="158">
        <f t="shared" si="35"/>
        <v>1203632.9700000002</v>
      </c>
      <c r="L127" s="158">
        <f t="shared" si="35"/>
        <v>1096791.43</v>
      </c>
      <c r="M127" s="158">
        <f t="shared" si="35"/>
        <v>732523.24000000011</v>
      </c>
      <c r="N127" s="158">
        <f t="shared" si="35"/>
        <v>737959.74</v>
      </c>
      <c r="O127" s="158">
        <f t="shared" si="35"/>
        <v>1036914.5900000001</v>
      </c>
      <c r="P127" s="158">
        <f t="shared" si="35"/>
        <v>1253227.2999999998</v>
      </c>
      <c r="Q127" s="158">
        <f t="shared" si="35"/>
        <v>10846788.98</v>
      </c>
      <c r="R127" s="158">
        <f t="shared" si="35"/>
        <v>903899.08166666655</v>
      </c>
    </row>
    <row r="130" spans="2:18" x14ac:dyDescent="0.2">
      <c r="B130" s="162" t="s">
        <v>219</v>
      </c>
    </row>
    <row r="131" spans="2:18" x14ac:dyDescent="0.2">
      <c r="B131" s="238"/>
      <c r="E131" s="156" t="s">
        <v>142</v>
      </c>
      <c r="F131" s="156" t="s">
        <v>143</v>
      </c>
      <c r="G131" s="156" t="s">
        <v>144</v>
      </c>
      <c r="H131" s="156" t="s">
        <v>145</v>
      </c>
      <c r="I131" s="156" t="s">
        <v>146</v>
      </c>
      <c r="J131" s="156" t="s">
        <v>147</v>
      </c>
      <c r="K131" s="156" t="s">
        <v>148</v>
      </c>
      <c r="L131" s="156" t="s">
        <v>149</v>
      </c>
      <c r="M131" s="156" t="s">
        <v>150</v>
      </c>
      <c r="N131" s="156" t="s">
        <v>151</v>
      </c>
      <c r="O131" s="156" t="s">
        <v>152</v>
      </c>
      <c r="P131" s="156" t="s">
        <v>153</v>
      </c>
      <c r="Q131" s="156" t="s">
        <v>65</v>
      </c>
      <c r="R131" s="157" t="s">
        <v>154</v>
      </c>
    </row>
    <row r="132" spans="2:18" x14ac:dyDescent="0.2">
      <c r="B132" s="151">
        <v>1</v>
      </c>
      <c r="C132" s="150" t="s">
        <v>28</v>
      </c>
      <c r="D132" s="151">
        <v>10</v>
      </c>
      <c r="E132" s="237">
        <v>219835.06999999998</v>
      </c>
      <c r="F132" s="237">
        <v>219835.06999999998</v>
      </c>
      <c r="G132" s="237">
        <v>219835.06999999998</v>
      </c>
      <c r="H132" s="237">
        <v>219835.06999999998</v>
      </c>
      <c r="I132" s="237">
        <v>219835.06999999998</v>
      </c>
      <c r="J132" s="237">
        <v>219835.06999999998</v>
      </c>
      <c r="K132" s="237">
        <v>219835.06999999998</v>
      </c>
      <c r="L132" s="237">
        <v>219835.06999999998</v>
      </c>
      <c r="M132" s="237">
        <v>219835.06999999998</v>
      </c>
      <c r="N132" s="237">
        <v>219835.06999999998</v>
      </c>
      <c r="O132" s="237">
        <v>219835.06999999998</v>
      </c>
      <c r="P132" s="237">
        <v>219835.06999999998</v>
      </c>
      <c r="Q132" s="155">
        <f>SUM(E132:P132)</f>
        <v>2638020.84</v>
      </c>
      <c r="R132" s="155">
        <f>AVERAGE(E132:P132)</f>
        <v>219835.06999999998</v>
      </c>
    </row>
    <row r="133" spans="2:18" x14ac:dyDescent="0.2">
      <c r="B133" s="151">
        <v>2</v>
      </c>
      <c r="C133" s="150" t="s">
        <v>130</v>
      </c>
      <c r="D133" s="151">
        <v>11</v>
      </c>
      <c r="E133" s="236"/>
      <c r="F133" s="236"/>
      <c r="G133" s="236"/>
      <c r="H133" s="236"/>
      <c r="I133" s="236"/>
      <c r="J133" s="236"/>
      <c r="K133" s="236"/>
      <c r="L133" s="236"/>
      <c r="M133" s="236"/>
      <c r="N133" s="236"/>
      <c r="O133" s="236"/>
      <c r="P133" s="236"/>
      <c r="Q133" s="155">
        <f t="shared" ref="Q133:Q141" si="36">SUM(E133:P133)</f>
        <v>0</v>
      </c>
    </row>
    <row r="134" spans="2:18" x14ac:dyDescent="0.2">
      <c r="B134" s="151">
        <v>3</v>
      </c>
      <c r="C134" s="150" t="s">
        <v>131</v>
      </c>
      <c r="D134" s="151">
        <v>20</v>
      </c>
      <c r="E134" s="237">
        <v>29525.329999999998</v>
      </c>
      <c r="F134" s="237">
        <v>29525.329999999998</v>
      </c>
      <c r="G134" s="237">
        <v>29525.329999999998</v>
      </c>
      <c r="H134" s="237">
        <v>29525.329999999998</v>
      </c>
      <c r="I134" s="237">
        <v>29525.329999999998</v>
      </c>
      <c r="J134" s="237">
        <v>29525.329999999998</v>
      </c>
      <c r="K134" s="237">
        <v>29525.329999999998</v>
      </c>
      <c r="L134" s="237">
        <v>29525.329999999998</v>
      </c>
      <c r="M134" s="237">
        <v>29525.329999999998</v>
      </c>
      <c r="N134" s="237">
        <v>29525.329999999998</v>
      </c>
      <c r="O134" s="237">
        <v>29525.329999999998</v>
      </c>
      <c r="P134" s="237">
        <v>29525.329999999998</v>
      </c>
      <c r="Q134" s="155">
        <f t="shared" si="36"/>
        <v>354303.96</v>
      </c>
      <c r="R134" s="155">
        <f t="shared" ref="R134:R139" si="37">AVERAGE(E134:P134)</f>
        <v>29525.33</v>
      </c>
    </row>
    <row r="135" spans="2:18" x14ac:dyDescent="0.2">
      <c r="B135" s="151">
        <v>4</v>
      </c>
      <c r="C135" s="150" t="s">
        <v>132</v>
      </c>
      <c r="D135" s="151">
        <v>22</v>
      </c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  <c r="Q135" s="155">
        <f t="shared" si="36"/>
        <v>0</v>
      </c>
    </row>
    <row r="136" spans="2:18" x14ac:dyDescent="0.2">
      <c r="B136" s="151">
        <v>5</v>
      </c>
      <c r="C136" s="150" t="s">
        <v>133</v>
      </c>
      <c r="D136" s="151">
        <v>40</v>
      </c>
      <c r="E136" s="237">
        <v>2426.34</v>
      </c>
      <c r="F136" s="237">
        <v>2426.34</v>
      </c>
      <c r="G136" s="237">
        <v>2426.34</v>
      </c>
      <c r="H136" s="237">
        <v>2426.34</v>
      </c>
      <c r="I136" s="237">
        <v>2426.34</v>
      </c>
      <c r="J136" s="237">
        <v>2426.34</v>
      </c>
      <c r="K136" s="237">
        <v>2426.34</v>
      </c>
      <c r="L136" s="237">
        <v>2426.34</v>
      </c>
      <c r="M136" s="237">
        <v>2426.34</v>
      </c>
      <c r="N136" s="237">
        <v>2426.34</v>
      </c>
      <c r="O136" s="237">
        <v>2426.34</v>
      </c>
      <c r="P136" s="237">
        <v>2426.34</v>
      </c>
      <c r="Q136" s="155">
        <f t="shared" si="36"/>
        <v>29116.080000000002</v>
      </c>
      <c r="R136" s="155">
        <f t="shared" si="37"/>
        <v>2426.34</v>
      </c>
    </row>
    <row r="137" spans="2:18" x14ac:dyDescent="0.2">
      <c r="B137" s="151">
        <v>6</v>
      </c>
      <c r="C137" s="150" t="s">
        <v>134</v>
      </c>
      <c r="D137" s="151">
        <v>46</v>
      </c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155">
        <f t="shared" si="36"/>
        <v>0</v>
      </c>
    </row>
    <row r="138" spans="2:18" x14ac:dyDescent="0.2">
      <c r="B138" s="151">
        <v>7</v>
      </c>
      <c r="C138" s="150" t="s">
        <v>135</v>
      </c>
      <c r="D138" s="151">
        <v>47</v>
      </c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155">
        <f t="shared" si="36"/>
        <v>0</v>
      </c>
    </row>
    <row r="139" spans="2:18" x14ac:dyDescent="0.2">
      <c r="B139" s="151">
        <v>8</v>
      </c>
      <c r="C139" s="150" t="s">
        <v>136</v>
      </c>
      <c r="D139" s="151">
        <v>50</v>
      </c>
      <c r="E139" s="237">
        <v>1184.53</v>
      </c>
      <c r="F139" s="237">
        <v>1184.53</v>
      </c>
      <c r="G139" s="237">
        <v>1184.53</v>
      </c>
      <c r="H139" s="237">
        <v>1184.53</v>
      </c>
      <c r="I139" s="237">
        <v>1184.53</v>
      </c>
      <c r="J139" s="237">
        <v>1184.53</v>
      </c>
      <c r="K139" s="237">
        <v>1184.53</v>
      </c>
      <c r="L139" s="237">
        <v>1184.53</v>
      </c>
      <c r="M139" s="237">
        <v>1184.53</v>
      </c>
      <c r="N139" s="237">
        <v>1184.53</v>
      </c>
      <c r="O139" s="237">
        <v>1184.53</v>
      </c>
      <c r="P139" s="237">
        <v>1184.53</v>
      </c>
      <c r="Q139" s="155">
        <f t="shared" si="36"/>
        <v>14214.360000000002</v>
      </c>
      <c r="R139" s="155">
        <f t="shared" si="37"/>
        <v>1184.5300000000002</v>
      </c>
    </row>
    <row r="140" spans="2:18" x14ac:dyDescent="0.2">
      <c r="B140" s="151">
        <v>9</v>
      </c>
      <c r="C140" s="150" t="s">
        <v>137</v>
      </c>
      <c r="D140" s="151">
        <v>52</v>
      </c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  <c r="P140" s="236"/>
      <c r="Q140" s="155">
        <f t="shared" si="36"/>
        <v>0</v>
      </c>
    </row>
    <row r="141" spans="2:18" x14ac:dyDescent="0.2">
      <c r="B141" s="151">
        <v>10</v>
      </c>
      <c r="C141" s="150" t="s">
        <v>138</v>
      </c>
      <c r="D141" s="151" t="s">
        <v>139</v>
      </c>
      <c r="E141" s="236"/>
      <c r="F141" s="236"/>
      <c r="G141" s="236"/>
      <c r="H141" s="236"/>
      <c r="I141" s="236"/>
      <c r="J141" s="236"/>
      <c r="K141" s="236"/>
      <c r="L141" s="236"/>
      <c r="M141" s="236"/>
      <c r="N141" s="236"/>
      <c r="O141" s="236"/>
      <c r="P141" s="236"/>
      <c r="Q141" s="155">
        <f t="shared" si="36"/>
        <v>0</v>
      </c>
    </row>
    <row r="142" spans="2:18" x14ac:dyDescent="0.2">
      <c r="B142" s="160"/>
      <c r="C142" s="164" t="s">
        <v>65</v>
      </c>
      <c r="D142" s="160"/>
      <c r="E142" s="158">
        <f t="shared" ref="E142:R142" si="38">SUM(E132:E141)</f>
        <v>252971.26999999996</v>
      </c>
      <c r="F142" s="158">
        <f t="shared" si="38"/>
        <v>252971.26999999996</v>
      </c>
      <c r="G142" s="158">
        <f t="shared" si="38"/>
        <v>252971.26999999996</v>
      </c>
      <c r="H142" s="158">
        <f t="shared" si="38"/>
        <v>252971.26999999996</v>
      </c>
      <c r="I142" s="158">
        <f t="shared" si="38"/>
        <v>252971.26999999996</v>
      </c>
      <c r="J142" s="158">
        <f t="shared" si="38"/>
        <v>252971.26999999996</v>
      </c>
      <c r="K142" s="158">
        <f t="shared" si="38"/>
        <v>252971.26999999996</v>
      </c>
      <c r="L142" s="158">
        <f t="shared" si="38"/>
        <v>252971.26999999996</v>
      </c>
      <c r="M142" s="158">
        <f t="shared" si="38"/>
        <v>252971.26999999996</v>
      </c>
      <c r="N142" s="158">
        <f t="shared" si="38"/>
        <v>252971.26999999996</v>
      </c>
      <c r="O142" s="158">
        <f t="shared" si="38"/>
        <v>252971.26999999996</v>
      </c>
      <c r="P142" s="158">
        <f t="shared" si="38"/>
        <v>252971.26999999996</v>
      </c>
      <c r="Q142" s="158">
        <f t="shared" si="38"/>
        <v>3035655.2399999998</v>
      </c>
      <c r="R142" s="158">
        <f t="shared" si="38"/>
        <v>252971.26999999996</v>
      </c>
    </row>
    <row r="145" spans="2:18" x14ac:dyDescent="0.2">
      <c r="B145" s="162" t="s">
        <v>220</v>
      </c>
    </row>
    <row r="146" spans="2:18" x14ac:dyDescent="0.2">
      <c r="B146" s="238"/>
      <c r="E146" s="156" t="s">
        <v>142</v>
      </c>
      <c r="F146" s="156" t="s">
        <v>143</v>
      </c>
      <c r="G146" s="156" t="s">
        <v>144</v>
      </c>
      <c r="H146" s="156" t="s">
        <v>145</v>
      </c>
      <c r="I146" s="156" t="s">
        <v>146</v>
      </c>
      <c r="J146" s="156" t="s">
        <v>147</v>
      </c>
      <c r="K146" s="156" t="s">
        <v>148</v>
      </c>
      <c r="L146" s="156" t="s">
        <v>149</v>
      </c>
      <c r="M146" s="156" t="s">
        <v>150</v>
      </c>
      <c r="N146" s="156" t="s">
        <v>151</v>
      </c>
      <c r="O146" s="156" t="s">
        <v>152</v>
      </c>
      <c r="P146" s="156" t="s">
        <v>153</v>
      </c>
      <c r="Q146" s="156" t="s">
        <v>65</v>
      </c>
      <c r="R146" s="157" t="s">
        <v>154</v>
      </c>
    </row>
    <row r="147" spans="2:18" x14ac:dyDescent="0.2">
      <c r="B147" s="151">
        <v>1</v>
      </c>
      <c r="C147" s="150" t="s">
        <v>28</v>
      </c>
      <c r="D147" s="151">
        <v>10</v>
      </c>
      <c r="E147" s="237">
        <v>1817.8333333333333</v>
      </c>
      <c r="F147" s="237">
        <v>1817.8333333333333</v>
      </c>
      <c r="G147" s="237">
        <v>1817.8333333333333</v>
      </c>
      <c r="H147" s="237">
        <v>1817.8333333333333</v>
      </c>
      <c r="I147" s="237">
        <v>1817.8333333333333</v>
      </c>
      <c r="J147" s="237">
        <v>1817.8333333333333</v>
      </c>
      <c r="K147" s="237">
        <v>1817.8333333333333</v>
      </c>
      <c r="L147" s="237">
        <v>1817.8333333333333</v>
      </c>
      <c r="M147" s="237">
        <v>1817.8333333333333</v>
      </c>
      <c r="N147" s="237">
        <v>1817.8333333333333</v>
      </c>
      <c r="O147" s="237">
        <v>1817.8333333333333</v>
      </c>
      <c r="P147" s="237">
        <v>1817.8333333333333</v>
      </c>
      <c r="Q147" s="155">
        <f>SUM(E147:P147)</f>
        <v>21814</v>
      </c>
      <c r="R147" s="155">
        <f>AVERAGE(E147:P147)</f>
        <v>1817.8333333333333</v>
      </c>
    </row>
    <row r="148" spans="2:18" x14ac:dyDescent="0.2">
      <c r="B148" s="151">
        <v>2</v>
      </c>
      <c r="C148" s="150" t="s">
        <v>130</v>
      </c>
      <c r="D148" s="151">
        <v>11</v>
      </c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55">
        <f t="shared" ref="Q148:Q156" si="39">SUM(E148:P148)</f>
        <v>0</v>
      </c>
    </row>
    <row r="149" spans="2:18" x14ac:dyDescent="0.2">
      <c r="B149" s="151">
        <v>3</v>
      </c>
      <c r="C149" s="150" t="s">
        <v>131</v>
      </c>
      <c r="D149" s="151">
        <v>20</v>
      </c>
      <c r="E149" s="237">
        <v>181.5</v>
      </c>
      <c r="F149" s="237">
        <v>181.5</v>
      </c>
      <c r="G149" s="237">
        <v>181.5</v>
      </c>
      <c r="H149" s="237">
        <v>181.5</v>
      </c>
      <c r="I149" s="237">
        <v>181.5</v>
      </c>
      <c r="J149" s="237">
        <v>181.5</v>
      </c>
      <c r="K149" s="237">
        <v>181.5</v>
      </c>
      <c r="L149" s="237">
        <v>181.5</v>
      </c>
      <c r="M149" s="237">
        <v>181.5</v>
      </c>
      <c r="N149" s="237">
        <v>181.5</v>
      </c>
      <c r="O149" s="237">
        <v>181.5</v>
      </c>
      <c r="P149" s="237">
        <v>181.5</v>
      </c>
      <c r="Q149" s="155">
        <f t="shared" si="39"/>
        <v>2178</v>
      </c>
      <c r="R149" s="155">
        <f t="shared" ref="R149:R154" si="40">AVERAGE(E149:P149)</f>
        <v>181.5</v>
      </c>
    </row>
    <row r="150" spans="2:18" x14ac:dyDescent="0.2">
      <c r="B150" s="151">
        <v>4</v>
      </c>
      <c r="C150" s="150" t="s">
        <v>132</v>
      </c>
      <c r="D150" s="151">
        <v>22</v>
      </c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55">
        <f t="shared" si="39"/>
        <v>0</v>
      </c>
    </row>
    <row r="151" spans="2:18" x14ac:dyDescent="0.2">
      <c r="B151" s="151">
        <v>5</v>
      </c>
      <c r="C151" s="150" t="s">
        <v>133</v>
      </c>
      <c r="D151" s="151">
        <v>40</v>
      </c>
      <c r="E151" s="237">
        <v>14.416666666666666</v>
      </c>
      <c r="F151" s="237">
        <v>14.416666666666666</v>
      </c>
      <c r="G151" s="237">
        <v>14.416666666666666</v>
      </c>
      <c r="H151" s="237">
        <v>14.416666666666666</v>
      </c>
      <c r="I151" s="237">
        <v>14.416666666666666</v>
      </c>
      <c r="J151" s="237">
        <v>14.416666666666666</v>
      </c>
      <c r="K151" s="237">
        <v>14.416666666666666</v>
      </c>
      <c r="L151" s="237">
        <v>14.416666666666666</v>
      </c>
      <c r="M151" s="237">
        <v>14.416666666666666</v>
      </c>
      <c r="N151" s="237">
        <v>14.416666666666666</v>
      </c>
      <c r="O151" s="237">
        <v>14.416666666666666</v>
      </c>
      <c r="P151" s="237">
        <v>14.416666666666666</v>
      </c>
      <c r="Q151" s="155">
        <f t="shared" si="39"/>
        <v>172.99999999999997</v>
      </c>
      <c r="R151" s="155">
        <f t="shared" si="40"/>
        <v>14.416666666666664</v>
      </c>
    </row>
    <row r="152" spans="2:18" x14ac:dyDescent="0.2">
      <c r="B152" s="151">
        <v>6</v>
      </c>
      <c r="C152" s="150" t="s">
        <v>134</v>
      </c>
      <c r="D152" s="151">
        <v>46</v>
      </c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55">
        <f t="shared" si="39"/>
        <v>0</v>
      </c>
    </row>
    <row r="153" spans="2:18" x14ac:dyDescent="0.2">
      <c r="B153" s="151">
        <v>7</v>
      </c>
      <c r="C153" s="150" t="s">
        <v>135</v>
      </c>
      <c r="D153" s="151">
        <v>47</v>
      </c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55">
        <f t="shared" si="39"/>
        <v>0</v>
      </c>
    </row>
    <row r="154" spans="2:18" x14ac:dyDescent="0.2">
      <c r="B154" s="151">
        <v>8</v>
      </c>
      <c r="C154" s="150" t="s">
        <v>136</v>
      </c>
      <c r="D154" s="151">
        <v>50</v>
      </c>
      <c r="E154" s="237">
        <v>5</v>
      </c>
      <c r="F154" s="237">
        <v>5</v>
      </c>
      <c r="G154" s="237">
        <v>5</v>
      </c>
      <c r="H154" s="237">
        <v>5</v>
      </c>
      <c r="I154" s="237">
        <v>5</v>
      </c>
      <c r="J154" s="237">
        <v>5</v>
      </c>
      <c r="K154" s="237">
        <v>5</v>
      </c>
      <c r="L154" s="237">
        <v>5</v>
      </c>
      <c r="M154" s="237">
        <v>5</v>
      </c>
      <c r="N154" s="237">
        <v>5</v>
      </c>
      <c r="O154" s="237">
        <v>5</v>
      </c>
      <c r="P154" s="237">
        <v>5</v>
      </c>
      <c r="Q154" s="155">
        <f t="shared" si="39"/>
        <v>60</v>
      </c>
      <c r="R154" s="155">
        <f t="shared" si="40"/>
        <v>5</v>
      </c>
    </row>
    <row r="155" spans="2:18" x14ac:dyDescent="0.2">
      <c r="B155" s="151">
        <v>9</v>
      </c>
      <c r="C155" s="150" t="s">
        <v>137</v>
      </c>
      <c r="D155" s="151">
        <v>52</v>
      </c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55">
        <f t="shared" si="39"/>
        <v>0</v>
      </c>
    </row>
    <row r="156" spans="2:18" x14ac:dyDescent="0.2">
      <c r="B156" s="151">
        <v>10</v>
      </c>
      <c r="C156" s="150" t="s">
        <v>138</v>
      </c>
      <c r="D156" s="151" t="s">
        <v>139</v>
      </c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55">
        <f t="shared" si="39"/>
        <v>0</v>
      </c>
    </row>
    <row r="157" spans="2:18" x14ac:dyDescent="0.2">
      <c r="B157" s="160"/>
      <c r="C157" s="164" t="s">
        <v>65</v>
      </c>
      <c r="D157" s="160"/>
      <c r="E157" s="158">
        <f t="shared" ref="E157:R157" si="41">SUM(E147:E156)</f>
        <v>2018.75</v>
      </c>
      <c r="F157" s="158">
        <f t="shared" si="41"/>
        <v>2018.75</v>
      </c>
      <c r="G157" s="158">
        <f t="shared" si="41"/>
        <v>2018.75</v>
      </c>
      <c r="H157" s="158">
        <f t="shared" si="41"/>
        <v>2018.75</v>
      </c>
      <c r="I157" s="158">
        <f t="shared" si="41"/>
        <v>2018.75</v>
      </c>
      <c r="J157" s="158">
        <f t="shared" si="41"/>
        <v>2018.75</v>
      </c>
      <c r="K157" s="158">
        <f t="shared" si="41"/>
        <v>2018.75</v>
      </c>
      <c r="L157" s="158">
        <f t="shared" si="41"/>
        <v>2018.75</v>
      </c>
      <c r="M157" s="158">
        <f t="shared" si="41"/>
        <v>2018.75</v>
      </c>
      <c r="N157" s="158">
        <f t="shared" si="41"/>
        <v>2018.75</v>
      </c>
      <c r="O157" s="158">
        <f t="shared" si="41"/>
        <v>2018.75</v>
      </c>
      <c r="P157" s="158">
        <f t="shared" si="41"/>
        <v>2018.75</v>
      </c>
      <c r="Q157" s="158">
        <f t="shared" si="41"/>
        <v>24225</v>
      </c>
      <c r="R157" s="158">
        <f t="shared" si="41"/>
        <v>2018.75</v>
      </c>
    </row>
    <row r="160" spans="2:18" x14ac:dyDescent="0.2">
      <c r="B160" s="162" t="s">
        <v>221</v>
      </c>
    </row>
    <row r="161" spans="2:18" x14ac:dyDescent="0.2">
      <c r="B161" s="238"/>
      <c r="E161" s="156" t="s">
        <v>142</v>
      </c>
      <c r="F161" s="156" t="s">
        <v>143</v>
      </c>
      <c r="G161" s="156" t="s">
        <v>144</v>
      </c>
      <c r="H161" s="156" t="s">
        <v>145</v>
      </c>
      <c r="I161" s="156" t="s">
        <v>146</v>
      </c>
      <c r="J161" s="156" t="s">
        <v>147</v>
      </c>
      <c r="K161" s="156" t="s">
        <v>148</v>
      </c>
      <c r="L161" s="156" t="s">
        <v>149</v>
      </c>
      <c r="M161" s="156" t="s">
        <v>150</v>
      </c>
      <c r="N161" s="156" t="s">
        <v>151</v>
      </c>
      <c r="O161" s="156" t="s">
        <v>152</v>
      </c>
      <c r="P161" s="156" t="s">
        <v>153</v>
      </c>
      <c r="Q161" s="156" t="s">
        <v>65</v>
      </c>
      <c r="R161" s="157" t="s">
        <v>154</v>
      </c>
    </row>
    <row r="162" spans="2:18" x14ac:dyDescent="0.2">
      <c r="B162" s="151">
        <v>1</v>
      </c>
      <c r="C162" s="150" t="s">
        <v>28</v>
      </c>
      <c r="D162" s="151">
        <v>10</v>
      </c>
      <c r="E162" s="237">
        <v>1303314</v>
      </c>
      <c r="F162" s="237">
        <v>1303314</v>
      </c>
      <c r="G162" s="237">
        <v>1303314</v>
      </c>
      <c r="H162" s="237">
        <v>1303314</v>
      </c>
      <c r="I162" s="237">
        <v>1303314</v>
      </c>
      <c r="J162" s="237">
        <v>1303314</v>
      </c>
      <c r="K162" s="237">
        <v>1303314</v>
      </c>
      <c r="L162" s="237">
        <v>1303314</v>
      </c>
      <c r="M162" s="237">
        <v>1303314</v>
      </c>
      <c r="N162" s="237">
        <v>1303314</v>
      </c>
      <c r="O162" s="237">
        <v>1303314</v>
      </c>
      <c r="P162" s="237">
        <v>1303314</v>
      </c>
      <c r="Q162" s="155">
        <f>SUM(E162:P162)</f>
        <v>15639768</v>
      </c>
      <c r="R162" s="155">
        <f>AVERAGE(E162:P162)</f>
        <v>1303314</v>
      </c>
    </row>
    <row r="163" spans="2:18" x14ac:dyDescent="0.2">
      <c r="B163" s="151">
        <v>2</v>
      </c>
      <c r="C163" s="150" t="s">
        <v>130</v>
      </c>
      <c r="D163" s="151">
        <v>11</v>
      </c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55">
        <f t="shared" ref="Q163:Q171" si="42">SUM(E163:P163)</f>
        <v>0</v>
      </c>
    </row>
    <row r="164" spans="2:18" x14ac:dyDescent="0.2">
      <c r="B164" s="151">
        <v>3</v>
      </c>
      <c r="C164" s="150" t="s">
        <v>131</v>
      </c>
      <c r="D164" s="151">
        <v>20</v>
      </c>
      <c r="E164" s="237">
        <v>166641</v>
      </c>
      <c r="F164" s="237">
        <v>166641</v>
      </c>
      <c r="G164" s="237">
        <v>166641</v>
      </c>
      <c r="H164" s="237">
        <v>166641</v>
      </c>
      <c r="I164" s="237">
        <v>166641</v>
      </c>
      <c r="J164" s="237">
        <v>166641</v>
      </c>
      <c r="K164" s="237">
        <v>166641</v>
      </c>
      <c r="L164" s="237">
        <v>166641</v>
      </c>
      <c r="M164" s="237">
        <v>166641</v>
      </c>
      <c r="N164" s="237">
        <v>166641</v>
      </c>
      <c r="O164" s="237">
        <v>166641</v>
      </c>
      <c r="P164" s="237">
        <v>166641</v>
      </c>
      <c r="Q164" s="155">
        <f t="shared" si="42"/>
        <v>1999692</v>
      </c>
      <c r="R164" s="155">
        <f t="shared" ref="R164:R171" si="43">AVERAGE(E164:P164)</f>
        <v>166641</v>
      </c>
    </row>
    <row r="165" spans="2:18" x14ac:dyDescent="0.2">
      <c r="B165" s="151">
        <v>4</v>
      </c>
      <c r="C165" s="150" t="s">
        <v>132</v>
      </c>
      <c r="D165" s="151">
        <v>22</v>
      </c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55">
        <f t="shared" si="42"/>
        <v>0</v>
      </c>
    </row>
    <row r="166" spans="2:18" x14ac:dyDescent="0.2">
      <c r="B166" s="151">
        <v>5</v>
      </c>
      <c r="C166" s="150" t="s">
        <v>133</v>
      </c>
      <c r="D166" s="151">
        <v>40</v>
      </c>
      <c r="E166" s="237">
        <v>15438</v>
      </c>
      <c r="F166" s="237">
        <v>15438</v>
      </c>
      <c r="G166" s="237">
        <v>15438</v>
      </c>
      <c r="H166" s="237">
        <v>15438</v>
      </c>
      <c r="I166" s="237">
        <v>15438</v>
      </c>
      <c r="J166" s="237">
        <v>15438</v>
      </c>
      <c r="K166" s="237">
        <v>15438</v>
      </c>
      <c r="L166" s="237">
        <v>15438</v>
      </c>
      <c r="M166" s="237">
        <v>15438</v>
      </c>
      <c r="N166" s="237">
        <v>15438</v>
      </c>
      <c r="O166" s="237">
        <v>15438</v>
      </c>
      <c r="P166" s="237">
        <v>15438</v>
      </c>
      <c r="Q166" s="155">
        <f t="shared" si="42"/>
        <v>185256</v>
      </c>
      <c r="R166" s="155">
        <f t="shared" si="43"/>
        <v>15438</v>
      </c>
    </row>
    <row r="167" spans="2:18" x14ac:dyDescent="0.2">
      <c r="B167" s="151">
        <v>6</v>
      </c>
      <c r="C167" s="150" t="s">
        <v>134</v>
      </c>
      <c r="D167" s="151">
        <v>46</v>
      </c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55">
        <f t="shared" si="42"/>
        <v>0</v>
      </c>
      <c r="R167" s="155" t="e">
        <f t="shared" si="43"/>
        <v>#DIV/0!</v>
      </c>
    </row>
    <row r="168" spans="2:18" x14ac:dyDescent="0.2">
      <c r="B168" s="151">
        <v>7</v>
      </c>
      <c r="C168" s="150" t="s">
        <v>135</v>
      </c>
      <c r="D168" s="151">
        <v>47</v>
      </c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55">
        <f t="shared" si="42"/>
        <v>0</v>
      </c>
      <c r="R168" s="155" t="e">
        <f t="shared" si="43"/>
        <v>#DIV/0!</v>
      </c>
    </row>
    <row r="169" spans="2:18" x14ac:dyDescent="0.2">
      <c r="B169" s="151">
        <v>8</v>
      </c>
      <c r="C169" s="150" t="s">
        <v>136</v>
      </c>
      <c r="D169" s="151">
        <v>50</v>
      </c>
      <c r="E169" s="237">
        <v>9670</v>
      </c>
      <c r="F169" s="237">
        <v>9670</v>
      </c>
      <c r="G169" s="237">
        <v>9670</v>
      </c>
      <c r="H169" s="237">
        <v>9670</v>
      </c>
      <c r="I169" s="237">
        <v>9670</v>
      </c>
      <c r="J169" s="237">
        <v>9670</v>
      </c>
      <c r="K169" s="237">
        <v>9670</v>
      </c>
      <c r="L169" s="237">
        <v>9670</v>
      </c>
      <c r="M169" s="237">
        <v>9670</v>
      </c>
      <c r="N169" s="237">
        <v>9670</v>
      </c>
      <c r="O169" s="237">
        <v>9670</v>
      </c>
      <c r="P169" s="237">
        <v>9670</v>
      </c>
      <c r="Q169" s="155">
        <f t="shared" si="42"/>
        <v>116040</v>
      </c>
      <c r="R169" s="155">
        <f t="shared" si="43"/>
        <v>9670</v>
      </c>
    </row>
    <row r="170" spans="2:18" x14ac:dyDescent="0.2">
      <c r="B170" s="151">
        <v>9</v>
      </c>
      <c r="C170" s="150" t="s">
        <v>137</v>
      </c>
      <c r="D170" s="151">
        <v>52</v>
      </c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55">
        <f t="shared" si="42"/>
        <v>0</v>
      </c>
      <c r="R170" s="155" t="e">
        <f t="shared" si="43"/>
        <v>#DIV/0!</v>
      </c>
    </row>
    <row r="171" spans="2:18" x14ac:dyDescent="0.2">
      <c r="B171" s="151">
        <v>10</v>
      </c>
      <c r="C171" s="150" t="s">
        <v>138</v>
      </c>
      <c r="D171" s="151" t="s">
        <v>139</v>
      </c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55">
        <f t="shared" si="42"/>
        <v>0</v>
      </c>
      <c r="R171" s="155" t="e">
        <f t="shared" si="43"/>
        <v>#DIV/0!</v>
      </c>
    </row>
    <row r="172" spans="2:18" x14ac:dyDescent="0.2">
      <c r="B172" s="160"/>
      <c r="C172" s="164" t="s">
        <v>65</v>
      </c>
      <c r="D172" s="160"/>
      <c r="E172" s="158">
        <f t="shared" ref="E172:R172" si="44">SUM(E162:E171)</f>
        <v>1495063</v>
      </c>
      <c r="F172" s="158">
        <f t="shared" si="44"/>
        <v>1495063</v>
      </c>
      <c r="G172" s="158">
        <f t="shared" si="44"/>
        <v>1495063</v>
      </c>
      <c r="H172" s="158">
        <f t="shared" si="44"/>
        <v>1495063</v>
      </c>
      <c r="I172" s="158">
        <f t="shared" si="44"/>
        <v>1495063</v>
      </c>
      <c r="J172" s="158">
        <f t="shared" si="44"/>
        <v>1495063</v>
      </c>
      <c r="K172" s="158">
        <f t="shared" si="44"/>
        <v>1495063</v>
      </c>
      <c r="L172" s="158">
        <f t="shared" si="44"/>
        <v>1495063</v>
      </c>
      <c r="M172" s="158">
        <f t="shared" si="44"/>
        <v>1495063</v>
      </c>
      <c r="N172" s="158">
        <f t="shared" si="44"/>
        <v>1495063</v>
      </c>
      <c r="O172" s="158">
        <f t="shared" si="44"/>
        <v>1495063</v>
      </c>
      <c r="P172" s="158">
        <f t="shared" si="44"/>
        <v>1495063</v>
      </c>
      <c r="Q172" s="158">
        <f t="shared" si="44"/>
        <v>17940756</v>
      </c>
      <c r="R172" s="158" t="e">
        <f t="shared" si="44"/>
        <v>#DIV/0!</v>
      </c>
    </row>
    <row r="173" spans="2:18" x14ac:dyDescent="0.2">
      <c r="C173" s="150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</row>
    <row r="175" spans="2:18" x14ac:dyDescent="0.2">
      <c r="B175" s="162" t="s">
        <v>250</v>
      </c>
    </row>
    <row r="176" spans="2:18" x14ac:dyDescent="0.2">
      <c r="B176" s="235"/>
      <c r="E176" s="156" t="s">
        <v>142</v>
      </c>
      <c r="F176" s="156" t="s">
        <v>143</v>
      </c>
      <c r="G176" s="156" t="s">
        <v>144</v>
      </c>
      <c r="H176" s="156" t="s">
        <v>145</v>
      </c>
      <c r="I176" s="156" t="s">
        <v>146</v>
      </c>
      <c r="J176" s="156" t="s">
        <v>147</v>
      </c>
      <c r="K176" s="156" t="s">
        <v>148</v>
      </c>
      <c r="L176" s="156" t="s">
        <v>149</v>
      </c>
      <c r="M176" s="156" t="s">
        <v>150</v>
      </c>
      <c r="N176" s="156" t="s">
        <v>151</v>
      </c>
      <c r="O176" s="156" t="s">
        <v>152</v>
      </c>
      <c r="P176" s="156" t="s">
        <v>153</v>
      </c>
      <c r="Q176" s="156" t="s">
        <v>65</v>
      </c>
      <c r="R176" s="157" t="s">
        <v>154</v>
      </c>
    </row>
    <row r="177" spans="2:19" x14ac:dyDescent="0.2">
      <c r="B177" s="151">
        <v>1</v>
      </c>
      <c r="C177" s="150" t="s">
        <v>28</v>
      </c>
      <c r="D177" s="151">
        <v>10</v>
      </c>
      <c r="E177" s="163">
        <f>E21-E162</f>
        <v>63390035</v>
      </c>
      <c r="F177" s="163">
        <f t="shared" ref="F177:P177" si="45">F21-F162</f>
        <v>51356678</v>
      </c>
      <c r="G177" s="163">
        <f t="shared" si="45"/>
        <v>53038886</v>
      </c>
      <c r="H177" s="163">
        <f t="shared" si="45"/>
        <v>37601004</v>
      </c>
      <c r="I177" s="163">
        <f t="shared" si="45"/>
        <v>37350746</v>
      </c>
      <c r="J177" s="163">
        <f t="shared" si="45"/>
        <v>39715602</v>
      </c>
      <c r="K177" s="163">
        <f t="shared" si="45"/>
        <v>52818541</v>
      </c>
      <c r="L177" s="163">
        <f t="shared" si="45"/>
        <v>49033515</v>
      </c>
      <c r="M177" s="163">
        <f t="shared" si="45"/>
        <v>38404697</v>
      </c>
      <c r="N177" s="163">
        <f t="shared" si="45"/>
        <v>37320212</v>
      </c>
      <c r="O177" s="163">
        <f t="shared" si="45"/>
        <v>52232008</v>
      </c>
      <c r="P177" s="163">
        <f t="shared" si="45"/>
        <v>64657108</v>
      </c>
      <c r="Q177" s="155">
        <f>SUM(E177:P177)</f>
        <v>576919032</v>
      </c>
      <c r="R177" s="155">
        <f>AVERAGE(E177:P177)</f>
        <v>48076586</v>
      </c>
      <c r="S177" s="209">
        <v>10</v>
      </c>
    </row>
    <row r="178" spans="2:19" x14ac:dyDescent="0.2">
      <c r="B178" s="151">
        <v>2</v>
      </c>
      <c r="C178" s="150" t="s">
        <v>130</v>
      </c>
      <c r="D178" s="151">
        <v>11</v>
      </c>
      <c r="E178" s="163">
        <f t="shared" ref="E178:P185" si="46">E22-E163</f>
        <v>701220</v>
      </c>
      <c r="F178" s="163">
        <f t="shared" si="46"/>
        <v>543312</v>
      </c>
      <c r="G178" s="163">
        <f t="shared" si="46"/>
        <v>544857</v>
      </c>
      <c r="H178" s="163">
        <f t="shared" si="46"/>
        <v>249404</v>
      </c>
      <c r="I178" s="163">
        <f t="shared" si="46"/>
        <v>88300</v>
      </c>
      <c r="J178" s="163">
        <f t="shared" si="46"/>
        <v>13223</v>
      </c>
      <c r="K178" s="163">
        <f t="shared" si="46"/>
        <v>8459</v>
      </c>
      <c r="L178" s="163">
        <f t="shared" si="46"/>
        <v>3563</v>
      </c>
      <c r="M178" s="163">
        <f t="shared" si="46"/>
        <v>5410</v>
      </c>
      <c r="N178" s="163">
        <f t="shared" si="46"/>
        <v>137833</v>
      </c>
      <c r="O178" s="163">
        <f t="shared" si="46"/>
        <v>420834</v>
      </c>
      <c r="P178" s="163">
        <f t="shared" si="46"/>
        <v>600261</v>
      </c>
      <c r="Q178" s="155">
        <f t="shared" ref="Q178:Q186" si="47">SUM(E178:P178)</f>
        <v>3316676</v>
      </c>
      <c r="R178" s="155">
        <f t="shared" ref="R178:R186" si="48">AVERAGE(E178:P178)</f>
        <v>276389.66666666669</v>
      </c>
      <c r="S178" s="209">
        <v>11</v>
      </c>
    </row>
    <row r="179" spans="2:19" x14ac:dyDescent="0.2">
      <c r="B179" s="151">
        <v>3</v>
      </c>
      <c r="C179" s="150" t="s">
        <v>131</v>
      </c>
      <c r="D179" s="151">
        <v>20</v>
      </c>
      <c r="E179" s="163">
        <f t="shared" si="46"/>
        <v>5441417</v>
      </c>
      <c r="F179" s="163">
        <f t="shared" si="46"/>
        <v>4665368</v>
      </c>
      <c r="G179" s="163">
        <f t="shared" si="46"/>
        <v>4975707</v>
      </c>
      <c r="H179" s="163">
        <f t="shared" si="46"/>
        <v>4322395</v>
      </c>
      <c r="I179" s="163">
        <f t="shared" si="46"/>
        <v>4595055</v>
      </c>
      <c r="J179" s="163">
        <f t="shared" si="46"/>
        <v>4786444</v>
      </c>
      <c r="K179" s="163">
        <f t="shared" si="46"/>
        <v>5559315</v>
      </c>
      <c r="L179" s="163">
        <f t="shared" si="46"/>
        <v>5453630</v>
      </c>
      <c r="M179" s="163">
        <f t="shared" si="46"/>
        <v>4793837</v>
      </c>
      <c r="N179" s="163">
        <f t="shared" si="46"/>
        <v>4537306</v>
      </c>
      <c r="O179" s="163">
        <f t="shared" si="46"/>
        <v>4783577</v>
      </c>
      <c r="P179" s="163">
        <f t="shared" si="46"/>
        <v>5458452</v>
      </c>
      <c r="Q179" s="155">
        <f t="shared" si="47"/>
        <v>59372503</v>
      </c>
      <c r="R179" s="155">
        <f t="shared" si="48"/>
        <v>4947708.583333333</v>
      </c>
      <c r="S179" s="209">
        <v>20</v>
      </c>
    </row>
    <row r="180" spans="2:19" x14ac:dyDescent="0.2">
      <c r="B180" s="151">
        <v>4</v>
      </c>
      <c r="C180" s="150" t="s">
        <v>132</v>
      </c>
      <c r="D180" s="151">
        <v>22</v>
      </c>
      <c r="E180" s="163">
        <f t="shared" si="46"/>
        <v>7068</v>
      </c>
      <c r="F180" s="163">
        <f t="shared" si="46"/>
        <v>4044</v>
      </c>
      <c r="G180" s="163">
        <f t="shared" si="46"/>
        <v>4400</v>
      </c>
      <c r="H180" s="163">
        <f t="shared" si="46"/>
        <v>694</v>
      </c>
      <c r="I180" s="163">
        <f t="shared" si="46"/>
        <v>206</v>
      </c>
      <c r="J180" s="163">
        <f t="shared" si="46"/>
        <v>231</v>
      </c>
      <c r="K180" s="163">
        <f t="shared" si="46"/>
        <v>564</v>
      </c>
      <c r="L180" s="163">
        <f t="shared" si="46"/>
        <v>1</v>
      </c>
      <c r="M180" s="163">
        <f t="shared" si="46"/>
        <v>1</v>
      </c>
      <c r="N180" s="163">
        <f t="shared" si="46"/>
        <v>409</v>
      </c>
      <c r="O180" s="163">
        <f t="shared" si="46"/>
        <v>1675</v>
      </c>
      <c r="P180" s="163">
        <f t="shared" si="46"/>
        <v>3857</v>
      </c>
      <c r="Q180" s="155">
        <f t="shared" si="47"/>
        <v>23150</v>
      </c>
      <c r="R180" s="155">
        <f t="shared" si="48"/>
        <v>1929.1666666666667</v>
      </c>
      <c r="S180" s="209">
        <v>22</v>
      </c>
    </row>
    <row r="181" spans="2:19" x14ac:dyDescent="0.2">
      <c r="B181" s="151">
        <v>5</v>
      </c>
      <c r="C181" s="150" t="s">
        <v>133</v>
      </c>
      <c r="D181" s="151">
        <v>40</v>
      </c>
      <c r="E181" s="163">
        <f t="shared" si="46"/>
        <v>6693495</v>
      </c>
      <c r="F181" s="163">
        <f t="shared" si="46"/>
        <v>6045956</v>
      </c>
      <c r="G181" s="163">
        <f t="shared" si="46"/>
        <v>6305272</v>
      </c>
      <c r="H181" s="163">
        <f t="shared" si="46"/>
        <v>5967402</v>
      </c>
      <c r="I181" s="163">
        <f t="shared" si="46"/>
        <v>6302169</v>
      </c>
      <c r="J181" s="163">
        <f t="shared" si="46"/>
        <v>6336488</v>
      </c>
      <c r="K181" s="163">
        <f t="shared" si="46"/>
        <v>6942811</v>
      </c>
      <c r="L181" s="163">
        <f t="shared" si="46"/>
        <v>6880604</v>
      </c>
      <c r="M181" s="163">
        <f t="shared" si="46"/>
        <v>6128773</v>
      </c>
      <c r="N181" s="163">
        <f t="shared" si="46"/>
        <v>5756903</v>
      </c>
      <c r="O181" s="163">
        <f t="shared" si="46"/>
        <v>5540378</v>
      </c>
      <c r="P181" s="163">
        <f t="shared" si="46"/>
        <v>6001409</v>
      </c>
      <c r="Q181" s="155">
        <f t="shared" si="47"/>
        <v>74901660</v>
      </c>
      <c r="R181" s="155">
        <f t="shared" si="48"/>
        <v>6241805</v>
      </c>
      <c r="S181" s="209">
        <v>40</v>
      </c>
    </row>
    <row r="182" spans="2:19" x14ac:dyDescent="0.2">
      <c r="B182" s="151">
        <v>6</v>
      </c>
      <c r="C182" s="150" t="s">
        <v>134</v>
      </c>
      <c r="D182" s="151">
        <v>46</v>
      </c>
      <c r="E182" s="163">
        <f t="shared" si="46"/>
        <v>4630118</v>
      </c>
      <c r="F182" s="163">
        <f t="shared" si="46"/>
        <v>4799058</v>
      </c>
      <c r="G182" s="163">
        <f t="shared" si="46"/>
        <v>6783998</v>
      </c>
      <c r="H182" s="163">
        <f t="shared" si="46"/>
        <v>6753598</v>
      </c>
      <c r="I182" s="163">
        <f t="shared" si="46"/>
        <v>7922878</v>
      </c>
      <c r="J182" s="163">
        <f t="shared" si="46"/>
        <v>8034478</v>
      </c>
      <c r="K182" s="163">
        <f t="shared" si="46"/>
        <v>8546558</v>
      </c>
      <c r="L182" s="163">
        <f t="shared" si="46"/>
        <v>8587278</v>
      </c>
      <c r="M182" s="163">
        <f t="shared" si="46"/>
        <v>9870798</v>
      </c>
      <c r="N182" s="163">
        <f t="shared" si="46"/>
        <v>10950118</v>
      </c>
      <c r="O182" s="163">
        <f t="shared" si="46"/>
        <v>10267378</v>
      </c>
      <c r="P182" s="163">
        <f t="shared" si="46"/>
        <v>10634298</v>
      </c>
      <c r="Q182" s="155">
        <f t="shared" si="47"/>
        <v>97780556</v>
      </c>
      <c r="R182" s="155">
        <f t="shared" si="48"/>
        <v>8148379.666666667</v>
      </c>
      <c r="S182" s="209">
        <v>46</v>
      </c>
    </row>
    <row r="183" spans="2:19" x14ac:dyDescent="0.2">
      <c r="B183" s="151">
        <v>7</v>
      </c>
      <c r="C183" s="150" t="s">
        <v>135</v>
      </c>
      <c r="D183" s="151">
        <v>47</v>
      </c>
      <c r="E183" s="163">
        <f t="shared" si="46"/>
        <v>4298544</v>
      </c>
      <c r="F183" s="163">
        <f t="shared" si="46"/>
        <v>4498864</v>
      </c>
      <c r="G183" s="163">
        <f t="shared" si="46"/>
        <v>5646704</v>
      </c>
      <c r="H183" s="163">
        <f t="shared" si="46"/>
        <v>5242024</v>
      </c>
      <c r="I183" s="163">
        <f t="shared" si="46"/>
        <v>5705704</v>
      </c>
      <c r="J183" s="163">
        <f t="shared" si="46"/>
        <v>5803424</v>
      </c>
      <c r="K183" s="163">
        <f t="shared" si="46"/>
        <v>5549864</v>
      </c>
      <c r="L183" s="163">
        <f t="shared" si="46"/>
        <v>6074784</v>
      </c>
      <c r="M183" s="163">
        <f t="shared" si="46"/>
        <v>5668224</v>
      </c>
      <c r="N183" s="163">
        <f t="shared" si="46"/>
        <v>5508984</v>
      </c>
      <c r="O183" s="163">
        <f t="shared" si="46"/>
        <v>4918504</v>
      </c>
      <c r="P183" s="163">
        <f t="shared" si="46"/>
        <v>4388504</v>
      </c>
      <c r="Q183" s="155">
        <f t="shared" si="47"/>
        <v>63304128</v>
      </c>
      <c r="R183" s="155">
        <f t="shared" si="48"/>
        <v>5275344</v>
      </c>
      <c r="S183" s="209">
        <v>47</v>
      </c>
    </row>
    <row r="184" spans="2:19" x14ac:dyDescent="0.2">
      <c r="B184" s="151">
        <v>8</v>
      </c>
      <c r="C184" s="150" t="s">
        <v>136</v>
      </c>
      <c r="D184" s="151">
        <v>50</v>
      </c>
      <c r="E184" s="163">
        <f t="shared" si="46"/>
        <v>2313291</v>
      </c>
      <c r="F184" s="163">
        <f t="shared" si="46"/>
        <v>1953176</v>
      </c>
      <c r="G184" s="163">
        <f t="shared" si="46"/>
        <v>2033151</v>
      </c>
      <c r="H184" s="163">
        <f t="shared" si="46"/>
        <v>1472425</v>
      </c>
      <c r="I184" s="163">
        <f t="shared" si="46"/>
        <v>1557080</v>
      </c>
      <c r="J184" s="163">
        <f t="shared" si="46"/>
        <v>1607296</v>
      </c>
      <c r="K184" s="163">
        <f t="shared" si="46"/>
        <v>2125620</v>
      </c>
      <c r="L184" s="163">
        <f t="shared" si="46"/>
        <v>2174595</v>
      </c>
      <c r="M184" s="163">
        <f t="shared" si="46"/>
        <v>1762351</v>
      </c>
      <c r="N184" s="163">
        <f t="shared" si="46"/>
        <v>1557562</v>
      </c>
      <c r="O184" s="163">
        <f t="shared" si="46"/>
        <v>1906557</v>
      </c>
      <c r="P184" s="163">
        <f t="shared" si="46"/>
        <v>2219410</v>
      </c>
      <c r="Q184" s="155">
        <f t="shared" si="47"/>
        <v>22682514</v>
      </c>
      <c r="R184" s="155">
        <f t="shared" si="48"/>
        <v>1890209.5</v>
      </c>
      <c r="S184" s="209">
        <v>50</v>
      </c>
    </row>
    <row r="185" spans="2:19" x14ac:dyDescent="0.2">
      <c r="B185" s="151">
        <v>9</v>
      </c>
      <c r="C185" s="150" t="s">
        <v>137</v>
      </c>
      <c r="D185" s="151">
        <v>52</v>
      </c>
      <c r="E185" s="163">
        <f t="shared" si="46"/>
        <v>933877</v>
      </c>
      <c r="F185" s="163">
        <f t="shared" si="46"/>
        <v>811469</v>
      </c>
      <c r="G185" s="163">
        <f t="shared" si="46"/>
        <v>881792</v>
      </c>
      <c r="H185" s="163">
        <f t="shared" si="46"/>
        <v>692270</v>
      </c>
      <c r="I185" s="163">
        <f t="shared" si="46"/>
        <v>776789</v>
      </c>
      <c r="J185" s="163">
        <f t="shared" si="46"/>
        <v>709653</v>
      </c>
      <c r="K185" s="163">
        <f t="shared" si="46"/>
        <v>783470</v>
      </c>
      <c r="L185" s="163">
        <f t="shared" si="46"/>
        <v>967214</v>
      </c>
      <c r="M185" s="163">
        <f t="shared" si="46"/>
        <v>863209</v>
      </c>
      <c r="N185" s="163">
        <f t="shared" si="46"/>
        <v>833368</v>
      </c>
      <c r="O185" s="163">
        <f t="shared" si="46"/>
        <v>816567</v>
      </c>
      <c r="P185" s="163">
        <f t="shared" si="46"/>
        <v>869343</v>
      </c>
      <c r="Q185" s="155">
        <f t="shared" si="47"/>
        <v>9939021</v>
      </c>
      <c r="R185" s="155">
        <f t="shared" si="48"/>
        <v>828251.75</v>
      </c>
      <c r="S185" s="209">
        <v>52</v>
      </c>
    </row>
    <row r="186" spans="2:19" x14ac:dyDescent="0.2">
      <c r="B186" s="151">
        <v>10</v>
      </c>
      <c r="C186" s="150" t="s">
        <v>138</v>
      </c>
      <c r="D186" s="151" t="s">
        <v>139</v>
      </c>
      <c r="E186" s="163">
        <f>E172</f>
        <v>1495063</v>
      </c>
      <c r="F186" s="163">
        <f t="shared" ref="F186:P186" si="49">F172</f>
        <v>1495063</v>
      </c>
      <c r="G186" s="163">
        <f t="shared" si="49"/>
        <v>1495063</v>
      </c>
      <c r="H186" s="163">
        <f t="shared" si="49"/>
        <v>1495063</v>
      </c>
      <c r="I186" s="163">
        <f t="shared" si="49"/>
        <v>1495063</v>
      </c>
      <c r="J186" s="163">
        <f t="shared" si="49"/>
        <v>1495063</v>
      </c>
      <c r="K186" s="163">
        <f t="shared" si="49"/>
        <v>1495063</v>
      </c>
      <c r="L186" s="163">
        <f t="shared" si="49"/>
        <v>1495063</v>
      </c>
      <c r="M186" s="163">
        <f t="shared" si="49"/>
        <v>1495063</v>
      </c>
      <c r="N186" s="163">
        <f t="shared" si="49"/>
        <v>1495063</v>
      </c>
      <c r="O186" s="163">
        <f t="shared" si="49"/>
        <v>1495063</v>
      </c>
      <c r="P186" s="163">
        <f t="shared" si="49"/>
        <v>1495063</v>
      </c>
      <c r="Q186" s="155">
        <f t="shared" si="47"/>
        <v>17940756</v>
      </c>
      <c r="R186" s="155">
        <f t="shared" si="48"/>
        <v>1495063</v>
      </c>
      <c r="S186" s="209" t="s">
        <v>139</v>
      </c>
    </row>
    <row r="187" spans="2:19" x14ac:dyDescent="0.2">
      <c r="B187" s="160"/>
      <c r="C187" s="164" t="s">
        <v>65</v>
      </c>
      <c r="D187" s="160"/>
      <c r="E187" s="158">
        <f t="shared" ref="E187:R187" si="50">SUM(E177:E186)</f>
        <v>89904128</v>
      </c>
      <c r="F187" s="158">
        <f t="shared" si="50"/>
        <v>76172988</v>
      </c>
      <c r="G187" s="158">
        <f t="shared" si="50"/>
        <v>81709830</v>
      </c>
      <c r="H187" s="158">
        <f t="shared" si="50"/>
        <v>63796279</v>
      </c>
      <c r="I187" s="158">
        <f t="shared" si="50"/>
        <v>65793990</v>
      </c>
      <c r="J187" s="158">
        <f t="shared" si="50"/>
        <v>68501902</v>
      </c>
      <c r="K187" s="158">
        <f t="shared" si="50"/>
        <v>83830265</v>
      </c>
      <c r="L187" s="158">
        <f t="shared" si="50"/>
        <v>80670247</v>
      </c>
      <c r="M187" s="158">
        <f t="shared" si="50"/>
        <v>68992363</v>
      </c>
      <c r="N187" s="158">
        <f t="shared" si="50"/>
        <v>68097758</v>
      </c>
      <c r="O187" s="158">
        <f t="shared" si="50"/>
        <v>82382541</v>
      </c>
      <c r="P187" s="158">
        <f t="shared" si="50"/>
        <v>96327705</v>
      </c>
      <c r="Q187" s="158">
        <f t="shared" si="50"/>
        <v>926179996</v>
      </c>
      <c r="R187" s="158">
        <f t="shared" si="50"/>
        <v>77181666.333333328</v>
      </c>
    </row>
    <row r="188" spans="2:19" x14ac:dyDescent="0.2">
      <c r="D188" s="137" t="s">
        <v>251</v>
      </c>
      <c r="E188" s="239">
        <f t="shared" ref="E188:P188" si="51">E187-E31</f>
        <v>0</v>
      </c>
      <c r="F188" s="239">
        <f t="shared" si="51"/>
        <v>0</v>
      </c>
      <c r="G188" s="239">
        <f t="shared" si="51"/>
        <v>0</v>
      </c>
      <c r="H188" s="239">
        <f t="shared" si="51"/>
        <v>0</v>
      </c>
      <c r="I188" s="239">
        <f t="shared" si="51"/>
        <v>0</v>
      </c>
      <c r="J188" s="239">
        <f t="shared" si="51"/>
        <v>0</v>
      </c>
      <c r="K188" s="239">
        <f t="shared" si="51"/>
        <v>0</v>
      </c>
      <c r="L188" s="239">
        <f t="shared" si="51"/>
        <v>0</v>
      </c>
      <c r="M188" s="239">
        <f t="shared" si="51"/>
        <v>0</v>
      </c>
      <c r="N188" s="239">
        <f t="shared" si="51"/>
        <v>0</v>
      </c>
      <c r="O188" s="239">
        <f t="shared" si="51"/>
        <v>0</v>
      </c>
      <c r="P188" s="239">
        <f t="shared" si="51"/>
        <v>0</v>
      </c>
    </row>
    <row r="191" spans="2:19" x14ac:dyDescent="0.2">
      <c r="B191" s="162" t="s">
        <v>252</v>
      </c>
    </row>
    <row r="192" spans="2:19" x14ac:dyDescent="0.2">
      <c r="B192" s="235"/>
      <c r="E192" s="156" t="s">
        <v>142</v>
      </c>
      <c r="F192" s="156" t="s">
        <v>143</v>
      </c>
      <c r="G192" s="156" t="s">
        <v>144</v>
      </c>
      <c r="H192" s="156" t="s">
        <v>145</v>
      </c>
      <c r="I192" s="156" t="s">
        <v>146</v>
      </c>
      <c r="J192" s="156" t="s">
        <v>147</v>
      </c>
      <c r="K192" s="156" t="s">
        <v>148</v>
      </c>
      <c r="L192" s="156" t="s">
        <v>149</v>
      </c>
      <c r="M192" s="156" t="s">
        <v>150</v>
      </c>
      <c r="N192" s="156" t="s">
        <v>151</v>
      </c>
      <c r="O192" s="156" t="s">
        <v>152</v>
      </c>
      <c r="P192" s="156" t="s">
        <v>153</v>
      </c>
      <c r="Q192" s="156" t="s">
        <v>65</v>
      </c>
      <c r="R192" s="157" t="s">
        <v>154</v>
      </c>
    </row>
    <row r="193" spans="2:19" x14ac:dyDescent="0.2">
      <c r="B193" s="151">
        <v>1</v>
      </c>
      <c r="C193" s="150" t="s">
        <v>28</v>
      </c>
      <c r="D193" s="151">
        <v>10</v>
      </c>
      <c r="E193" s="163">
        <f>E58-E132</f>
        <v>8509831.9699999988</v>
      </c>
      <c r="F193" s="163">
        <f t="shared" ref="F193:P193" si="52">F58-F132</f>
        <v>6562874.25</v>
      </c>
      <c r="G193" s="163">
        <f t="shared" si="52"/>
        <v>7506622.8799999999</v>
      </c>
      <c r="H193" s="163">
        <f t="shared" si="52"/>
        <v>5678052.1699999999</v>
      </c>
      <c r="I193" s="163">
        <f t="shared" si="52"/>
        <v>5572501.8799999999</v>
      </c>
      <c r="J193" s="163">
        <f t="shared" si="52"/>
        <v>5898579.8599999994</v>
      </c>
      <c r="K193" s="163">
        <f t="shared" si="52"/>
        <v>7560215.3700000001</v>
      </c>
      <c r="L193" s="163">
        <f t="shared" si="52"/>
        <v>6606233.0299999993</v>
      </c>
      <c r="M193" s="163">
        <f t="shared" si="52"/>
        <v>5278514.3499999996</v>
      </c>
      <c r="N193" s="163">
        <f t="shared" si="52"/>
        <v>5377702.1699999999</v>
      </c>
      <c r="O193" s="163">
        <f t="shared" si="52"/>
        <v>7232937.4899999993</v>
      </c>
      <c r="P193" s="163">
        <f t="shared" si="52"/>
        <v>8825408.3699999992</v>
      </c>
      <c r="Q193" s="155">
        <f>SUM(E193:P193)</f>
        <v>80609473.790000007</v>
      </c>
      <c r="R193" s="155">
        <f>AVERAGE(E193:P193)</f>
        <v>6717456.1491666669</v>
      </c>
      <c r="S193" s="209">
        <v>10</v>
      </c>
    </row>
    <row r="194" spans="2:19" x14ac:dyDescent="0.2">
      <c r="B194" s="151">
        <v>2</v>
      </c>
      <c r="C194" s="150" t="s">
        <v>130</v>
      </c>
      <c r="D194" s="151">
        <v>11</v>
      </c>
      <c r="E194" s="163">
        <f t="shared" ref="E194:P194" si="53">E59-E133</f>
        <v>54203.8</v>
      </c>
      <c r="F194" s="163">
        <f t="shared" si="53"/>
        <v>37501.39</v>
      </c>
      <c r="G194" s="163">
        <f t="shared" si="53"/>
        <v>46063.63</v>
      </c>
      <c r="H194" s="163">
        <f t="shared" si="53"/>
        <v>20005.77</v>
      </c>
      <c r="I194" s="163">
        <f t="shared" si="53"/>
        <v>6986</v>
      </c>
      <c r="J194" s="163">
        <f t="shared" si="53"/>
        <v>1115.9000000000001</v>
      </c>
      <c r="K194" s="163">
        <f t="shared" si="53"/>
        <v>-561.94000000000005</v>
      </c>
      <c r="L194" s="163">
        <f t="shared" si="53"/>
        <v>128.36000000000001</v>
      </c>
      <c r="M194" s="163">
        <f t="shared" si="53"/>
        <v>430.2</v>
      </c>
      <c r="N194" s="163">
        <f t="shared" si="53"/>
        <v>10322.26</v>
      </c>
      <c r="O194" s="163">
        <f t="shared" si="53"/>
        <v>32709.78</v>
      </c>
      <c r="P194" s="163">
        <f t="shared" si="53"/>
        <v>48212.26</v>
      </c>
      <c r="Q194" s="155">
        <f t="shared" ref="Q194:Q202" si="54">SUM(E194:P194)</f>
        <v>257117.41</v>
      </c>
      <c r="R194" s="155">
        <f t="shared" ref="R194:R202" si="55">AVERAGE(E194:P194)</f>
        <v>21426.450833333332</v>
      </c>
      <c r="S194" s="209">
        <v>11</v>
      </c>
    </row>
    <row r="195" spans="2:19" x14ac:dyDescent="0.2">
      <c r="B195" s="151">
        <v>3</v>
      </c>
      <c r="C195" s="150" t="s">
        <v>131</v>
      </c>
      <c r="D195" s="151">
        <v>20</v>
      </c>
      <c r="E195" s="163">
        <f t="shared" ref="E195:P195" si="56">E60-E134</f>
        <v>746591.89</v>
      </c>
      <c r="F195" s="163">
        <f t="shared" si="56"/>
        <v>612149.06000000006</v>
      </c>
      <c r="G195" s="163">
        <f t="shared" si="56"/>
        <v>714250.35000000009</v>
      </c>
      <c r="H195" s="163">
        <f t="shared" si="56"/>
        <v>641563.72000000009</v>
      </c>
      <c r="I195" s="163">
        <f t="shared" si="56"/>
        <v>664255.65</v>
      </c>
      <c r="J195" s="163">
        <f t="shared" si="56"/>
        <v>694091.92</v>
      </c>
      <c r="K195" s="163">
        <f t="shared" si="56"/>
        <v>797962.70000000007</v>
      </c>
      <c r="L195" s="163">
        <f t="shared" si="56"/>
        <v>719464.13</v>
      </c>
      <c r="M195" s="163">
        <f t="shared" si="56"/>
        <v>633991.44000000006</v>
      </c>
      <c r="N195" s="163">
        <f t="shared" si="56"/>
        <v>640713.99</v>
      </c>
      <c r="O195" s="163">
        <f t="shared" si="56"/>
        <v>687707.35000000009</v>
      </c>
      <c r="P195" s="163">
        <f t="shared" si="56"/>
        <v>777622.03</v>
      </c>
      <c r="Q195" s="155">
        <f t="shared" si="54"/>
        <v>8330364.2300000014</v>
      </c>
      <c r="R195" s="155">
        <f t="shared" si="55"/>
        <v>694197.01916666678</v>
      </c>
      <c r="S195" s="209">
        <v>20</v>
      </c>
    </row>
    <row r="196" spans="2:19" x14ac:dyDescent="0.2">
      <c r="B196" s="151">
        <v>4</v>
      </c>
      <c r="C196" s="150" t="s">
        <v>132</v>
      </c>
      <c r="D196" s="151">
        <v>22</v>
      </c>
      <c r="E196" s="163">
        <f t="shared" ref="E196:P196" si="57">E61-E135</f>
        <v>490.79</v>
      </c>
      <c r="F196" s="163">
        <f t="shared" si="57"/>
        <v>249.38</v>
      </c>
      <c r="G196" s="163">
        <f t="shared" si="57"/>
        <v>340.52</v>
      </c>
      <c r="H196" s="163">
        <f t="shared" si="57"/>
        <v>50.36</v>
      </c>
      <c r="I196" s="163">
        <f t="shared" si="57"/>
        <v>14.66</v>
      </c>
      <c r="J196" s="163">
        <f t="shared" si="57"/>
        <v>16.53</v>
      </c>
      <c r="K196" s="163">
        <f t="shared" si="57"/>
        <v>-10.039999999999999</v>
      </c>
      <c r="L196" s="163">
        <f t="shared" si="57"/>
        <v>0.06</v>
      </c>
      <c r="M196" s="163">
        <f t="shared" si="57"/>
        <v>0.05</v>
      </c>
      <c r="N196" s="163">
        <f t="shared" si="57"/>
        <v>27.7</v>
      </c>
      <c r="O196" s="163">
        <f t="shared" si="57"/>
        <v>118.22</v>
      </c>
      <c r="P196" s="163">
        <f t="shared" si="57"/>
        <v>282.3</v>
      </c>
      <c r="Q196" s="155">
        <f t="shared" si="54"/>
        <v>1580.53</v>
      </c>
      <c r="R196" s="155">
        <f t="shared" si="55"/>
        <v>131.71083333333334</v>
      </c>
      <c r="S196" s="209">
        <v>22</v>
      </c>
    </row>
    <row r="197" spans="2:19" x14ac:dyDescent="0.2">
      <c r="B197" s="151">
        <v>5</v>
      </c>
      <c r="C197" s="150" t="s">
        <v>133</v>
      </c>
      <c r="D197" s="151">
        <v>40</v>
      </c>
      <c r="E197" s="163">
        <f t="shared" ref="E197:P197" si="58">E62-E136</f>
        <v>703705.49</v>
      </c>
      <c r="F197" s="163">
        <f t="shared" si="58"/>
        <v>597704.79</v>
      </c>
      <c r="G197" s="163">
        <f t="shared" si="58"/>
        <v>727694.98</v>
      </c>
      <c r="H197" s="163">
        <f t="shared" si="58"/>
        <v>664262.34000000008</v>
      </c>
      <c r="I197" s="163">
        <f t="shared" si="58"/>
        <v>681957.43</v>
      </c>
      <c r="J197" s="163">
        <f t="shared" si="58"/>
        <v>690598.81</v>
      </c>
      <c r="K197" s="163">
        <f t="shared" si="58"/>
        <v>772306.36</v>
      </c>
      <c r="L197" s="163">
        <f t="shared" si="58"/>
        <v>681454.74</v>
      </c>
      <c r="M197" s="163">
        <f t="shared" si="58"/>
        <v>601224.74</v>
      </c>
      <c r="N197" s="163">
        <f t="shared" si="58"/>
        <v>606244.22000000009</v>
      </c>
      <c r="O197" s="163">
        <f t="shared" si="58"/>
        <v>610413.69000000006</v>
      </c>
      <c r="P197" s="163">
        <f t="shared" si="58"/>
        <v>671281.66</v>
      </c>
      <c r="Q197" s="155">
        <f t="shared" si="54"/>
        <v>8008849.2500000009</v>
      </c>
      <c r="R197" s="155">
        <f t="shared" si="55"/>
        <v>667404.10416666674</v>
      </c>
      <c r="S197" s="209">
        <v>40</v>
      </c>
    </row>
    <row r="198" spans="2:19" x14ac:dyDescent="0.2">
      <c r="B198" s="151">
        <v>6</v>
      </c>
      <c r="C198" s="150" t="s">
        <v>134</v>
      </c>
      <c r="D198" s="151">
        <v>46</v>
      </c>
      <c r="E198" s="163">
        <f t="shared" ref="E198:P198" si="59">E63-E137</f>
        <v>385335.36</v>
      </c>
      <c r="F198" s="163">
        <f t="shared" si="59"/>
        <v>369102.15</v>
      </c>
      <c r="G198" s="163">
        <f t="shared" si="59"/>
        <v>572418.92000000004</v>
      </c>
      <c r="H198" s="163">
        <f t="shared" si="59"/>
        <v>540621.30000000005</v>
      </c>
      <c r="I198" s="163">
        <f t="shared" si="59"/>
        <v>632707.27</v>
      </c>
      <c r="J198" s="163">
        <f t="shared" si="59"/>
        <v>633391.31000000006</v>
      </c>
      <c r="K198" s="163">
        <f t="shared" si="59"/>
        <v>696592.41</v>
      </c>
      <c r="L198" s="163">
        <f t="shared" si="59"/>
        <v>614048.62</v>
      </c>
      <c r="M198" s="163">
        <f t="shared" si="59"/>
        <v>693080.33</v>
      </c>
      <c r="N198" s="163">
        <f t="shared" si="59"/>
        <v>832522.56</v>
      </c>
      <c r="O198" s="163">
        <f t="shared" si="59"/>
        <v>814041.67</v>
      </c>
      <c r="P198" s="163">
        <f t="shared" si="59"/>
        <v>832050.47</v>
      </c>
      <c r="Q198" s="155">
        <f t="shared" si="54"/>
        <v>7615912.3700000001</v>
      </c>
      <c r="R198" s="155">
        <f t="shared" si="55"/>
        <v>634659.36416666664</v>
      </c>
      <c r="S198" s="209">
        <v>46</v>
      </c>
    </row>
    <row r="199" spans="2:19" x14ac:dyDescent="0.2">
      <c r="B199" s="151">
        <v>7</v>
      </c>
      <c r="C199" s="150" t="s">
        <v>135</v>
      </c>
      <c r="D199" s="151">
        <v>47</v>
      </c>
      <c r="E199" s="163">
        <f t="shared" ref="E199:P199" si="60">E64-E138</f>
        <v>407894.33</v>
      </c>
      <c r="F199" s="163">
        <f t="shared" si="60"/>
        <v>369199.03</v>
      </c>
      <c r="G199" s="163">
        <f t="shared" si="60"/>
        <v>532545.39</v>
      </c>
      <c r="H199" s="163">
        <f t="shared" si="60"/>
        <v>482689.96</v>
      </c>
      <c r="I199" s="163">
        <f t="shared" si="60"/>
        <v>511936.58</v>
      </c>
      <c r="J199" s="163">
        <f t="shared" si="60"/>
        <v>520842.3</v>
      </c>
      <c r="K199" s="163">
        <f t="shared" si="60"/>
        <v>532553.61</v>
      </c>
      <c r="L199" s="163">
        <f t="shared" si="60"/>
        <v>503720.03</v>
      </c>
      <c r="M199" s="163">
        <f t="shared" si="60"/>
        <v>463604.99</v>
      </c>
      <c r="N199" s="163">
        <f t="shared" si="60"/>
        <v>483681.31</v>
      </c>
      <c r="O199" s="163">
        <f t="shared" si="60"/>
        <v>458083.95</v>
      </c>
      <c r="P199" s="163">
        <f t="shared" si="60"/>
        <v>427547.07</v>
      </c>
      <c r="Q199" s="155">
        <f t="shared" si="54"/>
        <v>5694298.5499999998</v>
      </c>
      <c r="R199" s="155">
        <f t="shared" si="55"/>
        <v>474524.87916666665</v>
      </c>
      <c r="S199" s="209">
        <v>47</v>
      </c>
    </row>
    <row r="200" spans="2:19" x14ac:dyDescent="0.2">
      <c r="B200" s="151">
        <v>8</v>
      </c>
      <c r="C200" s="150" t="s">
        <v>136</v>
      </c>
      <c r="D200" s="151">
        <v>50</v>
      </c>
      <c r="E200" s="163">
        <f t="shared" ref="E200:P200" si="61">E65-E139</f>
        <v>295351.06</v>
      </c>
      <c r="F200" s="163">
        <f t="shared" si="61"/>
        <v>234957.43</v>
      </c>
      <c r="G200" s="163">
        <f t="shared" si="61"/>
        <v>279802.88999999996</v>
      </c>
      <c r="H200" s="163">
        <f t="shared" si="61"/>
        <v>184212.17</v>
      </c>
      <c r="I200" s="163">
        <f t="shared" si="61"/>
        <v>212581.95</v>
      </c>
      <c r="J200" s="163">
        <f t="shared" si="61"/>
        <v>221201.03</v>
      </c>
      <c r="K200" s="163">
        <f t="shared" si="61"/>
        <v>288999.37</v>
      </c>
      <c r="L200" s="163">
        <f t="shared" si="61"/>
        <v>268427.43999999994</v>
      </c>
      <c r="M200" s="163">
        <f t="shared" si="61"/>
        <v>217569.47</v>
      </c>
      <c r="N200" s="163">
        <f t="shared" si="61"/>
        <v>206705.79</v>
      </c>
      <c r="O200" s="163">
        <f t="shared" si="61"/>
        <v>253704.92</v>
      </c>
      <c r="P200" s="163">
        <f t="shared" si="61"/>
        <v>296472.00999999995</v>
      </c>
      <c r="Q200" s="155">
        <f t="shared" si="54"/>
        <v>2959985.53</v>
      </c>
      <c r="R200" s="155">
        <f t="shared" si="55"/>
        <v>246665.46083333332</v>
      </c>
      <c r="S200" s="209">
        <v>50</v>
      </c>
    </row>
    <row r="201" spans="2:19" x14ac:dyDescent="0.2">
      <c r="B201" s="151">
        <v>9</v>
      </c>
      <c r="C201" s="150" t="s">
        <v>137</v>
      </c>
      <c r="D201" s="151">
        <v>52</v>
      </c>
      <c r="E201" s="163">
        <f t="shared" ref="E201:P201" si="62">E66-E140</f>
        <v>91979.13</v>
      </c>
      <c r="F201" s="163">
        <f t="shared" si="62"/>
        <v>73054.05</v>
      </c>
      <c r="G201" s="163">
        <f t="shared" si="62"/>
        <v>94359.34</v>
      </c>
      <c r="H201" s="163">
        <f t="shared" si="62"/>
        <v>71076.259999999995</v>
      </c>
      <c r="I201" s="163">
        <f t="shared" si="62"/>
        <v>78291.960000000006</v>
      </c>
      <c r="J201" s="163">
        <f t="shared" si="62"/>
        <v>72396.649999999994</v>
      </c>
      <c r="K201" s="163">
        <f t="shared" si="62"/>
        <v>82203.72</v>
      </c>
      <c r="L201" s="163">
        <f t="shared" si="62"/>
        <v>89273.79</v>
      </c>
      <c r="M201" s="163">
        <f t="shared" si="62"/>
        <v>77806.62</v>
      </c>
      <c r="N201" s="163">
        <f t="shared" si="62"/>
        <v>80886.55</v>
      </c>
      <c r="O201" s="163">
        <f t="shared" si="62"/>
        <v>82029.929999999993</v>
      </c>
      <c r="P201" s="163">
        <f t="shared" si="62"/>
        <v>89574.56</v>
      </c>
      <c r="Q201" s="155">
        <f t="shared" si="54"/>
        <v>982932.56</v>
      </c>
      <c r="R201" s="155">
        <f t="shared" si="55"/>
        <v>81911.046666666676</v>
      </c>
      <c r="S201" s="209">
        <v>52</v>
      </c>
    </row>
    <row r="202" spans="2:19" x14ac:dyDescent="0.2">
      <c r="B202" s="151">
        <v>10</v>
      </c>
      <c r="C202" s="150" t="s">
        <v>138</v>
      </c>
      <c r="D202" s="151" t="s">
        <v>139</v>
      </c>
      <c r="E202" s="163">
        <f>E142</f>
        <v>252971.26999999996</v>
      </c>
      <c r="F202" s="163">
        <f t="shared" ref="F202:P202" si="63">F142</f>
        <v>252971.26999999996</v>
      </c>
      <c r="G202" s="163">
        <f t="shared" si="63"/>
        <v>252971.26999999996</v>
      </c>
      <c r="H202" s="163">
        <f t="shared" si="63"/>
        <v>252971.26999999996</v>
      </c>
      <c r="I202" s="163">
        <f t="shared" si="63"/>
        <v>252971.26999999996</v>
      </c>
      <c r="J202" s="163">
        <f t="shared" si="63"/>
        <v>252971.26999999996</v>
      </c>
      <c r="K202" s="163">
        <f t="shared" si="63"/>
        <v>252971.26999999996</v>
      </c>
      <c r="L202" s="163">
        <f t="shared" si="63"/>
        <v>252971.26999999996</v>
      </c>
      <c r="M202" s="163">
        <f t="shared" si="63"/>
        <v>252971.26999999996</v>
      </c>
      <c r="N202" s="163">
        <f t="shared" si="63"/>
        <v>252971.26999999996</v>
      </c>
      <c r="O202" s="163">
        <f t="shared" si="63"/>
        <v>252971.26999999996</v>
      </c>
      <c r="P202" s="163">
        <f t="shared" si="63"/>
        <v>252971.26999999996</v>
      </c>
      <c r="Q202" s="155">
        <f t="shared" si="54"/>
        <v>3035655.2399999998</v>
      </c>
      <c r="R202" s="155">
        <f t="shared" si="55"/>
        <v>252971.27</v>
      </c>
      <c r="S202" s="209" t="s">
        <v>139</v>
      </c>
    </row>
    <row r="203" spans="2:19" x14ac:dyDescent="0.2">
      <c r="B203" s="160"/>
      <c r="C203" s="164" t="s">
        <v>65</v>
      </c>
      <c r="D203" s="160"/>
      <c r="E203" s="158">
        <f t="shared" ref="E203:R203" si="64">SUM(E193:E202)</f>
        <v>11448355.09</v>
      </c>
      <c r="F203" s="158">
        <f t="shared" si="64"/>
        <v>9109762.7999999989</v>
      </c>
      <c r="G203" s="158">
        <f t="shared" si="64"/>
        <v>10727070.17</v>
      </c>
      <c r="H203" s="158">
        <f t="shared" si="64"/>
        <v>8535505.3199999984</v>
      </c>
      <c r="I203" s="158">
        <f t="shared" si="64"/>
        <v>8614204.6500000004</v>
      </c>
      <c r="J203" s="158">
        <f t="shared" si="64"/>
        <v>8985205.5800000001</v>
      </c>
      <c r="K203" s="158">
        <f t="shared" si="64"/>
        <v>10983232.829999998</v>
      </c>
      <c r="L203" s="158">
        <f t="shared" si="64"/>
        <v>9735721.4699999969</v>
      </c>
      <c r="M203" s="158">
        <f t="shared" si="64"/>
        <v>8219193.46</v>
      </c>
      <c r="N203" s="158">
        <f t="shared" si="64"/>
        <v>8491777.8200000003</v>
      </c>
      <c r="O203" s="158">
        <f t="shared" si="64"/>
        <v>10424718.269999998</v>
      </c>
      <c r="P203" s="158">
        <f t="shared" si="64"/>
        <v>12221422</v>
      </c>
      <c r="Q203" s="158">
        <f t="shared" si="64"/>
        <v>117496169.46000001</v>
      </c>
      <c r="R203" s="158">
        <f t="shared" si="64"/>
        <v>9791347.4550000001</v>
      </c>
    </row>
    <row r="204" spans="2:19" x14ac:dyDescent="0.2">
      <c r="D204" s="137" t="s">
        <v>251</v>
      </c>
      <c r="E204" s="239">
        <f>E203-E68</f>
        <v>0</v>
      </c>
      <c r="F204" s="239">
        <f t="shared" ref="F204:P204" si="65">F203-F68</f>
        <v>0</v>
      </c>
      <c r="G204" s="239">
        <f t="shared" si="65"/>
        <v>0</v>
      </c>
      <c r="H204" s="239">
        <f t="shared" si="65"/>
        <v>0</v>
      </c>
      <c r="I204" s="239">
        <f t="shared" si="65"/>
        <v>0</v>
      </c>
      <c r="J204" s="239">
        <f t="shared" si="65"/>
        <v>0</v>
      </c>
      <c r="K204" s="239">
        <f t="shared" si="65"/>
        <v>0</v>
      </c>
      <c r="L204" s="239">
        <f t="shared" si="65"/>
        <v>0</v>
      </c>
      <c r="M204" s="239">
        <f t="shared" si="65"/>
        <v>0</v>
      </c>
      <c r="N204" s="239">
        <f t="shared" si="65"/>
        <v>0</v>
      </c>
      <c r="O204" s="239">
        <f t="shared" si="65"/>
        <v>0</v>
      </c>
      <c r="P204" s="239">
        <f t="shared" si="65"/>
        <v>0</v>
      </c>
    </row>
  </sheetData>
  <pageMargins left="0.7" right="0.7" top="0.75" bottom="0.75" header="0.3" footer="0.3"/>
  <pageSetup scale="31" orientation="portrait" r:id="rId1"/>
  <rowBreaks count="1" manualBreakCount="1">
    <brk id="174" max="16383" man="1"/>
  </rowBreaks>
  <colBreaks count="1" manualBreakCount="1">
    <brk id="19" max="1048575" man="1"/>
  </colBreaks>
  <ignoredErrors>
    <ignoredError sqref="Q57:Q170 Q6:Q5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5" tint="0.59999389629810485"/>
  </sheetPr>
  <dimension ref="A1:C15"/>
  <sheetViews>
    <sheetView view="pageBreakPreview" topLeftCell="A8" zoomScaleNormal="75" zoomScaleSheetLayoutView="100" workbookViewId="0">
      <selection activeCell="T50" sqref="T50"/>
    </sheetView>
  </sheetViews>
  <sheetFormatPr defaultRowHeight="12.75" x14ac:dyDescent="0.2"/>
  <cols>
    <col min="1" max="1" width="9.140625" style="152"/>
    <col min="2" max="2" width="33.42578125" bestFit="1" customWidth="1"/>
  </cols>
  <sheetData>
    <row r="1" spans="1:3" x14ac:dyDescent="0.2">
      <c r="A1" s="212" t="str">
        <f>'Present and Proposed Rates'!A1</f>
        <v>JACKSON ENERGY COOPERATIVE</v>
      </c>
    </row>
    <row r="2" spans="1:3" x14ac:dyDescent="0.2">
      <c r="A2" s="212" t="s">
        <v>234</v>
      </c>
    </row>
    <row r="3" spans="1:3" x14ac:dyDescent="0.2">
      <c r="A3" s="151"/>
    </row>
    <row r="4" spans="1:3" x14ac:dyDescent="0.2">
      <c r="A4" s="151" t="s">
        <v>124</v>
      </c>
      <c r="B4" s="134" t="s">
        <v>5</v>
      </c>
      <c r="C4" s="134" t="s">
        <v>61</v>
      </c>
    </row>
    <row r="6" spans="1:3" x14ac:dyDescent="0.2">
      <c r="A6" s="152">
        <v>1</v>
      </c>
      <c r="B6" s="150" t="s">
        <v>28</v>
      </c>
      <c r="C6" s="151">
        <v>10</v>
      </c>
    </row>
    <row r="7" spans="1:3" x14ac:dyDescent="0.2">
      <c r="A7" s="152">
        <v>2</v>
      </c>
      <c r="B7" s="150" t="s">
        <v>130</v>
      </c>
      <c r="C7" s="151">
        <v>11</v>
      </c>
    </row>
    <row r="8" spans="1:3" x14ac:dyDescent="0.2">
      <c r="A8" s="152">
        <v>3</v>
      </c>
      <c r="B8" s="150" t="s">
        <v>131</v>
      </c>
      <c r="C8" s="151">
        <v>20</v>
      </c>
    </row>
    <row r="9" spans="1:3" x14ac:dyDescent="0.2">
      <c r="A9" s="152">
        <v>4</v>
      </c>
      <c r="B9" s="150" t="s">
        <v>132</v>
      </c>
      <c r="C9" s="151">
        <v>22</v>
      </c>
    </row>
    <row r="10" spans="1:3" x14ac:dyDescent="0.2">
      <c r="A10" s="152">
        <v>5</v>
      </c>
      <c r="B10" s="150" t="s">
        <v>133</v>
      </c>
      <c r="C10" s="151">
        <v>40</v>
      </c>
    </row>
    <row r="11" spans="1:3" x14ac:dyDescent="0.2">
      <c r="A11" s="152">
        <v>6</v>
      </c>
      <c r="B11" s="150" t="s">
        <v>134</v>
      </c>
      <c r="C11" s="151">
        <v>46</v>
      </c>
    </row>
    <row r="12" spans="1:3" x14ac:dyDescent="0.2">
      <c r="A12" s="152">
        <v>7</v>
      </c>
      <c r="B12" s="150" t="s">
        <v>135</v>
      </c>
      <c r="C12" s="151">
        <v>47</v>
      </c>
    </row>
    <row r="13" spans="1:3" x14ac:dyDescent="0.2">
      <c r="A13" s="152">
        <v>8</v>
      </c>
      <c r="B13" s="150" t="s">
        <v>218</v>
      </c>
      <c r="C13" s="151">
        <v>50</v>
      </c>
    </row>
    <row r="14" spans="1:3" x14ac:dyDescent="0.2">
      <c r="A14" s="152">
        <v>9</v>
      </c>
      <c r="B14" s="150" t="s">
        <v>137</v>
      </c>
      <c r="C14" s="151">
        <v>52</v>
      </c>
    </row>
    <row r="15" spans="1:3" x14ac:dyDescent="0.2">
      <c r="A15" s="152">
        <v>10</v>
      </c>
      <c r="B15" s="150" t="s">
        <v>138</v>
      </c>
      <c r="C15" s="151" t="s">
        <v>139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A1:W106"/>
  <sheetViews>
    <sheetView view="pageBreakPreview" topLeftCell="A4" zoomScale="85" zoomScaleNormal="85" zoomScaleSheetLayoutView="85" workbookViewId="0">
      <selection activeCell="Y26" sqref="Y26"/>
    </sheetView>
  </sheetViews>
  <sheetFormatPr defaultColWidth="9.140625" defaultRowHeight="15.75" x14ac:dyDescent="0.25"/>
  <cols>
    <col min="1" max="1" width="4.7109375" style="2" customWidth="1"/>
    <col min="2" max="2" width="15" style="2" bestFit="1" customWidth="1"/>
    <col min="3" max="3" width="22.28515625" style="2" customWidth="1"/>
    <col min="4" max="4" width="14.5703125" style="2" bestFit="1" customWidth="1"/>
    <col min="5" max="5" width="17" style="2" customWidth="1"/>
    <col min="6" max="6" width="2.7109375" style="2" customWidth="1"/>
    <col min="7" max="7" width="18" style="2" bestFit="1" customWidth="1"/>
    <col min="8" max="8" width="10" style="2" customWidth="1"/>
    <col min="9" max="10" width="4.7109375" style="2" customWidth="1"/>
    <col min="11" max="11" width="19.85546875" style="2" customWidth="1"/>
    <col min="12" max="12" width="14.5703125" style="2" customWidth="1"/>
    <col min="13" max="13" width="20.85546875" style="2" hidden="1" customWidth="1"/>
    <col min="14" max="14" width="2.7109375" style="2" hidden="1" customWidth="1"/>
    <col min="15" max="15" width="15.5703125" style="2" hidden="1" customWidth="1"/>
    <col min="16" max="16" width="10.28515625" style="2" hidden="1" customWidth="1"/>
    <col min="17" max="17" width="5" style="2" hidden="1" customWidth="1"/>
    <col min="18" max="18" width="9.140625" style="2" hidden="1" customWidth="1"/>
    <col min="19" max="19" width="22.7109375" style="2" hidden="1" customWidth="1"/>
    <col min="20" max="20" width="14.42578125" style="2" hidden="1" customWidth="1"/>
    <col min="21" max="21" width="12.7109375" style="2" hidden="1" customWidth="1"/>
    <col min="22" max="22" width="2.85546875" style="2" hidden="1" customWidth="1"/>
    <col min="23" max="23" width="17.7109375" style="2" hidden="1" customWidth="1"/>
    <col min="24" max="16384" width="9.140625" style="2"/>
  </cols>
  <sheetData>
    <row r="1" spans="1:23" x14ac:dyDescent="0.25">
      <c r="A1" s="1" t="s">
        <v>66</v>
      </c>
      <c r="I1" s="1"/>
      <c r="Q1" s="1"/>
    </row>
    <row r="2" spans="1:23" x14ac:dyDescent="0.25">
      <c r="A2" s="2" t="s">
        <v>73</v>
      </c>
    </row>
    <row r="3" spans="1:23" ht="16.5" thickBot="1" x14ac:dyDescent="0.3">
      <c r="A3" s="2" t="s">
        <v>83</v>
      </c>
    </row>
    <row r="4" spans="1:23" x14ac:dyDescent="0.25">
      <c r="D4" s="247" t="s">
        <v>30</v>
      </c>
      <c r="E4" s="248"/>
      <c r="F4" s="248"/>
      <c r="G4" s="249"/>
      <c r="L4" s="247" t="s">
        <v>48</v>
      </c>
      <c r="M4" s="248"/>
      <c r="N4" s="248"/>
      <c r="O4" s="249"/>
      <c r="T4" s="247" t="s">
        <v>52</v>
      </c>
      <c r="U4" s="248"/>
      <c r="V4" s="248"/>
      <c r="W4" s="249"/>
    </row>
    <row r="5" spans="1:23" ht="16.5" thickBot="1" x14ac:dyDescent="0.3">
      <c r="A5" s="3"/>
      <c r="B5" s="3"/>
      <c r="C5" s="3"/>
      <c r="D5" s="250"/>
      <c r="E5" s="251"/>
      <c r="F5" s="251"/>
      <c r="G5" s="252"/>
      <c r="I5" s="3"/>
      <c r="J5" s="3"/>
      <c r="K5" s="3"/>
      <c r="L5" s="250"/>
      <c r="M5" s="251"/>
      <c r="N5" s="251"/>
      <c r="O5" s="252"/>
      <c r="Q5" s="3"/>
      <c r="R5" s="3"/>
      <c r="S5" s="3"/>
      <c r="T5" s="250"/>
      <c r="U5" s="251"/>
      <c r="V5" s="251"/>
      <c r="W5" s="252"/>
    </row>
    <row r="6" spans="1:23" x14ac:dyDescent="0.25">
      <c r="A6" s="4"/>
      <c r="B6" s="4"/>
      <c r="C6" s="4"/>
      <c r="D6" s="4" t="s">
        <v>1</v>
      </c>
      <c r="E6" s="4"/>
      <c r="F6" s="4"/>
      <c r="G6" s="4" t="s">
        <v>2</v>
      </c>
      <c r="I6" s="4"/>
      <c r="J6" s="4"/>
      <c r="K6" s="4"/>
      <c r="L6" s="4" t="s">
        <v>1</v>
      </c>
      <c r="M6" s="4"/>
      <c r="N6" s="4"/>
      <c r="O6" s="4" t="s">
        <v>2</v>
      </c>
      <c r="Q6" s="4"/>
      <c r="R6" s="4"/>
      <c r="S6" s="4"/>
      <c r="T6" s="4" t="s">
        <v>1</v>
      </c>
      <c r="U6" s="4"/>
      <c r="V6" s="4"/>
      <c r="W6" s="4" t="s">
        <v>2</v>
      </c>
    </row>
    <row r="7" spans="1:23" ht="16.5" thickBot="1" x14ac:dyDescent="0.3">
      <c r="A7" s="5"/>
      <c r="B7" s="5"/>
      <c r="C7" s="5"/>
      <c r="D7" s="5" t="s">
        <v>4</v>
      </c>
      <c r="E7" s="251" t="s">
        <v>5</v>
      </c>
      <c r="F7" s="251"/>
      <c r="G7" s="5" t="s">
        <v>6</v>
      </c>
      <c r="I7" s="5"/>
      <c r="J7" s="5"/>
      <c r="K7" s="5"/>
      <c r="L7" s="5" t="s">
        <v>4</v>
      </c>
      <c r="M7" s="251" t="s">
        <v>5</v>
      </c>
      <c r="N7" s="251"/>
      <c r="O7" s="5" t="s">
        <v>6</v>
      </c>
      <c r="Q7" s="5"/>
      <c r="R7" s="5"/>
      <c r="S7" s="5"/>
      <c r="T7" s="5" t="s">
        <v>4</v>
      </c>
      <c r="U7" s="251" t="s">
        <v>5</v>
      </c>
      <c r="V7" s="251"/>
      <c r="W7" s="5" t="s">
        <v>6</v>
      </c>
    </row>
    <row r="10" spans="1:23" x14ac:dyDescent="0.25">
      <c r="A10" s="1" t="s">
        <v>34</v>
      </c>
      <c r="I10" s="1" t="s">
        <v>34</v>
      </c>
      <c r="Q10" s="1" t="s">
        <v>10</v>
      </c>
    </row>
    <row r="11" spans="1:23" ht="31.5" x14ac:dyDescent="0.25">
      <c r="D11" s="6" t="s">
        <v>9</v>
      </c>
      <c r="E11" s="6" t="s">
        <v>12</v>
      </c>
      <c r="L11" s="6" t="s">
        <v>9</v>
      </c>
      <c r="M11" s="6" t="s">
        <v>12</v>
      </c>
      <c r="T11" s="6" t="s">
        <v>9</v>
      </c>
      <c r="U11" s="6" t="s">
        <v>12</v>
      </c>
    </row>
    <row r="12" spans="1:23" x14ac:dyDescent="0.25">
      <c r="B12" s="2" t="s">
        <v>41</v>
      </c>
      <c r="D12" s="8">
        <f>D52+D70+D88+D106</f>
        <v>211</v>
      </c>
      <c r="E12" s="9">
        <v>5</v>
      </c>
      <c r="G12" s="11">
        <f>D12*E12</f>
        <v>1055</v>
      </c>
      <c r="J12" s="2" t="s">
        <v>41</v>
      </c>
      <c r="L12" s="8">
        <f>D12</f>
        <v>211</v>
      </c>
      <c r="M12" s="9">
        <v>28.119042541556922</v>
      </c>
      <c r="O12" s="11">
        <f>L12*M12</f>
        <v>5933.1179762685106</v>
      </c>
      <c r="R12" s="2" t="s">
        <v>9</v>
      </c>
      <c r="T12" s="8">
        <f>L12</f>
        <v>211</v>
      </c>
      <c r="U12" s="9">
        <f>M12</f>
        <v>28.119042541556922</v>
      </c>
      <c r="W12" s="11">
        <f>T12*U12</f>
        <v>5933.1179762685106</v>
      </c>
    </row>
    <row r="13" spans="1:23" x14ac:dyDescent="0.25">
      <c r="D13" s="8"/>
      <c r="G13" s="11"/>
      <c r="L13" s="8"/>
      <c r="O13" s="11"/>
      <c r="W13" s="11"/>
    </row>
    <row r="14" spans="1:23" x14ac:dyDescent="0.25">
      <c r="A14" s="1" t="s">
        <v>7</v>
      </c>
      <c r="D14" s="8"/>
      <c r="G14" s="11"/>
      <c r="I14" s="1" t="s">
        <v>7</v>
      </c>
      <c r="L14" s="8"/>
      <c r="O14" s="11"/>
    </row>
    <row r="15" spans="1:23" x14ac:dyDescent="0.25">
      <c r="D15" s="13" t="s">
        <v>8</v>
      </c>
      <c r="E15" s="12" t="s">
        <v>11</v>
      </c>
      <c r="G15" s="11"/>
      <c r="L15" s="13" t="s">
        <v>8</v>
      </c>
      <c r="M15" s="12" t="s">
        <v>11</v>
      </c>
      <c r="O15" s="11"/>
      <c r="Q15" s="1" t="s">
        <v>7</v>
      </c>
      <c r="T15" s="8"/>
      <c r="W15" s="11"/>
    </row>
    <row r="16" spans="1:23" x14ac:dyDescent="0.25">
      <c r="G16" s="11"/>
      <c r="H16" s="15"/>
      <c r="O16" s="11"/>
      <c r="P16" s="15"/>
      <c r="T16" s="13" t="s">
        <v>8</v>
      </c>
      <c r="U16" s="12" t="s">
        <v>11</v>
      </c>
      <c r="W16" s="11"/>
    </row>
    <row r="17" spans="1:23" x14ac:dyDescent="0.25">
      <c r="C17" s="2" t="s">
        <v>74</v>
      </c>
      <c r="D17" s="8">
        <f>L52+L70</f>
        <v>152656</v>
      </c>
      <c r="E17" s="18">
        <v>0.12958</v>
      </c>
      <c r="G17" s="11">
        <f>D17*E17</f>
        <v>19781.164479999999</v>
      </c>
      <c r="H17" s="15"/>
      <c r="K17" s="2" t="s">
        <v>49</v>
      </c>
      <c r="L17" s="8">
        <f>D21</f>
        <v>287187</v>
      </c>
      <c r="M17" s="50">
        <v>3.0599472934085808E-2</v>
      </c>
      <c r="O17" s="11">
        <f>L17*M17</f>
        <v>8787.770833521301</v>
      </c>
      <c r="P17" s="15"/>
      <c r="R17" s="2" t="s">
        <v>50</v>
      </c>
      <c r="S17" s="16"/>
      <c r="T17" s="8">
        <f>D17</f>
        <v>152656</v>
      </c>
      <c r="U17" s="50">
        <v>0.19430837118280289</v>
      </c>
      <c r="W17" s="38">
        <f>T17*U17</f>
        <v>29662.338711281958</v>
      </c>
    </row>
    <row r="18" spans="1:23" x14ac:dyDescent="0.25">
      <c r="C18" s="2" t="s">
        <v>75</v>
      </c>
      <c r="D18" s="8">
        <f>K52+K70</f>
        <v>98960</v>
      </c>
      <c r="E18" s="18">
        <v>8.4940000000000002E-2</v>
      </c>
      <c r="G18" s="35">
        <f>D18*E18</f>
        <v>8405.6623999999993</v>
      </c>
      <c r="K18" s="2" t="s">
        <v>31</v>
      </c>
      <c r="L18" s="8">
        <f>L17</f>
        <v>287187</v>
      </c>
      <c r="M18" s="81">
        <v>4.3642882987992938E-2</v>
      </c>
      <c r="O18" s="35">
        <f>L18*M18</f>
        <v>12533.668636672728</v>
      </c>
      <c r="R18" s="7" t="s">
        <v>51</v>
      </c>
      <c r="S18" s="12"/>
      <c r="T18" s="17">
        <f>D18</f>
        <v>98960</v>
      </c>
      <c r="U18" s="72">
        <f>M17+M21</f>
        <v>5.0224803372726182E-2</v>
      </c>
      <c r="V18" s="36"/>
      <c r="W18" s="36">
        <f>T18*U18</f>
        <v>4970.2465417649828</v>
      </c>
    </row>
    <row r="19" spans="1:23" x14ac:dyDescent="0.25">
      <c r="C19" s="2" t="s">
        <v>76</v>
      </c>
      <c r="D19" s="8">
        <f>L88+L106</f>
        <v>24841</v>
      </c>
      <c r="E19" s="18">
        <v>0.12009</v>
      </c>
      <c r="G19" s="35">
        <f>D19*E19</f>
        <v>2983.15569</v>
      </c>
      <c r="L19" s="8"/>
      <c r="M19" s="81"/>
      <c r="O19" s="35"/>
      <c r="S19" s="16"/>
      <c r="T19" s="8"/>
      <c r="U19" s="80"/>
      <c r="V19" s="35"/>
      <c r="W19" s="35"/>
    </row>
    <row r="20" spans="1:23" x14ac:dyDescent="0.25">
      <c r="C20" s="7" t="s">
        <v>77</v>
      </c>
      <c r="D20" s="17">
        <f>K88+K106</f>
        <v>10730</v>
      </c>
      <c r="E20" s="28">
        <v>7.5139999999999998E-2</v>
      </c>
      <c r="F20" s="7"/>
      <c r="G20" s="36">
        <f>D20*E20</f>
        <v>806.25220000000002</v>
      </c>
      <c r="L20" s="8"/>
      <c r="M20" s="81"/>
      <c r="O20" s="35"/>
      <c r="S20" s="16"/>
      <c r="T20" s="8"/>
      <c r="U20" s="80"/>
      <c r="V20" s="35"/>
      <c r="W20" s="35"/>
    </row>
    <row r="21" spans="1:23" x14ac:dyDescent="0.25">
      <c r="B21" s="2" t="s">
        <v>21</v>
      </c>
      <c r="C21" s="16"/>
      <c r="D21" s="8">
        <f>SUM(D17:D20)</f>
        <v>287187</v>
      </c>
      <c r="E21" s="18"/>
      <c r="G21" s="11">
        <f>SUM(G17:G20)</f>
        <v>31976.234769999999</v>
      </c>
      <c r="H21" s="15"/>
      <c r="K21" s="7" t="s">
        <v>27</v>
      </c>
      <c r="L21" s="17">
        <f>L17</f>
        <v>287187</v>
      </c>
      <c r="M21" s="72">
        <v>1.9625330438640377E-2</v>
      </c>
      <c r="N21" s="7"/>
      <c r="O21" s="36">
        <f>L21*M21</f>
        <v>5636.1397726818141</v>
      </c>
      <c r="P21" s="15"/>
      <c r="S21" s="16"/>
      <c r="T21" s="8"/>
      <c r="U21" s="80"/>
      <c r="V21" s="35"/>
      <c r="W21" s="35">
        <f>SUM(W17:W18)</f>
        <v>34632.585253046942</v>
      </c>
    </row>
    <row r="22" spans="1:23" x14ac:dyDescent="0.25">
      <c r="D22" s="8"/>
      <c r="E22" s="18"/>
      <c r="G22" s="11"/>
      <c r="J22" s="2" t="s">
        <v>21</v>
      </c>
      <c r="K22" s="16"/>
      <c r="L22" s="8"/>
      <c r="M22" s="51">
        <f>SUM(M17:M21)</f>
        <v>9.3867686360719127E-2</v>
      </c>
      <c r="O22" s="11">
        <f>SUM(O17:O21)</f>
        <v>26957.579242875843</v>
      </c>
    </row>
    <row r="23" spans="1:23" x14ac:dyDescent="0.25">
      <c r="A23" s="1"/>
      <c r="D23" s="8"/>
      <c r="E23" s="9"/>
      <c r="G23" s="11"/>
      <c r="L23" s="8"/>
      <c r="M23" s="18"/>
      <c r="O23" s="11"/>
    </row>
    <row r="24" spans="1:23" x14ac:dyDescent="0.25">
      <c r="D24" s="8"/>
      <c r="E24" s="18"/>
      <c r="G24" s="11"/>
      <c r="I24" s="1" t="s">
        <v>18</v>
      </c>
      <c r="L24" s="8">
        <v>0</v>
      </c>
      <c r="M24" s="9">
        <v>20</v>
      </c>
      <c r="O24" s="11">
        <f>L24*M24</f>
        <v>0</v>
      </c>
      <c r="Q24" s="1" t="s">
        <v>18</v>
      </c>
      <c r="T24" s="8">
        <f>S70</f>
        <v>0</v>
      </c>
      <c r="U24" s="9">
        <v>20</v>
      </c>
      <c r="W24" s="11">
        <f>T24*U24</f>
        <v>0</v>
      </c>
    </row>
    <row r="25" spans="1:23" x14ac:dyDescent="0.25">
      <c r="D25" s="8"/>
      <c r="G25" s="11"/>
      <c r="L25" s="8"/>
      <c r="M25" s="18"/>
      <c r="O25" s="11"/>
      <c r="T25" s="8"/>
      <c r="W25" s="11"/>
    </row>
    <row r="26" spans="1:23" ht="16.5" thickBot="1" x14ac:dyDescent="0.3">
      <c r="A26" s="66" t="s">
        <v>80</v>
      </c>
      <c r="E26" s="18"/>
      <c r="G26" s="24">
        <f>G21+G12</f>
        <v>33031.234769999995</v>
      </c>
      <c r="L26" s="8"/>
      <c r="O26" s="11"/>
      <c r="T26" s="8"/>
      <c r="W26" s="11"/>
    </row>
    <row r="27" spans="1:23" ht="17.25" thickTop="1" thickBot="1" x14ac:dyDescent="0.3">
      <c r="A27" s="66"/>
      <c r="B27" s="1"/>
      <c r="G27" s="11"/>
      <c r="I27" s="1" t="s">
        <v>36</v>
      </c>
      <c r="O27" s="24">
        <f>O22+O12+O24</f>
        <v>32890.697219144356</v>
      </c>
      <c r="Q27" s="1" t="s">
        <v>36</v>
      </c>
      <c r="W27" s="24">
        <f>W12+W21+W24</f>
        <v>40565.703229315455</v>
      </c>
    </row>
    <row r="28" spans="1:23" ht="16.5" thickTop="1" x14ac:dyDescent="0.25">
      <c r="A28" s="66" t="s">
        <v>19</v>
      </c>
      <c r="B28" s="10"/>
      <c r="G28" s="11">
        <f>G52+E52+E70+G70+E88+G88+E106+G106</f>
        <v>33198.890000000007</v>
      </c>
      <c r="H28" s="21"/>
      <c r="I28" s="1"/>
      <c r="J28" s="1"/>
      <c r="O28" s="11"/>
      <c r="P28" s="21"/>
    </row>
    <row r="29" spans="1:23" x14ac:dyDescent="0.25">
      <c r="A29" s="93"/>
      <c r="B29" s="10"/>
      <c r="G29" s="10"/>
      <c r="H29" s="21"/>
      <c r="I29" s="1" t="s">
        <v>13</v>
      </c>
      <c r="J29" s="10"/>
      <c r="O29" s="22">
        <f>O27-G26</f>
        <v>-140.53755085563898</v>
      </c>
      <c r="P29" s="21"/>
      <c r="Q29" s="1" t="s">
        <v>13</v>
      </c>
      <c r="T29" s="8"/>
      <c r="U29" s="18"/>
      <c r="W29" s="11">
        <f>W27-G26</f>
        <v>7534.4684593154598</v>
      </c>
    </row>
    <row r="30" spans="1:23" x14ac:dyDescent="0.25">
      <c r="A30" s="66" t="s">
        <v>13</v>
      </c>
      <c r="B30" s="10"/>
      <c r="G30" s="22">
        <f>G26-G28</f>
        <v>-167.65523000001122</v>
      </c>
      <c r="I30" s="10"/>
      <c r="J30" s="10"/>
      <c r="O30" s="11"/>
      <c r="T30" s="8"/>
      <c r="W30" s="10"/>
    </row>
    <row r="31" spans="1:23" x14ac:dyDescent="0.25">
      <c r="A31" s="93"/>
      <c r="B31" s="10"/>
      <c r="G31" s="11"/>
      <c r="I31" s="1" t="s">
        <v>26</v>
      </c>
      <c r="J31" s="10"/>
      <c r="O31" s="23">
        <f>O29/G26</f>
        <v>-4.2546865666456893E-3</v>
      </c>
      <c r="Q31" s="1" t="s">
        <v>22</v>
      </c>
      <c r="T31" s="8"/>
      <c r="W31" s="23">
        <f>W29/G26</f>
        <v>0.22810132626826596</v>
      </c>
    </row>
    <row r="32" spans="1:23" x14ac:dyDescent="0.25">
      <c r="A32" s="66" t="s">
        <v>26</v>
      </c>
      <c r="B32" s="10"/>
      <c r="G32" s="23">
        <f>G30/G28</f>
        <v>-5.0500251665043976E-3</v>
      </c>
    </row>
    <row r="35" spans="1:16" x14ac:dyDescent="0.25">
      <c r="A35" s="11"/>
      <c r="B35" s="11"/>
      <c r="I35" s="11"/>
      <c r="J35" s="11"/>
    </row>
    <row r="36" spans="1:16" x14ac:dyDescent="0.25">
      <c r="A36" s="10"/>
      <c r="B36" s="10"/>
      <c r="I36" s="10"/>
      <c r="J36" s="10"/>
      <c r="O36" s="11"/>
    </row>
    <row r="37" spans="1:16" x14ac:dyDescent="0.25">
      <c r="A37" s="22"/>
      <c r="B37" s="43" t="s">
        <v>71</v>
      </c>
      <c r="G37" s="27"/>
      <c r="I37" s="22"/>
      <c r="J37" s="22"/>
    </row>
    <row r="38" spans="1:16" x14ac:dyDescent="0.25">
      <c r="A38" s="22"/>
      <c r="B38" s="43"/>
      <c r="G38" s="27"/>
      <c r="I38" s="22"/>
      <c r="J38" s="22"/>
    </row>
    <row r="39" spans="1:16" x14ac:dyDescent="0.25">
      <c r="A39" s="11"/>
      <c r="B39" s="40" t="s">
        <v>25</v>
      </c>
      <c r="C39" s="40" t="s">
        <v>8</v>
      </c>
      <c r="D39" s="40" t="s">
        <v>24</v>
      </c>
      <c r="E39" s="40" t="s">
        <v>46</v>
      </c>
      <c r="F39" s="40"/>
      <c r="G39" s="40" t="s">
        <v>47</v>
      </c>
      <c r="K39" s="40" t="s">
        <v>40</v>
      </c>
      <c r="L39" s="40" t="s">
        <v>39</v>
      </c>
      <c r="O39" s="11"/>
    </row>
    <row r="40" spans="1:16" x14ac:dyDescent="0.25">
      <c r="A40" s="23"/>
      <c r="B40" s="88">
        <v>40544</v>
      </c>
      <c r="C40" s="19">
        <v>28458</v>
      </c>
      <c r="D40" s="39">
        <v>11</v>
      </c>
      <c r="E40" s="9">
        <v>3182.82</v>
      </c>
      <c r="F40" s="9"/>
      <c r="G40" s="32">
        <v>55</v>
      </c>
      <c r="H40" s="20"/>
      <c r="I40" s="35"/>
      <c r="K40" s="35"/>
      <c r="M40" s="68"/>
      <c r="O40" s="68"/>
      <c r="P40" s="20"/>
    </row>
    <row r="41" spans="1:16" x14ac:dyDescent="0.25">
      <c r="B41" s="88">
        <v>40575</v>
      </c>
      <c r="C41" s="19">
        <v>23431</v>
      </c>
      <c r="D41" s="39">
        <v>10</v>
      </c>
      <c r="E41" s="9">
        <v>2616.89</v>
      </c>
      <c r="F41" s="9"/>
      <c r="G41" s="32">
        <v>55</v>
      </c>
      <c r="I41" s="35"/>
      <c r="K41" s="35"/>
      <c r="M41" s="68"/>
      <c r="N41" s="68"/>
      <c r="O41" s="68"/>
    </row>
    <row r="42" spans="1:16" x14ac:dyDescent="0.25">
      <c r="B42" s="88">
        <v>40603</v>
      </c>
      <c r="C42" s="19">
        <v>17779</v>
      </c>
      <c r="D42" s="39">
        <v>11</v>
      </c>
      <c r="E42" s="9">
        <v>1992.38</v>
      </c>
      <c r="F42" s="9"/>
      <c r="G42" s="32">
        <v>55</v>
      </c>
      <c r="I42" s="35"/>
      <c r="K42" s="35"/>
      <c r="M42" s="68"/>
      <c r="O42" s="68"/>
    </row>
    <row r="43" spans="1:16" x14ac:dyDescent="0.25">
      <c r="B43" s="88">
        <v>40634</v>
      </c>
      <c r="C43" s="19">
        <v>15819</v>
      </c>
      <c r="D43" s="39">
        <v>12</v>
      </c>
      <c r="E43" s="9">
        <v>1781.83</v>
      </c>
      <c r="F43" s="9"/>
      <c r="G43" s="32">
        <v>55</v>
      </c>
      <c r="I43" s="35"/>
      <c r="K43" s="35"/>
      <c r="M43" s="68"/>
      <c r="O43" s="68"/>
    </row>
    <row r="44" spans="1:16" x14ac:dyDescent="0.25">
      <c r="B44" s="88">
        <v>40664</v>
      </c>
      <c r="C44" s="19">
        <v>14984</v>
      </c>
      <c r="D44" s="64">
        <v>12</v>
      </c>
      <c r="E44" s="74">
        <v>1693.66</v>
      </c>
      <c r="F44" s="74"/>
      <c r="G44" s="90">
        <v>55</v>
      </c>
      <c r="I44" s="45"/>
      <c r="K44" s="45"/>
      <c r="M44" s="68"/>
      <c r="O44" s="68"/>
    </row>
    <row r="45" spans="1:16" x14ac:dyDescent="0.25">
      <c r="B45" s="88">
        <v>40695</v>
      </c>
      <c r="C45" s="19">
        <v>15169</v>
      </c>
      <c r="D45" s="64">
        <v>12</v>
      </c>
      <c r="E45" s="74">
        <v>1704.98</v>
      </c>
      <c r="F45" s="74"/>
      <c r="G45" s="90">
        <v>60</v>
      </c>
      <c r="I45" s="45"/>
      <c r="K45" s="45"/>
      <c r="M45" s="68"/>
      <c r="O45" s="68"/>
    </row>
    <row r="46" spans="1:16" x14ac:dyDescent="0.25">
      <c r="B46" s="88">
        <v>40725</v>
      </c>
      <c r="C46" s="19">
        <v>16866</v>
      </c>
      <c r="D46" s="65">
        <v>12</v>
      </c>
      <c r="E46" s="74">
        <v>1908.21</v>
      </c>
      <c r="F46" s="74"/>
      <c r="G46" s="74">
        <v>60</v>
      </c>
      <c r="I46" s="45"/>
      <c r="K46" s="45"/>
      <c r="M46" s="68"/>
      <c r="O46" s="68"/>
    </row>
    <row r="47" spans="1:16" ht="15" customHeight="1" x14ac:dyDescent="0.25">
      <c r="B47" s="88">
        <v>40756</v>
      </c>
      <c r="C47" s="19">
        <v>12521</v>
      </c>
      <c r="D47" s="65">
        <v>12</v>
      </c>
      <c r="E47" s="74">
        <v>1429.38</v>
      </c>
      <c r="F47" s="74"/>
      <c r="G47" s="74">
        <v>60</v>
      </c>
      <c r="I47" s="45"/>
      <c r="K47" s="45"/>
      <c r="M47" s="68"/>
      <c r="O47" s="68"/>
    </row>
    <row r="48" spans="1:16" x14ac:dyDescent="0.25">
      <c r="B48" s="88">
        <v>40422</v>
      </c>
      <c r="C48" s="19">
        <v>15269</v>
      </c>
      <c r="D48" s="65">
        <v>10</v>
      </c>
      <c r="E48" s="74">
        <v>1710.4</v>
      </c>
      <c r="F48" s="74"/>
      <c r="G48" s="74">
        <v>50</v>
      </c>
      <c r="I48" s="45"/>
      <c r="K48" s="45"/>
      <c r="M48" s="68"/>
      <c r="O48" s="68"/>
    </row>
    <row r="49" spans="2:15" x14ac:dyDescent="0.25">
      <c r="B49" s="88">
        <v>40452</v>
      </c>
      <c r="C49" s="19">
        <v>16067</v>
      </c>
      <c r="D49" s="41">
        <v>10</v>
      </c>
      <c r="E49" s="9">
        <v>1786.66</v>
      </c>
      <c r="F49" s="9"/>
      <c r="G49" s="9">
        <v>50</v>
      </c>
      <c r="I49" s="35"/>
      <c r="K49" s="35"/>
      <c r="M49" s="68"/>
      <c r="O49" s="68"/>
    </row>
    <row r="50" spans="2:15" x14ac:dyDescent="0.25">
      <c r="B50" s="88">
        <v>40483</v>
      </c>
      <c r="C50" s="19">
        <v>19134</v>
      </c>
      <c r="D50" s="41">
        <v>11</v>
      </c>
      <c r="E50" s="9">
        <v>2107.79</v>
      </c>
      <c r="F50" s="9"/>
      <c r="G50" s="9">
        <v>50</v>
      </c>
      <c r="I50" s="35"/>
      <c r="M50" s="68"/>
      <c r="O50" s="68"/>
    </row>
    <row r="51" spans="2:15" x14ac:dyDescent="0.25">
      <c r="B51" s="88">
        <v>40513</v>
      </c>
      <c r="C51" s="58">
        <v>25773</v>
      </c>
      <c r="D51" s="31">
        <v>11</v>
      </c>
      <c r="E51" s="91">
        <v>2834.79</v>
      </c>
      <c r="F51" s="91"/>
      <c r="G51" s="91">
        <v>55</v>
      </c>
      <c r="I51" s="35"/>
      <c r="K51" s="36"/>
      <c r="L51" s="7"/>
      <c r="M51" s="68"/>
      <c r="O51" s="68"/>
    </row>
    <row r="52" spans="2:15" x14ac:dyDescent="0.25">
      <c r="C52" s="19">
        <f>SUM(C40:C51)</f>
        <v>221270</v>
      </c>
      <c r="D52" s="19">
        <f>SUM(D40:D51)</f>
        <v>134</v>
      </c>
      <c r="E52" s="9">
        <f>SUM(E40:E51)</f>
        <v>24749.790000000005</v>
      </c>
      <c r="F52" s="9"/>
      <c r="G52" s="9">
        <f>SUM(G40:G51)</f>
        <v>660</v>
      </c>
      <c r="I52" s="19"/>
      <c r="K52" s="19">
        <v>89238</v>
      </c>
      <c r="L52" s="19">
        <v>132032</v>
      </c>
      <c r="M52" s="68"/>
      <c r="O52" s="20"/>
    </row>
    <row r="53" spans="2:15" x14ac:dyDescent="0.25">
      <c r="E53" s="20"/>
    </row>
    <row r="54" spans="2:15" x14ac:dyDescent="0.25">
      <c r="I54" s="19"/>
    </row>
    <row r="55" spans="2:15" x14ac:dyDescent="0.25">
      <c r="B55" s="43" t="s">
        <v>72</v>
      </c>
      <c r="G55" s="27"/>
      <c r="I55" s="22"/>
      <c r="J55" s="22"/>
      <c r="M55" s="33"/>
    </row>
    <row r="56" spans="2:15" x14ac:dyDescent="0.25">
      <c r="B56" s="43"/>
      <c r="G56" s="27"/>
      <c r="I56" s="22"/>
      <c r="J56" s="22"/>
      <c r="M56" s="33"/>
    </row>
    <row r="57" spans="2:15" x14ac:dyDescent="0.25">
      <c r="B57" s="40" t="s">
        <v>25</v>
      </c>
      <c r="C57" s="40" t="s">
        <v>8</v>
      </c>
      <c r="D57" s="40" t="s">
        <v>24</v>
      </c>
      <c r="E57" s="40" t="s">
        <v>46</v>
      </c>
      <c r="F57" s="40"/>
      <c r="G57" s="40" t="s">
        <v>47</v>
      </c>
      <c r="K57" s="40" t="s">
        <v>40</v>
      </c>
      <c r="L57" s="40" t="s">
        <v>39</v>
      </c>
      <c r="M57" s="33"/>
    </row>
    <row r="58" spans="2:15" x14ac:dyDescent="0.25">
      <c r="B58" s="88">
        <v>40544</v>
      </c>
      <c r="C58" s="19">
        <v>2479</v>
      </c>
      <c r="D58" s="39">
        <v>2</v>
      </c>
      <c r="E58" s="9">
        <v>287.79000000000002</v>
      </c>
      <c r="F58" s="9"/>
      <c r="G58" s="32">
        <v>10</v>
      </c>
      <c r="H58" s="20"/>
      <c r="I58" s="35"/>
      <c r="K58" s="35"/>
      <c r="M58" s="33"/>
    </row>
    <row r="59" spans="2:15" x14ac:dyDescent="0.25">
      <c r="B59" s="88">
        <v>40575</v>
      </c>
      <c r="C59" s="19">
        <v>2531</v>
      </c>
      <c r="D59" s="39">
        <v>2</v>
      </c>
      <c r="E59" s="9">
        <v>292.75</v>
      </c>
      <c r="F59" s="9"/>
      <c r="G59" s="32">
        <v>10</v>
      </c>
      <c r="I59" s="35"/>
      <c r="K59" s="35"/>
      <c r="M59" s="33"/>
    </row>
    <row r="60" spans="2:15" x14ac:dyDescent="0.25">
      <c r="B60" s="88">
        <v>40603</v>
      </c>
      <c r="C60" s="19">
        <v>2166</v>
      </c>
      <c r="D60" s="39">
        <v>2</v>
      </c>
      <c r="E60" s="9">
        <v>252.24</v>
      </c>
      <c r="F60" s="9"/>
      <c r="G60" s="32">
        <v>10</v>
      </c>
      <c r="I60" s="35"/>
      <c r="K60" s="35"/>
      <c r="M60" s="33"/>
    </row>
    <row r="61" spans="2:15" x14ac:dyDescent="0.25">
      <c r="B61" s="88">
        <v>40634</v>
      </c>
      <c r="C61" s="19">
        <v>2323</v>
      </c>
      <c r="D61" s="39">
        <v>2</v>
      </c>
      <c r="E61" s="9">
        <v>269.67</v>
      </c>
      <c r="F61" s="9"/>
      <c r="G61" s="32">
        <v>10</v>
      </c>
      <c r="I61" s="35"/>
      <c r="K61" s="35"/>
      <c r="M61" s="33"/>
    </row>
    <row r="62" spans="2:15" x14ac:dyDescent="0.25">
      <c r="B62" s="88">
        <v>40664</v>
      </c>
      <c r="C62" s="19">
        <v>2455</v>
      </c>
      <c r="D62" s="64">
        <v>2</v>
      </c>
      <c r="E62" s="74">
        <v>284.06</v>
      </c>
      <c r="F62" s="74"/>
      <c r="G62" s="90">
        <v>10</v>
      </c>
      <c r="I62" s="45"/>
      <c r="K62" s="45"/>
      <c r="M62" s="33"/>
    </row>
    <row r="63" spans="2:15" x14ac:dyDescent="0.25">
      <c r="B63" s="88">
        <v>40695</v>
      </c>
      <c r="C63" s="19">
        <v>2587</v>
      </c>
      <c r="D63" s="64">
        <v>2</v>
      </c>
      <c r="E63" s="74">
        <v>296.17</v>
      </c>
      <c r="F63" s="74"/>
      <c r="G63" s="90">
        <v>10</v>
      </c>
      <c r="I63" s="45"/>
      <c r="K63" s="45"/>
      <c r="M63" s="33"/>
    </row>
    <row r="64" spans="2:15" x14ac:dyDescent="0.25">
      <c r="B64" s="88">
        <v>40725</v>
      </c>
      <c r="C64" s="19">
        <v>2733</v>
      </c>
      <c r="D64" s="65">
        <v>2</v>
      </c>
      <c r="E64" s="74">
        <v>312.94</v>
      </c>
      <c r="F64" s="74"/>
      <c r="G64" s="74">
        <v>10</v>
      </c>
      <c r="I64" s="45"/>
      <c r="K64" s="45"/>
      <c r="M64" s="33"/>
    </row>
    <row r="65" spans="2:13" x14ac:dyDescent="0.25">
      <c r="B65" s="88">
        <v>40756</v>
      </c>
      <c r="C65" s="19">
        <v>2881</v>
      </c>
      <c r="D65" s="65">
        <v>2</v>
      </c>
      <c r="E65" s="74">
        <v>329.12</v>
      </c>
      <c r="F65" s="74"/>
      <c r="G65" s="74">
        <v>10</v>
      </c>
      <c r="I65" s="45"/>
      <c r="K65" s="45"/>
      <c r="M65" s="33"/>
    </row>
    <row r="66" spans="2:13" x14ac:dyDescent="0.25">
      <c r="B66" s="88">
        <v>40422</v>
      </c>
      <c r="C66" s="19">
        <v>3131</v>
      </c>
      <c r="D66" s="65">
        <v>2</v>
      </c>
      <c r="E66" s="74">
        <v>358.4</v>
      </c>
      <c r="F66" s="74"/>
      <c r="G66" s="74">
        <v>10</v>
      </c>
      <c r="I66" s="45"/>
      <c r="K66" s="45"/>
    </row>
    <row r="67" spans="2:13" x14ac:dyDescent="0.25">
      <c r="B67" s="88">
        <v>40452</v>
      </c>
      <c r="C67" s="19">
        <v>2597</v>
      </c>
      <c r="D67" s="41">
        <v>2</v>
      </c>
      <c r="E67" s="9">
        <v>298.31</v>
      </c>
      <c r="F67" s="9"/>
      <c r="G67" s="74">
        <v>10</v>
      </c>
      <c r="I67" s="35"/>
      <c r="K67" s="35"/>
    </row>
    <row r="68" spans="2:13" x14ac:dyDescent="0.25">
      <c r="B68" s="88">
        <v>40483</v>
      </c>
      <c r="C68" s="19">
        <v>2121</v>
      </c>
      <c r="D68" s="41">
        <v>2</v>
      </c>
      <c r="E68" s="9">
        <v>245.24</v>
      </c>
      <c r="F68" s="9"/>
      <c r="G68" s="74">
        <v>10</v>
      </c>
      <c r="I68" s="35"/>
    </row>
    <row r="69" spans="2:13" x14ac:dyDescent="0.25">
      <c r="B69" s="88">
        <v>40513</v>
      </c>
      <c r="C69" s="58">
        <v>2342</v>
      </c>
      <c r="D69" s="31">
        <v>2</v>
      </c>
      <c r="E69" s="91">
        <v>271.57</v>
      </c>
      <c r="F69" s="91"/>
      <c r="G69" s="92">
        <v>10</v>
      </c>
      <c r="I69" s="35"/>
      <c r="K69" s="36"/>
      <c r="L69" s="7"/>
    </row>
    <row r="70" spans="2:13" x14ac:dyDescent="0.25">
      <c r="C70" s="19">
        <f>SUM(C58:C69)</f>
        <v>30346</v>
      </c>
      <c r="D70" s="19">
        <f>SUM(D58:D69)</f>
        <v>24</v>
      </c>
      <c r="E70" s="9">
        <f>SUM(E58:E69)</f>
        <v>3498.2600000000007</v>
      </c>
      <c r="F70" s="9"/>
      <c r="G70" s="9">
        <f>SUM(G58:G69)</f>
        <v>120</v>
      </c>
      <c r="I70" s="19"/>
      <c r="K70" s="19">
        <v>9722</v>
      </c>
      <c r="L70" s="19">
        <v>20624</v>
      </c>
    </row>
    <row r="73" spans="2:13" x14ac:dyDescent="0.25">
      <c r="B73" s="43" t="s">
        <v>78</v>
      </c>
      <c r="G73" s="27"/>
      <c r="I73" s="22"/>
      <c r="J73" s="22"/>
    </row>
    <row r="74" spans="2:13" x14ac:dyDescent="0.25">
      <c r="B74" s="43"/>
      <c r="G74" s="27"/>
      <c r="I74" s="22"/>
      <c r="J74" s="22"/>
    </row>
    <row r="75" spans="2:13" x14ac:dyDescent="0.25">
      <c r="B75" s="40" t="s">
        <v>25</v>
      </c>
      <c r="C75" s="40" t="s">
        <v>8</v>
      </c>
      <c r="D75" s="40" t="s">
        <v>24</v>
      </c>
      <c r="E75" s="40" t="s">
        <v>46</v>
      </c>
      <c r="F75" s="40"/>
      <c r="G75" s="40" t="s">
        <v>47</v>
      </c>
      <c r="K75" s="40" t="s">
        <v>40</v>
      </c>
      <c r="L75" s="40" t="s">
        <v>39</v>
      </c>
    </row>
    <row r="76" spans="2:13" x14ac:dyDescent="0.25">
      <c r="B76" s="88">
        <v>40544</v>
      </c>
      <c r="C76" s="19">
        <v>1480</v>
      </c>
      <c r="D76" s="39">
        <v>2</v>
      </c>
      <c r="E76" s="9">
        <v>166.42</v>
      </c>
      <c r="F76" s="9"/>
      <c r="G76" s="32">
        <v>10</v>
      </c>
      <c r="H76" s="20"/>
      <c r="I76" s="35"/>
      <c r="K76" s="35"/>
    </row>
    <row r="77" spans="2:13" x14ac:dyDescent="0.25">
      <c r="B77" s="88">
        <v>40575</v>
      </c>
      <c r="C77" s="19">
        <v>1586</v>
      </c>
      <c r="D77" s="39">
        <v>2</v>
      </c>
      <c r="E77" s="9">
        <v>176.7</v>
      </c>
      <c r="F77" s="9"/>
      <c r="G77" s="32">
        <v>10</v>
      </c>
      <c r="I77" s="35"/>
      <c r="K77" s="35"/>
    </row>
    <row r="78" spans="2:13" x14ac:dyDescent="0.25">
      <c r="B78" s="88">
        <v>40603</v>
      </c>
      <c r="C78" s="19">
        <v>1155</v>
      </c>
      <c r="D78" s="39">
        <v>2</v>
      </c>
      <c r="E78" s="9">
        <v>130.33000000000001</v>
      </c>
      <c r="F78" s="9"/>
      <c r="G78" s="32">
        <v>10</v>
      </c>
      <c r="I78" s="35"/>
      <c r="K78" s="35"/>
    </row>
    <row r="79" spans="2:13" x14ac:dyDescent="0.25">
      <c r="B79" s="88">
        <v>40634</v>
      </c>
      <c r="C79" s="19">
        <v>1341</v>
      </c>
      <c r="D79" s="39">
        <v>2</v>
      </c>
      <c r="E79" s="9">
        <v>151.03</v>
      </c>
      <c r="F79" s="9"/>
      <c r="G79" s="32">
        <v>10</v>
      </c>
      <c r="I79" s="35"/>
      <c r="K79" s="35"/>
    </row>
    <row r="80" spans="2:13" x14ac:dyDescent="0.25">
      <c r="B80" s="88">
        <v>40664</v>
      </c>
      <c r="C80" s="19">
        <v>1014</v>
      </c>
      <c r="D80" s="64">
        <v>2</v>
      </c>
      <c r="E80" s="74">
        <v>114.24</v>
      </c>
      <c r="F80" s="74"/>
      <c r="G80" s="90">
        <v>10</v>
      </c>
      <c r="I80" s="45"/>
      <c r="K80" s="45"/>
    </row>
    <row r="81" spans="2:12" x14ac:dyDescent="0.25">
      <c r="B81" s="88">
        <v>40695</v>
      </c>
      <c r="C81" s="19">
        <v>1148</v>
      </c>
      <c r="D81" s="64">
        <v>2</v>
      </c>
      <c r="E81" s="74">
        <v>129.30000000000001</v>
      </c>
      <c r="F81" s="74"/>
      <c r="G81" s="90">
        <v>10</v>
      </c>
      <c r="I81" s="45"/>
      <c r="K81" s="45"/>
    </row>
    <row r="82" spans="2:12" x14ac:dyDescent="0.25">
      <c r="B82" s="88">
        <v>40725</v>
      </c>
      <c r="C82" s="19">
        <v>1170</v>
      </c>
      <c r="D82" s="65">
        <v>2</v>
      </c>
      <c r="E82" s="74">
        <v>130.76</v>
      </c>
      <c r="F82" s="74"/>
      <c r="G82" s="74">
        <v>10</v>
      </c>
      <c r="I82" s="45"/>
      <c r="K82" s="45"/>
    </row>
    <row r="83" spans="2:12" x14ac:dyDescent="0.25">
      <c r="B83" s="88">
        <v>40756</v>
      </c>
      <c r="C83" s="19">
        <v>1141</v>
      </c>
      <c r="D83" s="65">
        <v>2</v>
      </c>
      <c r="E83" s="74">
        <v>128.22</v>
      </c>
      <c r="F83" s="74"/>
      <c r="G83" s="74">
        <v>10</v>
      </c>
      <c r="I83" s="45"/>
      <c r="K83" s="45"/>
    </row>
    <row r="84" spans="2:12" x14ac:dyDescent="0.25">
      <c r="B84" s="88">
        <v>40422</v>
      </c>
      <c r="C84" s="19">
        <v>893</v>
      </c>
      <c r="D84" s="65">
        <v>1</v>
      </c>
      <c r="E84" s="74">
        <v>100.74</v>
      </c>
      <c r="F84" s="74"/>
      <c r="G84" s="74">
        <v>5</v>
      </c>
      <c r="I84" s="45"/>
      <c r="K84" s="45"/>
    </row>
    <row r="85" spans="2:12" x14ac:dyDescent="0.25">
      <c r="B85" s="88">
        <v>40452</v>
      </c>
      <c r="C85" s="19">
        <v>617</v>
      </c>
      <c r="D85" s="41">
        <v>1</v>
      </c>
      <c r="E85" s="9">
        <v>67.53</v>
      </c>
      <c r="F85" s="9"/>
      <c r="G85" s="9">
        <v>5</v>
      </c>
      <c r="I85" s="35"/>
      <c r="K85" s="35"/>
    </row>
    <row r="86" spans="2:12" x14ac:dyDescent="0.25">
      <c r="B86" s="88">
        <v>40483</v>
      </c>
      <c r="C86" s="19">
        <v>1031</v>
      </c>
      <c r="D86" s="41">
        <v>2</v>
      </c>
      <c r="E86" s="9">
        <v>113.57</v>
      </c>
      <c r="F86" s="9"/>
      <c r="G86" s="9">
        <v>10</v>
      </c>
      <c r="I86" s="35"/>
    </row>
    <row r="87" spans="2:12" x14ac:dyDescent="0.25">
      <c r="B87" s="88">
        <v>40513</v>
      </c>
      <c r="C87" s="58">
        <v>1294</v>
      </c>
      <c r="D87" s="31">
        <v>2</v>
      </c>
      <c r="E87" s="91">
        <v>139.63</v>
      </c>
      <c r="F87" s="91"/>
      <c r="G87" s="91">
        <v>10</v>
      </c>
      <c r="I87" s="35"/>
      <c r="K87" s="36"/>
      <c r="L87" s="7"/>
    </row>
    <row r="88" spans="2:12" x14ac:dyDescent="0.25">
      <c r="C88" s="19">
        <f>SUM(C76:C87)</f>
        <v>13870</v>
      </c>
      <c r="D88" s="19">
        <f>SUM(D76:D87)</f>
        <v>22</v>
      </c>
      <c r="E88" s="9">
        <f>SUM(E76:E87)</f>
        <v>1548.4699999999998</v>
      </c>
      <c r="F88" s="9"/>
      <c r="G88" s="9">
        <f>SUM(G76:G87)</f>
        <v>110</v>
      </c>
      <c r="I88" s="19"/>
      <c r="K88" s="19">
        <v>3681</v>
      </c>
      <c r="L88" s="19">
        <v>10189</v>
      </c>
    </row>
    <row r="89" spans="2:12" x14ac:dyDescent="0.25">
      <c r="E89" s="20"/>
    </row>
    <row r="90" spans="2:12" x14ac:dyDescent="0.25">
      <c r="I90" s="19"/>
    </row>
    <row r="91" spans="2:12" x14ac:dyDescent="0.25">
      <c r="B91" s="43" t="s">
        <v>79</v>
      </c>
      <c r="G91" s="27"/>
      <c r="I91" s="22"/>
      <c r="J91" s="22"/>
    </row>
    <row r="92" spans="2:12" x14ac:dyDescent="0.25">
      <c r="B92" s="43"/>
      <c r="G92" s="27"/>
      <c r="I92" s="22"/>
      <c r="J92" s="22"/>
    </row>
    <row r="93" spans="2:12" x14ac:dyDescent="0.25">
      <c r="B93" s="40" t="s">
        <v>25</v>
      </c>
      <c r="C93" s="40" t="s">
        <v>8</v>
      </c>
      <c r="D93" s="40" t="s">
        <v>24</v>
      </c>
      <c r="E93" s="40" t="s">
        <v>46</v>
      </c>
      <c r="F93" s="40"/>
      <c r="G93" s="40" t="s">
        <v>47</v>
      </c>
      <c r="K93" s="40" t="s">
        <v>40</v>
      </c>
      <c r="L93" s="40" t="s">
        <v>39</v>
      </c>
    </row>
    <row r="94" spans="2:12" x14ac:dyDescent="0.25">
      <c r="B94" s="88">
        <v>40544</v>
      </c>
      <c r="C94" s="19">
        <v>1621</v>
      </c>
      <c r="D94" s="39">
        <v>2</v>
      </c>
      <c r="E94" s="9">
        <v>178.26</v>
      </c>
      <c r="F94" s="9"/>
      <c r="G94" s="32">
        <v>10</v>
      </c>
      <c r="H94" s="20"/>
      <c r="I94" s="35"/>
      <c r="K94" s="35"/>
    </row>
    <row r="95" spans="2:12" x14ac:dyDescent="0.25">
      <c r="B95" s="88">
        <v>40575</v>
      </c>
      <c r="C95" s="19">
        <v>1343</v>
      </c>
      <c r="D95" s="39">
        <v>3</v>
      </c>
      <c r="E95" s="9">
        <v>144.69999999999999</v>
      </c>
      <c r="F95" s="9"/>
      <c r="G95" s="32">
        <v>10</v>
      </c>
      <c r="I95" s="35"/>
      <c r="K95" s="35"/>
    </row>
    <row r="96" spans="2:12" x14ac:dyDescent="0.25">
      <c r="B96" s="88">
        <v>40603</v>
      </c>
      <c r="C96" s="19">
        <v>2125</v>
      </c>
      <c r="D96" s="39">
        <v>3</v>
      </c>
      <c r="E96" s="9">
        <v>230.34</v>
      </c>
      <c r="F96" s="9"/>
      <c r="G96" s="32">
        <v>15</v>
      </c>
      <c r="I96" s="35"/>
      <c r="K96" s="35"/>
    </row>
    <row r="97" spans="2:12" x14ac:dyDescent="0.25">
      <c r="B97" s="88">
        <v>40634</v>
      </c>
      <c r="C97" s="19">
        <v>2277</v>
      </c>
      <c r="D97" s="39">
        <v>3</v>
      </c>
      <c r="E97" s="9">
        <v>246.07</v>
      </c>
      <c r="F97" s="9"/>
      <c r="G97" s="32">
        <v>15</v>
      </c>
      <c r="I97" s="35"/>
      <c r="K97" s="35"/>
    </row>
    <row r="98" spans="2:12" x14ac:dyDescent="0.25">
      <c r="B98" s="88">
        <v>40664</v>
      </c>
      <c r="C98" s="19">
        <v>2172</v>
      </c>
      <c r="D98" s="64">
        <v>3</v>
      </c>
      <c r="E98" s="74">
        <v>236.14</v>
      </c>
      <c r="F98" s="74"/>
      <c r="G98" s="90">
        <v>15</v>
      </c>
      <c r="I98" s="45"/>
      <c r="K98" s="45"/>
    </row>
    <row r="99" spans="2:12" x14ac:dyDescent="0.25">
      <c r="B99" s="88">
        <v>40695</v>
      </c>
      <c r="C99" s="19">
        <v>2336</v>
      </c>
      <c r="D99" s="64">
        <v>3</v>
      </c>
      <c r="E99" s="74">
        <v>254.53</v>
      </c>
      <c r="F99" s="74"/>
      <c r="G99" s="90">
        <v>15</v>
      </c>
      <c r="I99" s="45"/>
      <c r="K99" s="45"/>
    </row>
    <row r="100" spans="2:12" x14ac:dyDescent="0.25">
      <c r="B100" s="88">
        <v>40725</v>
      </c>
      <c r="C100" s="19">
        <v>2260</v>
      </c>
      <c r="D100" s="65">
        <v>3</v>
      </c>
      <c r="E100" s="74">
        <v>247.72</v>
      </c>
      <c r="F100" s="74"/>
      <c r="G100" s="74">
        <v>15</v>
      </c>
      <c r="I100" s="45"/>
      <c r="K100" s="45"/>
    </row>
    <row r="101" spans="2:12" x14ac:dyDescent="0.25">
      <c r="B101" s="88">
        <v>40756</v>
      </c>
      <c r="C101" s="19">
        <v>2366</v>
      </c>
      <c r="D101" s="65">
        <v>3</v>
      </c>
      <c r="E101" s="74">
        <v>260.93</v>
      </c>
      <c r="F101" s="74"/>
      <c r="G101" s="74">
        <v>15</v>
      </c>
      <c r="I101" s="45"/>
      <c r="K101" s="45"/>
    </row>
    <row r="102" spans="2:12" x14ac:dyDescent="0.25">
      <c r="B102" s="88">
        <v>40422</v>
      </c>
      <c r="C102" s="19">
        <v>1408</v>
      </c>
      <c r="D102" s="65">
        <v>2</v>
      </c>
      <c r="E102" s="74">
        <v>154.77000000000001</v>
      </c>
      <c r="F102" s="74"/>
      <c r="G102" s="74">
        <v>10</v>
      </c>
      <c r="I102" s="45"/>
      <c r="K102" s="45"/>
    </row>
    <row r="103" spans="2:12" x14ac:dyDescent="0.25">
      <c r="B103" s="88">
        <v>40452</v>
      </c>
      <c r="C103" s="19">
        <v>1124</v>
      </c>
      <c r="D103" s="41">
        <v>2</v>
      </c>
      <c r="E103" s="9">
        <v>121.64</v>
      </c>
      <c r="F103" s="9"/>
      <c r="G103" s="74">
        <v>10</v>
      </c>
      <c r="I103" s="35"/>
      <c r="K103" s="35"/>
    </row>
    <row r="104" spans="2:12" x14ac:dyDescent="0.25">
      <c r="B104" s="88">
        <v>40483</v>
      </c>
      <c r="C104" s="19">
        <v>1294</v>
      </c>
      <c r="D104" s="41">
        <v>2</v>
      </c>
      <c r="E104" s="9">
        <v>139.58000000000001</v>
      </c>
      <c r="F104" s="9"/>
      <c r="G104" s="74">
        <v>10</v>
      </c>
      <c r="I104" s="35"/>
    </row>
    <row r="105" spans="2:12" x14ac:dyDescent="0.25">
      <c r="B105" s="88">
        <v>40513</v>
      </c>
      <c r="C105" s="58">
        <v>1375</v>
      </c>
      <c r="D105" s="31">
        <v>2</v>
      </c>
      <c r="E105" s="91">
        <v>147.69</v>
      </c>
      <c r="F105" s="91"/>
      <c r="G105" s="92">
        <v>10</v>
      </c>
      <c r="I105" s="35"/>
      <c r="K105" s="36"/>
      <c r="L105" s="7"/>
    </row>
    <row r="106" spans="2:12" x14ac:dyDescent="0.25">
      <c r="C106" s="19">
        <f>SUM(C94:C105)</f>
        <v>21701</v>
      </c>
      <c r="D106" s="19">
        <f>SUM(D94:D105)</f>
        <v>31</v>
      </c>
      <c r="E106" s="9">
        <f>SUM(E94:E105)</f>
        <v>2362.37</v>
      </c>
      <c r="F106" s="9"/>
      <c r="G106" s="9">
        <f>SUM(G94:G105)</f>
        <v>150</v>
      </c>
      <c r="I106" s="19"/>
      <c r="K106" s="19">
        <v>7049</v>
      </c>
      <c r="L106" s="19">
        <v>14652</v>
      </c>
    </row>
  </sheetData>
  <mergeCells count="6">
    <mergeCell ref="D4:G5"/>
    <mergeCell ref="E7:F7"/>
    <mergeCell ref="T4:W5"/>
    <mergeCell ref="U7:V7"/>
    <mergeCell ref="L4:O5"/>
    <mergeCell ref="M7:N7"/>
  </mergeCells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Y69"/>
  <sheetViews>
    <sheetView tabSelected="1" view="pageBreakPreview" zoomScaleNormal="100" zoomScaleSheetLayoutView="100" workbookViewId="0">
      <selection activeCell="T28" sqref="T28"/>
    </sheetView>
  </sheetViews>
  <sheetFormatPr defaultColWidth="9.140625" defaultRowHeight="15.75" x14ac:dyDescent="0.25"/>
  <cols>
    <col min="1" max="1" width="7.42578125" style="110" customWidth="1"/>
    <col min="2" max="2" width="35.42578125" style="96" bestFit="1" customWidth="1"/>
    <col min="3" max="3" width="8.28515625" style="110" customWidth="1"/>
    <col min="4" max="4" width="33.42578125" style="96" customWidth="1"/>
    <col min="5" max="5" width="1.5703125" style="96" customWidth="1"/>
    <col min="6" max="6" width="12.140625" style="96" hidden="1" customWidth="1"/>
    <col min="7" max="7" width="11.42578125" style="96" customWidth="1"/>
    <col min="8" max="8" width="12.7109375" style="96" customWidth="1"/>
    <col min="9" max="9" width="12" style="96" hidden="1" customWidth="1"/>
    <col min="10" max="10" width="12" style="96" customWidth="1"/>
    <col min="11" max="11" width="1.5703125" style="96" customWidth="1"/>
    <col min="12" max="12" width="15.5703125" style="96" hidden="1" customWidth="1"/>
    <col min="13" max="13" width="15.28515625" style="96" customWidth="1"/>
    <col min="14" max="14" width="16.140625" style="96" bestFit="1" customWidth="1"/>
    <col min="15" max="15" width="14.28515625" style="96" customWidth="1"/>
    <col min="16" max="16" width="9.7109375" style="96" bestFit="1" customWidth="1"/>
    <col min="17" max="17" width="14" style="96" customWidth="1"/>
    <col min="18" max="18" width="9.140625" style="96"/>
    <col min="19" max="19" width="15.5703125" style="96" bestFit="1" customWidth="1"/>
    <col min="20" max="20" width="14.7109375" style="96" customWidth="1"/>
    <col min="21" max="21" width="7.85546875" style="96" customWidth="1"/>
    <col min="22" max="22" width="11.42578125" style="96" customWidth="1"/>
    <col min="23" max="23" width="22" style="96" customWidth="1"/>
    <col min="24" max="24" width="13" style="96" customWidth="1"/>
    <col min="25" max="25" width="13.42578125" style="96" customWidth="1"/>
    <col min="26" max="26" width="4.7109375" style="96" customWidth="1"/>
    <col min="27" max="27" width="13.5703125" style="96" customWidth="1"/>
    <col min="28" max="28" width="22.28515625" style="96" customWidth="1"/>
    <col min="29" max="30" width="9.140625" style="96"/>
    <col min="31" max="31" width="11.42578125" style="96" customWidth="1"/>
    <col min="32" max="32" width="12.42578125" style="96" customWidth="1"/>
    <col min="33" max="33" width="11.42578125" style="96" customWidth="1"/>
    <col min="34" max="34" width="16.140625" style="96" customWidth="1"/>
    <col min="35" max="35" width="11.42578125" style="96" customWidth="1"/>
    <col min="36" max="36" width="12.140625" style="96" customWidth="1"/>
    <col min="37" max="37" width="11.42578125" style="96" customWidth="1"/>
    <col min="38" max="16384" width="9.140625" style="96"/>
  </cols>
  <sheetData>
    <row r="1" spans="1:25" ht="18.75" x14ac:dyDescent="0.3">
      <c r="A1" s="82" t="s">
        <v>129</v>
      </c>
      <c r="C1" s="101"/>
      <c r="F1" s="100"/>
      <c r="G1" s="100"/>
      <c r="H1" s="101"/>
      <c r="I1" s="100"/>
      <c r="J1" s="100"/>
      <c r="N1" s="100"/>
    </row>
    <row r="2" spans="1:25" ht="18.75" x14ac:dyDescent="0.3">
      <c r="A2" s="98" t="s">
        <v>53</v>
      </c>
      <c r="H2" s="101"/>
    </row>
    <row r="4" spans="1:25" x14ac:dyDescent="0.25">
      <c r="B4" s="253" t="s">
        <v>54</v>
      </c>
      <c r="C4" s="253"/>
      <c r="D4" s="253"/>
      <c r="F4" s="253" t="s">
        <v>55</v>
      </c>
      <c r="G4" s="253"/>
      <c r="H4" s="253"/>
      <c r="I4" s="253"/>
      <c r="J4" s="253"/>
      <c r="L4" s="253" t="s">
        <v>86</v>
      </c>
      <c r="M4" s="253"/>
      <c r="N4" s="253"/>
      <c r="O4" s="253"/>
      <c r="P4" s="253"/>
      <c r="Q4" s="253"/>
    </row>
    <row r="5" spans="1:25" x14ac:dyDescent="0.25">
      <c r="A5" s="221"/>
      <c r="E5" s="109"/>
      <c r="K5" s="109"/>
      <c r="V5" s="96" t="s">
        <v>249</v>
      </c>
    </row>
    <row r="6" spans="1:25" s="100" customFormat="1" x14ac:dyDescent="0.25">
      <c r="A6" s="101"/>
      <c r="C6" s="101"/>
      <c r="D6" s="101" t="s">
        <v>56</v>
      </c>
      <c r="E6" s="109"/>
      <c r="F6" s="99" t="s">
        <v>105</v>
      </c>
      <c r="G6" s="99" t="s">
        <v>57</v>
      </c>
      <c r="H6" s="99" t="s">
        <v>58</v>
      </c>
      <c r="I6" s="99" t="s">
        <v>111</v>
      </c>
      <c r="J6" s="99" t="s">
        <v>111</v>
      </c>
      <c r="K6" s="109"/>
      <c r="L6" s="99" t="s">
        <v>107</v>
      </c>
      <c r="M6" s="99" t="s">
        <v>87</v>
      </c>
      <c r="N6" s="99" t="s">
        <v>58</v>
      </c>
      <c r="O6" s="99" t="s">
        <v>59</v>
      </c>
      <c r="P6" s="99" t="s">
        <v>59</v>
      </c>
      <c r="Q6" s="99" t="s">
        <v>59</v>
      </c>
      <c r="R6" s="101"/>
      <c r="S6" s="96"/>
      <c r="T6" s="96"/>
      <c r="U6" s="96"/>
      <c r="V6" s="96" t="s">
        <v>248</v>
      </c>
      <c r="X6" s="96"/>
      <c r="Y6" s="96"/>
    </row>
    <row r="7" spans="1:25" s="100" customFormat="1" x14ac:dyDescent="0.25">
      <c r="A7" s="217" t="s">
        <v>124</v>
      </c>
      <c r="B7" s="102" t="s">
        <v>60</v>
      </c>
      <c r="C7" s="217" t="s">
        <v>61</v>
      </c>
      <c r="D7" s="217" t="s">
        <v>62</v>
      </c>
      <c r="E7" s="109"/>
      <c r="F7" s="103" t="s">
        <v>5</v>
      </c>
      <c r="G7" s="103" t="s">
        <v>5</v>
      </c>
      <c r="H7" s="103" t="s">
        <v>5</v>
      </c>
      <c r="I7" s="103" t="s">
        <v>106</v>
      </c>
      <c r="J7" s="103" t="s">
        <v>112</v>
      </c>
      <c r="K7" s="109"/>
      <c r="L7" s="103" t="s">
        <v>42</v>
      </c>
      <c r="M7" s="103" t="s">
        <v>42</v>
      </c>
      <c r="N7" s="103" t="s">
        <v>42</v>
      </c>
      <c r="O7" s="103" t="s">
        <v>63</v>
      </c>
      <c r="P7" s="103" t="s">
        <v>64</v>
      </c>
      <c r="Q7" s="103" t="s">
        <v>92</v>
      </c>
      <c r="R7" s="101"/>
      <c r="S7" s="96"/>
      <c r="T7" s="96"/>
      <c r="U7" s="96"/>
      <c r="V7" s="96" t="s">
        <v>58</v>
      </c>
      <c r="X7" s="96"/>
      <c r="Y7" s="96"/>
    </row>
    <row r="8" spans="1:25" x14ac:dyDescent="0.25">
      <c r="E8" s="109"/>
      <c r="K8" s="109"/>
    </row>
    <row r="9" spans="1:25" x14ac:dyDescent="0.25">
      <c r="A9" s="110">
        <v>1</v>
      </c>
      <c r="B9" s="2" t="str">
        <f>List!B6</f>
        <v>Residential Service</v>
      </c>
      <c r="C9" s="118">
        <f>List!C6</f>
        <v>10</v>
      </c>
      <c r="D9" s="96" t="s">
        <v>116</v>
      </c>
      <c r="E9" s="109"/>
      <c r="F9" s="26">
        <v>24.76</v>
      </c>
      <c r="G9" s="261">
        <f t="shared" ref="G9:G19" si="0">F9</f>
        <v>24.76</v>
      </c>
      <c r="H9" s="218">
        <v>36.479999999999997</v>
      </c>
      <c r="I9" s="218">
        <f t="shared" ref="I9:I35" si="1">H9-F9</f>
        <v>11.719999999999995</v>
      </c>
      <c r="J9" s="218">
        <f t="shared" ref="J9:J30" si="2">H9-G9</f>
        <v>11.719999999999995</v>
      </c>
      <c r="K9" s="109"/>
      <c r="L9" s="84">
        <f>'10'!G22</f>
        <v>80395170.289360002</v>
      </c>
      <c r="M9" s="84">
        <f>'10'!J22</f>
        <v>80395170.289360002</v>
      </c>
      <c r="N9" s="84">
        <f>'10'!S22</f>
        <v>86188781.845279992</v>
      </c>
      <c r="O9" s="122">
        <f>'10'!S24</f>
        <v>5793611.5559199899</v>
      </c>
      <c r="P9" s="123">
        <f>'10'!S26</f>
        <v>7.2064174191901087E-2</v>
      </c>
      <c r="Q9" s="131">
        <f>'10'!S28</f>
        <v>10.031776155393853</v>
      </c>
      <c r="V9" s="81">
        <f>H9/G9</f>
        <v>1.4733441033925685</v>
      </c>
      <c r="W9" s="95"/>
    </row>
    <row r="10" spans="1:25" x14ac:dyDescent="0.25">
      <c r="A10" s="222"/>
      <c r="B10" s="223"/>
      <c r="C10" s="224"/>
      <c r="D10" s="225" t="s">
        <v>88</v>
      </c>
      <c r="E10" s="226"/>
      <c r="F10" s="227">
        <v>8.9980000000000004E-2</v>
      </c>
      <c r="G10" s="228">
        <f>F10+G$43</f>
        <v>0.1018</v>
      </c>
      <c r="H10" s="228">
        <f>ROUND(G10*V10,5)</f>
        <v>0.10011</v>
      </c>
      <c r="I10" s="228">
        <f t="shared" si="1"/>
        <v>1.013E-2</v>
      </c>
      <c r="J10" s="228">
        <f t="shared" si="2"/>
        <v>-1.6899999999999971E-3</v>
      </c>
      <c r="K10" s="226"/>
      <c r="L10" s="229"/>
      <c r="M10" s="229"/>
      <c r="N10" s="229"/>
      <c r="O10" s="229"/>
      <c r="P10" s="230"/>
      <c r="Q10" s="231"/>
      <c r="V10" s="245">
        <v>0.98343999999999998</v>
      </c>
      <c r="W10" s="95"/>
    </row>
    <row r="11" spans="1:25" x14ac:dyDescent="0.25">
      <c r="A11" s="110">
        <v>2</v>
      </c>
      <c r="B11" s="2" t="str">
        <f>List!B7</f>
        <v>Residential Off Peak ETS</v>
      </c>
      <c r="C11" s="119">
        <f>List!C7</f>
        <v>11</v>
      </c>
      <c r="D11" s="96" t="s">
        <v>116</v>
      </c>
      <c r="E11" s="109"/>
      <c r="F11" s="26">
        <v>0</v>
      </c>
      <c r="G11" s="261">
        <f t="shared" si="0"/>
        <v>0</v>
      </c>
      <c r="H11" s="218">
        <v>0</v>
      </c>
      <c r="I11" s="105">
        <f t="shared" si="1"/>
        <v>0</v>
      </c>
      <c r="J11" s="105">
        <f t="shared" si="2"/>
        <v>0</v>
      </c>
      <c r="K11" s="109"/>
      <c r="L11" s="84">
        <f>'11'!G24</f>
        <v>257148.31487999999</v>
      </c>
      <c r="M11" s="84">
        <f>'11'!J24</f>
        <v>257148.31487999999</v>
      </c>
      <c r="N11" s="84">
        <f>'11'!R24</f>
        <v>257148.31487999999</v>
      </c>
      <c r="O11" s="84">
        <f>'11'!R26</f>
        <v>0</v>
      </c>
      <c r="P11" s="106">
        <f>'11'!R28</f>
        <v>0</v>
      </c>
      <c r="Q11" s="131">
        <f>'11'!R30</f>
        <v>0</v>
      </c>
      <c r="W11" s="107"/>
    </row>
    <row r="12" spans="1:25" x14ac:dyDescent="0.25">
      <c r="A12" s="222"/>
      <c r="B12" s="223"/>
      <c r="C12" s="224"/>
      <c r="D12" s="225" t="s">
        <v>88</v>
      </c>
      <c r="E12" s="226"/>
      <c r="F12" s="227">
        <v>5.8380000000000001E-2</v>
      </c>
      <c r="G12" s="228">
        <f>F12+0.0027</f>
        <v>6.1080000000000002E-2</v>
      </c>
      <c r="H12" s="228">
        <f>G12</f>
        <v>6.1080000000000002E-2</v>
      </c>
      <c r="I12" s="227">
        <f t="shared" si="1"/>
        <v>2.700000000000001E-3</v>
      </c>
      <c r="J12" s="227">
        <f t="shared" si="2"/>
        <v>0</v>
      </c>
      <c r="K12" s="226"/>
      <c r="L12" s="229"/>
      <c r="M12" s="229"/>
      <c r="N12" s="229"/>
      <c r="O12" s="229"/>
      <c r="P12" s="230"/>
      <c r="Q12" s="231"/>
      <c r="W12" s="107"/>
    </row>
    <row r="13" spans="1:25" x14ac:dyDescent="0.25">
      <c r="A13" s="110">
        <v>3</v>
      </c>
      <c r="B13" s="2" t="str">
        <f>List!B8</f>
        <v>Commercial Service &lt; 50 KW</v>
      </c>
      <c r="C13" s="118">
        <f>List!C8</f>
        <v>20</v>
      </c>
      <c r="D13" s="96" t="s">
        <v>116</v>
      </c>
      <c r="E13" s="109"/>
      <c r="F13" s="26">
        <v>40.72</v>
      </c>
      <c r="G13" s="261">
        <f t="shared" si="0"/>
        <v>40.72</v>
      </c>
      <c r="H13" s="218">
        <f>G13</f>
        <v>40.72</v>
      </c>
      <c r="I13" s="105">
        <f t="shared" si="1"/>
        <v>0</v>
      </c>
      <c r="J13" s="105">
        <f t="shared" si="2"/>
        <v>0</v>
      </c>
      <c r="K13" s="109"/>
      <c r="L13" s="84">
        <f>'20'!G25</f>
        <v>7782210.5406800006</v>
      </c>
      <c r="M13" s="84">
        <f>'20'!J25</f>
        <v>7782210.5406800006</v>
      </c>
      <c r="N13" s="84">
        <f>'20'!S25</f>
        <v>7782210.5406800006</v>
      </c>
      <c r="O13" s="84">
        <f>'20'!S27</f>
        <v>0</v>
      </c>
      <c r="P13" s="106">
        <f>'20'!S29</f>
        <v>0</v>
      </c>
      <c r="Q13" s="131">
        <f>'20'!S31</f>
        <v>0</v>
      </c>
      <c r="W13" s="107"/>
    </row>
    <row r="14" spans="1:25" x14ac:dyDescent="0.25">
      <c r="A14" s="222"/>
      <c r="B14" s="223"/>
      <c r="C14" s="224"/>
      <c r="D14" s="225" t="s">
        <v>88</v>
      </c>
      <c r="E14" s="226"/>
      <c r="F14" s="227">
        <v>8.6569999999999994E-2</v>
      </c>
      <c r="G14" s="228">
        <f>F14+G$43</f>
        <v>9.8389999999999991E-2</v>
      </c>
      <c r="H14" s="228">
        <f t="shared" ref="H14:H30" si="3">G14</f>
        <v>9.8389999999999991E-2</v>
      </c>
      <c r="I14" s="227">
        <f t="shared" si="1"/>
        <v>1.1819999999999997E-2</v>
      </c>
      <c r="J14" s="227">
        <f t="shared" si="2"/>
        <v>0</v>
      </c>
      <c r="K14" s="226"/>
      <c r="L14" s="229"/>
      <c r="M14" s="229"/>
      <c r="N14" s="229"/>
      <c r="O14" s="229"/>
      <c r="P14" s="230"/>
      <c r="Q14" s="231"/>
      <c r="W14" s="107"/>
      <c r="X14" s="25"/>
      <c r="Y14" s="25"/>
    </row>
    <row r="15" spans="1:25" x14ac:dyDescent="0.25">
      <c r="A15" s="110">
        <v>4</v>
      </c>
      <c r="B15" s="2" t="str">
        <f>List!B9</f>
        <v>Commercial Off Peak ETS</v>
      </c>
      <c r="C15" s="118">
        <f>List!C9</f>
        <v>22</v>
      </c>
      <c r="D15" s="96" t="s">
        <v>116</v>
      </c>
      <c r="E15" s="109"/>
      <c r="F15" s="26">
        <v>0</v>
      </c>
      <c r="G15" s="261">
        <f t="shared" si="0"/>
        <v>0</v>
      </c>
      <c r="H15" s="218">
        <f t="shared" si="3"/>
        <v>0</v>
      </c>
      <c r="I15" s="105">
        <f t="shared" si="1"/>
        <v>0</v>
      </c>
      <c r="J15" s="105">
        <f t="shared" si="2"/>
        <v>0</v>
      </c>
      <c r="K15" s="109"/>
      <c r="L15" s="84">
        <f>'22'!G24</f>
        <v>1621.671</v>
      </c>
      <c r="M15" s="84">
        <f>'22'!J24</f>
        <v>1621.671</v>
      </c>
      <c r="N15" s="84">
        <f>'22'!S24</f>
        <v>1621.671</v>
      </c>
      <c r="O15" s="84">
        <f>'22'!S26</f>
        <v>0</v>
      </c>
      <c r="P15" s="106">
        <f>'22'!S28</f>
        <v>0</v>
      </c>
      <c r="Q15" s="131">
        <f>'22'!S30</f>
        <v>0</v>
      </c>
      <c r="W15" s="107"/>
      <c r="X15" s="25"/>
      <c r="Y15" s="25"/>
    </row>
    <row r="16" spans="1:25" x14ac:dyDescent="0.25">
      <c r="A16" s="222"/>
      <c r="B16" s="223"/>
      <c r="C16" s="224"/>
      <c r="D16" s="225" t="s">
        <v>88</v>
      </c>
      <c r="E16" s="226"/>
      <c r="F16" s="227">
        <v>5.194E-2</v>
      </c>
      <c r="G16" s="228">
        <f>F16+0.00709</f>
        <v>5.9029999999999999E-2</v>
      </c>
      <c r="H16" s="228">
        <f t="shared" si="3"/>
        <v>5.9029999999999999E-2</v>
      </c>
      <c r="I16" s="227">
        <f t="shared" si="1"/>
        <v>7.0899999999999991E-3</v>
      </c>
      <c r="J16" s="227">
        <f t="shared" si="2"/>
        <v>0</v>
      </c>
      <c r="K16" s="226"/>
      <c r="L16" s="229"/>
      <c r="M16" s="229"/>
      <c r="N16" s="229"/>
      <c r="O16" s="229"/>
      <c r="P16" s="230"/>
      <c r="Q16" s="231"/>
      <c r="W16" s="107"/>
      <c r="X16" s="25"/>
      <c r="Y16" s="25"/>
    </row>
    <row r="17" spans="1:25" x14ac:dyDescent="0.25">
      <c r="A17" s="110">
        <v>5</v>
      </c>
      <c r="B17" s="2" t="str">
        <f>List!B10</f>
        <v>Large Power Loads 50 KW and Over</v>
      </c>
      <c r="C17" s="119">
        <f>List!C10</f>
        <v>40</v>
      </c>
      <c r="D17" s="96" t="s">
        <v>116</v>
      </c>
      <c r="E17" s="109"/>
      <c r="F17" s="105">
        <v>58.75</v>
      </c>
      <c r="G17" s="218">
        <f t="shared" si="0"/>
        <v>58.75</v>
      </c>
      <c r="H17" s="218">
        <f t="shared" si="3"/>
        <v>58.75</v>
      </c>
      <c r="I17" s="105">
        <f t="shared" si="1"/>
        <v>0</v>
      </c>
      <c r="J17" s="105">
        <f t="shared" si="2"/>
        <v>0</v>
      </c>
      <c r="K17" s="109"/>
      <c r="L17" s="84">
        <f>'40'!G28</f>
        <v>8023623.1396000003</v>
      </c>
      <c r="M17" s="84">
        <f>'40'!J28</f>
        <v>8023623.1396000003</v>
      </c>
      <c r="N17" s="84">
        <f>'40'!S28</f>
        <v>8023623.1396000003</v>
      </c>
      <c r="O17" s="84">
        <f>'40'!S30</f>
        <v>0</v>
      </c>
      <c r="P17" s="106">
        <f>'40'!S32</f>
        <v>0</v>
      </c>
      <c r="Q17" s="131">
        <f>'40'!S34</f>
        <v>0</v>
      </c>
      <c r="W17" s="107"/>
      <c r="X17" s="25"/>
      <c r="Y17" s="25"/>
    </row>
    <row r="18" spans="1:25" x14ac:dyDescent="0.25">
      <c r="B18" s="104"/>
      <c r="C18" s="119"/>
      <c r="D18" s="96" t="s">
        <v>88</v>
      </c>
      <c r="E18" s="109"/>
      <c r="F18" s="108">
        <v>6.3560000000000005E-2</v>
      </c>
      <c r="G18" s="262">
        <f>F18+G$43</f>
        <v>7.5380000000000003E-2</v>
      </c>
      <c r="H18" s="262">
        <f t="shared" si="3"/>
        <v>7.5380000000000003E-2</v>
      </c>
      <c r="I18" s="108">
        <f t="shared" si="1"/>
        <v>1.1819999999999997E-2</v>
      </c>
      <c r="J18" s="108">
        <f t="shared" si="2"/>
        <v>0</v>
      </c>
      <c r="K18" s="109"/>
      <c r="L18" s="84"/>
      <c r="M18" s="84"/>
      <c r="N18" s="84"/>
      <c r="O18" s="84"/>
      <c r="P18" s="106"/>
      <c r="Q18" s="117"/>
      <c r="S18" s="108"/>
      <c r="W18" s="107"/>
      <c r="X18" s="25"/>
      <c r="Y18" s="25"/>
    </row>
    <row r="19" spans="1:25" x14ac:dyDescent="0.25">
      <c r="A19" s="222"/>
      <c r="B19" s="223"/>
      <c r="C19" s="224"/>
      <c r="D19" s="225" t="s">
        <v>89</v>
      </c>
      <c r="E19" s="226"/>
      <c r="F19" s="232">
        <v>6.8</v>
      </c>
      <c r="G19" s="263">
        <f t="shared" si="0"/>
        <v>6.8</v>
      </c>
      <c r="H19" s="264">
        <f t="shared" si="3"/>
        <v>6.8</v>
      </c>
      <c r="I19" s="233">
        <f t="shared" si="1"/>
        <v>0</v>
      </c>
      <c r="J19" s="233">
        <f t="shared" si="2"/>
        <v>0</v>
      </c>
      <c r="K19" s="226"/>
      <c r="L19" s="229"/>
      <c r="M19" s="229"/>
      <c r="N19" s="229"/>
      <c r="O19" s="229"/>
      <c r="P19" s="230"/>
      <c r="Q19" s="231"/>
      <c r="W19" s="107"/>
      <c r="X19" s="25"/>
      <c r="Y19" s="25"/>
    </row>
    <row r="20" spans="1:25" x14ac:dyDescent="0.25">
      <c r="A20" s="110">
        <v>6</v>
      </c>
      <c r="B20" s="2" t="str">
        <f>List!B11</f>
        <v>Large Power Rate 500 KW and Over</v>
      </c>
      <c r="C20" s="119">
        <f>List!C11</f>
        <v>46</v>
      </c>
      <c r="D20" s="96" t="s">
        <v>116</v>
      </c>
      <c r="E20" s="109"/>
      <c r="F20" s="105">
        <v>1754.33</v>
      </c>
      <c r="G20" s="218">
        <f t="shared" ref="G20:G22" si="4">F20</f>
        <v>1754.33</v>
      </c>
      <c r="H20" s="218">
        <f t="shared" si="3"/>
        <v>1754.33</v>
      </c>
      <c r="I20" s="105">
        <f t="shared" si="1"/>
        <v>0</v>
      </c>
      <c r="J20" s="105">
        <f t="shared" si="2"/>
        <v>0</v>
      </c>
      <c r="K20" s="109"/>
      <c r="L20" s="84">
        <f>'46'!G28</f>
        <v>8149443.9975200007</v>
      </c>
      <c r="M20" s="84">
        <f>'46'!J28</f>
        <v>8149443.9975200007</v>
      </c>
      <c r="N20" s="84">
        <f>'46'!S28</f>
        <v>8149443.9975200007</v>
      </c>
      <c r="O20" s="84">
        <f>'46'!S30</f>
        <v>0</v>
      </c>
      <c r="P20" s="106">
        <f>'46'!S32</f>
        <v>0</v>
      </c>
      <c r="Q20" s="131">
        <f>'46'!S34</f>
        <v>0</v>
      </c>
      <c r="W20" s="107"/>
      <c r="X20" s="25"/>
      <c r="Y20" s="25"/>
    </row>
    <row r="21" spans="1:25" x14ac:dyDescent="0.25">
      <c r="B21" s="104"/>
      <c r="C21" s="119"/>
      <c r="D21" s="96" t="s">
        <v>88</v>
      </c>
      <c r="E21" s="109"/>
      <c r="F21" s="108">
        <v>4.8320000000000002E-2</v>
      </c>
      <c r="G21" s="262">
        <f>F21+G$43</f>
        <v>6.0139999999999999E-2</v>
      </c>
      <c r="H21" s="262">
        <f t="shared" si="3"/>
        <v>6.0139999999999999E-2</v>
      </c>
      <c r="I21" s="108">
        <f t="shared" si="1"/>
        <v>1.1819999999999997E-2</v>
      </c>
      <c r="J21" s="108">
        <f t="shared" si="2"/>
        <v>0</v>
      </c>
      <c r="K21" s="109"/>
      <c r="L21" s="84"/>
      <c r="M21" s="84"/>
      <c r="N21" s="84"/>
      <c r="O21" s="84"/>
      <c r="P21" s="106"/>
      <c r="Q21" s="117"/>
      <c r="W21" s="107"/>
      <c r="X21" s="25"/>
      <c r="Y21" s="25"/>
    </row>
    <row r="22" spans="1:25" x14ac:dyDescent="0.25">
      <c r="A22" s="222"/>
      <c r="B22" s="223"/>
      <c r="C22" s="224"/>
      <c r="D22" s="225" t="s">
        <v>89</v>
      </c>
      <c r="E22" s="226"/>
      <c r="F22" s="232">
        <v>7.06</v>
      </c>
      <c r="G22" s="263">
        <f t="shared" si="4"/>
        <v>7.06</v>
      </c>
      <c r="H22" s="264">
        <f t="shared" si="3"/>
        <v>7.06</v>
      </c>
      <c r="I22" s="233">
        <f t="shared" si="1"/>
        <v>0</v>
      </c>
      <c r="J22" s="233">
        <f t="shared" si="2"/>
        <v>0</v>
      </c>
      <c r="K22" s="226"/>
      <c r="L22" s="229"/>
      <c r="M22" s="229"/>
      <c r="N22" s="229"/>
      <c r="O22" s="229"/>
      <c r="P22" s="230"/>
      <c r="Q22" s="231"/>
      <c r="W22" s="107"/>
      <c r="X22" s="25"/>
      <c r="Y22" s="25"/>
    </row>
    <row r="23" spans="1:25" x14ac:dyDescent="0.25">
      <c r="A23" s="110">
        <v>7</v>
      </c>
      <c r="B23" s="2" t="str">
        <f>List!B12</f>
        <v>Large Power Rate 500 kW and Over</v>
      </c>
      <c r="C23" s="119">
        <f>List!C12</f>
        <v>47</v>
      </c>
      <c r="D23" s="96" t="s">
        <v>116</v>
      </c>
      <c r="E23" s="109"/>
      <c r="F23" s="105">
        <v>1754.33</v>
      </c>
      <c r="G23" s="218">
        <f t="shared" ref="G23:G29" si="5">F23</f>
        <v>1754.33</v>
      </c>
      <c r="H23" s="218">
        <f t="shared" si="3"/>
        <v>1754.33</v>
      </c>
      <c r="I23" s="105">
        <f t="shared" si="1"/>
        <v>0</v>
      </c>
      <c r="J23" s="105">
        <f t="shared" si="2"/>
        <v>0</v>
      </c>
      <c r="K23" s="109"/>
      <c r="L23" s="84">
        <f>'47'!G29</f>
        <v>5406241.7466736846</v>
      </c>
      <c r="M23" s="84">
        <f>'47'!J29</f>
        <v>5406241.7466736846</v>
      </c>
      <c r="N23" s="84">
        <f>'47'!S29</f>
        <v>5406241.7466736846</v>
      </c>
      <c r="O23" s="84">
        <f>'47'!S31</f>
        <v>0</v>
      </c>
      <c r="P23" s="106">
        <f>'47'!S33</f>
        <v>0</v>
      </c>
      <c r="Q23" s="131">
        <f>'47'!S35</f>
        <v>0</v>
      </c>
      <c r="W23" s="107"/>
      <c r="X23" s="25"/>
      <c r="Y23" s="25"/>
    </row>
    <row r="24" spans="1:25" x14ac:dyDescent="0.25">
      <c r="B24" s="104"/>
      <c r="C24" s="119"/>
      <c r="D24" s="96" t="s">
        <v>88</v>
      </c>
      <c r="E24" s="109"/>
      <c r="F24" s="108">
        <v>4.9399999999999999E-2</v>
      </c>
      <c r="G24" s="262">
        <f>F24+G$43</f>
        <v>6.1219999999999997E-2</v>
      </c>
      <c r="H24" s="262">
        <f t="shared" si="3"/>
        <v>6.1219999999999997E-2</v>
      </c>
      <c r="I24" s="108">
        <f t="shared" si="1"/>
        <v>1.1819999999999997E-2</v>
      </c>
      <c r="J24" s="108">
        <f t="shared" si="2"/>
        <v>0</v>
      </c>
      <c r="K24" s="109"/>
      <c r="L24" s="84"/>
      <c r="M24" s="84"/>
      <c r="N24" s="84"/>
      <c r="O24" s="84"/>
      <c r="P24" s="106"/>
      <c r="Q24" s="117"/>
      <c r="W24" s="107"/>
      <c r="X24" s="25"/>
      <c r="Y24" s="25"/>
    </row>
    <row r="25" spans="1:25" x14ac:dyDescent="0.25">
      <c r="B25" s="104"/>
      <c r="C25" s="119"/>
      <c r="D25" s="96" t="s">
        <v>113</v>
      </c>
      <c r="E25" s="109"/>
      <c r="F25" s="26">
        <v>7.06</v>
      </c>
      <c r="G25" s="261">
        <f t="shared" si="5"/>
        <v>7.06</v>
      </c>
      <c r="H25" s="218">
        <f t="shared" si="3"/>
        <v>7.06</v>
      </c>
      <c r="I25" s="105">
        <f t="shared" si="1"/>
        <v>0</v>
      </c>
      <c r="J25" s="105">
        <f t="shared" si="2"/>
        <v>0</v>
      </c>
      <c r="K25" s="109"/>
      <c r="L25" s="84"/>
      <c r="M25" s="84"/>
      <c r="N25" s="84"/>
      <c r="O25" s="84"/>
      <c r="P25" s="106"/>
      <c r="Q25" s="117"/>
      <c r="W25" s="107"/>
      <c r="X25" s="25"/>
      <c r="Y25" s="25"/>
    </row>
    <row r="26" spans="1:25" x14ac:dyDescent="0.25">
      <c r="A26" s="222"/>
      <c r="B26" s="223"/>
      <c r="C26" s="224"/>
      <c r="D26" s="225" t="s">
        <v>100</v>
      </c>
      <c r="E26" s="226"/>
      <c r="F26" s="232">
        <v>9.8000000000000007</v>
      </c>
      <c r="G26" s="263">
        <f t="shared" si="5"/>
        <v>9.8000000000000007</v>
      </c>
      <c r="H26" s="264">
        <f t="shared" si="3"/>
        <v>9.8000000000000007</v>
      </c>
      <c r="I26" s="233">
        <f t="shared" si="1"/>
        <v>0</v>
      </c>
      <c r="J26" s="233">
        <f t="shared" si="2"/>
        <v>0</v>
      </c>
      <c r="K26" s="226"/>
      <c r="L26" s="229"/>
      <c r="M26" s="229"/>
      <c r="N26" s="229"/>
      <c r="O26" s="229"/>
      <c r="P26" s="230"/>
      <c r="Q26" s="231"/>
      <c r="W26" s="107"/>
      <c r="X26" s="25"/>
      <c r="Y26" s="25"/>
    </row>
    <row r="27" spans="1:25" x14ac:dyDescent="0.25">
      <c r="A27" s="110">
        <v>8</v>
      </c>
      <c r="B27" s="2" t="str">
        <f>List!B13</f>
        <v>Schools, Churches, Halls &amp; Parks</v>
      </c>
      <c r="C27" s="119">
        <f>List!C13</f>
        <v>50</v>
      </c>
      <c r="D27" s="96" t="s">
        <v>116</v>
      </c>
      <c r="E27" s="109"/>
      <c r="F27" s="26">
        <v>23.2</v>
      </c>
      <c r="G27" s="261">
        <f t="shared" si="5"/>
        <v>23.2</v>
      </c>
      <c r="H27" s="218">
        <f t="shared" si="3"/>
        <v>23.2</v>
      </c>
      <c r="I27" s="105">
        <f t="shared" si="1"/>
        <v>0</v>
      </c>
      <c r="J27" s="105">
        <f t="shared" si="2"/>
        <v>0</v>
      </c>
      <c r="K27" s="109"/>
      <c r="L27" s="84">
        <f>'50'!G22</f>
        <v>2912354.14928</v>
      </c>
      <c r="M27" s="84">
        <f>'50'!J22</f>
        <v>2912354.14928</v>
      </c>
      <c r="N27" s="84">
        <f>'50'!S22</f>
        <v>2912354.14928</v>
      </c>
      <c r="O27" s="84">
        <f>'50'!S24</f>
        <v>0</v>
      </c>
      <c r="P27" s="106">
        <f>'50'!S26</f>
        <v>0</v>
      </c>
      <c r="Q27" s="131">
        <f>'50'!S28</f>
        <v>0</v>
      </c>
      <c r="W27" s="107"/>
      <c r="X27" s="25"/>
      <c r="Y27" s="25"/>
    </row>
    <row r="28" spans="1:25" x14ac:dyDescent="0.25">
      <c r="A28" s="222"/>
      <c r="B28" s="223"/>
      <c r="C28" s="224"/>
      <c r="D28" s="225" t="s">
        <v>88</v>
      </c>
      <c r="E28" s="226"/>
      <c r="F28" s="227">
        <v>9.3520000000000006E-2</v>
      </c>
      <c r="G28" s="228">
        <f>F28+G$43</f>
        <v>0.10534</v>
      </c>
      <c r="H28" s="228">
        <f t="shared" si="3"/>
        <v>0.10534</v>
      </c>
      <c r="I28" s="227">
        <f t="shared" si="1"/>
        <v>1.1819999999999997E-2</v>
      </c>
      <c r="J28" s="227">
        <f t="shared" si="2"/>
        <v>0</v>
      </c>
      <c r="K28" s="226"/>
      <c r="L28" s="229"/>
      <c r="M28" s="229"/>
      <c r="N28" s="229"/>
      <c r="O28" s="229"/>
      <c r="P28" s="230"/>
      <c r="Q28" s="231"/>
      <c r="W28" s="107"/>
      <c r="X28" s="25"/>
      <c r="Y28" s="25"/>
    </row>
    <row r="29" spans="1:25" x14ac:dyDescent="0.25">
      <c r="A29" s="110">
        <v>9</v>
      </c>
      <c r="B29" s="2" t="str">
        <f>List!B14</f>
        <v>All Electric Schools AES</v>
      </c>
      <c r="C29" s="119">
        <f>List!C14</f>
        <v>52</v>
      </c>
      <c r="D29" s="96" t="s">
        <v>116</v>
      </c>
      <c r="E29" s="109"/>
      <c r="F29" s="26">
        <v>57.73</v>
      </c>
      <c r="G29" s="261">
        <f t="shared" si="5"/>
        <v>57.73</v>
      </c>
      <c r="H29" s="218">
        <f t="shared" si="3"/>
        <v>57.73</v>
      </c>
      <c r="I29" s="105">
        <f t="shared" si="1"/>
        <v>0</v>
      </c>
      <c r="J29" s="105">
        <f t="shared" si="2"/>
        <v>0</v>
      </c>
      <c r="K29" s="109"/>
      <c r="L29" s="84">
        <f>'52'!G22</f>
        <v>980888.51888999995</v>
      </c>
      <c r="M29" s="84">
        <f>'52'!J22</f>
        <v>980888.51888999995</v>
      </c>
      <c r="N29" s="84">
        <f>'52'!S22</f>
        <v>980888.51888999995</v>
      </c>
      <c r="O29" s="84">
        <f>'52'!S24</f>
        <v>0</v>
      </c>
      <c r="P29" s="106">
        <f>'52'!S26</f>
        <v>0</v>
      </c>
      <c r="Q29" s="131">
        <f>'52'!S28</f>
        <v>0</v>
      </c>
      <c r="W29" s="107"/>
      <c r="X29" s="25"/>
      <c r="Y29" s="25"/>
    </row>
    <row r="30" spans="1:25" x14ac:dyDescent="0.25">
      <c r="A30" s="222"/>
      <c r="B30" s="223"/>
      <c r="C30" s="224"/>
      <c r="D30" s="225" t="s">
        <v>88</v>
      </c>
      <c r="E30" s="226"/>
      <c r="F30" s="227">
        <v>7.7090000000000006E-2</v>
      </c>
      <c r="G30" s="228">
        <f>F30+G$43</f>
        <v>8.8910000000000003E-2</v>
      </c>
      <c r="H30" s="228">
        <f t="shared" si="3"/>
        <v>8.8910000000000003E-2</v>
      </c>
      <c r="I30" s="227">
        <f t="shared" si="1"/>
        <v>1.1819999999999997E-2</v>
      </c>
      <c r="J30" s="227">
        <f t="shared" si="2"/>
        <v>0</v>
      </c>
      <c r="K30" s="226"/>
      <c r="L30" s="229"/>
      <c r="M30" s="229"/>
      <c r="N30" s="229"/>
      <c r="O30" s="229"/>
      <c r="P30" s="230"/>
      <c r="Q30" s="231"/>
      <c r="W30" s="107"/>
      <c r="X30" s="25"/>
      <c r="Y30" s="25"/>
    </row>
    <row r="31" spans="1:25" x14ac:dyDescent="0.25">
      <c r="A31" s="110">
        <v>10</v>
      </c>
      <c r="B31" s="104" t="str">
        <f>List!B15</f>
        <v>Outdoor Lighting</v>
      </c>
      <c r="C31" s="119" t="str">
        <f>List!C15</f>
        <v>OL</v>
      </c>
      <c r="D31" s="2"/>
      <c r="E31" s="109"/>
      <c r="F31" s="105"/>
      <c r="G31" s="105"/>
      <c r="H31" s="105"/>
      <c r="I31" s="105">
        <f t="shared" si="1"/>
        <v>0</v>
      </c>
      <c r="J31" s="105"/>
      <c r="K31" s="109"/>
      <c r="L31" s="122">
        <f>Lighting!L60</f>
        <v>2823025.9200000004</v>
      </c>
      <c r="M31" s="122">
        <f>Lighting!O60</f>
        <v>3065512.0800000005</v>
      </c>
      <c r="N31" s="122">
        <f>Lighting!U60</f>
        <v>3065512.0800000005</v>
      </c>
      <c r="O31" s="122">
        <f>Lighting!U62</f>
        <v>0</v>
      </c>
      <c r="P31" s="123">
        <f>Lighting!U64</f>
        <v>0</v>
      </c>
      <c r="Q31" s="131">
        <f>Lighting!U66</f>
        <v>0</v>
      </c>
      <c r="R31" s="116"/>
      <c r="S31" s="107"/>
      <c r="W31" s="107"/>
      <c r="X31" s="25"/>
      <c r="Y31" s="25"/>
    </row>
    <row r="32" spans="1:25" hidden="1" x14ac:dyDescent="0.25">
      <c r="B32" s="104"/>
      <c r="C32" s="119"/>
      <c r="D32" s="2"/>
      <c r="E32" s="109"/>
      <c r="F32" s="105"/>
      <c r="G32" s="105"/>
      <c r="H32" s="105"/>
      <c r="I32" s="105">
        <f t="shared" si="1"/>
        <v>0</v>
      </c>
      <c r="J32" s="105"/>
      <c r="K32" s="109"/>
      <c r="L32" s="84"/>
      <c r="M32" s="84"/>
      <c r="N32" s="84"/>
      <c r="O32" s="84"/>
      <c r="P32" s="106"/>
      <c r="W32" s="107"/>
      <c r="X32" s="25"/>
      <c r="Y32" s="25"/>
    </row>
    <row r="33" spans="1:25" hidden="1" x14ac:dyDescent="0.25">
      <c r="B33" s="104"/>
      <c r="C33" s="119"/>
      <c r="D33" s="2"/>
      <c r="E33" s="109"/>
      <c r="F33" s="105"/>
      <c r="G33" s="105"/>
      <c r="H33" s="105"/>
      <c r="I33" s="105">
        <f t="shared" si="1"/>
        <v>0</v>
      </c>
      <c r="J33" s="105"/>
      <c r="K33" s="109"/>
      <c r="L33" s="84"/>
      <c r="M33" s="84"/>
      <c r="N33" s="84"/>
      <c r="O33" s="84"/>
      <c r="P33" s="106"/>
      <c r="Q33" s="44"/>
      <c r="W33" s="107"/>
      <c r="X33" s="25"/>
      <c r="Y33" s="25"/>
    </row>
    <row r="34" spans="1:25" hidden="1" x14ac:dyDescent="0.25">
      <c r="B34" s="104"/>
      <c r="C34" s="119"/>
      <c r="D34" s="2"/>
      <c r="E34" s="109"/>
      <c r="F34" s="105"/>
      <c r="G34" s="105"/>
      <c r="H34" s="105"/>
      <c r="I34" s="105">
        <f t="shared" si="1"/>
        <v>0</v>
      </c>
      <c r="J34" s="105"/>
      <c r="K34" s="109"/>
      <c r="L34" s="84"/>
      <c r="M34" s="84"/>
      <c r="N34" s="84"/>
      <c r="O34" s="84"/>
      <c r="P34" s="106"/>
      <c r="S34" s="107"/>
      <c r="W34" s="107"/>
      <c r="X34" s="25"/>
      <c r="Y34" s="25"/>
    </row>
    <row r="35" spans="1:25" hidden="1" x14ac:dyDescent="0.25">
      <c r="B35" s="104"/>
      <c r="C35" s="119"/>
      <c r="D35" s="2"/>
      <c r="E35" s="109"/>
      <c r="F35" s="105"/>
      <c r="G35" s="105"/>
      <c r="H35" s="105"/>
      <c r="I35" s="105">
        <f t="shared" si="1"/>
        <v>0</v>
      </c>
      <c r="J35" s="105"/>
      <c r="K35" s="109"/>
      <c r="L35" s="84"/>
      <c r="M35" s="84"/>
      <c r="N35" s="84"/>
      <c r="O35" s="84"/>
      <c r="P35" s="106"/>
      <c r="W35" s="107"/>
      <c r="X35" s="25"/>
      <c r="Y35" s="25"/>
    </row>
    <row r="36" spans="1:25" s="115" customFormat="1" ht="31.5" customHeight="1" thickBot="1" x14ac:dyDescent="0.3">
      <c r="A36" s="120"/>
      <c r="B36" s="112" t="s">
        <v>65</v>
      </c>
      <c r="C36" s="120"/>
      <c r="D36" s="112"/>
      <c r="E36" s="109"/>
      <c r="F36" s="112"/>
      <c r="G36" s="112"/>
      <c r="H36" s="112"/>
      <c r="I36" s="112"/>
      <c r="J36" s="112"/>
      <c r="K36" s="109"/>
      <c r="L36" s="113">
        <f>SUM(L9:L35)</f>
        <v>116731728.28788368</v>
      </c>
      <c r="M36" s="113">
        <f>SUM(M9:M35)</f>
        <v>116974214.44788368</v>
      </c>
      <c r="N36" s="113">
        <f>SUM(N9:N35)</f>
        <v>122767826.00380367</v>
      </c>
      <c r="O36" s="113">
        <f>SUM(O9:O35)</f>
        <v>5793611.5559199899</v>
      </c>
      <c r="P36" s="114">
        <f>O36/M36</f>
        <v>4.9528963141712373E-2</v>
      </c>
      <c r="Q36" s="234" t="s">
        <v>225</v>
      </c>
      <c r="T36" s="107"/>
      <c r="U36" s="125"/>
      <c r="V36" s="116"/>
      <c r="W36" s="107"/>
      <c r="X36" s="25"/>
      <c r="Y36" s="25"/>
    </row>
    <row r="37" spans="1:25" s="115" customFormat="1" ht="15.75" customHeight="1" thickTop="1" x14ac:dyDescent="0.25">
      <c r="A37" s="128"/>
      <c r="C37" s="128"/>
      <c r="L37" s="129"/>
      <c r="M37" s="129"/>
      <c r="N37" s="129"/>
      <c r="O37" s="129"/>
      <c r="P37" s="130"/>
      <c r="Q37" s="130"/>
      <c r="T37" s="107"/>
      <c r="U37" s="125"/>
      <c r="V37" s="116"/>
    </row>
    <row r="38" spans="1:25" x14ac:dyDescent="0.25">
      <c r="L38" s="107"/>
      <c r="M38" s="107"/>
      <c r="N38" s="107"/>
    </row>
    <row r="39" spans="1:25" x14ac:dyDescent="0.25"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27" t="s">
        <v>241</v>
      </c>
      <c r="O39" s="86">
        <v>5797580.9100000001</v>
      </c>
    </row>
    <row r="40" spans="1:25" x14ac:dyDescent="0.25">
      <c r="N40" s="240" t="s">
        <v>242</v>
      </c>
      <c r="O40" s="107">
        <f>O36-O39</f>
        <v>-3969.3540800102055</v>
      </c>
      <c r="P40" s="111"/>
    </row>
    <row r="41" spans="1:25" x14ac:dyDescent="0.25">
      <c r="N41" s="107"/>
      <c r="P41" s="97"/>
    </row>
    <row r="42" spans="1:25" x14ac:dyDescent="0.25">
      <c r="M42" s="127"/>
      <c r="N42" s="14"/>
    </row>
    <row r="43" spans="1:25" x14ac:dyDescent="0.25">
      <c r="F43" s="96" t="s">
        <v>246</v>
      </c>
      <c r="G43" s="243">
        <v>1.1820000000000001E-2</v>
      </c>
      <c r="M43" s="107"/>
      <c r="N43" s="107"/>
    </row>
    <row r="44" spans="1:25" x14ac:dyDescent="0.25">
      <c r="M44" s="127"/>
      <c r="N44" s="14"/>
    </row>
    <row r="45" spans="1:25" x14ac:dyDescent="0.25">
      <c r="N45" s="107"/>
    </row>
    <row r="46" spans="1:25" x14ac:dyDescent="0.25">
      <c r="M46" s="127"/>
      <c r="N46" s="14"/>
    </row>
    <row r="47" spans="1:25" x14ac:dyDescent="0.25">
      <c r="N47" s="107"/>
    </row>
    <row r="62" spans="3:7" x14ac:dyDescent="0.25">
      <c r="F62" s="110"/>
    </row>
    <row r="63" spans="3:7" x14ac:dyDescent="0.25">
      <c r="F63" s="110"/>
    </row>
    <row r="64" spans="3:7" x14ac:dyDescent="0.25">
      <c r="C64" s="96"/>
      <c r="F64" s="107"/>
      <c r="G64" s="116"/>
    </row>
    <row r="65" spans="3:3" x14ac:dyDescent="0.25">
      <c r="C65" s="96"/>
    </row>
    <row r="66" spans="3:3" x14ac:dyDescent="0.25">
      <c r="C66" s="96"/>
    </row>
    <row r="67" spans="3:3" x14ac:dyDescent="0.25">
      <c r="C67" s="96"/>
    </row>
    <row r="68" spans="3:3" x14ac:dyDescent="0.25">
      <c r="C68" s="96"/>
    </row>
    <row r="69" spans="3:3" x14ac:dyDescent="0.25">
      <c r="C69" s="96"/>
    </row>
  </sheetData>
  <dataConsolidate/>
  <mergeCells count="3">
    <mergeCell ref="B4:D4"/>
    <mergeCell ref="L4:Q4"/>
    <mergeCell ref="F4:J4"/>
  </mergeCells>
  <printOptions horizontalCentered="1"/>
  <pageMargins left="0.5" right="0.5" top="1.5" bottom="0.5" header="0.3" footer="0.3"/>
  <pageSetup scale="67" orientation="landscape" r:id="rId1"/>
  <headerFooter>
    <oddFooter>&amp;RExhibit JW-9
Page &amp;P of &amp;N</oddFooter>
  </headerFooter>
  <ignoredErrors>
    <ignoredError sqref="G10:G11 G19:G29 G17 G13:G15 G12 G16 G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133"/>
  <sheetViews>
    <sheetView tabSelected="1" view="pageBreakPreview" zoomScaleNormal="85" zoomScaleSheetLayoutView="100" workbookViewId="0">
      <selection activeCell="T28" sqref="T28"/>
    </sheetView>
  </sheetViews>
  <sheetFormatPr defaultColWidth="9.140625" defaultRowHeight="15.75" x14ac:dyDescent="0.25"/>
  <cols>
    <col min="1" max="1" width="4.7109375" style="266" customWidth="1"/>
    <col min="2" max="2" width="15.42578125" style="266" customWidth="1"/>
    <col min="3" max="3" width="5.28515625" style="266" customWidth="1"/>
    <col min="4" max="4" width="15" style="266" bestFit="1" customWidth="1"/>
    <col min="5" max="5" width="16.28515625" style="266" bestFit="1" customWidth="1"/>
    <col min="6" max="6" width="3.140625" style="266" customWidth="1"/>
    <col min="7" max="7" width="16.42578125" style="266" customWidth="1"/>
    <col min="8" max="8" width="2.7109375" style="266" customWidth="1"/>
    <col min="9" max="10" width="16.42578125" style="266" customWidth="1"/>
    <col min="11" max="12" width="2.85546875" style="266" customWidth="1"/>
    <col min="13" max="13" width="4.7109375" style="266" customWidth="1"/>
    <col min="14" max="14" width="15.85546875" style="266" customWidth="1"/>
    <col min="15" max="15" width="3" style="266" customWidth="1"/>
    <col min="16" max="16" width="15.7109375" style="266" customWidth="1"/>
    <col min="17" max="17" width="15.140625" style="266" customWidth="1"/>
    <col min="18" max="18" width="2.42578125" style="266" customWidth="1"/>
    <col min="19" max="19" width="17.42578125" style="266" customWidth="1"/>
    <col min="20" max="20" width="13.7109375" style="266" customWidth="1"/>
    <col min="21" max="21" width="5.140625" style="266" bestFit="1" customWidth="1"/>
    <col min="22" max="16384" width="9.140625" style="266"/>
  </cols>
  <sheetData>
    <row r="1" spans="1:21" x14ac:dyDescent="0.25">
      <c r="A1" s="265" t="s">
        <v>129</v>
      </c>
      <c r="N1" s="265"/>
    </row>
    <row r="2" spans="1:21" x14ac:dyDescent="0.25">
      <c r="A2" s="265" t="str">
        <f>List!B6</f>
        <v>Residential Service</v>
      </c>
    </row>
    <row r="3" spans="1:21" ht="16.5" thickBot="1" x14ac:dyDescent="0.3">
      <c r="A3" s="267">
        <f>List!C6</f>
        <v>10</v>
      </c>
    </row>
    <row r="4" spans="1:21" x14ac:dyDescent="0.25">
      <c r="D4" s="268" t="s">
        <v>30</v>
      </c>
      <c r="E4" s="269"/>
      <c r="F4" s="269"/>
      <c r="G4" s="270"/>
      <c r="H4" s="271"/>
      <c r="I4" s="268" t="s">
        <v>108</v>
      </c>
      <c r="J4" s="270"/>
      <c r="K4" s="272"/>
      <c r="L4" s="271"/>
      <c r="P4" s="268" t="s">
        <v>90</v>
      </c>
      <c r="Q4" s="269"/>
      <c r="R4" s="269"/>
      <c r="S4" s="270"/>
    </row>
    <row r="5" spans="1:21" ht="16.5" thickBot="1" x14ac:dyDescent="0.3">
      <c r="A5" s="273"/>
      <c r="B5" s="274"/>
      <c r="C5" s="271"/>
      <c r="D5" s="275"/>
      <c r="E5" s="276"/>
      <c r="F5" s="276"/>
      <c r="G5" s="277"/>
      <c r="H5" s="271"/>
      <c r="I5" s="275"/>
      <c r="J5" s="277"/>
      <c r="K5" s="272"/>
      <c r="L5" s="271"/>
      <c r="M5" s="273"/>
      <c r="N5" s="274"/>
      <c r="O5" s="271"/>
      <c r="P5" s="275"/>
      <c r="Q5" s="276"/>
      <c r="R5" s="276"/>
      <c r="S5" s="277"/>
    </row>
    <row r="6" spans="1:21" x14ac:dyDescent="0.25">
      <c r="A6" s="278"/>
      <c r="B6" s="278"/>
      <c r="C6" s="278"/>
      <c r="D6" s="278" t="s">
        <v>1</v>
      </c>
      <c r="E6" s="278"/>
      <c r="F6" s="278"/>
      <c r="G6" s="278" t="s">
        <v>2</v>
      </c>
      <c r="H6" s="278"/>
      <c r="I6" s="278"/>
      <c r="J6" s="278" t="s">
        <v>2</v>
      </c>
      <c r="K6" s="279"/>
      <c r="L6" s="278"/>
      <c r="M6" s="278"/>
      <c r="N6" s="278"/>
      <c r="O6" s="278"/>
      <c r="P6" s="278" t="s">
        <v>1</v>
      </c>
      <c r="Q6" s="278"/>
      <c r="R6" s="278"/>
      <c r="S6" s="278" t="s">
        <v>2</v>
      </c>
    </row>
    <row r="7" spans="1:21" ht="16.5" thickBot="1" x14ac:dyDescent="0.3">
      <c r="A7" s="280"/>
      <c r="B7" s="280"/>
      <c r="C7" s="280"/>
      <c r="D7" s="280" t="s">
        <v>4</v>
      </c>
      <c r="E7" s="276" t="s">
        <v>5</v>
      </c>
      <c r="F7" s="276"/>
      <c r="G7" s="280" t="s">
        <v>6</v>
      </c>
      <c r="H7" s="280"/>
      <c r="I7" s="280" t="s">
        <v>5</v>
      </c>
      <c r="J7" s="280" t="s">
        <v>6</v>
      </c>
      <c r="K7" s="281"/>
      <c r="L7" s="280"/>
      <c r="M7" s="280"/>
      <c r="N7" s="280"/>
      <c r="O7" s="280"/>
      <c r="P7" s="280" t="s">
        <v>4</v>
      </c>
      <c r="Q7" s="276" t="s">
        <v>5</v>
      </c>
      <c r="R7" s="276"/>
      <c r="S7" s="280" t="s">
        <v>6</v>
      </c>
      <c r="T7" s="280" t="s">
        <v>59</v>
      </c>
    </row>
    <row r="8" spans="1:21" x14ac:dyDescent="0.25">
      <c r="K8" s="282"/>
    </row>
    <row r="9" spans="1:21" x14ac:dyDescent="0.25">
      <c r="A9" s="283" t="s">
        <v>10</v>
      </c>
      <c r="K9" s="282"/>
      <c r="M9" s="283" t="s">
        <v>10</v>
      </c>
    </row>
    <row r="10" spans="1:21" x14ac:dyDescent="0.25">
      <c r="D10" s="284" t="s">
        <v>94</v>
      </c>
      <c r="E10" s="284" t="s">
        <v>95</v>
      </c>
      <c r="I10" s="284" t="s">
        <v>95</v>
      </c>
      <c r="K10" s="282"/>
      <c r="P10" s="285" t="s">
        <v>94</v>
      </c>
      <c r="Q10" s="285" t="s">
        <v>95</v>
      </c>
    </row>
    <row r="11" spans="1:21" x14ac:dyDescent="0.25">
      <c r="B11" s="266" t="s">
        <v>107</v>
      </c>
      <c r="D11" s="286">
        <f>'Billing Determ'!Q6</f>
        <v>577526</v>
      </c>
      <c r="E11" s="74">
        <f>'Present and Proposed Rates'!F9</f>
        <v>24.76</v>
      </c>
      <c r="G11" s="287">
        <f>D11*E11</f>
        <v>14299543.760000002</v>
      </c>
      <c r="H11" s="287"/>
      <c r="I11" s="74">
        <f>'Present and Proposed Rates'!G9</f>
        <v>24.76</v>
      </c>
      <c r="J11" s="287">
        <f>I11*D11</f>
        <v>14299543.760000002</v>
      </c>
      <c r="K11" s="288"/>
      <c r="L11" s="287"/>
      <c r="N11" s="266" t="s">
        <v>102</v>
      </c>
      <c r="P11" s="286">
        <f>D11</f>
        <v>577526</v>
      </c>
      <c r="Q11" s="74">
        <f>'Present and Proposed Rates'!H9</f>
        <v>36.479999999999997</v>
      </c>
      <c r="S11" s="287">
        <f>P11*Q11</f>
        <v>21068148.479999997</v>
      </c>
      <c r="T11" s="287">
        <f>S11-J11</f>
        <v>6768604.7199999951</v>
      </c>
      <c r="U11" s="299">
        <f>IF(J11=0,0,T11/J11)</f>
        <v>0.47334410339256827</v>
      </c>
    </row>
    <row r="12" spans="1:21" x14ac:dyDescent="0.25">
      <c r="D12" s="286"/>
      <c r="G12" s="287"/>
      <c r="H12" s="287"/>
      <c r="J12" s="287"/>
      <c r="K12" s="288"/>
      <c r="L12" s="287"/>
      <c r="P12" s="286"/>
      <c r="S12" s="287"/>
    </row>
    <row r="13" spans="1:21" x14ac:dyDescent="0.25">
      <c r="A13" s="265" t="s">
        <v>7</v>
      </c>
      <c r="D13" s="286"/>
      <c r="G13" s="287"/>
      <c r="H13" s="287"/>
      <c r="J13" s="287"/>
      <c r="K13" s="288"/>
      <c r="L13" s="287"/>
      <c r="M13" s="265" t="s">
        <v>7</v>
      </c>
      <c r="P13" s="286"/>
      <c r="S13" s="287"/>
    </row>
    <row r="14" spans="1:21" x14ac:dyDescent="0.25">
      <c r="D14" s="289" t="s">
        <v>8</v>
      </c>
      <c r="E14" s="290" t="s">
        <v>11</v>
      </c>
      <c r="G14" s="287"/>
      <c r="H14" s="287"/>
      <c r="I14" s="290" t="s">
        <v>11</v>
      </c>
      <c r="J14" s="287"/>
      <c r="K14" s="288"/>
      <c r="L14" s="287"/>
      <c r="P14" s="291" t="s">
        <v>8</v>
      </c>
      <c r="Q14" s="292" t="s">
        <v>11</v>
      </c>
      <c r="S14" s="287"/>
    </row>
    <row r="15" spans="1:21" x14ac:dyDescent="0.25">
      <c r="B15" s="266" t="s">
        <v>164</v>
      </c>
      <c r="D15" s="286">
        <f>'Billing Determ'!Q177</f>
        <v>576919032</v>
      </c>
      <c r="E15" s="293">
        <f>'Present and Proposed Rates'!F10</f>
        <v>8.9980000000000004E-2</v>
      </c>
      <c r="G15" s="287">
        <f>D15*E15</f>
        <v>51911174.499360003</v>
      </c>
      <c r="H15" s="287"/>
      <c r="I15" s="293">
        <f>'Present and Proposed Rates'!G10</f>
        <v>0.1018</v>
      </c>
      <c r="J15" s="287">
        <f>D15*I15</f>
        <v>58730357.457599998</v>
      </c>
      <c r="K15" s="288"/>
      <c r="L15" s="287"/>
      <c r="N15" s="266" t="s">
        <v>164</v>
      </c>
      <c r="P15" s="286">
        <f>D15</f>
        <v>576919032</v>
      </c>
      <c r="Q15" s="293">
        <f>'Present and Proposed Rates'!H10</f>
        <v>0.10011</v>
      </c>
      <c r="S15" s="287">
        <f>P15*Q15</f>
        <v>57755364.293520004</v>
      </c>
      <c r="T15" s="287">
        <f>S15-J15</f>
        <v>-974993.16407999396</v>
      </c>
      <c r="U15" s="299">
        <f>IF(J15=0,0,T15/J15)</f>
        <v>-1.6601178781925241E-2</v>
      </c>
    </row>
    <row r="16" spans="1:21" x14ac:dyDescent="0.25">
      <c r="A16" s="265"/>
      <c r="B16" s="265"/>
      <c r="C16" s="294"/>
      <c r="D16" s="286"/>
      <c r="E16" s="293"/>
      <c r="G16" s="287"/>
      <c r="H16" s="287"/>
      <c r="I16" s="287"/>
      <c r="J16" s="287"/>
      <c r="K16" s="288"/>
      <c r="L16" s="287"/>
      <c r="M16" s="265"/>
      <c r="N16" s="265"/>
      <c r="O16" s="294"/>
      <c r="P16" s="286"/>
      <c r="Q16" s="293"/>
      <c r="S16" s="287"/>
    </row>
    <row r="17" spans="1:21" x14ac:dyDescent="0.25">
      <c r="A17" s="265" t="s">
        <v>99</v>
      </c>
      <c r="B17" s="265"/>
      <c r="C17" s="294"/>
      <c r="D17" s="286"/>
      <c r="E17" s="293"/>
      <c r="G17" s="287"/>
      <c r="H17" s="287"/>
      <c r="I17" s="287"/>
      <c r="J17" s="287"/>
      <c r="K17" s="288"/>
      <c r="L17" s="287"/>
      <c r="M17" s="265" t="s">
        <v>99</v>
      </c>
      <c r="N17" s="265"/>
      <c r="O17" s="294"/>
      <c r="P17" s="286"/>
      <c r="Q17" s="293"/>
      <c r="S17" s="287"/>
    </row>
    <row r="18" spans="1:21" x14ac:dyDescent="0.25">
      <c r="A18" s="265"/>
      <c r="B18" s="266" t="s">
        <v>93</v>
      </c>
      <c r="C18" s="294"/>
      <c r="D18" s="286"/>
      <c r="E18" s="293"/>
      <c r="G18" s="287">
        <f>'Billing Determ'!Q101</f>
        <v>6756029.5600000005</v>
      </c>
      <c r="H18" s="287"/>
      <c r="I18" s="287"/>
      <c r="J18" s="287">
        <f>G18-(J15-G15)</f>
        <v>-63153.398239994422</v>
      </c>
      <c r="K18" s="288"/>
      <c r="L18" s="287"/>
      <c r="M18" s="265"/>
      <c r="N18" s="266" t="s">
        <v>93</v>
      </c>
      <c r="O18" s="294"/>
      <c r="P18" s="286"/>
      <c r="Q18" s="293"/>
      <c r="S18" s="287">
        <f>J18</f>
        <v>-63153.398239994422</v>
      </c>
      <c r="T18" s="287">
        <f>S18-J18</f>
        <v>0</v>
      </c>
      <c r="U18" s="299">
        <f t="shared" ref="U18:U20" si="0">IF(J18=0,0,T18/J18)</f>
        <v>0</v>
      </c>
    </row>
    <row r="19" spans="1:21" x14ac:dyDescent="0.25">
      <c r="A19" s="265"/>
      <c r="B19" s="266" t="s">
        <v>101</v>
      </c>
      <c r="C19" s="294"/>
      <c r="D19" s="286"/>
      <c r="E19" s="293"/>
      <c r="G19" s="287">
        <f>'Billing Determ'!Q117</f>
        <v>7428422.4699999997</v>
      </c>
      <c r="H19" s="287"/>
      <c r="I19" s="287"/>
      <c r="J19" s="287">
        <f>G19</f>
        <v>7428422.4699999997</v>
      </c>
      <c r="K19" s="288"/>
      <c r="L19" s="287"/>
      <c r="M19" s="265"/>
      <c r="N19" s="266" t="s">
        <v>101</v>
      </c>
      <c r="O19" s="294"/>
      <c r="P19" s="286"/>
      <c r="Q19" s="293"/>
      <c r="S19" s="287">
        <f>J19</f>
        <v>7428422.4699999997</v>
      </c>
      <c r="T19" s="287">
        <f>S19-J19</f>
        <v>0</v>
      </c>
      <c r="U19" s="299">
        <f t="shared" si="0"/>
        <v>0</v>
      </c>
    </row>
    <row r="20" spans="1:21" x14ac:dyDescent="0.25">
      <c r="A20" s="265"/>
      <c r="B20" s="266" t="s">
        <v>139</v>
      </c>
      <c r="C20" s="294"/>
      <c r="D20" s="286"/>
      <c r="E20" s="293"/>
      <c r="G20" s="287">
        <f>Lighting!L49*0</f>
        <v>0</v>
      </c>
      <c r="H20" s="287"/>
      <c r="I20" s="287"/>
      <c r="J20" s="287">
        <f>G20</f>
        <v>0</v>
      </c>
      <c r="K20" s="288"/>
      <c r="L20" s="287"/>
      <c r="M20" s="265"/>
      <c r="N20" s="266" t="s">
        <v>139</v>
      </c>
      <c r="O20" s="294"/>
      <c r="P20" s="286"/>
      <c r="Q20" s="293"/>
      <c r="S20" s="287">
        <f>J20</f>
        <v>0</v>
      </c>
      <c r="T20" s="287">
        <f>S20-J20</f>
        <v>0</v>
      </c>
      <c r="U20" s="299">
        <f t="shared" si="0"/>
        <v>0</v>
      </c>
    </row>
    <row r="21" spans="1:21" x14ac:dyDescent="0.25">
      <c r="A21" s="265"/>
      <c r="D21" s="44"/>
      <c r="G21" s="287"/>
      <c r="H21" s="287"/>
      <c r="I21" s="287"/>
      <c r="J21" s="287"/>
      <c r="K21" s="288"/>
      <c r="L21" s="287"/>
      <c r="M21" s="265"/>
      <c r="S21" s="287"/>
    </row>
    <row r="22" spans="1:21" ht="16.5" thickBot="1" x14ac:dyDescent="0.3">
      <c r="A22" s="265" t="s">
        <v>80</v>
      </c>
      <c r="G22" s="295">
        <f>SUM(G11:G20)</f>
        <v>80395170.289360002</v>
      </c>
      <c r="H22" s="287"/>
      <c r="I22" s="287"/>
      <c r="J22" s="295">
        <f>SUM(J11:J20)</f>
        <v>80395170.289360002</v>
      </c>
      <c r="K22" s="288"/>
      <c r="L22" s="287"/>
      <c r="M22" s="265" t="s">
        <v>80</v>
      </c>
      <c r="S22" s="295">
        <f>SUM(S11:S20)</f>
        <v>86188781.845279992</v>
      </c>
      <c r="T22" s="287">
        <f>S22-J22</f>
        <v>5793611.5559199899</v>
      </c>
      <c r="U22" s="299">
        <f>IF(J22=0,0,T22/J22)</f>
        <v>7.2064174191901087E-2</v>
      </c>
    </row>
    <row r="23" spans="1:21" ht="16.5" thickTop="1" x14ac:dyDescent="0.25">
      <c r="A23" s="265"/>
      <c r="B23" s="265"/>
      <c r="G23" s="287"/>
      <c r="H23" s="287"/>
      <c r="I23" s="287"/>
      <c r="J23" s="287"/>
      <c r="K23" s="288"/>
      <c r="L23" s="287"/>
      <c r="M23" s="265"/>
      <c r="N23" s="265"/>
      <c r="S23" s="287"/>
      <c r="U23" s="299"/>
    </row>
    <row r="24" spans="1:21" x14ac:dyDescent="0.25">
      <c r="A24" s="265" t="s">
        <v>19</v>
      </c>
      <c r="B24" s="296"/>
      <c r="G24" s="287">
        <f>'Billing Determ'!Q86</f>
        <v>79408476.789999992</v>
      </c>
      <c r="H24" s="287"/>
      <c r="I24" s="287"/>
      <c r="J24" s="287"/>
      <c r="K24" s="288"/>
      <c r="L24" s="287"/>
      <c r="M24" s="265" t="s">
        <v>109</v>
      </c>
      <c r="N24" s="296"/>
      <c r="S24" s="86">
        <f>S22-J22</f>
        <v>5793611.5559199899</v>
      </c>
    </row>
    <row r="25" spans="1:21" x14ac:dyDescent="0.25">
      <c r="A25" s="296"/>
      <c r="B25" s="296"/>
      <c r="G25" s="296"/>
      <c r="H25" s="296"/>
      <c r="I25" s="296"/>
      <c r="J25" s="296"/>
      <c r="K25" s="297"/>
      <c r="L25" s="296"/>
      <c r="N25" s="296"/>
      <c r="S25" s="296"/>
    </row>
    <row r="26" spans="1:21" x14ac:dyDescent="0.25">
      <c r="A26" s="265" t="s">
        <v>13</v>
      </c>
      <c r="B26" s="296"/>
      <c r="G26" s="46">
        <f>G22-G24</f>
        <v>986693.49936001003</v>
      </c>
      <c r="H26" s="46"/>
      <c r="I26" s="46"/>
      <c r="J26" s="46">
        <f>J22-G22</f>
        <v>0</v>
      </c>
      <c r="K26" s="298"/>
      <c r="L26" s="48"/>
      <c r="M26" s="265" t="s">
        <v>110</v>
      </c>
      <c r="N26" s="296"/>
      <c r="S26" s="299">
        <f>S24/J22</f>
        <v>7.2064174191901087E-2</v>
      </c>
    </row>
    <row r="27" spans="1:21" x14ac:dyDescent="0.25">
      <c r="A27" s="296"/>
      <c r="B27" s="296"/>
      <c r="G27" s="287"/>
      <c r="H27" s="287"/>
      <c r="I27" s="287"/>
      <c r="J27" s="287"/>
      <c r="K27" s="288"/>
      <c r="L27" s="287"/>
      <c r="N27" s="296"/>
      <c r="S27" s="287"/>
    </row>
    <row r="28" spans="1:21" x14ac:dyDescent="0.25">
      <c r="A28" s="265" t="s">
        <v>26</v>
      </c>
      <c r="B28" s="296"/>
      <c r="G28" s="47">
        <f>G26/G24</f>
        <v>1.242554371077252E-2</v>
      </c>
      <c r="H28" s="47"/>
      <c r="I28" s="47"/>
      <c r="J28" s="47">
        <f>J26/G24</f>
        <v>0</v>
      </c>
      <c r="K28" s="300"/>
      <c r="L28" s="47"/>
      <c r="M28" s="265" t="s">
        <v>85</v>
      </c>
      <c r="N28" s="296"/>
      <c r="S28" s="90">
        <f>S24/P11</f>
        <v>10.031776155393853</v>
      </c>
    </row>
    <row r="29" spans="1:21" x14ac:dyDescent="0.25">
      <c r="A29" s="265"/>
      <c r="B29" s="296"/>
      <c r="D29" s="44">
        <f>D15/D11</f>
        <v>998.9490204770002</v>
      </c>
      <c r="G29" s="47"/>
      <c r="H29" s="47"/>
      <c r="I29" s="47"/>
      <c r="J29" s="47"/>
      <c r="K29" s="47"/>
      <c r="L29" s="47"/>
      <c r="M29" s="265"/>
      <c r="N29" s="296"/>
      <c r="S29" s="47"/>
    </row>
    <row r="30" spans="1:21" x14ac:dyDescent="0.25">
      <c r="A30" s="265"/>
      <c r="B30" s="296"/>
      <c r="C30" s="296"/>
      <c r="D30" s="44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S30" s="47"/>
    </row>
    <row r="31" spans="1:21" x14ac:dyDescent="0.25">
      <c r="A31" s="265"/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S31" s="47"/>
    </row>
    <row r="32" spans="1:21" x14ac:dyDescent="0.25">
      <c r="A32" s="265"/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S32" s="47"/>
    </row>
    <row r="33" spans="1:20" x14ac:dyDescent="0.25">
      <c r="A33" s="265"/>
      <c r="B33" s="296"/>
      <c r="G33" s="47"/>
      <c r="H33" s="47"/>
      <c r="I33" s="47"/>
      <c r="J33" s="47"/>
      <c r="K33" s="47"/>
      <c r="L33" s="47"/>
      <c r="M33" s="265"/>
      <c r="N33" s="296"/>
      <c r="S33" s="47"/>
    </row>
    <row r="34" spans="1:20" x14ac:dyDescent="0.25">
      <c r="A34" s="265"/>
      <c r="B34" s="296"/>
      <c r="G34" s="47"/>
      <c r="H34" s="47"/>
      <c r="I34" s="47"/>
      <c r="J34" s="47"/>
      <c r="K34" s="47"/>
      <c r="L34" s="47"/>
      <c r="M34" s="265"/>
      <c r="N34" s="296"/>
      <c r="S34" s="47"/>
    </row>
    <row r="35" spans="1:20" ht="18.75" customHeight="1" x14ac:dyDescent="0.25">
      <c r="A35" s="265"/>
      <c r="B35" s="287"/>
      <c r="G35" s="47"/>
      <c r="H35" s="47"/>
      <c r="I35" s="47"/>
      <c r="J35" s="47"/>
      <c r="K35" s="47"/>
      <c r="L35" s="47"/>
    </row>
    <row r="36" spans="1:20" x14ac:dyDescent="0.25">
      <c r="E36" s="287"/>
    </row>
    <row r="41" spans="1:20" x14ac:dyDescent="0.25">
      <c r="T41" s="301"/>
    </row>
    <row r="42" spans="1:20" x14ac:dyDescent="0.25">
      <c r="T42" s="301"/>
    </row>
    <row r="43" spans="1:20" x14ac:dyDescent="0.25">
      <c r="T43" s="301"/>
    </row>
    <row r="44" spans="1:20" x14ac:dyDescent="0.25">
      <c r="T44" s="301"/>
    </row>
    <row r="45" spans="1:20" x14ac:dyDescent="0.25">
      <c r="T45" s="301"/>
    </row>
    <row r="46" spans="1:20" x14ac:dyDescent="0.25">
      <c r="T46" s="301"/>
    </row>
    <row r="47" spans="1:20" x14ac:dyDescent="0.25">
      <c r="T47" s="301"/>
    </row>
    <row r="48" spans="1:20" x14ac:dyDescent="0.25">
      <c r="T48" s="301"/>
    </row>
    <row r="49" spans="20:20" x14ac:dyDescent="0.25">
      <c r="T49" s="301"/>
    </row>
    <row r="50" spans="20:20" ht="16.5" customHeight="1" x14ac:dyDescent="0.25">
      <c r="T50" s="301"/>
    </row>
    <row r="51" spans="20:20" x14ac:dyDescent="0.25">
      <c r="T51" s="301"/>
    </row>
    <row r="52" spans="20:20" x14ac:dyDescent="0.25">
      <c r="T52" s="301"/>
    </row>
    <row r="55" spans="20:20" x14ac:dyDescent="0.25">
      <c r="T55" s="302"/>
    </row>
    <row r="56" spans="20:20" x14ac:dyDescent="0.25">
      <c r="T56" s="302"/>
    </row>
    <row r="58" spans="20:20" x14ac:dyDescent="0.25">
      <c r="T58" s="302"/>
    </row>
    <row r="59" spans="20:20" x14ac:dyDescent="0.25">
      <c r="T59" s="302"/>
    </row>
    <row r="60" spans="20:20" x14ac:dyDescent="0.25">
      <c r="T60" s="302"/>
    </row>
    <row r="61" spans="20:20" x14ac:dyDescent="0.25">
      <c r="T61" s="302"/>
    </row>
    <row r="62" spans="20:20" x14ac:dyDescent="0.25">
      <c r="T62" s="302"/>
    </row>
    <row r="63" spans="20:20" x14ac:dyDescent="0.25">
      <c r="T63" s="302"/>
    </row>
    <row r="64" spans="20:20" x14ac:dyDescent="0.25">
      <c r="T64" s="302"/>
    </row>
    <row r="65" spans="20:20" x14ac:dyDescent="0.25">
      <c r="T65" s="302"/>
    </row>
    <row r="66" spans="20:20" x14ac:dyDescent="0.25">
      <c r="T66" s="302"/>
    </row>
    <row r="67" spans="20:20" x14ac:dyDescent="0.25">
      <c r="T67" s="302"/>
    </row>
    <row r="68" spans="20:20" x14ac:dyDescent="0.25">
      <c r="T68" s="302"/>
    </row>
    <row r="69" spans="20:20" x14ac:dyDescent="0.25">
      <c r="T69" s="302"/>
    </row>
    <row r="70" spans="20:20" x14ac:dyDescent="0.25">
      <c r="T70" s="303"/>
    </row>
    <row r="71" spans="20:20" x14ac:dyDescent="0.25">
      <c r="T71" s="303"/>
    </row>
    <row r="72" spans="20:20" x14ac:dyDescent="0.25">
      <c r="T72" s="303"/>
    </row>
    <row r="73" spans="20:20" x14ac:dyDescent="0.25">
      <c r="T73" s="303"/>
    </row>
    <row r="74" spans="20:20" x14ac:dyDescent="0.25">
      <c r="T74" s="303"/>
    </row>
    <row r="75" spans="20:20" x14ac:dyDescent="0.25">
      <c r="T75" s="303"/>
    </row>
    <row r="76" spans="20:20" x14ac:dyDescent="0.25">
      <c r="T76" s="303"/>
    </row>
    <row r="77" spans="20:20" x14ac:dyDescent="0.25">
      <c r="T77" s="303"/>
    </row>
    <row r="78" spans="20:20" x14ac:dyDescent="0.25">
      <c r="T78" s="303"/>
    </row>
    <row r="79" spans="20:20" x14ac:dyDescent="0.25">
      <c r="T79" s="303"/>
    </row>
    <row r="80" spans="20:20" x14ac:dyDescent="0.25">
      <c r="T80" s="303"/>
    </row>
    <row r="81" spans="20:20" x14ac:dyDescent="0.25">
      <c r="T81" s="303"/>
    </row>
    <row r="82" spans="20:20" x14ac:dyDescent="0.25">
      <c r="T82" s="303"/>
    </row>
    <row r="83" spans="20:20" ht="15" customHeight="1" x14ac:dyDescent="0.25">
      <c r="T83" s="303"/>
    </row>
    <row r="84" spans="20:20" x14ac:dyDescent="0.25">
      <c r="T84" s="303"/>
    </row>
    <row r="85" spans="20:20" x14ac:dyDescent="0.25">
      <c r="T85" s="303"/>
    </row>
    <row r="86" spans="20:20" x14ac:dyDescent="0.25">
      <c r="T86" s="303"/>
    </row>
    <row r="87" spans="20:20" x14ac:dyDescent="0.25">
      <c r="T87" s="303"/>
    </row>
    <row r="88" spans="20:20" x14ac:dyDescent="0.25">
      <c r="T88" s="303"/>
    </row>
    <row r="89" spans="20:20" x14ac:dyDescent="0.25">
      <c r="T89" s="303"/>
    </row>
    <row r="90" spans="20:20" x14ac:dyDescent="0.25">
      <c r="T90" s="303"/>
    </row>
    <row r="91" spans="20:20" x14ac:dyDescent="0.25">
      <c r="T91" s="303"/>
    </row>
    <row r="92" spans="20:20" x14ac:dyDescent="0.25">
      <c r="T92" s="303"/>
    </row>
    <row r="93" spans="20:20" x14ac:dyDescent="0.25">
      <c r="T93" s="303"/>
    </row>
    <row r="94" spans="20:20" x14ac:dyDescent="0.25">
      <c r="T94" s="303"/>
    </row>
    <row r="95" spans="20:20" x14ac:dyDescent="0.25">
      <c r="T95" s="303"/>
    </row>
    <row r="96" spans="20:20" x14ac:dyDescent="0.25">
      <c r="T96" s="303"/>
    </row>
    <row r="97" spans="20:20" x14ac:dyDescent="0.25">
      <c r="T97" s="303"/>
    </row>
    <row r="98" spans="20:20" x14ac:dyDescent="0.25">
      <c r="T98" s="303"/>
    </row>
    <row r="99" spans="20:20" x14ac:dyDescent="0.25">
      <c r="T99" s="303"/>
    </row>
    <row r="100" spans="20:20" x14ac:dyDescent="0.25">
      <c r="T100" s="303"/>
    </row>
    <row r="101" spans="20:20" x14ac:dyDescent="0.25">
      <c r="T101" s="303"/>
    </row>
    <row r="102" spans="20:20" x14ac:dyDescent="0.25">
      <c r="T102" s="303"/>
    </row>
    <row r="103" spans="20:20" x14ac:dyDescent="0.25">
      <c r="T103" s="303"/>
    </row>
    <row r="104" spans="20:20" x14ac:dyDescent="0.25">
      <c r="T104" s="303"/>
    </row>
    <row r="105" spans="20:20" x14ac:dyDescent="0.25">
      <c r="T105" s="303"/>
    </row>
    <row r="106" spans="20:20" x14ac:dyDescent="0.25">
      <c r="T106" s="303"/>
    </row>
    <row r="107" spans="20:20" x14ac:dyDescent="0.25">
      <c r="T107" s="303"/>
    </row>
    <row r="108" spans="20:20" x14ac:dyDescent="0.25">
      <c r="T108" s="303"/>
    </row>
    <row r="109" spans="20:20" x14ac:dyDescent="0.25">
      <c r="T109" s="303"/>
    </row>
    <row r="110" spans="20:20" x14ac:dyDescent="0.25">
      <c r="T110" s="303"/>
    </row>
    <row r="111" spans="20:20" x14ac:dyDescent="0.25">
      <c r="T111" s="303"/>
    </row>
    <row r="112" spans="20:20" x14ac:dyDescent="0.25">
      <c r="T112" s="303"/>
    </row>
    <row r="113" spans="20:20" x14ac:dyDescent="0.25">
      <c r="T113" s="303"/>
    </row>
    <row r="114" spans="20:20" x14ac:dyDescent="0.25">
      <c r="T114" s="303"/>
    </row>
    <row r="115" spans="20:20" x14ac:dyDescent="0.25">
      <c r="T115" s="303"/>
    </row>
    <row r="129" spans="3:14" x14ac:dyDescent="0.25">
      <c r="N129" s="302"/>
    </row>
    <row r="130" spans="3:14" x14ac:dyDescent="0.25">
      <c r="C130" s="302"/>
      <c r="D130" s="302"/>
      <c r="N130" s="302"/>
    </row>
    <row r="131" spans="3:14" x14ac:dyDescent="0.25">
      <c r="C131" s="304"/>
      <c r="D131" s="305"/>
      <c r="E131" s="306"/>
      <c r="N131" s="302"/>
    </row>
    <row r="132" spans="3:14" x14ac:dyDescent="0.25">
      <c r="C132" s="304"/>
      <c r="D132" s="305"/>
      <c r="E132" s="306"/>
      <c r="N132" s="302"/>
    </row>
    <row r="133" spans="3:14" x14ac:dyDescent="0.25">
      <c r="C133" s="304"/>
      <c r="D133" s="305"/>
      <c r="E133" s="306"/>
      <c r="N133" s="302"/>
    </row>
  </sheetData>
  <mergeCells count="5">
    <mergeCell ref="D4:G5"/>
    <mergeCell ref="E7:F7"/>
    <mergeCell ref="P4:S5"/>
    <mergeCell ref="Q7:R7"/>
    <mergeCell ref="I4:J5"/>
  </mergeCells>
  <pageMargins left="0.75" right="0.75" top="1" bottom="1" header="0.5" footer="0.5"/>
  <pageSetup scale="58" orientation="landscape" r:id="rId1"/>
  <headerFooter alignWithMargins="0">
    <oddFooter>&amp;RExhibit JW-9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135"/>
  <sheetViews>
    <sheetView tabSelected="1" view="pageBreakPreview" zoomScale="75" zoomScaleNormal="85" zoomScaleSheetLayoutView="75" workbookViewId="0">
      <selection activeCell="T28" sqref="T28"/>
    </sheetView>
  </sheetViews>
  <sheetFormatPr defaultColWidth="9.140625" defaultRowHeight="15.75" x14ac:dyDescent="0.25"/>
  <cols>
    <col min="1" max="1" width="4.7109375" style="266" customWidth="1"/>
    <col min="2" max="2" width="14.42578125" style="266" customWidth="1"/>
    <col min="3" max="3" width="3" style="266" customWidth="1"/>
    <col min="4" max="4" width="14.28515625" style="266" customWidth="1"/>
    <col min="5" max="5" width="16.28515625" style="266" bestFit="1" customWidth="1"/>
    <col min="6" max="6" width="2.5703125" style="266" customWidth="1"/>
    <col min="7" max="7" width="14" style="266" customWidth="1"/>
    <col min="8" max="8" width="2.85546875" style="266" customWidth="1"/>
    <col min="9" max="9" width="16" style="266" customWidth="1"/>
    <col min="10" max="10" width="13" style="266" customWidth="1"/>
    <col min="11" max="11" width="2.85546875" style="266" customWidth="1"/>
    <col min="12" max="12" width="5.28515625" style="266" customWidth="1"/>
    <col min="13" max="13" width="15.28515625" style="266" customWidth="1"/>
    <col min="14" max="14" width="2.85546875" style="266" customWidth="1"/>
    <col min="15" max="15" width="14" style="266" customWidth="1"/>
    <col min="16" max="16" width="15" style="266" customWidth="1"/>
    <col min="17" max="17" width="2.7109375" style="266" customWidth="1"/>
    <col min="18" max="18" width="16.140625" style="266" customWidth="1"/>
    <col min="19" max="19" width="13.7109375" style="266" customWidth="1"/>
    <col min="20" max="16384" width="9.140625" style="266"/>
  </cols>
  <sheetData>
    <row r="1" spans="1:19" x14ac:dyDescent="0.25">
      <c r="A1" s="265" t="s">
        <v>129</v>
      </c>
      <c r="M1" s="265"/>
    </row>
    <row r="2" spans="1:19" x14ac:dyDescent="0.25">
      <c r="A2" s="267" t="str">
        <f>List!B7</f>
        <v>Residential Off Peak ETS</v>
      </c>
    </row>
    <row r="3" spans="1:19" ht="16.5" thickBot="1" x14ac:dyDescent="0.3">
      <c r="A3" s="267">
        <f>List!C7</f>
        <v>11</v>
      </c>
    </row>
    <row r="4" spans="1:19" x14ac:dyDescent="0.25">
      <c r="D4" s="268" t="s">
        <v>30</v>
      </c>
      <c r="E4" s="269"/>
      <c r="F4" s="269"/>
      <c r="G4" s="270"/>
      <c r="H4" s="271"/>
      <c r="I4" s="268" t="s">
        <v>108</v>
      </c>
      <c r="J4" s="270"/>
      <c r="K4" s="282"/>
      <c r="O4" s="268" t="s">
        <v>90</v>
      </c>
      <c r="P4" s="269"/>
      <c r="Q4" s="269"/>
      <c r="R4" s="270"/>
    </row>
    <row r="5" spans="1:19" ht="16.5" thickBot="1" x14ac:dyDescent="0.3">
      <c r="A5" s="273"/>
      <c r="B5" s="274"/>
      <c r="C5" s="271"/>
      <c r="D5" s="275"/>
      <c r="E5" s="276"/>
      <c r="F5" s="276"/>
      <c r="G5" s="277"/>
      <c r="H5" s="271"/>
      <c r="I5" s="275"/>
      <c r="J5" s="277"/>
      <c r="K5" s="282"/>
      <c r="L5" s="273"/>
      <c r="M5" s="274"/>
      <c r="N5" s="271"/>
      <c r="O5" s="275"/>
      <c r="P5" s="276"/>
      <c r="Q5" s="276"/>
      <c r="R5" s="277"/>
    </row>
    <row r="6" spans="1:19" x14ac:dyDescent="0.25">
      <c r="A6" s="278"/>
      <c r="B6" s="278"/>
      <c r="C6" s="278"/>
      <c r="D6" s="278" t="s">
        <v>1</v>
      </c>
      <c r="E6" s="278"/>
      <c r="F6" s="278"/>
      <c r="G6" s="278" t="s">
        <v>2</v>
      </c>
      <c r="H6" s="278"/>
      <c r="I6" s="278"/>
      <c r="J6" s="278" t="s">
        <v>2</v>
      </c>
      <c r="K6" s="282"/>
      <c r="L6" s="278"/>
      <c r="M6" s="278"/>
      <c r="N6" s="278"/>
      <c r="O6" s="278" t="s">
        <v>1</v>
      </c>
      <c r="P6" s="278"/>
      <c r="Q6" s="278"/>
      <c r="R6" s="278" t="s">
        <v>2</v>
      </c>
    </row>
    <row r="7" spans="1:19" ht="16.5" thickBot="1" x14ac:dyDescent="0.3">
      <c r="A7" s="280"/>
      <c r="B7" s="280"/>
      <c r="C7" s="280"/>
      <c r="D7" s="280" t="s">
        <v>4</v>
      </c>
      <c r="E7" s="276" t="s">
        <v>5</v>
      </c>
      <c r="F7" s="276"/>
      <c r="G7" s="280" t="s">
        <v>6</v>
      </c>
      <c r="H7" s="280"/>
      <c r="I7" s="280" t="s">
        <v>5</v>
      </c>
      <c r="J7" s="280" t="s">
        <v>6</v>
      </c>
      <c r="K7" s="281"/>
      <c r="L7" s="280"/>
      <c r="M7" s="280"/>
      <c r="N7" s="280"/>
      <c r="O7" s="280" t="s">
        <v>4</v>
      </c>
      <c r="P7" s="276" t="s">
        <v>5</v>
      </c>
      <c r="Q7" s="276"/>
      <c r="R7" s="280" t="s">
        <v>6</v>
      </c>
      <c r="S7" s="280" t="s">
        <v>59</v>
      </c>
    </row>
    <row r="8" spans="1:19" x14ac:dyDescent="0.25">
      <c r="K8" s="282"/>
    </row>
    <row r="9" spans="1:19" x14ac:dyDescent="0.25">
      <c r="K9" s="282"/>
    </row>
    <row r="10" spans="1:19" x14ac:dyDescent="0.25">
      <c r="A10" s="283" t="s">
        <v>10</v>
      </c>
      <c r="K10" s="282"/>
      <c r="L10" s="283" t="s">
        <v>10</v>
      </c>
    </row>
    <row r="11" spans="1:19" x14ac:dyDescent="0.25">
      <c r="D11" s="284" t="s">
        <v>94</v>
      </c>
      <c r="E11" s="284" t="s">
        <v>95</v>
      </c>
      <c r="I11" s="284" t="s">
        <v>95</v>
      </c>
      <c r="K11" s="282"/>
      <c r="O11" s="285" t="s">
        <v>94</v>
      </c>
      <c r="P11" s="285" t="s">
        <v>95</v>
      </c>
      <c r="S11" s="287"/>
    </row>
    <row r="12" spans="1:19" x14ac:dyDescent="0.25">
      <c r="B12" s="266" t="s">
        <v>107</v>
      </c>
      <c r="D12" s="286">
        <f>'Billing Determ'!Q7</f>
        <v>4318</v>
      </c>
      <c r="E12" s="74">
        <f>'Present and Proposed Rates'!F11</f>
        <v>0</v>
      </c>
      <c r="G12" s="287">
        <f>D12*E12</f>
        <v>0</v>
      </c>
      <c r="H12" s="287"/>
      <c r="I12" s="74">
        <f>'Present and Proposed Rates'!G11</f>
        <v>0</v>
      </c>
      <c r="J12" s="86">
        <f>I12*D12</f>
        <v>0</v>
      </c>
      <c r="K12" s="288"/>
      <c r="M12" s="266" t="s">
        <v>102</v>
      </c>
      <c r="O12" s="286">
        <f>D12</f>
        <v>4318</v>
      </c>
      <c r="P12" s="74">
        <f>'Present and Proposed Rates'!H11</f>
        <v>0</v>
      </c>
      <c r="R12" s="287">
        <f>O12*P12</f>
        <v>0</v>
      </c>
      <c r="S12" s="287">
        <f>R12-J12</f>
        <v>0</v>
      </c>
    </row>
    <row r="13" spans="1:19" x14ac:dyDescent="0.25">
      <c r="D13" s="286"/>
      <c r="E13" s="74"/>
      <c r="G13" s="287"/>
      <c r="H13" s="287"/>
      <c r="I13" s="74"/>
      <c r="K13" s="288"/>
      <c r="O13" s="286"/>
      <c r="P13" s="74"/>
      <c r="R13" s="287"/>
      <c r="S13" s="287"/>
    </row>
    <row r="14" spans="1:19" x14ac:dyDescent="0.25">
      <c r="D14" s="286"/>
      <c r="G14" s="287"/>
      <c r="H14" s="287"/>
      <c r="K14" s="288"/>
      <c r="O14" s="286"/>
      <c r="R14" s="287"/>
      <c r="S14" s="287"/>
    </row>
    <row r="15" spans="1:19" x14ac:dyDescent="0.25">
      <c r="A15" s="265" t="s">
        <v>7</v>
      </c>
      <c r="D15" s="286"/>
      <c r="G15" s="287"/>
      <c r="H15" s="287"/>
      <c r="K15" s="288"/>
      <c r="L15" s="265" t="s">
        <v>7</v>
      </c>
      <c r="O15" s="286"/>
      <c r="R15" s="287"/>
      <c r="S15" s="287"/>
    </row>
    <row r="16" spans="1:19" x14ac:dyDescent="0.25">
      <c r="D16" s="289" t="s">
        <v>8</v>
      </c>
      <c r="E16" s="290" t="s">
        <v>11</v>
      </c>
      <c r="G16" s="287"/>
      <c r="H16" s="287"/>
      <c r="I16" s="290" t="s">
        <v>11</v>
      </c>
      <c r="K16" s="288"/>
      <c r="O16" s="291" t="s">
        <v>8</v>
      </c>
      <c r="P16" s="292" t="s">
        <v>11</v>
      </c>
      <c r="R16" s="287"/>
      <c r="S16" s="287"/>
    </row>
    <row r="17" spans="1:19" x14ac:dyDescent="0.25">
      <c r="B17" s="266" t="s">
        <v>107</v>
      </c>
      <c r="D17" s="286">
        <f>'Billing Determ'!Q178</f>
        <v>3316676</v>
      </c>
      <c r="E17" s="293">
        <f>'Present and Proposed Rates'!F12</f>
        <v>5.8380000000000001E-2</v>
      </c>
      <c r="G17" s="287">
        <f>D17*E17</f>
        <v>193627.54488</v>
      </c>
      <c r="H17" s="287"/>
      <c r="I17" s="293">
        <f>'Present and Proposed Rates'!G12</f>
        <v>6.1080000000000002E-2</v>
      </c>
      <c r="J17" s="86">
        <f>I17*D17</f>
        <v>202582.57008</v>
      </c>
      <c r="K17" s="288"/>
      <c r="M17" s="266" t="s">
        <v>164</v>
      </c>
      <c r="O17" s="286">
        <f>D17</f>
        <v>3316676</v>
      </c>
      <c r="P17" s="293">
        <f>'Present and Proposed Rates'!H12</f>
        <v>6.1080000000000002E-2</v>
      </c>
      <c r="R17" s="287">
        <f>O17*P17</f>
        <v>202582.57008</v>
      </c>
      <c r="S17" s="287">
        <f t="shared" ref="S17:S24" si="0">R17-J17</f>
        <v>0</v>
      </c>
    </row>
    <row r="18" spans="1:19" x14ac:dyDescent="0.25">
      <c r="A18" s="265"/>
      <c r="D18" s="286"/>
      <c r="E18" s="293"/>
      <c r="G18" s="287"/>
      <c r="H18" s="287"/>
      <c r="I18" s="293"/>
      <c r="K18" s="288"/>
      <c r="L18" s="265"/>
      <c r="O18" s="286"/>
      <c r="P18" s="293"/>
      <c r="R18" s="287"/>
      <c r="S18" s="287"/>
    </row>
    <row r="19" spans="1:19" x14ac:dyDescent="0.25">
      <c r="A19" s="265" t="s">
        <v>99</v>
      </c>
      <c r="B19" s="265"/>
      <c r="C19" s="294"/>
      <c r="D19" s="286"/>
      <c r="E19" s="293"/>
      <c r="G19" s="287"/>
      <c r="H19" s="287"/>
      <c r="I19" s="287"/>
      <c r="J19" s="287"/>
      <c r="K19" s="288"/>
      <c r="L19" s="265" t="s">
        <v>99</v>
      </c>
      <c r="M19" s="265"/>
      <c r="N19" s="294"/>
      <c r="O19" s="286"/>
      <c r="P19" s="293"/>
      <c r="R19" s="287"/>
      <c r="S19" s="287"/>
    </row>
    <row r="20" spans="1:19" x14ac:dyDescent="0.25">
      <c r="A20" s="265"/>
      <c r="B20" s="266" t="s">
        <v>93</v>
      </c>
      <c r="C20" s="294"/>
      <c r="D20" s="286"/>
      <c r="E20" s="293"/>
      <c r="G20" s="287">
        <f>'Billing Determ'!Q102</f>
        <v>42618.69</v>
      </c>
      <c r="H20" s="287"/>
      <c r="I20" s="287"/>
      <c r="J20" s="287">
        <f>G20-(J17-G17)</f>
        <v>33663.664799999999</v>
      </c>
      <c r="K20" s="288"/>
      <c r="L20" s="265"/>
      <c r="M20" s="266" t="s">
        <v>93</v>
      </c>
      <c r="N20" s="294"/>
      <c r="O20" s="286"/>
      <c r="P20" s="293"/>
      <c r="R20" s="287">
        <f>J20</f>
        <v>33663.664799999999</v>
      </c>
      <c r="S20" s="287">
        <f t="shared" si="0"/>
        <v>0</v>
      </c>
    </row>
    <row r="21" spans="1:19" x14ac:dyDescent="0.25">
      <c r="A21" s="265"/>
      <c r="B21" s="266" t="s">
        <v>101</v>
      </c>
      <c r="C21" s="294"/>
      <c r="D21" s="286"/>
      <c r="E21" s="293"/>
      <c r="G21" s="287">
        <f>'Billing Determ'!Q118</f>
        <v>20902.079999999998</v>
      </c>
      <c r="H21" s="287"/>
      <c r="I21" s="287"/>
      <c r="J21" s="287">
        <f>G21</f>
        <v>20902.079999999998</v>
      </c>
      <c r="K21" s="288"/>
      <c r="L21" s="265"/>
      <c r="M21" s="266" t="s">
        <v>101</v>
      </c>
      <c r="N21" s="294"/>
      <c r="O21" s="286"/>
      <c r="P21" s="293"/>
      <c r="R21" s="287">
        <f t="shared" ref="R21:R22" si="1">J21</f>
        <v>20902.079999999998</v>
      </c>
      <c r="S21" s="287">
        <f t="shared" si="0"/>
        <v>0</v>
      </c>
    </row>
    <row r="22" spans="1:19" x14ac:dyDescent="0.25">
      <c r="B22" s="266" t="s">
        <v>139</v>
      </c>
      <c r="C22" s="294"/>
      <c r="D22" s="286"/>
      <c r="E22" s="293"/>
      <c r="G22" s="287">
        <f>Lighting!L50*0</f>
        <v>0</v>
      </c>
      <c r="H22" s="287"/>
      <c r="I22" s="287"/>
      <c r="J22" s="287">
        <f>G22</f>
        <v>0</v>
      </c>
      <c r="K22" s="288"/>
      <c r="L22" s="283"/>
      <c r="M22" s="266" t="s">
        <v>139</v>
      </c>
      <c r="R22" s="287">
        <f t="shared" si="1"/>
        <v>0</v>
      </c>
      <c r="S22" s="287">
        <f t="shared" si="0"/>
        <v>0</v>
      </c>
    </row>
    <row r="23" spans="1:19" x14ac:dyDescent="0.25">
      <c r="A23" s="265"/>
      <c r="D23" s="87"/>
      <c r="G23" s="287"/>
      <c r="H23" s="287"/>
      <c r="I23" s="287"/>
      <c r="J23" s="287"/>
      <c r="K23" s="288"/>
      <c r="L23" s="265"/>
      <c r="R23" s="287"/>
      <c r="S23" s="287"/>
    </row>
    <row r="24" spans="1:19" ht="16.5" thickBot="1" x14ac:dyDescent="0.3">
      <c r="A24" s="265" t="s">
        <v>80</v>
      </c>
      <c r="G24" s="295">
        <f>SUM(G12:G22)</f>
        <v>257148.31487999999</v>
      </c>
      <c r="H24" s="287"/>
      <c r="I24" s="287"/>
      <c r="J24" s="295">
        <f>SUM(J12:J22)</f>
        <v>257148.31487999999</v>
      </c>
      <c r="K24" s="288"/>
      <c r="L24" s="265" t="s">
        <v>80</v>
      </c>
      <c r="R24" s="295">
        <f>SUM(R12:R22)</f>
        <v>257148.31487999999</v>
      </c>
      <c r="S24" s="287">
        <f t="shared" si="0"/>
        <v>0</v>
      </c>
    </row>
    <row r="25" spans="1:19" ht="16.5" thickTop="1" x14ac:dyDescent="0.25">
      <c r="A25" s="265"/>
      <c r="B25" s="265"/>
      <c r="G25" s="287"/>
      <c r="H25" s="287"/>
      <c r="I25" s="287"/>
      <c r="J25" s="287"/>
      <c r="K25" s="288"/>
      <c r="L25" s="265"/>
      <c r="M25" s="265"/>
      <c r="R25" s="287"/>
    </row>
    <row r="26" spans="1:19" x14ac:dyDescent="0.25">
      <c r="A26" s="265" t="s">
        <v>19</v>
      </c>
      <c r="B26" s="296"/>
      <c r="G26" s="287">
        <f>'Billing Determ'!Q87</f>
        <v>253733.41</v>
      </c>
      <c r="H26" s="287"/>
      <c r="I26" s="287"/>
      <c r="J26" s="287"/>
      <c r="K26" s="288"/>
      <c r="L26" s="265" t="s">
        <v>109</v>
      </c>
      <c r="M26" s="296"/>
      <c r="R26" s="86">
        <f>R24-J24</f>
        <v>0</v>
      </c>
    </row>
    <row r="27" spans="1:19" x14ac:dyDescent="0.25">
      <c r="A27" s="296"/>
      <c r="B27" s="296"/>
      <c r="G27" s="296"/>
      <c r="H27" s="296"/>
      <c r="I27" s="296"/>
      <c r="J27" s="296"/>
      <c r="K27" s="297"/>
      <c r="M27" s="296"/>
      <c r="R27" s="296"/>
    </row>
    <row r="28" spans="1:19" x14ac:dyDescent="0.25">
      <c r="A28" s="265" t="s">
        <v>13</v>
      </c>
      <c r="B28" s="296"/>
      <c r="G28" s="46">
        <f>G24-G26</f>
        <v>3414.9048799999873</v>
      </c>
      <c r="H28" s="46"/>
      <c r="I28" s="46"/>
      <c r="J28" s="46">
        <f>J24-G24</f>
        <v>0</v>
      </c>
      <c r="K28" s="298"/>
      <c r="L28" s="265" t="s">
        <v>110</v>
      </c>
      <c r="M28" s="296"/>
      <c r="R28" s="299">
        <f>R26/J24</f>
        <v>0</v>
      </c>
    </row>
    <row r="29" spans="1:19" x14ac:dyDescent="0.25">
      <c r="A29" s="296"/>
      <c r="B29" s="296"/>
      <c r="G29" s="287"/>
      <c r="H29" s="287"/>
      <c r="I29" s="287"/>
      <c r="J29" s="287"/>
      <c r="K29" s="288"/>
      <c r="M29" s="296"/>
      <c r="R29" s="287"/>
    </row>
    <row r="30" spans="1:19" x14ac:dyDescent="0.25">
      <c r="A30" s="265" t="s">
        <v>26</v>
      </c>
      <c r="B30" s="296"/>
      <c r="G30" s="47">
        <f>G28/G26</f>
        <v>1.3458633137827561E-2</v>
      </c>
      <c r="H30" s="47"/>
      <c r="I30" s="47"/>
      <c r="J30" s="47">
        <f>J28/G26</f>
        <v>0</v>
      </c>
      <c r="K30" s="300"/>
      <c r="L30" s="265" t="s">
        <v>85</v>
      </c>
      <c r="M30" s="296"/>
      <c r="R30" s="54">
        <f>R26/O12</f>
        <v>0</v>
      </c>
    </row>
    <row r="31" spans="1:19" x14ac:dyDescent="0.25">
      <c r="A31" s="265"/>
      <c r="B31" s="296"/>
      <c r="G31" s="47"/>
      <c r="H31" s="47"/>
      <c r="I31" s="47"/>
      <c r="J31" s="47"/>
      <c r="K31" s="47"/>
      <c r="L31" s="265"/>
      <c r="M31" s="296"/>
      <c r="R31" s="47"/>
    </row>
    <row r="32" spans="1:19" x14ac:dyDescent="0.25">
      <c r="A32" s="265"/>
      <c r="B32" s="296"/>
      <c r="G32" s="47"/>
      <c r="H32" s="47"/>
      <c r="I32" s="47"/>
      <c r="J32" s="47"/>
      <c r="K32" s="47"/>
      <c r="L32" s="265"/>
      <c r="M32" s="296"/>
      <c r="R32" s="47"/>
    </row>
    <row r="33" spans="1:19" x14ac:dyDescent="0.25">
      <c r="A33" s="265"/>
      <c r="B33" s="296"/>
      <c r="G33" s="47"/>
      <c r="H33" s="47"/>
      <c r="I33" s="47"/>
      <c r="J33" s="47"/>
      <c r="K33" s="47"/>
      <c r="L33" s="265"/>
      <c r="M33" s="296"/>
      <c r="R33" s="47"/>
    </row>
    <row r="34" spans="1:19" x14ac:dyDescent="0.25">
      <c r="A34" s="265"/>
      <c r="B34" s="296"/>
      <c r="G34" s="47"/>
      <c r="H34" s="47"/>
      <c r="I34" s="47"/>
      <c r="J34" s="47"/>
      <c r="K34" s="47"/>
      <c r="L34" s="265"/>
      <c r="M34" s="296"/>
      <c r="R34" s="47"/>
    </row>
    <row r="35" spans="1:19" x14ac:dyDescent="0.25">
      <c r="A35" s="265"/>
      <c r="B35" s="296"/>
      <c r="D35" s="307"/>
      <c r="G35" s="47"/>
      <c r="H35" s="47"/>
      <c r="I35" s="47"/>
      <c r="J35" s="47"/>
      <c r="K35" s="47"/>
      <c r="L35" s="265"/>
      <c r="M35" s="296"/>
      <c r="R35" s="47"/>
    </row>
    <row r="36" spans="1:19" x14ac:dyDescent="0.25">
      <c r="A36" s="265"/>
      <c r="B36" s="296"/>
      <c r="G36" s="47"/>
      <c r="H36" s="47"/>
      <c r="I36" s="47"/>
      <c r="J36" s="47"/>
      <c r="K36" s="47"/>
      <c r="L36" s="265"/>
      <c r="M36" s="296"/>
      <c r="R36" s="47"/>
    </row>
    <row r="37" spans="1:19" ht="18.75" customHeight="1" x14ac:dyDescent="0.25">
      <c r="A37" s="265"/>
      <c r="B37" s="287"/>
      <c r="G37" s="47"/>
      <c r="H37" s="47"/>
      <c r="I37" s="47"/>
      <c r="J37" s="47"/>
      <c r="K37" s="47"/>
    </row>
    <row r="38" spans="1:19" x14ac:dyDescent="0.25">
      <c r="E38" s="287"/>
    </row>
    <row r="41" spans="1:19" x14ac:dyDescent="0.25">
      <c r="S41" s="301"/>
    </row>
    <row r="42" spans="1:19" x14ac:dyDescent="0.25">
      <c r="S42" s="301"/>
    </row>
    <row r="43" spans="1:19" x14ac:dyDescent="0.25">
      <c r="S43" s="301"/>
    </row>
    <row r="44" spans="1:19" x14ac:dyDescent="0.25">
      <c r="S44" s="301"/>
    </row>
    <row r="45" spans="1:19" x14ac:dyDescent="0.25">
      <c r="S45" s="301"/>
    </row>
    <row r="46" spans="1:19" x14ac:dyDescent="0.25">
      <c r="S46" s="301"/>
    </row>
    <row r="47" spans="1:19" x14ac:dyDescent="0.25">
      <c r="S47" s="301"/>
    </row>
    <row r="48" spans="1:19" x14ac:dyDescent="0.25">
      <c r="S48" s="301"/>
    </row>
    <row r="49" spans="19:19" x14ac:dyDescent="0.25">
      <c r="S49" s="301"/>
    </row>
    <row r="50" spans="19:19" x14ac:dyDescent="0.25">
      <c r="S50" s="301"/>
    </row>
    <row r="51" spans="19:19" x14ac:dyDescent="0.25">
      <c r="S51" s="301"/>
    </row>
    <row r="52" spans="19:19" ht="16.5" customHeight="1" x14ac:dyDescent="0.25">
      <c r="S52" s="301"/>
    </row>
    <row r="55" spans="19:19" x14ac:dyDescent="0.25">
      <c r="S55" s="302"/>
    </row>
    <row r="56" spans="19:19" x14ac:dyDescent="0.25">
      <c r="S56" s="302"/>
    </row>
    <row r="58" spans="19:19" x14ac:dyDescent="0.25">
      <c r="S58" s="302"/>
    </row>
    <row r="59" spans="19:19" x14ac:dyDescent="0.25">
      <c r="S59" s="302"/>
    </row>
    <row r="60" spans="19:19" x14ac:dyDescent="0.25">
      <c r="S60" s="302"/>
    </row>
    <row r="61" spans="19:19" x14ac:dyDescent="0.25">
      <c r="S61" s="302"/>
    </row>
    <row r="62" spans="19:19" x14ac:dyDescent="0.25">
      <c r="S62" s="302"/>
    </row>
    <row r="63" spans="19:19" x14ac:dyDescent="0.25">
      <c r="S63" s="302"/>
    </row>
    <row r="64" spans="19:19" x14ac:dyDescent="0.25">
      <c r="S64" s="302"/>
    </row>
    <row r="65" spans="19:19" x14ac:dyDescent="0.25">
      <c r="S65" s="302"/>
    </row>
    <row r="66" spans="19:19" x14ac:dyDescent="0.25">
      <c r="S66" s="302"/>
    </row>
    <row r="67" spans="19:19" x14ac:dyDescent="0.25">
      <c r="S67" s="302"/>
    </row>
    <row r="68" spans="19:19" x14ac:dyDescent="0.25">
      <c r="S68" s="302"/>
    </row>
    <row r="69" spans="19:19" x14ac:dyDescent="0.25">
      <c r="S69" s="302"/>
    </row>
    <row r="70" spans="19:19" x14ac:dyDescent="0.25">
      <c r="S70" s="303"/>
    </row>
    <row r="71" spans="19:19" x14ac:dyDescent="0.25">
      <c r="S71" s="303"/>
    </row>
    <row r="72" spans="19:19" x14ac:dyDescent="0.25">
      <c r="S72" s="303"/>
    </row>
    <row r="73" spans="19:19" x14ac:dyDescent="0.25">
      <c r="S73" s="303"/>
    </row>
    <row r="74" spans="19:19" x14ac:dyDescent="0.25">
      <c r="S74" s="303"/>
    </row>
    <row r="75" spans="19:19" x14ac:dyDescent="0.25">
      <c r="S75" s="303"/>
    </row>
    <row r="76" spans="19:19" x14ac:dyDescent="0.25">
      <c r="S76" s="303"/>
    </row>
    <row r="77" spans="19:19" x14ac:dyDescent="0.25">
      <c r="S77" s="303"/>
    </row>
    <row r="78" spans="19:19" x14ac:dyDescent="0.25">
      <c r="S78" s="303"/>
    </row>
    <row r="79" spans="19:19" x14ac:dyDescent="0.25">
      <c r="S79" s="303"/>
    </row>
    <row r="80" spans="19:19" x14ac:dyDescent="0.25">
      <c r="S80" s="303"/>
    </row>
    <row r="81" spans="19:19" x14ac:dyDescent="0.25">
      <c r="S81" s="303"/>
    </row>
    <row r="82" spans="19:19" x14ac:dyDescent="0.25">
      <c r="S82" s="303"/>
    </row>
    <row r="83" spans="19:19" x14ac:dyDescent="0.25">
      <c r="S83" s="303"/>
    </row>
    <row r="84" spans="19:19" x14ac:dyDescent="0.25">
      <c r="S84" s="303"/>
    </row>
    <row r="85" spans="19:19" ht="15" customHeight="1" x14ac:dyDescent="0.25">
      <c r="S85" s="303"/>
    </row>
    <row r="86" spans="19:19" x14ac:dyDescent="0.25">
      <c r="S86" s="303"/>
    </row>
    <row r="87" spans="19:19" x14ac:dyDescent="0.25">
      <c r="S87" s="303"/>
    </row>
    <row r="88" spans="19:19" x14ac:dyDescent="0.25">
      <c r="S88" s="303"/>
    </row>
    <row r="89" spans="19:19" x14ac:dyDescent="0.25">
      <c r="S89" s="303"/>
    </row>
    <row r="90" spans="19:19" x14ac:dyDescent="0.25">
      <c r="S90" s="303"/>
    </row>
    <row r="91" spans="19:19" x14ac:dyDescent="0.25">
      <c r="S91" s="303"/>
    </row>
    <row r="92" spans="19:19" x14ac:dyDescent="0.25">
      <c r="S92" s="303"/>
    </row>
    <row r="93" spans="19:19" x14ac:dyDescent="0.25">
      <c r="S93" s="303"/>
    </row>
    <row r="94" spans="19:19" x14ac:dyDescent="0.25">
      <c r="S94" s="303"/>
    </row>
    <row r="95" spans="19:19" x14ac:dyDescent="0.25">
      <c r="S95" s="303"/>
    </row>
    <row r="96" spans="19:19" x14ac:dyDescent="0.25">
      <c r="S96" s="303"/>
    </row>
    <row r="97" spans="19:19" x14ac:dyDescent="0.25">
      <c r="S97" s="303"/>
    </row>
    <row r="98" spans="19:19" x14ac:dyDescent="0.25">
      <c r="S98" s="303"/>
    </row>
    <row r="99" spans="19:19" x14ac:dyDescent="0.25">
      <c r="S99" s="303"/>
    </row>
    <row r="100" spans="19:19" x14ac:dyDescent="0.25">
      <c r="S100" s="303"/>
    </row>
    <row r="101" spans="19:19" x14ac:dyDescent="0.25">
      <c r="S101" s="303"/>
    </row>
    <row r="102" spans="19:19" x14ac:dyDescent="0.25">
      <c r="S102" s="303"/>
    </row>
    <row r="103" spans="19:19" x14ac:dyDescent="0.25">
      <c r="S103" s="303"/>
    </row>
    <row r="104" spans="19:19" x14ac:dyDescent="0.25">
      <c r="S104" s="303"/>
    </row>
    <row r="105" spans="19:19" x14ac:dyDescent="0.25">
      <c r="S105" s="303"/>
    </row>
    <row r="106" spans="19:19" x14ac:dyDescent="0.25">
      <c r="S106" s="303"/>
    </row>
    <row r="107" spans="19:19" x14ac:dyDescent="0.25">
      <c r="S107" s="303"/>
    </row>
    <row r="108" spans="19:19" x14ac:dyDescent="0.25">
      <c r="S108" s="303"/>
    </row>
    <row r="109" spans="19:19" x14ac:dyDescent="0.25">
      <c r="S109" s="303"/>
    </row>
    <row r="110" spans="19:19" x14ac:dyDescent="0.25">
      <c r="S110" s="303"/>
    </row>
    <row r="111" spans="19:19" x14ac:dyDescent="0.25">
      <c r="S111" s="303"/>
    </row>
    <row r="112" spans="19:19" x14ac:dyDescent="0.25">
      <c r="S112" s="303"/>
    </row>
    <row r="113" spans="19:19" x14ac:dyDescent="0.25">
      <c r="S113" s="303"/>
    </row>
    <row r="114" spans="19:19" x14ac:dyDescent="0.25">
      <c r="S114" s="303"/>
    </row>
    <row r="115" spans="19:19" x14ac:dyDescent="0.25">
      <c r="S115" s="303"/>
    </row>
    <row r="131" spans="3:13" x14ac:dyDescent="0.25">
      <c r="M131" s="302"/>
    </row>
    <row r="132" spans="3:13" x14ac:dyDescent="0.25">
      <c r="C132" s="302"/>
      <c r="D132" s="302"/>
      <c r="M132" s="302"/>
    </row>
    <row r="133" spans="3:13" x14ac:dyDescent="0.25">
      <c r="C133" s="304"/>
      <c r="D133" s="305"/>
      <c r="E133" s="306"/>
      <c r="M133" s="302"/>
    </row>
    <row r="134" spans="3:13" x14ac:dyDescent="0.25">
      <c r="C134" s="304"/>
      <c r="D134" s="305"/>
      <c r="E134" s="306"/>
      <c r="M134" s="302"/>
    </row>
    <row r="135" spans="3:13" x14ac:dyDescent="0.25">
      <c r="C135" s="304"/>
      <c r="D135" s="305"/>
      <c r="E135" s="306"/>
      <c r="M135" s="302"/>
    </row>
  </sheetData>
  <mergeCells count="5">
    <mergeCell ref="D4:G5"/>
    <mergeCell ref="O4:R5"/>
    <mergeCell ref="E7:F7"/>
    <mergeCell ref="P7:Q7"/>
    <mergeCell ref="I4:J5"/>
  </mergeCells>
  <pageMargins left="0.75" right="0.75" top="1" bottom="1" header="0.5" footer="0.5"/>
  <pageSetup scale="65" orientation="landscape" r:id="rId1"/>
  <headerFooter alignWithMargins="0">
    <oddFooter>&amp;RExhibit JW-9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T136"/>
  <sheetViews>
    <sheetView tabSelected="1" view="pageBreakPreview" zoomScale="75" zoomScaleNormal="85" zoomScaleSheetLayoutView="75" workbookViewId="0">
      <selection activeCell="T28" sqref="T28"/>
    </sheetView>
  </sheetViews>
  <sheetFormatPr defaultColWidth="9.140625" defaultRowHeight="15.75" x14ac:dyDescent="0.25"/>
  <cols>
    <col min="1" max="1" width="4.7109375" style="266" customWidth="1"/>
    <col min="2" max="2" width="17.7109375" style="266" customWidth="1"/>
    <col min="3" max="3" width="5.28515625" style="266" customWidth="1"/>
    <col min="4" max="4" width="15" style="266" bestFit="1" customWidth="1"/>
    <col min="5" max="5" width="16.28515625" style="266" bestFit="1" customWidth="1"/>
    <col min="6" max="6" width="3.140625" style="266" customWidth="1"/>
    <col min="7" max="7" width="18" style="266" bestFit="1" customWidth="1"/>
    <col min="8" max="8" width="2.7109375" style="266" customWidth="1"/>
    <col min="9" max="10" width="18" style="266" customWidth="1"/>
    <col min="11" max="11" width="2" style="266" customWidth="1"/>
    <col min="12" max="12" width="2.28515625" style="266" customWidth="1"/>
    <col min="13" max="13" width="5.42578125" style="266" customWidth="1"/>
    <col min="14" max="14" width="13.7109375" style="266" customWidth="1"/>
    <col min="15" max="15" width="2.140625" style="266" customWidth="1"/>
    <col min="16" max="16" width="15.7109375" style="266" customWidth="1"/>
    <col min="17" max="17" width="15" style="266" customWidth="1"/>
    <col min="18" max="18" width="1.85546875" style="266" customWidth="1"/>
    <col min="19" max="19" width="16.28515625" style="266" customWidth="1"/>
    <col min="20" max="16384" width="9.140625" style="266"/>
  </cols>
  <sheetData>
    <row r="1" spans="1:20" x14ac:dyDescent="0.25">
      <c r="A1" s="265" t="s">
        <v>129</v>
      </c>
      <c r="N1" s="265"/>
    </row>
    <row r="2" spans="1:20" x14ac:dyDescent="0.25">
      <c r="A2" s="265" t="str">
        <f>List!B8</f>
        <v>Commercial Service &lt; 50 KW</v>
      </c>
    </row>
    <row r="3" spans="1:20" ht="16.5" thickBot="1" x14ac:dyDescent="0.3">
      <c r="A3" s="267">
        <f>List!C8</f>
        <v>20</v>
      </c>
    </row>
    <row r="4" spans="1:20" x14ac:dyDescent="0.25">
      <c r="D4" s="268" t="s">
        <v>30</v>
      </c>
      <c r="E4" s="269"/>
      <c r="F4" s="269"/>
      <c r="G4" s="270"/>
      <c r="H4" s="271"/>
      <c r="I4" s="268" t="s">
        <v>108</v>
      </c>
      <c r="J4" s="270"/>
      <c r="K4" s="282"/>
      <c r="L4" s="271"/>
      <c r="P4" s="268" t="s">
        <v>90</v>
      </c>
      <c r="Q4" s="269"/>
      <c r="R4" s="269"/>
      <c r="S4" s="270"/>
    </row>
    <row r="5" spans="1:20" ht="16.5" thickBot="1" x14ac:dyDescent="0.3">
      <c r="A5" s="273"/>
      <c r="B5" s="274"/>
      <c r="C5" s="271"/>
      <c r="D5" s="275"/>
      <c r="E5" s="276"/>
      <c r="F5" s="276"/>
      <c r="G5" s="277"/>
      <c r="H5" s="271"/>
      <c r="I5" s="275"/>
      <c r="J5" s="277"/>
      <c r="K5" s="282"/>
      <c r="L5" s="271"/>
      <c r="M5" s="273"/>
      <c r="N5" s="274"/>
      <c r="O5" s="271"/>
      <c r="P5" s="275"/>
      <c r="Q5" s="276"/>
      <c r="R5" s="276"/>
      <c r="S5" s="277"/>
    </row>
    <row r="6" spans="1:20" x14ac:dyDescent="0.25">
      <c r="A6" s="278"/>
      <c r="B6" s="278"/>
      <c r="C6" s="278"/>
      <c r="D6" s="278" t="s">
        <v>1</v>
      </c>
      <c r="E6" s="278"/>
      <c r="F6" s="278"/>
      <c r="G6" s="278" t="s">
        <v>2</v>
      </c>
      <c r="H6" s="278"/>
      <c r="I6" s="278"/>
      <c r="J6" s="278" t="s">
        <v>2</v>
      </c>
      <c r="K6" s="282"/>
      <c r="L6" s="278"/>
      <c r="M6" s="278"/>
      <c r="N6" s="278"/>
      <c r="O6" s="278"/>
      <c r="P6" s="278" t="s">
        <v>1</v>
      </c>
      <c r="Q6" s="278"/>
      <c r="R6" s="278"/>
      <c r="S6" s="278" t="s">
        <v>2</v>
      </c>
    </row>
    <row r="7" spans="1:20" ht="16.5" thickBot="1" x14ac:dyDescent="0.3">
      <c r="A7" s="280"/>
      <c r="B7" s="280"/>
      <c r="C7" s="280"/>
      <c r="D7" s="280" t="s">
        <v>4</v>
      </c>
      <c r="E7" s="276" t="s">
        <v>5</v>
      </c>
      <c r="F7" s="276"/>
      <c r="G7" s="280" t="s">
        <v>6</v>
      </c>
      <c r="H7" s="280"/>
      <c r="I7" s="280" t="s">
        <v>5</v>
      </c>
      <c r="J7" s="280" t="s">
        <v>6</v>
      </c>
      <c r="K7" s="281"/>
      <c r="L7" s="280"/>
      <c r="M7" s="280"/>
      <c r="N7" s="280"/>
      <c r="O7" s="280"/>
      <c r="P7" s="280" t="s">
        <v>4</v>
      </c>
      <c r="Q7" s="276" t="s">
        <v>5</v>
      </c>
      <c r="R7" s="276"/>
      <c r="S7" s="280" t="s">
        <v>6</v>
      </c>
      <c r="T7" s="280" t="s">
        <v>59</v>
      </c>
    </row>
    <row r="8" spans="1:20" x14ac:dyDescent="0.25">
      <c r="K8" s="282"/>
    </row>
    <row r="9" spans="1:20" x14ac:dyDescent="0.25">
      <c r="K9" s="282"/>
    </row>
    <row r="10" spans="1:20" x14ac:dyDescent="0.25">
      <c r="A10" s="283" t="s">
        <v>10</v>
      </c>
      <c r="K10" s="282"/>
      <c r="M10" s="283" t="s">
        <v>10</v>
      </c>
    </row>
    <row r="11" spans="1:20" x14ac:dyDescent="0.25">
      <c r="D11" s="284" t="s">
        <v>94</v>
      </c>
      <c r="E11" s="284" t="s">
        <v>95</v>
      </c>
      <c r="I11" s="284" t="s">
        <v>95</v>
      </c>
      <c r="K11" s="282"/>
      <c r="P11" s="284" t="s">
        <v>94</v>
      </c>
      <c r="Q11" s="284" t="s">
        <v>95</v>
      </c>
    </row>
    <row r="12" spans="1:20" x14ac:dyDescent="0.25">
      <c r="B12" s="266" t="s">
        <v>107</v>
      </c>
      <c r="D12" s="286">
        <f>'Billing Determ'!Q8</f>
        <v>43539</v>
      </c>
      <c r="E12" s="74">
        <f>'Present and Proposed Rates'!F17</f>
        <v>58.75</v>
      </c>
      <c r="G12" s="287">
        <f>D12*E12</f>
        <v>2557916.25</v>
      </c>
      <c r="H12" s="287"/>
      <c r="I12" s="74">
        <f>'Present and Proposed Rates'!G17</f>
        <v>58.75</v>
      </c>
      <c r="J12" s="287">
        <f>I12*D12</f>
        <v>2557916.25</v>
      </c>
      <c r="K12" s="288"/>
      <c r="L12" s="287"/>
      <c r="N12" s="266" t="s">
        <v>102</v>
      </c>
      <c r="P12" s="286">
        <f>D12</f>
        <v>43539</v>
      </c>
      <c r="Q12" s="74">
        <f>'Present and Proposed Rates'!H17</f>
        <v>58.75</v>
      </c>
      <c r="S12" s="287">
        <f>P12*Q12</f>
        <v>2557916.25</v>
      </c>
      <c r="T12" s="287">
        <f>S12-J12</f>
        <v>0</v>
      </c>
    </row>
    <row r="13" spans="1:20" x14ac:dyDescent="0.25">
      <c r="D13" s="286"/>
      <c r="E13" s="74"/>
      <c r="G13" s="287"/>
      <c r="H13" s="287"/>
      <c r="I13" s="74"/>
      <c r="J13" s="287"/>
      <c r="K13" s="288"/>
      <c r="L13" s="287"/>
      <c r="P13" s="286"/>
      <c r="Q13" s="74"/>
      <c r="S13" s="287"/>
      <c r="T13" s="287"/>
    </row>
    <row r="14" spans="1:20" x14ac:dyDescent="0.25">
      <c r="D14" s="286"/>
      <c r="G14" s="287"/>
      <c r="H14" s="287"/>
      <c r="J14" s="287"/>
      <c r="K14" s="288"/>
      <c r="L14" s="287"/>
      <c r="P14" s="286"/>
      <c r="S14" s="287"/>
      <c r="T14" s="287"/>
    </row>
    <row r="15" spans="1:20" x14ac:dyDescent="0.25">
      <c r="A15" s="265" t="s">
        <v>7</v>
      </c>
      <c r="D15" s="286"/>
      <c r="G15" s="287"/>
      <c r="H15" s="287"/>
      <c r="J15" s="287"/>
      <c r="K15" s="288"/>
      <c r="L15" s="287"/>
      <c r="M15" s="265" t="s">
        <v>7</v>
      </c>
      <c r="P15" s="286"/>
      <c r="S15" s="287"/>
      <c r="T15" s="287"/>
    </row>
    <row r="16" spans="1:20" x14ac:dyDescent="0.25">
      <c r="D16" s="289" t="s">
        <v>8</v>
      </c>
      <c r="E16" s="290" t="s">
        <v>11</v>
      </c>
      <c r="G16" s="287"/>
      <c r="H16" s="287"/>
      <c r="I16" s="290" t="s">
        <v>11</v>
      </c>
      <c r="J16" s="287"/>
      <c r="K16" s="288"/>
      <c r="L16" s="287"/>
      <c r="P16" s="289" t="s">
        <v>8</v>
      </c>
      <c r="Q16" s="290" t="s">
        <v>11</v>
      </c>
      <c r="S16" s="287"/>
      <c r="T16" s="287"/>
    </row>
    <row r="17" spans="1:20" x14ac:dyDescent="0.25">
      <c r="B17" s="266" t="s">
        <v>164</v>
      </c>
      <c r="D17" s="286">
        <f>'Billing Determ'!Q179</f>
        <v>59372503</v>
      </c>
      <c r="E17" s="293">
        <f>'Present and Proposed Rates'!F18</f>
        <v>6.3560000000000005E-2</v>
      </c>
      <c r="G17" s="287">
        <f>D17*E17</f>
        <v>3773716.2906800001</v>
      </c>
      <c r="H17" s="287"/>
      <c r="I17" s="293">
        <f>'Present and Proposed Rates'!G18</f>
        <v>7.5380000000000003E-2</v>
      </c>
      <c r="J17" s="287">
        <f>I17*D17</f>
        <v>4475499.2761399997</v>
      </c>
      <c r="K17" s="288"/>
      <c r="L17" s="287"/>
      <c r="N17" s="266" t="s">
        <v>164</v>
      </c>
      <c r="P17" s="286">
        <f>D17</f>
        <v>59372503</v>
      </c>
      <c r="Q17" s="293">
        <f>'Present and Proposed Rates'!H18</f>
        <v>7.5380000000000003E-2</v>
      </c>
      <c r="S17" s="287">
        <f>P17*Q17</f>
        <v>4475499.2761399997</v>
      </c>
      <c r="T17" s="287">
        <f t="shared" ref="T17:T25" si="0">S17-J17</f>
        <v>0</v>
      </c>
    </row>
    <row r="18" spans="1:20" x14ac:dyDescent="0.25">
      <c r="A18" s="265"/>
      <c r="T18" s="287"/>
    </row>
    <row r="19" spans="1:20" x14ac:dyDescent="0.25">
      <c r="A19" s="265" t="s">
        <v>99</v>
      </c>
      <c r="B19" s="265"/>
      <c r="C19" s="294"/>
      <c r="D19" s="286"/>
      <c r="E19" s="293"/>
      <c r="G19" s="287"/>
      <c r="H19" s="287"/>
      <c r="I19" s="287"/>
      <c r="J19" s="287"/>
      <c r="K19" s="288"/>
      <c r="L19" s="287"/>
      <c r="M19" s="265" t="s">
        <v>99</v>
      </c>
      <c r="N19" s="265"/>
      <c r="O19" s="294"/>
      <c r="P19" s="286"/>
      <c r="Q19" s="293"/>
      <c r="S19" s="287"/>
      <c r="T19" s="287"/>
    </row>
    <row r="20" spans="1:20" x14ac:dyDescent="0.25">
      <c r="A20" s="265"/>
      <c r="B20" s="266" t="s">
        <v>93</v>
      </c>
      <c r="C20" s="294"/>
      <c r="D20" s="286"/>
      <c r="E20" s="293"/>
      <c r="G20" s="287">
        <f>'Billing Determ'!Q103</f>
        <v>673713.63</v>
      </c>
      <c r="H20" s="287"/>
      <c r="I20" s="287"/>
      <c r="J20" s="287">
        <f>G20-(J17-G17)</f>
        <v>-28069.355459999642</v>
      </c>
      <c r="K20" s="288"/>
      <c r="L20" s="287"/>
      <c r="M20" s="265"/>
      <c r="N20" s="266" t="s">
        <v>93</v>
      </c>
      <c r="O20" s="294"/>
      <c r="P20" s="286"/>
      <c r="Q20" s="293"/>
      <c r="S20" s="287">
        <f>J20</f>
        <v>-28069.355459999642</v>
      </c>
      <c r="T20" s="287">
        <f t="shared" si="0"/>
        <v>0</v>
      </c>
    </row>
    <row r="21" spans="1:20" x14ac:dyDescent="0.25">
      <c r="A21" s="265"/>
      <c r="B21" s="266" t="s">
        <v>101</v>
      </c>
      <c r="C21" s="294"/>
      <c r="D21" s="286"/>
      <c r="E21" s="293"/>
      <c r="G21" s="287">
        <f>'Billing Determ'!Q119</f>
        <v>776864.37</v>
      </c>
      <c r="H21" s="287"/>
      <c r="I21" s="287"/>
      <c r="J21" s="287">
        <f>G21</f>
        <v>776864.37</v>
      </c>
      <c r="K21" s="288"/>
      <c r="L21" s="287"/>
      <c r="M21" s="265"/>
      <c r="N21" s="266" t="s">
        <v>101</v>
      </c>
      <c r="O21" s="294"/>
      <c r="P21" s="286"/>
      <c r="Q21" s="293"/>
      <c r="S21" s="287">
        <f>J21</f>
        <v>776864.37</v>
      </c>
      <c r="T21" s="287">
        <f t="shared" si="0"/>
        <v>0</v>
      </c>
    </row>
    <row r="22" spans="1:20" x14ac:dyDescent="0.25">
      <c r="A22" s="265"/>
      <c r="B22" s="266" t="s">
        <v>139</v>
      </c>
      <c r="C22" s="294"/>
      <c r="D22" s="286"/>
      <c r="E22" s="293"/>
      <c r="G22" s="287">
        <f>Lighting!L51*0</f>
        <v>0</v>
      </c>
      <c r="H22" s="287"/>
      <c r="I22" s="287"/>
      <c r="J22" s="287">
        <f>G22</f>
        <v>0</v>
      </c>
      <c r="K22" s="288"/>
      <c r="L22" s="287"/>
      <c r="M22" s="265"/>
      <c r="N22" s="266" t="s">
        <v>139</v>
      </c>
      <c r="O22" s="294"/>
      <c r="P22" s="286"/>
      <c r="Q22" s="293"/>
      <c r="S22" s="287">
        <f>J22</f>
        <v>0</v>
      </c>
      <c r="T22" s="287">
        <f t="shared" si="0"/>
        <v>0</v>
      </c>
    </row>
    <row r="23" spans="1:20" x14ac:dyDescent="0.25">
      <c r="D23" s="286"/>
      <c r="E23" s="293"/>
      <c r="G23" s="54"/>
      <c r="H23" s="54"/>
      <c r="I23" s="54"/>
      <c r="J23" s="54"/>
      <c r="K23" s="288"/>
      <c r="L23" s="54"/>
      <c r="M23" s="283"/>
      <c r="T23" s="287"/>
    </row>
    <row r="24" spans="1:20" x14ac:dyDescent="0.25">
      <c r="A24" s="265"/>
      <c r="D24" s="87"/>
      <c r="G24" s="287"/>
      <c r="H24" s="287"/>
      <c r="I24" s="287"/>
      <c r="J24" s="287"/>
      <c r="K24" s="288"/>
      <c r="L24" s="287"/>
      <c r="M24" s="265"/>
      <c r="S24" s="287"/>
      <c r="T24" s="287"/>
    </row>
    <row r="25" spans="1:20" ht="16.5" thickBot="1" x14ac:dyDescent="0.3">
      <c r="A25" s="265" t="s">
        <v>80</v>
      </c>
      <c r="G25" s="295">
        <f>SUM(G12:G22)</f>
        <v>7782210.5406800006</v>
      </c>
      <c r="H25" s="287"/>
      <c r="I25" s="287"/>
      <c r="J25" s="295">
        <f>SUM(J12:J22)</f>
        <v>7782210.5406800006</v>
      </c>
      <c r="K25" s="288"/>
      <c r="L25" s="287"/>
      <c r="M25" s="265" t="s">
        <v>80</v>
      </c>
      <c r="S25" s="295">
        <f>SUM(S12:S22)</f>
        <v>7782210.5406800006</v>
      </c>
      <c r="T25" s="287">
        <f t="shared" si="0"/>
        <v>0</v>
      </c>
    </row>
    <row r="26" spans="1:20" ht="16.5" thickTop="1" x14ac:dyDescent="0.25">
      <c r="A26" s="265"/>
      <c r="B26" s="265"/>
      <c r="G26" s="287"/>
      <c r="H26" s="287"/>
      <c r="I26" s="287"/>
      <c r="J26" s="287"/>
      <c r="K26" s="288"/>
      <c r="L26" s="287"/>
      <c r="M26" s="265"/>
      <c r="N26" s="265"/>
      <c r="S26" s="287"/>
    </row>
    <row r="27" spans="1:20" x14ac:dyDescent="0.25">
      <c r="A27" s="265" t="s">
        <v>19</v>
      </c>
      <c r="B27" s="296"/>
      <c r="G27" s="287">
        <f>'Billing Determ'!Q88</f>
        <v>8211160.2300000014</v>
      </c>
      <c r="H27" s="287"/>
      <c r="I27" s="287"/>
      <c r="J27" s="287"/>
      <c r="K27" s="297"/>
      <c r="L27" s="287"/>
      <c r="M27" s="265" t="s">
        <v>109</v>
      </c>
      <c r="N27" s="296"/>
      <c r="S27" s="86">
        <f>S25-J25</f>
        <v>0</v>
      </c>
    </row>
    <row r="28" spans="1:20" x14ac:dyDescent="0.25">
      <c r="A28" s="296"/>
      <c r="B28" s="296"/>
      <c r="G28" s="296"/>
      <c r="H28" s="296"/>
      <c r="I28" s="296"/>
      <c r="J28" s="296"/>
      <c r="K28" s="298"/>
      <c r="L28" s="296"/>
      <c r="N28" s="296"/>
      <c r="S28" s="296"/>
    </row>
    <row r="29" spans="1:20" x14ac:dyDescent="0.25">
      <c r="A29" s="265" t="s">
        <v>13</v>
      </c>
      <c r="B29" s="296"/>
      <c r="G29" s="46">
        <f>G25-G27</f>
        <v>-428949.68932000082</v>
      </c>
      <c r="H29" s="46"/>
      <c r="I29" s="46"/>
      <c r="J29" s="46">
        <f>J25-G25</f>
        <v>0</v>
      </c>
      <c r="K29" s="288"/>
      <c r="L29" s="46"/>
      <c r="M29" s="265" t="s">
        <v>110</v>
      </c>
      <c r="N29" s="296"/>
      <c r="S29" s="299">
        <f>S27/J25</f>
        <v>0</v>
      </c>
    </row>
    <row r="30" spans="1:20" x14ac:dyDescent="0.25">
      <c r="A30" s="296"/>
      <c r="B30" s="296"/>
      <c r="G30" s="287"/>
      <c r="H30" s="287"/>
      <c r="I30" s="287"/>
      <c r="J30" s="287"/>
      <c r="K30" s="300"/>
      <c r="L30" s="287"/>
      <c r="N30" s="296"/>
      <c r="S30" s="287"/>
    </row>
    <row r="31" spans="1:20" x14ac:dyDescent="0.25">
      <c r="A31" s="265" t="s">
        <v>26</v>
      </c>
      <c r="B31" s="296"/>
      <c r="G31" s="47">
        <f>G29/G27</f>
        <v>-5.2239839109801511E-2</v>
      </c>
      <c r="H31" s="47"/>
      <c r="I31" s="47"/>
      <c r="J31" s="47">
        <f>J29/G27</f>
        <v>0</v>
      </c>
      <c r="K31" s="300"/>
      <c r="L31" s="47"/>
      <c r="M31" s="265" t="s">
        <v>85</v>
      </c>
      <c r="N31" s="296"/>
      <c r="S31" s="54">
        <f>S27/P12</f>
        <v>0</v>
      </c>
    </row>
    <row r="32" spans="1:20" x14ac:dyDescent="0.25">
      <c r="A32" s="265"/>
      <c r="B32" s="296"/>
      <c r="G32" s="47"/>
      <c r="H32" s="47"/>
      <c r="I32" s="47"/>
      <c r="J32" s="47"/>
      <c r="K32" s="47"/>
      <c r="L32" s="47"/>
      <c r="M32" s="265"/>
      <c r="N32" s="296"/>
      <c r="S32" s="47"/>
    </row>
    <row r="33" spans="1:19" x14ac:dyDescent="0.25">
      <c r="A33" s="265"/>
      <c r="B33" s="296"/>
      <c r="G33" s="47"/>
      <c r="H33" s="47"/>
      <c r="I33" s="47"/>
      <c r="J33" s="47"/>
      <c r="K33" s="47"/>
      <c r="L33" s="47"/>
      <c r="M33" s="265"/>
      <c r="N33" s="296"/>
      <c r="S33" s="47"/>
    </row>
    <row r="34" spans="1:19" x14ac:dyDescent="0.25">
      <c r="A34" s="265"/>
      <c r="B34" s="296"/>
      <c r="D34" s="307"/>
      <c r="G34" s="47"/>
      <c r="H34" s="47"/>
      <c r="I34" s="47"/>
      <c r="J34" s="47"/>
      <c r="K34" s="47"/>
      <c r="L34" s="47"/>
      <c r="M34" s="265"/>
      <c r="N34" s="296"/>
      <c r="S34" s="47"/>
    </row>
    <row r="35" spans="1:19" x14ac:dyDescent="0.25">
      <c r="A35" s="265"/>
      <c r="B35" s="296"/>
      <c r="G35" s="47"/>
      <c r="H35" s="47"/>
      <c r="I35" s="47"/>
      <c r="J35" s="47"/>
      <c r="K35" s="47"/>
      <c r="L35" s="47"/>
      <c r="M35" s="265"/>
      <c r="N35" s="296"/>
      <c r="S35" s="47"/>
    </row>
    <row r="36" spans="1:19" x14ac:dyDescent="0.25">
      <c r="A36" s="265"/>
      <c r="B36" s="296"/>
      <c r="G36" s="47"/>
      <c r="H36" s="47"/>
      <c r="I36" s="47"/>
      <c r="J36" s="47"/>
      <c r="K36" s="47"/>
      <c r="L36" s="47"/>
      <c r="M36" s="265"/>
      <c r="N36" s="296"/>
      <c r="S36" s="47"/>
    </row>
    <row r="37" spans="1:19" x14ac:dyDescent="0.25">
      <c r="A37" s="265"/>
      <c r="B37" s="296"/>
      <c r="G37" s="47"/>
      <c r="H37" s="47"/>
      <c r="I37" s="47"/>
      <c r="J37" s="47"/>
      <c r="K37" s="47"/>
      <c r="L37" s="47"/>
      <c r="M37" s="265"/>
      <c r="N37" s="296"/>
      <c r="S37" s="47"/>
    </row>
    <row r="38" spans="1:19" ht="18.75" customHeight="1" x14ac:dyDescent="0.25">
      <c r="A38" s="265"/>
      <c r="B38" s="287"/>
      <c r="G38" s="47"/>
      <c r="H38" s="47"/>
      <c r="I38" s="47"/>
      <c r="J38" s="47"/>
      <c r="K38" s="47"/>
      <c r="L38" s="47"/>
    </row>
    <row r="39" spans="1:19" x14ac:dyDescent="0.25">
      <c r="E39" s="287"/>
    </row>
    <row r="53" s="266" customFormat="1" ht="16.5" customHeight="1" x14ac:dyDescent="0.25"/>
    <row r="86" s="266" customFormat="1" ht="15" customHeight="1" x14ac:dyDescent="0.25"/>
    <row r="132" spans="3:14" x14ac:dyDescent="0.25">
      <c r="N132" s="302"/>
    </row>
    <row r="133" spans="3:14" x14ac:dyDescent="0.25">
      <c r="C133" s="302"/>
      <c r="D133" s="302"/>
      <c r="N133" s="302"/>
    </row>
    <row r="134" spans="3:14" x14ac:dyDescent="0.25">
      <c r="C134" s="304"/>
      <c r="D134" s="305"/>
      <c r="E134" s="306"/>
      <c r="N134" s="302"/>
    </row>
    <row r="135" spans="3:14" x14ac:dyDescent="0.25">
      <c r="C135" s="304"/>
      <c r="D135" s="305"/>
      <c r="E135" s="306"/>
      <c r="N135" s="302"/>
    </row>
    <row r="136" spans="3:14" x14ac:dyDescent="0.25">
      <c r="C136" s="304"/>
      <c r="D136" s="305"/>
      <c r="E136" s="306"/>
      <c r="N136" s="302"/>
    </row>
  </sheetData>
  <mergeCells count="5">
    <mergeCell ref="D4:G5"/>
    <mergeCell ref="P4:S5"/>
    <mergeCell ref="E7:F7"/>
    <mergeCell ref="Q7:R7"/>
    <mergeCell ref="I4:J5"/>
  </mergeCells>
  <pageMargins left="0.75" right="0.75" top="1" bottom="1" header="0.5" footer="0.5"/>
  <pageSetup scale="61" orientation="landscape" r:id="rId1"/>
  <headerFooter alignWithMargins="0">
    <oddFooter>&amp;RExhibit JW-9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T135"/>
  <sheetViews>
    <sheetView tabSelected="1" view="pageBreakPreview" topLeftCell="A4" zoomScale="75" zoomScaleNormal="85" zoomScaleSheetLayoutView="75" workbookViewId="0">
      <selection activeCell="T28" sqref="T28"/>
    </sheetView>
  </sheetViews>
  <sheetFormatPr defaultColWidth="9.140625" defaultRowHeight="15.75" x14ac:dyDescent="0.25"/>
  <cols>
    <col min="1" max="1" width="4.7109375" style="266" customWidth="1"/>
    <col min="2" max="2" width="14.7109375" style="266" customWidth="1"/>
    <col min="3" max="3" width="2.42578125" style="266" customWidth="1"/>
    <col min="4" max="4" width="15" style="266" bestFit="1" customWidth="1"/>
    <col min="5" max="5" width="14.5703125" style="266" bestFit="1" customWidth="1"/>
    <col min="6" max="6" width="3.140625" style="266" customWidth="1"/>
    <col min="7" max="7" width="12.140625" style="266" bestFit="1" customWidth="1"/>
    <col min="8" max="8" width="3.28515625" style="266" customWidth="1"/>
    <col min="9" max="9" width="14.5703125" style="266" bestFit="1" customWidth="1"/>
    <col min="10" max="10" width="12.140625" style="266" bestFit="1" customWidth="1"/>
    <col min="11" max="11" width="2" style="266" customWidth="1"/>
    <col min="12" max="13" width="2.85546875" style="266" customWidth="1"/>
    <col min="14" max="14" width="16.5703125" style="266" customWidth="1"/>
    <col min="15" max="15" width="3" style="266" customWidth="1"/>
    <col min="16" max="16" width="12.7109375" style="266" bestFit="1" customWidth="1"/>
    <col min="17" max="17" width="14.5703125" style="266" bestFit="1" customWidth="1"/>
    <col min="18" max="18" width="1.85546875" style="266" customWidth="1"/>
    <col min="19" max="19" width="12.140625" style="266" bestFit="1" customWidth="1"/>
    <col min="20" max="20" width="10.28515625" style="266" customWidth="1"/>
    <col min="21" max="16384" width="9.140625" style="266"/>
  </cols>
  <sheetData>
    <row r="1" spans="1:20" x14ac:dyDescent="0.25">
      <c r="A1" s="265" t="s">
        <v>129</v>
      </c>
      <c r="N1" s="265"/>
    </row>
    <row r="2" spans="1:20" x14ac:dyDescent="0.25">
      <c r="A2" s="265" t="str">
        <f>List!B9</f>
        <v>Commercial Off Peak ETS</v>
      </c>
    </row>
    <row r="3" spans="1:20" ht="16.5" thickBot="1" x14ac:dyDescent="0.3">
      <c r="A3" s="267">
        <f>List!C9</f>
        <v>22</v>
      </c>
    </row>
    <row r="4" spans="1:20" x14ac:dyDescent="0.25">
      <c r="D4" s="268" t="s">
        <v>30</v>
      </c>
      <c r="E4" s="269"/>
      <c r="F4" s="269"/>
      <c r="G4" s="270"/>
      <c r="H4" s="271"/>
      <c r="I4" s="268" t="s">
        <v>108</v>
      </c>
      <c r="J4" s="270"/>
      <c r="K4" s="282"/>
      <c r="L4" s="271"/>
      <c r="P4" s="268" t="s">
        <v>90</v>
      </c>
      <c r="Q4" s="269"/>
      <c r="R4" s="269"/>
      <c r="S4" s="270"/>
    </row>
    <row r="5" spans="1:20" ht="16.5" thickBot="1" x14ac:dyDescent="0.3">
      <c r="A5" s="273"/>
      <c r="B5" s="274"/>
      <c r="C5" s="271"/>
      <c r="D5" s="275"/>
      <c r="E5" s="276"/>
      <c r="F5" s="276"/>
      <c r="G5" s="277"/>
      <c r="H5" s="271"/>
      <c r="I5" s="275"/>
      <c r="J5" s="277"/>
      <c r="K5" s="282"/>
      <c r="L5" s="271"/>
      <c r="M5" s="273"/>
      <c r="N5" s="274"/>
      <c r="O5" s="271"/>
      <c r="P5" s="275"/>
      <c r="Q5" s="276"/>
      <c r="R5" s="276"/>
      <c r="S5" s="277"/>
    </row>
    <row r="6" spans="1:20" x14ac:dyDescent="0.25">
      <c r="A6" s="278"/>
      <c r="B6" s="278"/>
      <c r="C6" s="278"/>
      <c r="D6" s="278" t="s">
        <v>1</v>
      </c>
      <c r="E6" s="278"/>
      <c r="F6" s="278"/>
      <c r="G6" s="278" t="s">
        <v>2</v>
      </c>
      <c r="H6" s="278"/>
      <c r="I6" s="278"/>
      <c r="J6" s="278" t="s">
        <v>2</v>
      </c>
      <c r="K6" s="282"/>
      <c r="L6" s="278"/>
      <c r="M6" s="278"/>
      <c r="N6" s="278"/>
      <c r="O6" s="278"/>
      <c r="P6" s="278" t="s">
        <v>1</v>
      </c>
      <c r="Q6" s="278"/>
      <c r="R6" s="278"/>
      <c r="S6" s="278" t="s">
        <v>2</v>
      </c>
    </row>
    <row r="7" spans="1:20" ht="16.5" thickBot="1" x14ac:dyDescent="0.3">
      <c r="A7" s="280"/>
      <c r="B7" s="280"/>
      <c r="C7" s="280"/>
      <c r="D7" s="280" t="s">
        <v>4</v>
      </c>
      <c r="E7" s="276" t="s">
        <v>5</v>
      </c>
      <c r="F7" s="276"/>
      <c r="G7" s="280" t="s">
        <v>6</v>
      </c>
      <c r="H7" s="280"/>
      <c r="I7" s="280" t="s">
        <v>5</v>
      </c>
      <c r="J7" s="280" t="s">
        <v>6</v>
      </c>
      <c r="K7" s="281"/>
      <c r="L7" s="280"/>
      <c r="M7" s="280"/>
      <c r="N7" s="280"/>
      <c r="O7" s="280"/>
      <c r="P7" s="280" t="s">
        <v>4</v>
      </c>
      <c r="Q7" s="276" t="s">
        <v>5</v>
      </c>
      <c r="R7" s="276"/>
      <c r="S7" s="280" t="s">
        <v>6</v>
      </c>
      <c r="T7" s="280" t="s">
        <v>59</v>
      </c>
    </row>
    <row r="8" spans="1:20" x14ac:dyDescent="0.25">
      <c r="K8" s="282"/>
    </row>
    <row r="9" spans="1:20" x14ac:dyDescent="0.25">
      <c r="K9" s="282"/>
    </row>
    <row r="10" spans="1:20" x14ac:dyDescent="0.25">
      <c r="A10" s="283" t="s">
        <v>10</v>
      </c>
      <c r="K10" s="282"/>
      <c r="M10" s="283" t="s">
        <v>10</v>
      </c>
    </row>
    <row r="11" spans="1:20" x14ac:dyDescent="0.25">
      <c r="D11" s="284" t="s">
        <v>94</v>
      </c>
      <c r="E11" s="284" t="s">
        <v>95</v>
      </c>
      <c r="I11" s="284" t="s">
        <v>95</v>
      </c>
      <c r="K11" s="282"/>
      <c r="P11" s="284" t="s">
        <v>94</v>
      </c>
      <c r="Q11" s="284" t="s">
        <v>95</v>
      </c>
    </row>
    <row r="12" spans="1:20" x14ac:dyDescent="0.25">
      <c r="B12" s="266" t="s">
        <v>107</v>
      </c>
      <c r="D12" s="286">
        <f>'Billing Determ'!Q9</f>
        <v>35</v>
      </c>
      <c r="E12" s="74">
        <f>'Present and Proposed Rates'!F15</f>
        <v>0</v>
      </c>
      <c r="G12" s="287">
        <f>D12*E12</f>
        <v>0</v>
      </c>
      <c r="H12" s="287"/>
      <c r="I12" s="74">
        <f>'Present and Proposed Rates'!G15</f>
        <v>0</v>
      </c>
      <c r="J12" s="287">
        <f>I12*D12</f>
        <v>0</v>
      </c>
      <c r="K12" s="288"/>
      <c r="L12" s="287"/>
      <c r="N12" s="266" t="s">
        <v>102</v>
      </c>
      <c r="P12" s="286">
        <f>D12</f>
        <v>35</v>
      </c>
      <c r="Q12" s="74">
        <f>'Present and Proposed Rates'!H15</f>
        <v>0</v>
      </c>
      <c r="S12" s="287">
        <f>P12*Q12</f>
        <v>0</v>
      </c>
      <c r="T12" s="287">
        <f>S12-J12</f>
        <v>0</v>
      </c>
    </row>
    <row r="13" spans="1:20" x14ac:dyDescent="0.25">
      <c r="D13" s="286"/>
      <c r="E13" s="74"/>
      <c r="G13" s="287"/>
      <c r="H13" s="287"/>
      <c r="I13" s="74"/>
      <c r="J13" s="287"/>
      <c r="K13" s="288"/>
      <c r="L13" s="287"/>
      <c r="P13" s="286"/>
      <c r="Q13" s="74"/>
      <c r="S13" s="287"/>
      <c r="T13" s="287"/>
    </row>
    <row r="14" spans="1:20" x14ac:dyDescent="0.25">
      <c r="D14" s="286"/>
      <c r="G14" s="287"/>
      <c r="H14" s="287"/>
      <c r="J14" s="287"/>
      <c r="K14" s="288"/>
      <c r="L14" s="287"/>
      <c r="P14" s="286"/>
      <c r="S14" s="287"/>
      <c r="T14" s="287"/>
    </row>
    <row r="15" spans="1:20" x14ac:dyDescent="0.25">
      <c r="A15" s="265" t="s">
        <v>7</v>
      </c>
      <c r="D15" s="286"/>
      <c r="G15" s="287"/>
      <c r="H15" s="287"/>
      <c r="J15" s="287"/>
      <c r="K15" s="288"/>
      <c r="L15" s="287"/>
      <c r="M15" s="265" t="s">
        <v>7</v>
      </c>
      <c r="P15" s="286"/>
      <c r="S15" s="287"/>
      <c r="T15" s="287"/>
    </row>
    <row r="16" spans="1:20" x14ac:dyDescent="0.25">
      <c r="D16" s="289" t="s">
        <v>8</v>
      </c>
      <c r="E16" s="290" t="s">
        <v>11</v>
      </c>
      <c r="G16" s="287"/>
      <c r="H16" s="287"/>
      <c r="I16" s="290" t="s">
        <v>11</v>
      </c>
      <c r="J16" s="287"/>
      <c r="K16" s="288"/>
      <c r="L16" s="287"/>
      <c r="P16" s="289" t="s">
        <v>8</v>
      </c>
      <c r="Q16" s="290" t="s">
        <v>11</v>
      </c>
      <c r="S16" s="287"/>
      <c r="T16" s="287"/>
    </row>
    <row r="17" spans="1:20" x14ac:dyDescent="0.25">
      <c r="B17" s="266" t="s">
        <v>107</v>
      </c>
      <c r="D17" s="286">
        <f>'Billing Determ'!Q180</f>
        <v>23150</v>
      </c>
      <c r="E17" s="293">
        <f>'Present and Proposed Rates'!F16</f>
        <v>5.194E-2</v>
      </c>
      <c r="G17" s="287">
        <f>D17*E17</f>
        <v>1202.4110000000001</v>
      </c>
      <c r="H17" s="287"/>
      <c r="I17" s="293">
        <f>'Present and Proposed Rates'!G16</f>
        <v>5.9029999999999999E-2</v>
      </c>
      <c r="J17" s="287">
        <f>I17*D17</f>
        <v>1366.5445</v>
      </c>
      <c r="K17" s="288"/>
      <c r="L17" s="287"/>
      <c r="N17" s="266" t="s">
        <v>164</v>
      </c>
      <c r="P17" s="286">
        <f>D17</f>
        <v>23150</v>
      </c>
      <c r="Q17" s="293">
        <f>'Present and Proposed Rates'!H16</f>
        <v>5.9029999999999999E-2</v>
      </c>
      <c r="S17" s="287">
        <f>P17*Q17</f>
        <v>1366.5445</v>
      </c>
      <c r="T17" s="287">
        <f t="shared" ref="T17:T24" si="0">S17-J17</f>
        <v>0</v>
      </c>
    </row>
    <row r="18" spans="1:20" x14ac:dyDescent="0.25">
      <c r="A18" s="265"/>
      <c r="B18" s="265"/>
      <c r="C18" s="294"/>
      <c r="D18" s="286"/>
      <c r="E18" s="293"/>
      <c r="G18" s="287"/>
      <c r="H18" s="287"/>
      <c r="I18" s="287"/>
      <c r="J18" s="287"/>
      <c r="K18" s="288"/>
      <c r="L18" s="287"/>
      <c r="M18" s="265"/>
      <c r="N18" s="265"/>
      <c r="O18" s="294"/>
      <c r="P18" s="286"/>
      <c r="Q18" s="293"/>
      <c r="S18" s="287"/>
      <c r="T18" s="287"/>
    </row>
    <row r="19" spans="1:20" x14ac:dyDescent="0.25">
      <c r="A19" s="265" t="s">
        <v>99</v>
      </c>
      <c r="B19" s="265"/>
      <c r="C19" s="294"/>
      <c r="D19" s="286"/>
      <c r="E19" s="293"/>
      <c r="G19" s="287"/>
      <c r="H19" s="287"/>
      <c r="I19" s="287"/>
      <c r="J19" s="287"/>
      <c r="K19" s="288"/>
      <c r="L19" s="287"/>
      <c r="M19" s="265" t="s">
        <v>99</v>
      </c>
      <c r="N19" s="265"/>
      <c r="O19" s="294"/>
      <c r="P19" s="286"/>
      <c r="Q19" s="293"/>
      <c r="S19" s="287"/>
      <c r="T19" s="287"/>
    </row>
    <row r="20" spans="1:20" x14ac:dyDescent="0.25">
      <c r="A20" s="265"/>
      <c r="B20" s="266" t="s">
        <v>93</v>
      </c>
      <c r="C20" s="294"/>
      <c r="D20" s="286"/>
      <c r="E20" s="293"/>
      <c r="G20" s="287">
        <f>'Billing Determ'!Q104</f>
        <v>288.43999999999994</v>
      </c>
      <c r="H20" s="287"/>
      <c r="I20" s="287"/>
      <c r="J20" s="287">
        <f>G20-(J17-G17)</f>
        <v>124.30650000000003</v>
      </c>
      <c r="K20" s="288"/>
      <c r="L20" s="287"/>
      <c r="M20" s="265"/>
      <c r="N20" s="266" t="s">
        <v>93</v>
      </c>
      <c r="O20" s="294"/>
      <c r="P20" s="286"/>
      <c r="Q20" s="293"/>
      <c r="S20" s="287">
        <f>J20</f>
        <v>124.30650000000003</v>
      </c>
      <c r="T20" s="287">
        <f t="shared" si="0"/>
        <v>0</v>
      </c>
    </row>
    <row r="21" spans="1:20" x14ac:dyDescent="0.25">
      <c r="A21" s="265"/>
      <c r="B21" s="266" t="s">
        <v>101</v>
      </c>
      <c r="C21" s="294"/>
      <c r="D21" s="286"/>
      <c r="E21" s="293"/>
      <c r="G21" s="287">
        <f>'Billing Determ'!Q120</f>
        <v>130.82000000000002</v>
      </c>
      <c r="H21" s="287"/>
      <c r="I21" s="287"/>
      <c r="J21" s="287">
        <f>G21</f>
        <v>130.82000000000002</v>
      </c>
      <c r="K21" s="288"/>
      <c r="L21" s="287"/>
      <c r="M21" s="265"/>
      <c r="N21" s="266" t="s">
        <v>101</v>
      </c>
      <c r="O21" s="294"/>
      <c r="P21" s="286"/>
      <c r="Q21" s="293"/>
      <c r="S21" s="287">
        <f t="shared" ref="S21:S22" si="1">J21</f>
        <v>130.82000000000002</v>
      </c>
      <c r="T21" s="287">
        <f t="shared" si="0"/>
        <v>0</v>
      </c>
    </row>
    <row r="22" spans="1:20" x14ac:dyDescent="0.25">
      <c r="B22" s="266" t="s">
        <v>139</v>
      </c>
      <c r="D22" s="286"/>
      <c r="E22" s="293"/>
      <c r="G22" s="54">
        <f>Lighting!L52*0</f>
        <v>0</v>
      </c>
      <c r="H22" s="54"/>
      <c r="I22" s="54"/>
      <c r="J22" s="54">
        <f>G22</f>
        <v>0</v>
      </c>
      <c r="K22" s="288"/>
      <c r="L22" s="54"/>
      <c r="M22" s="283"/>
      <c r="S22" s="287">
        <f t="shared" si="1"/>
        <v>0</v>
      </c>
      <c r="T22" s="287">
        <f t="shared" si="0"/>
        <v>0</v>
      </c>
    </row>
    <row r="23" spans="1:20" x14ac:dyDescent="0.25">
      <c r="A23" s="265"/>
      <c r="D23" s="87"/>
      <c r="G23" s="287"/>
      <c r="H23" s="287"/>
      <c r="I23" s="287"/>
      <c r="J23" s="287"/>
      <c r="K23" s="288"/>
      <c r="L23" s="287"/>
      <c r="M23" s="265"/>
      <c r="S23" s="287"/>
      <c r="T23" s="287"/>
    </row>
    <row r="24" spans="1:20" ht="16.5" thickBot="1" x14ac:dyDescent="0.3">
      <c r="A24" s="265" t="s">
        <v>80</v>
      </c>
      <c r="G24" s="295">
        <f>SUM(G12:G22)</f>
        <v>1621.671</v>
      </c>
      <c r="H24" s="287"/>
      <c r="I24" s="287"/>
      <c r="J24" s="295">
        <f>SUM(J12:J22)</f>
        <v>1621.671</v>
      </c>
      <c r="K24" s="288"/>
      <c r="L24" s="287"/>
      <c r="M24" s="265" t="s">
        <v>80</v>
      </c>
      <c r="S24" s="295">
        <f>SUM(S12:S22)</f>
        <v>1621.671</v>
      </c>
      <c r="T24" s="287">
        <f t="shared" si="0"/>
        <v>0</v>
      </c>
    </row>
    <row r="25" spans="1:20" ht="16.5" thickTop="1" x14ac:dyDescent="0.25">
      <c r="A25" s="265"/>
      <c r="B25" s="265"/>
      <c r="G25" s="287"/>
      <c r="H25" s="287"/>
      <c r="I25" s="287"/>
      <c r="J25" s="287"/>
      <c r="K25" s="288"/>
      <c r="L25" s="287"/>
      <c r="M25" s="265"/>
      <c r="N25" s="265"/>
      <c r="S25" s="287"/>
    </row>
    <row r="26" spans="1:20" x14ac:dyDescent="0.25">
      <c r="A26" s="265" t="s">
        <v>19</v>
      </c>
      <c r="B26" s="296"/>
      <c r="G26" s="287">
        <f>'Billing Determ'!Q89</f>
        <v>1552.53</v>
      </c>
      <c r="H26" s="287"/>
      <c r="I26" s="287"/>
      <c r="J26" s="287"/>
      <c r="K26" s="297"/>
      <c r="L26" s="287"/>
      <c r="M26" s="265" t="s">
        <v>109</v>
      </c>
      <c r="N26" s="296"/>
      <c r="S26" s="86">
        <f>S24-J24</f>
        <v>0</v>
      </c>
    </row>
    <row r="27" spans="1:20" x14ac:dyDescent="0.25">
      <c r="A27" s="296"/>
      <c r="B27" s="296"/>
      <c r="G27" s="296"/>
      <c r="H27" s="296"/>
      <c r="I27" s="296"/>
      <c r="J27" s="296"/>
      <c r="K27" s="298"/>
      <c r="L27" s="296"/>
      <c r="N27" s="296"/>
      <c r="S27" s="296"/>
    </row>
    <row r="28" spans="1:20" x14ac:dyDescent="0.25">
      <c r="A28" s="265" t="s">
        <v>13</v>
      </c>
      <c r="B28" s="296"/>
      <c r="G28" s="46">
        <f>G24-G26</f>
        <v>69.141000000000076</v>
      </c>
      <c r="H28" s="46"/>
      <c r="I28" s="46"/>
      <c r="J28" s="46">
        <f>J24-G24</f>
        <v>0</v>
      </c>
      <c r="K28" s="288"/>
      <c r="L28" s="46"/>
      <c r="M28" s="265" t="s">
        <v>110</v>
      </c>
      <c r="N28" s="296"/>
      <c r="S28" s="299">
        <f>S26/J24</f>
        <v>0</v>
      </c>
    </row>
    <row r="29" spans="1:20" x14ac:dyDescent="0.25">
      <c r="A29" s="296"/>
      <c r="B29" s="296"/>
      <c r="G29" s="287"/>
      <c r="H29" s="287"/>
      <c r="I29" s="287"/>
      <c r="J29" s="287"/>
      <c r="K29" s="300"/>
      <c r="L29" s="287"/>
      <c r="N29" s="296"/>
      <c r="S29" s="287"/>
    </row>
    <row r="30" spans="1:20" x14ac:dyDescent="0.25">
      <c r="A30" s="265" t="s">
        <v>26</v>
      </c>
      <c r="B30" s="296"/>
      <c r="G30" s="47">
        <f>G28/G26</f>
        <v>4.4534405132268022E-2</v>
      </c>
      <c r="H30" s="47"/>
      <c r="I30" s="47"/>
      <c r="J30" s="47">
        <f>J28/G26</f>
        <v>0</v>
      </c>
      <c r="K30" s="288"/>
      <c r="L30" s="47"/>
      <c r="M30" s="265" t="s">
        <v>85</v>
      </c>
      <c r="N30" s="296"/>
      <c r="S30" s="54">
        <f>S26/P12</f>
        <v>0</v>
      </c>
    </row>
    <row r="31" spans="1:20" x14ac:dyDescent="0.25">
      <c r="A31" s="265"/>
      <c r="B31" s="296"/>
      <c r="G31" s="47"/>
      <c r="H31" s="47"/>
      <c r="I31" s="47"/>
      <c r="J31" s="47"/>
      <c r="K31" s="47"/>
      <c r="L31" s="47"/>
      <c r="M31" s="265"/>
      <c r="N31" s="296"/>
      <c r="S31" s="47"/>
    </row>
    <row r="32" spans="1:20" x14ac:dyDescent="0.25">
      <c r="A32" s="265"/>
      <c r="B32" s="296"/>
      <c r="G32" s="47"/>
      <c r="H32" s="47"/>
      <c r="I32" s="47"/>
      <c r="J32" s="47"/>
      <c r="K32" s="47"/>
      <c r="L32" s="47"/>
      <c r="M32" s="265"/>
      <c r="N32" s="296"/>
      <c r="S32" s="47"/>
    </row>
    <row r="33" spans="1:19" x14ac:dyDescent="0.25">
      <c r="A33" s="265"/>
      <c r="B33" s="296"/>
      <c r="D33" s="307"/>
      <c r="G33" s="47"/>
      <c r="H33" s="47"/>
      <c r="I33" s="47"/>
      <c r="J33" s="47"/>
      <c r="K33" s="47"/>
      <c r="L33" s="47"/>
      <c r="M33" s="265"/>
      <c r="N33" s="296"/>
      <c r="S33" s="47"/>
    </row>
    <row r="34" spans="1:19" x14ac:dyDescent="0.25">
      <c r="A34" s="265"/>
      <c r="B34" s="296"/>
      <c r="G34" s="47"/>
      <c r="H34" s="47"/>
      <c r="I34" s="47"/>
      <c r="J34" s="47"/>
      <c r="K34" s="47"/>
      <c r="L34" s="47"/>
      <c r="M34" s="265"/>
      <c r="N34" s="296"/>
      <c r="S34" s="47"/>
    </row>
    <row r="35" spans="1:19" x14ac:dyDescent="0.25">
      <c r="A35" s="265"/>
      <c r="B35" s="296"/>
      <c r="G35" s="47"/>
      <c r="H35" s="47"/>
      <c r="I35" s="47"/>
      <c r="J35" s="47"/>
      <c r="K35" s="47"/>
      <c r="L35" s="47"/>
      <c r="M35" s="265"/>
      <c r="N35" s="296"/>
      <c r="S35" s="47"/>
    </row>
    <row r="36" spans="1:19" x14ac:dyDescent="0.25">
      <c r="A36" s="265"/>
      <c r="B36" s="296"/>
      <c r="G36" s="47"/>
      <c r="H36" s="47"/>
      <c r="I36" s="47"/>
      <c r="J36" s="47"/>
      <c r="K36" s="47"/>
      <c r="L36" s="47"/>
      <c r="M36" s="265"/>
      <c r="N36" s="296"/>
      <c r="S36" s="47"/>
    </row>
    <row r="37" spans="1:19" ht="18.75" customHeight="1" x14ac:dyDescent="0.25">
      <c r="A37" s="265"/>
      <c r="B37" s="287"/>
      <c r="G37" s="47"/>
      <c r="H37" s="47"/>
      <c r="I37" s="47"/>
      <c r="J37" s="47"/>
      <c r="K37" s="47"/>
      <c r="L37" s="47"/>
    </row>
    <row r="38" spans="1:19" x14ac:dyDescent="0.25">
      <c r="E38" s="287"/>
    </row>
    <row r="52" s="266" customFormat="1" ht="16.5" customHeight="1" x14ac:dyDescent="0.25"/>
    <row r="85" s="266" customFormat="1" ht="15" customHeight="1" x14ac:dyDescent="0.25"/>
    <row r="131" spans="3:14" x14ac:dyDescent="0.25">
      <c r="N131" s="302"/>
    </row>
    <row r="132" spans="3:14" x14ac:dyDescent="0.25">
      <c r="C132" s="302"/>
      <c r="D132" s="302"/>
      <c r="N132" s="302"/>
    </row>
    <row r="133" spans="3:14" x14ac:dyDescent="0.25">
      <c r="C133" s="304"/>
      <c r="D133" s="305"/>
      <c r="E133" s="306"/>
      <c r="N133" s="302"/>
    </row>
    <row r="134" spans="3:14" x14ac:dyDescent="0.25">
      <c r="C134" s="304"/>
      <c r="D134" s="305"/>
      <c r="E134" s="306"/>
      <c r="N134" s="302"/>
    </row>
    <row r="135" spans="3:14" x14ac:dyDescent="0.25">
      <c r="C135" s="304"/>
      <c r="D135" s="305"/>
      <c r="E135" s="306"/>
      <c r="N135" s="302"/>
    </row>
  </sheetData>
  <mergeCells count="5">
    <mergeCell ref="D4:G5"/>
    <mergeCell ref="P4:S5"/>
    <mergeCell ref="E7:F7"/>
    <mergeCell ref="Q7:R7"/>
    <mergeCell ref="I4:J5"/>
  </mergeCells>
  <pageMargins left="0.75" right="0.75" top="1" bottom="1" header="0.5" footer="0.5"/>
  <pageSetup scale="70" orientation="landscape" r:id="rId1"/>
  <headerFooter alignWithMargins="0">
    <oddFooter>&amp;RExhibit JW-9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U139"/>
  <sheetViews>
    <sheetView tabSelected="1" view="pageBreakPreview" zoomScale="75" zoomScaleNormal="85" zoomScaleSheetLayoutView="75" workbookViewId="0">
      <selection activeCell="T28" sqref="T28"/>
    </sheetView>
  </sheetViews>
  <sheetFormatPr defaultColWidth="9.140625" defaultRowHeight="15.75" x14ac:dyDescent="0.25"/>
  <cols>
    <col min="1" max="1" width="4.7109375" style="266" customWidth="1"/>
    <col min="2" max="2" width="16.42578125" style="266" customWidth="1"/>
    <col min="3" max="3" width="2.5703125" style="266" customWidth="1"/>
    <col min="4" max="4" width="12.7109375" style="266" bestFit="1" customWidth="1"/>
    <col min="5" max="5" width="14.5703125" style="266" bestFit="1" customWidth="1"/>
    <col min="6" max="6" width="3.140625" style="266" customWidth="1"/>
    <col min="7" max="7" width="15" style="266" customWidth="1"/>
    <col min="8" max="8" width="3" style="266" customWidth="1"/>
    <col min="9" max="10" width="14.42578125" style="266" customWidth="1"/>
    <col min="11" max="11" width="2" style="266" customWidth="1"/>
    <col min="12" max="12" width="2.85546875" style="266" customWidth="1"/>
    <col min="13" max="13" width="9.85546875" style="266" customWidth="1"/>
    <col min="14" max="14" width="18.28515625" style="266" customWidth="1"/>
    <col min="15" max="15" width="3.42578125" style="266" customWidth="1"/>
    <col min="16" max="16" width="12.7109375" style="266" bestFit="1" customWidth="1"/>
    <col min="17" max="17" width="14.5703125" style="266" bestFit="1" customWidth="1"/>
    <col min="18" max="18" width="4.28515625" style="266" customWidth="1"/>
    <col min="19" max="19" width="15.5703125" style="266" customWidth="1"/>
    <col min="20" max="16384" width="9.140625" style="266"/>
  </cols>
  <sheetData>
    <row r="1" spans="1:20" x14ac:dyDescent="0.25">
      <c r="A1" s="265" t="s">
        <v>129</v>
      </c>
      <c r="N1" s="265"/>
    </row>
    <row r="2" spans="1:20" x14ac:dyDescent="0.25">
      <c r="A2" s="265" t="str">
        <f>List!B10</f>
        <v>Large Power Loads 50 KW and Over</v>
      </c>
    </row>
    <row r="3" spans="1:20" ht="16.5" thickBot="1" x14ac:dyDescent="0.3">
      <c r="A3" s="267">
        <f>List!C10</f>
        <v>40</v>
      </c>
    </row>
    <row r="4" spans="1:20" x14ac:dyDescent="0.25">
      <c r="D4" s="268" t="s">
        <v>30</v>
      </c>
      <c r="E4" s="269"/>
      <c r="F4" s="269"/>
      <c r="G4" s="270"/>
      <c r="H4" s="271"/>
      <c r="I4" s="268" t="s">
        <v>108</v>
      </c>
      <c r="J4" s="270"/>
      <c r="K4" s="282"/>
      <c r="L4" s="271"/>
      <c r="P4" s="268" t="s">
        <v>90</v>
      </c>
      <c r="Q4" s="269"/>
      <c r="R4" s="269"/>
      <c r="S4" s="270"/>
    </row>
    <row r="5" spans="1:20" ht="16.5" thickBot="1" x14ac:dyDescent="0.3">
      <c r="A5" s="273"/>
      <c r="B5" s="274"/>
      <c r="C5" s="271"/>
      <c r="D5" s="275"/>
      <c r="E5" s="276"/>
      <c r="F5" s="276"/>
      <c r="G5" s="277"/>
      <c r="H5" s="271"/>
      <c r="I5" s="275"/>
      <c r="J5" s="277"/>
      <c r="K5" s="282"/>
      <c r="L5" s="271"/>
      <c r="M5" s="273"/>
      <c r="N5" s="274"/>
      <c r="O5" s="271"/>
      <c r="P5" s="275"/>
      <c r="Q5" s="276"/>
      <c r="R5" s="276"/>
      <c r="S5" s="277"/>
    </row>
    <row r="6" spans="1:20" x14ac:dyDescent="0.25">
      <c r="A6" s="278"/>
      <c r="B6" s="278"/>
      <c r="C6" s="278"/>
      <c r="D6" s="278" t="s">
        <v>1</v>
      </c>
      <c r="E6" s="278"/>
      <c r="F6" s="278"/>
      <c r="G6" s="278" t="s">
        <v>2</v>
      </c>
      <c r="H6" s="278"/>
      <c r="I6" s="278"/>
      <c r="J6" s="278" t="s">
        <v>2</v>
      </c>
      <c r="K6" s="282"/>
      <c r="L6" s="278"/>
      <c r="M6" s="278"/>
      <c r="N6" s="278"/>
      <c r="O6" s="278"/>
      <c r="P6" s="278" t="s">
        <v>1</v>
      </c>
      <c r="Q6" s="278"/>
      <c r="R6" s="278"/>
      <c r="S6" s="278" t="s">
        <v>2</v>
      </c>
    </row>
    <row r="7" spans="1:20" ht="16.5" thickBot="1" x14ac:dyDescent="0.3">
      <c r="A7" s="280"/>
      <c r="B7" s="280"/>
      <c r="C7" s="280"/>
      <c r="D7" s="280" t="s">
        <v>4</v>
      </c>
      <c r="E7" s="276" t="s">
        <v>5</v>
      </c>
      <c r="F7" s="276"/>
      <c r="G7" s="280" t="s">
        <v>6</v>
      </c>
      <c r="H7" s="280"/>
      <c r="I7" s="280" t="s">
        <v>5</v>
      </c>
      <c r="J7" s="280" t="s">
        <v>6</v>
      </c>
      <c r="K7" s="281"/>
      <c r="L7" s="280"/>
      <c r="M7" s="280"/>
      <c r="N7" s="280"/>
      <c r="O7" s="280"/>
      <c r="P7" s="280" t="s">
        <v>4</v>
      </c>
      <c r="Q7" s="276" t="s">
        <v>5</v>
      </c>
      <c r="R7" s="276"/>
      <c r="S7" s="280" t="s">
        <v>6</v>
      </c>
      <c r="T7" s="280" t="s">
        <v>59</v>
      </c>
    </row>
    <row r="8" spans="1:20" x14ac:dyDescent="0.25">
      <c r="K8" s="282"/>
    </row>
    <row r="9" spans="1:20" x14ac:dyDescent="0.25">
      <c r="K9" s="282"/>
    </row>
    <row r="10" spans="1:20" x14ac:dyDescent="0.25">
      <c r="A10" s="283" t="s">
        <v>10</v>
      </c>
      <c r="K10" s="282"/>
      <c r="M10" s="283" t="s">
        <v>10</v>
      </c>
    </row>
    <row r="11" spans="1:20" x14ac:dyDescent="0.25">
      <c r="D11" s="284" t="s">
        <v>94</v>
      </c>
      <c r="E11" s="284" t="s">
        <v>95</v>
      </c>
      <c r="I11" s="284" t="s">
        <v>95</v>
      </c>
      <c r="K11" s="282"/>
      <c r="P11" s="284" t="s">
        <v>94</v>
      </c>
      <c r="Q11" s="284" t="s">
        <v>95</v>
      </c>
    </row>
    <row r="12" spans="1:20" x14ac:dyDescent="0.25">
      <c r="B12" s="266" t="s">
        <v>107</v>
      </c>
      <c r="D12" s="286">
        <f>'Billing Determ'!Q10</f>
        <v>1852</v>
      </c>
      <c r="E12" s="74">
        <f>'Present and Proposed Rates'!F17</f>
        <v>58.75</v>
      </c>
      <c r="G12" s="287">
        <f>D12*E12</f>
        <v>108805</v>
      </c>
      <c r="H12" s="287"/>
      <c r="I12" s="308">
        <f>'Present and Proposed Rates'!G17</f>
        <v>58.75</v>
      </c>
      <c r="J12" s="287">
        <f>I12*D12</f>
        <v>108805</v>
      </c>
      <c r="K12" s="288"/>
      <c r="L12" s="287"/>
      <c r="N12" s="266" t="s">
        <v>102</v>
      </c>
      <c r="P12" s="286">
        <f>D12</f>
        <v>1852</v>
      </c>
      <c r="Q12" s="74">
        <f>'Present and Proposed Rates'!H17</f>
        <v>58.75</v>
      </c>
      <c r="S12" s="287">
        <f>P12*Q12</f>
        <v>108805</v>
      </c>
      <c r="T12" s="287">
        <f>S12-J12</f>
        <v>0</v>
      </c>
    </row>
    <row r="13" spans="1:20" x14ac:dyDescent="0.25">
      <c r="D13" s="286"/>
      <c r="E13" s="74"/>
      <c r="G13" s="287"/>
      <c r="H13" s="287"/>
      <c r="I13" s="308"/>
      <c r="J13" s="287"/>
      <c r="K13" s="288"/>
      <c r="L13" s="287"/>
      <c r="P13" s="286"/>
      <c r="Q13" s="74"/>
      <c r="S13" s="287"/>
      <c r="T13" s="287"/>
    </row>
    <row r="14" spans="1:20" x14ac:dyDescent="0.25">
      <c r="D14" s="286"/>
      <c r="G14" s="287"/>
      <c r="H14" s="287"/>
      <c r="I14" s="302"/>
      <c r="J14" s="287"/>
      <c r="K14" s="288"/>
      <c r="L14" s="287"/>
      <c r="P14" s="286"/>
      <c r="S14" s="287"/>
      <c r="T14" s="287"/>
    </row>
    <row r="15" spans="1:20" x14ac:dyDescent="0.25">
      <c r="A15" s="265" t="s">
        <v>7</v>
      </c>
      <c r="D15" s="286"/>
      <c r="G15" s="287"/>
      <c r="H15" s="287"/>
      <c r="I15" s="302"/>
      <c r="J15" s="287"/>
      <c r="K15" s="288"/>
      <c r="L15" s="287"/>
      <c r="M15" s="265" t="s">
        <v>7</v>
      </c>
      <c r="P15" s="309"/>
      <c r="Q15" s="302"/>
      <c r="S15" s="287"/>
      <c r="T15" s="287"/>
    </row>
    <row r="16" spans="1:20" x14ac:dyDescent="0.25">
      <c r="D16" s="289" t="s">
        <v>8</v>
      </c>
      <c r="E16" s="290" t="s">
        <v>11</v>
      </c>
      <c r="G16" s="287"/>
      <c r="H16" s="287"/>
      <c r="I16" s="290" t="s">
        <v>11</v>
      </c>
      <c r="J16" s="287"/>
      <c r="K16" s="288"/>
      <c r="L16" s="287"/>
      <c r="P16" s="289" t="s">
        <v>8</v>
      </c>
      <c r="Q16" s="290" t="s">
        <v>11</v>
      </c>
      <c r="S16" s="287"/>
      <c r="T16" s="287"/>
    </row>
    <row r="17" spans="1:21" x14ac:dyDescent="0.25">
      <c r="B17" s="266" t="s">
        <v>164</v>
      </c>
      <c r="D17" s="286">
        <f>'Billing Determ'!Q181</f>
        <v>74901660</v>
      </c>
      <c r="E17" s="293">
        <f>'Present and Proposed Rates'!F18</f>
        <v>6.3560000000000005E-2</v>
      </c>
      <c r="G17" s="287">
        <f>D17*E17</f>
        <v>4760749.5096000005</v>
      </c>
      <c r="H17" s="287"/>
      <c r="I17" s="310">
        <f>'Present and Proposed Rates'!G18</f>
        <v>7.5380000000000003E-2</v>
      </c>
      <c r="J17" s="287">
        <f>I17*D17</f>
        <v>5646087.1308000004</v>
      </c>
      <c r="K17" s="288"/>
      <c r="L17" s="287"/>
      <c r="N17" s="266" t="s">
        <v>164</v>
      </c>
      <c r="P17" s="286">
        <f>D17</f>
        <v>74901660</v>
      </c>
      <c r="Q17" s="293">
        <f>'Present and Proposed Rates'!H18</f>
        <v>7.5380000000000003E-2</v>
      </c>
      <c r="S17" s="287">
        <f>P17*Q17</f>
        <v>5646087.1308000004</v>
      </c>
      <c r="T17" s="287">
        <f t="shared" ref="T17:T28" si="0">S17-J17</f>
        <v>0</v>
      </c>
    </row>
    <row r="18" spans="1:21" x14ac:dyDescent="0.25">
      <c r="A18" s="265"/>
      <c r="T18" s="287"/>
    </row>
    <row r="19" spans="1:21" x14ac:dyDescent="0.25">
      <c r="A19" s="265" t="s">
        <v>96</v>
      </c>
      <c r="D19" s="309"/>
      <c r="E19" s="310"/>
      <c r="G19" s="287"/>
      <c r="H19" s="287"/>
      <c r="I19" s="310"/>
      <c r="J19" s="287"/>
      <c r="K19" s="288"/>
      <c r="L19" s="287"/>
      <c r="M19" s="265" t="s">
        <v>96</v>
      </c>
      <c r="P19" s="286"/>
      <c r="Q19" s="293"/>
      <c r="S19" s="287"/>
      <c r="T19" s="287"/>
    </row>
    <row r="20" spans="1:21" x14ac:dyDescent="0.25">
      <c r="A20" s="265"/>
      <c r="D20" s="289" t="s">
        <v>97</v>
      </c>
      <c r="E20" s="290" t="s">
        <v>98</v>
      </c>
      <c r="G20" s="287"/>
      <c r="H20" s="287"/>
      <c r="I20" s="290" t="s">
        <v>98</v>
      </c>
      <c r="J20" s="287"/>
      <c r="K20" s="288"/>
      <c r="L20" s="287"/>
      <c r="M20" s="265"/>
      <c r="P20" s="289" t="s">
        <v>97</v>
      </c>
      <c r="Q20" s="290" t="s">
        <v>98</v>
      </c>
      <c r="S20" s="287"/>
      <c r="T20" s="287"/>
    </row>
    <row r="21" spans="1:21" x14ac:dyDescent="0.25">
      <c r="A21" s="265"/>
      <c r="B21" s="266" t="s">
        <v>165</v>
      </c>
      <c r="D21" s="286">
        <f>'Billing Determ'!Q43</f>
        <v>232886</v>
      </c>
      <c r="E21" s="311">
        <f>'Present and Proposed Rates'!F19</f>
        <v>6.8</v>
      </c>
      <c r="G21" s="287">
        <f>D21*E21</f>
        <v>1583624.8</v>
      </c>
      <c r="H21" s="287"/>
      <c r="I21" s="312">
        <f>'Present and Proposed Rates'!G19</f>
        <v>6.8</v>
      </c>
      <c r="J21" s="287">
        <f>I21*D21</f>
        <v>1583624.8</v>
      </c>
      <c r="K21" s="313"/>
      <c r="L21" s="287"/>
      <c r="M21" s="265"/>
      <c r="N21" s="266" t="s">
        <v>165</v>
      </c>
      <c r="P21" s="286">
        <f>D21</f>
        <v>232886</v>
      </c>
      <c r="Q21" s="311">
        <f>'Present and Proposed Rates'!H19</f>
        <v>6.8</v>
      </c>
      <c r="S21" s="287">
        <f>P21*Q21</f>
        <v>1583624.8</v>
      </c>
      <c r="T21" s="287">
        <f t="shared" si="0"/>
        <v>0</v>
      </c>
    </row>
    <row r="22" spans="1:21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87"/>
      <c r="U22" s="265"/>
    </row>
    <row r="23" spans="1:21" x14ac:dyDescent="0.25">
      <c r="A23" s="265" t="s">
        <v>99</v>
      </c>
      <c r="B23" s="265"/>
      <c r="C23" s="294"/>
      <c r="D23" s="286"/>
      <c r="E23" s="293"/>
      <c r="G23" s="287"/>
      <c r="H23" s="287"/>
      <c r="I23" s="287"/>
      <c r="J23" s="287"/>
      <c r="K23" s="288"/>
      <c r="L23" s="287"/>
      <c r="M23" s="265" t="s">
        <v>99</v>
      </c>
      <c r="N23" s="265"/>
      <c r="O23" s="294"/>
      <c r="P23" s="286"/>
      <c r="Q23" s="293"/>
      <c r="S23" s="287"/>
      <c r="T23" s="287"/>
    </row>
    <row r="24" spans="1:21" x14ac:dyDescent="0.25">
      <c r="A24" s="265"/>
      <c r="B24" s="266" t="s">
        <v>93</v>
      </c>
      <c r="C24" s="294"/>
      <c r="D24" s="286"/>
      <c r="E24" s="293"/>
      <c r="G24" s="287">
        <f>'Billing Determ'!Q105</f>
        <v>848101.44000000006</v>
      </c>
      <c r="H24" s="287"/>
      <c r="I24" s="287"/>
      <c r="J24" s="287">
        <f>G24-(J17-G17)</f>
        <v>-37236.181199999875</v>
      </c>
      <c r="K24" s="288"/>
      <c r="L24" s="287"/>
      <c r="M24" s="265"/>
      <c r="N24" s="266" t="s">
        <v>93</v>
      </c>
      <c r="O24" s="294"/>
      <c r="P24" s="286"/>
      <c r="Q24" s="293"/>
      <c r="S24" s="287">
        <f>J24</f>
        <v>-37236.181199999875</v>
      </c>
      <c r="T24" s="287">
        <f t="shared" si="0"/>
        <v>0</v>
      </c>
    </row>
    <row r="25" spans="1:21" x14ac:dyDescent="0.25">
      <c r="A25" s="265"/>
      <c r="B25" s="266" t="s">
        <v>101</v>
      </c>
      <c r="C25" s="294"/>
      <c r="D25" s="286"/>
      <c r="E25" s="293"/>
      <c r="G25" s="287">
        <f>'Billing Determ'!Q121</f>
        <v>722342.3899999999</v>
      </c>
      <c r="H25" s="287"/>
      <c r="I25" s="287"/>
      <c r="J25" s="287">
        <f>G25</f>
        <v>722342.3899999999</v>
      </c>
      <c r="K25" s="288"/>
      <c r="L25" s="287"/>
      <c r="M25" s="265"/>
      <c r="N25" s="266" t="s">
        <v>101</v>
      </c>
      <c r="O25" s="294"/>
      <c r="P25" s="286"/>
      <c r="Q25" s="293"/>
      <c r="S25" s="287">
        <f>G25</f>
        <v>722342.3899999999</v>
      </c>
      <c r="T25" s="287">
        <f t="shared" si="0"/>
        <v>0</v>
      </c>
    </row>
    <row r="26" spans="1:21" x14ac:dyDescent="0.25">
      <c r="B26" s="266" t="s">
        <v>139</v>
      </c>
      <c r="D26" s="286"/>
      <c r="E26" s="293"/>
      <c r="G26" s="54">
        <f>Lighting!L53*0</f>
        <v>0</v>
      </c>
      <c r="H26" s="54"/>
      <c r="I26" s="54"/>
      <c r="J26" s="54">
        <f>G26</f>
        <v>0</v>
      </c>
      <c r="K26" s="288"/>
      <c r="L26" s="54"/>
      <c r="M26" s="283"/>
      <c r="N26" s="266" t="s">
        <v>139</v>
      </c>
      <c r="S26" s="287">
        <f>G26</f>
        <v>0</v>
      </c>
      <c r="T26" s="287">
        <f t="shared" si="0"/>
        <v>0</v>
      </c>
    </row>
    <row r="27" spans="1:21" x14ac:dyDescent="0.25">
      <c r="A27" s="265"/>
      <c r="D27" s="87"/>
      <c r="G27" s="287"/>
      <c r="H27" s="287"/>
      <c r="I27" s="287"/>
      <c r="J27" s="287"/>
      <c r="K27" s="288"/>
      <c r="L27" s="287"/>
      <c r="M27" s="265"/>
      <c r="S27" s="287"/>
      <c r="T27" s="287"/>
    </row>
    <row r="28" spans="1:21" ht="16.5" thickBot="1" x14ac:dyDescent="0.3">
      <c r="A28" s="265" t="s">
        <v>80</v>
      </c>
      <c r="G28" s="295">
        <f>SUM(G12:G26)</f>
        <v>8023623.1396000003</v>
      </c>
      <c r="H28" s="287"/>
      <c r="I28" s="287"/>
      <c r="J28" s="295">
        <f>SUM(J12:J26)</f>
        <v>8023623.1396000003</v>
      </c>
      <c r="K28" s="288"/>
      <c r="L28" s="287"/>
      <c r="M28" s="265" t="s">
        <v>80</v>
      </c>
      <c r="S28" s="295">
        <f>SUM(S12:S26)</f>
        <v>8023623.1396000003</v>
      </c>
      <c r="T28" s="287">
        <f t="shared" si="0"/>
        <v>0</v>
      </c>
    </row>
    <row r="29" spans="1:21" ht="16.5" thickTop="1" x14ac:dyDescent="0.25">
      <c r="A29" s="265"/>
      <c r="B29" s="265"/>
      <c r="G29" s="287"/>
      <c r="H29" s="287"/>
      <c r="I29" s="287"/>
      <c r="J29" s="287"/>
      <c r="K29" s="288"/>
      <c r="L29" s="287"/>
      <c r="M29" s="265"/>
      <c r="N29" s="265"/>
      <c r="S29" s="287"/>
    </row>
    <row r="30" spans="1:21" x14ac:dyDescent="0.25">
      <c r="A30" s="265" t="s">
        <v>19</v>
      </c>
      <c r="B30" s="296"/>
      <c r="G30" s="287">
        <f>'Billing Determ'!Q90</f>
        <v>7903197.2500000009</v>
      </c>
      <c r="H30" s="287"/>
      <c r="I30" s="287"/>
      <c r="J30" s="287"/>
      <c r="K30" s="297"/>
      <c r="L30" s="287"/>
      <c r="M30" s="265" t="s">
        <v>109</v>
      </c>
      <c r="N30" s="296"/>
      <c r="S30" s="86">
        <f>S28-J28</f>
        <v>0</v>
      </c>
    </row>
    <row r="31" spans="1:21" x14ac:dyDescent="0.25">
      <c r="A31" s="296"/>
      <c r="B31" s="296"/>
      <c r="G31" s="296"/>
      <c r="H31" s="296"/>
      <c r="I31" s="296"/>
      <c r="J31" s="296"/>
      <c r="K31" s="298"/>
      <c r="L31" s="296"/>
      <c r="N31" s="296"/>
      <c r="S31" s="296"/>
    </row>
    <row r="32" spans="1:21" x14ac:dyDescent="0.25">
      <c r="A32" s="265" t="s">
        <v>13</v>
      </c>
      <c r="B32" s="296"/>
      <c r="G32" s="46">
        <f>G28-G30</f>
        <v>120425.88959999941</v>
      </c>
      <c r="H32" s="46"/>
      <c r="I32" s="46"/>
      <c r="J32" s="46">
        <f>J28-G28</f>
        <v>0</v>
      </c>
      <c r="K32" s="288"/>
      <c r="L32" s="46"/>
      <c r="M32" s="265" t="s">
        <v>110</v>
      </c>
      <c r="N32" s="296"/>
      <c r="S32" s="299">
        <f>S30/J28</f>
        <v>0</v>
      </c>
    </row>
    <row r="33" spans="1:19" x14ac:dyDescent="0.25">
      <c r="A33" s="296"/>
      <c r="B33" s="296"/>
      <c r="G33" s="287"/>
      <c r="H33" s="287"/>
      <c r="I33" s="287"/>
      <c r="J33" s="287"/>
      <c r="K33" s="300"/>
      <c r="L33" s="287"/>
      <c r="N33" s="296"/>
      <c r="S33" s="287"/>
    </row>
    <row r="34" spans="1:19" x14ac:dyDescent="0.25">
      <c r="A34" s="265" t="s">
        <v>26</v>
      </c>
      <c r="B34" s="296"/>
      <c r="G34" s="47">
        <f>G32/G30</f>
        <v>1.5237616598775818E-2</v>
      </c>
      <c r="H34" s="47"/>
      <c r="I34" s="47"/>
      <c r="J34" s="47">
        <f>J32/G30</f>
        <v>0</v>
      </c>
      <c r="K34" s="288"/>
      <c r="L34" s="47"/>
      <c r="M34" s="265" t="s">
        <v>85</v>
      </c>
      <c r="N34" s="296"/>
      <c r="S34" s="54">
        <f>S30/P12</f>
        <v>0</v>
      </c>
    </row>
    <row r="35" spans="1:19" x14ac:dyDescent="0.25">
      <c r="A35" s="265"/>
      <c r="B35" s="296"/>
      <c r="G35" s="47"/>
      <c r="H35" s="47"/>
      <c r="I35" s="47"/>
      <c r="J35" s="47"/>
      <c r="K35" s="47"/>
      <c r="L35" s="47"/>
      <c r="M35" s="265"/>
      <c r="N35" s="296"/>
      <c r="S35" s="47"/>
    </row>
    <row r="36" spans="1:19" x14ac:dyDescent="0.25">
      <c r="A36" s="265"/>
      <c r="B36" s="296"/>
      <c r="G36" s="48"/>
      <c r="H36" s="47"/>
      <c r="I36" s="47"/>
      <c r="J36" s="47"/>
      <c r="K36" s="47"/>
      <c r="L36" s="47"/>
      <c r="M36" s="265"/>
      <c r="N36" s="296"/>
      <c r="S36" s="47"/>
    </row>
    <row r="37" spans="1:19" x14ac:dyDescent="0.25">
      <c r="A37" s="265"/>
      <c r="B37" s="296"/>
      <c r="G37" s="48"/>
      <c r="H37" s="47"/>
      <c r="I37" s="47"/>
      <c r="J37" s="47"/>
      <c r="K37" s="47"/>
      <c r="L37" s="47"/>
      <c r="M37" s="265"/>
      <c r="N37" s="296"/>
      <c r="S37" s="47"/>
    </row>
    <row r="38" spans="1:19" x14ac:dyDescent="0.25">
      <c r="A38" s="265"/>
      <c r="B38" s="296"/>
      <c r="G38" s="48"/>
      <c r="H38" s="47"/>
      <c r="I38" s="47"/>
      <c r="J38" s="47"/>
      <c r="K38" s="47"/>
      <c r="L38" s="47"/>
      <c r="M38" s="265"/>
      <c r="N38" s="296"/>
      <c r="S38" s="47"/>
    </row>
    <row r="39" spans="1:19" x14ac:dyDescent="0.25">
      <c r="A39" s="265"/>
      <c r="B39" s="296"/>
      <c r="G39" s="47"/>
      <c r="H39" s="47"/>
      <c r="I39" s="47"/>
      <c r="J39" s="47"/>
      <c r="K39" s="47"/>
      <c r="L39" s="47"/>
      <c r="M39" s="265"/>
      <c r="N39" s="296"/>
      <c r="S39" s="47"/>
    </row>
    <row r="40" spans="1:19" x14ac:dyDescent="0.25">
      <c r="A40" s="265"/>
      <c r="B40" s="296"/>
      <c r="G40" s="47"/>
      <c r="H40" s="47"/>
      <c r="I40" s="47"/>
      <c r="J40" s="47"/>
      <c r="K40" s="47"/>
      <c r="L40" s="47"/>
      <c r="M40" s="265"/>
      <c r="N40" s="296"/>
      <c r="S40" s="47"/>
    </row>
    <row r="41" spans="1:19" ht="18.75" customHeight="1" x14ac:dyDescent="0.25">
      <c r="A41" s="265"/>
      <c r="B41" s="287"/>
      <c r="G41" s="47"/>
      <c r="H41" s="47"/>
      <c r="I41" s="47"/>
      <c r="J41" s="47"/>
      <c r="K41" s="47"/>
      <c r="L41" s="47"/>
    </row>
    <row r="42" spans="1:19" x14ac:dyDescent="0.25">
      <c r="E42" s="287"/>
    </row>
    <row r="56" s="266" customFormat="1" ht="16.5" customHeight="1" x14ac:dyDescent="0.25"/>
    <row r="89" s="266" customFormat="1" ht="15" customHeight="1" x14ac:dyDescent="0.25"/>
    <row r="135" spans="3:14" x14ac:dyDescent="0.25">
      <c r="N135" s="302"/>
    </row>
    <row r="136" spans="3:14" x14ac:dyDescent="0.25">
      <c r="C136" s="302"/>
      <c r="D136" s="302"/>
      <c r="N136" s="302"/>
    </row>
    <row r="137" spans="3:14" x14ac:dyDescent="0.25">
      <c r="C137" s="304"/>
      <c r="D137" s="305"/>
      <c r="E137" s="306"/>
      <c r="N137" s="302"/>
    </row>
    <row r="138" spans="3:14" x14ac:dyDescent="0.25">
      <c r="C138" s="304"/>
      <c r="D138" s="305"/>
      <c r="E138" s="306"/>
      <c r="N138" s="302"/>
    </row>
    <row r="139" spans="3:14" x14ac:dyDescent="0.25">
      <c r="C139" s="304"/>
      <c r="D139" s="305"/>
      <c r="E139" s="306"/>
      <c r="N139" s="302"/>
    </row>
  </sheetData>
  <mergeCells count="5">
    <mergeCell ref="D4:G5"/>
    <mergeCell ref="P4:S5"/>
    <mergeCell ref="E7:F7"/>
    <mergeCell ref="Q7:R7"/>
    <mergeCell ref="I4:J5"/>
  </mergeCells>
  <pageMargins left="0.75" right="0.75" top="1" bottom="1" header="0.5" footer="0.5"/>
  <pageSetup scale="63" orientation="landscape" r:id="rId1"/>
  <headerFooter alignWithMargins="0">
    <oddFooter>&amp;RExhibit JW-9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U139"/>
  <sheetViews>
    <sheetView tabSelected="1" view="pageBreakPreview" zoomScale="75" zoomScaleNormal="85" zoomScaleSheetLayoutView="75" workbookViewId="0">
      <selection activeCell="T28" sqref="T28"/>
    </sheetView>
  </sheetViews>
  <sheetFormatPr defaultColWidth="9.140625" defaultRowHeight="15.75" x14ac:dyDescent="0.25"/>
  <cols>
    <col min="1" max="1" width="4.7109375" style="266" customWidth="1"/>
    <col min="2" max="2" width="16.42578125" style="266" customWidth="1"/>
    <col min="3" max="3" width="2.5703125" style="266" customWidth="1"/>
    <col min="4" max="4" width="12.7109375" style="266" bestFit="1" customWidth="1"/>
    <col min="5" max="5" width="14.5703125" style="266" bestFit="1" customWidth="1"/>
    <col min="6" max="6" width="3.140625" style="266" customWidth="1"/>
    <col min="7" max="7" width="15" style="266" customWidth="1"/>
    <col min="8" max="8" width="3" style="266" customWidth="1"/>
    <col min="9" max="10" width="14.42578125" style="266" customWidth="1"/>
    <col min="11" max="11" width="2" style="266" customWidth="1"/>
    <col min="12" max="12" width="2.85546875" style="266" customWidth="1"/>
    <col min="13" max="13" width="9.85546875" style="266" customWidth="1"/>
    <col min="14" max="14" width="18.28515625" style="266" customWidth="1"/>
    <col min="15" max="15" width="3.42578125" style="266" customWidth="1"/>
    <col min="16" max="16" width="12.7109375" style="266" bestFit="1" customWidth="1"/>
    <col min="17" max="17" width="14.5703125" style="266" bestFit="1" customWidth="1"/>
    <col min="18" max="18" width="4.28515625" style="266" customWidth="1"/>
    <col min="19" max="19" width="15.5703125" style="266" customWidth="1"/>
    <col min="20" max="16384" width="9.140625" style="266"/>
  </cols>
  <sheetData>
    <row r="1" spans="1:20" x14ac:dyDescent="0.25">
      <c r="A1" s="265" t="s">
        <v>129</v>
      </c>
      <c r="N1" s="265"/>
    </row>
    <row r="2" spans="1:20" x14ac:dyDescent="0.25">
      <c r="A2" s="265" t="str">
        <f>List!B11</f>
        <v>Large Power Rate 500 KW and Over</v>
      </c>
    </row>
    <row r="3" spans="1:20" ht="16.5" thickBot="1" x14ac:dyDescent="0.3">
      <c r="A3" s="267">
        <f>List!C11</f>
        <v>46</v>
      </c>
    </row>
    <row r="4" spans="1:20" x14ac:dyDescent="0.25">
      <c r="D4" s="268" t="s">
        <v>30</v>
      </c>
      <c r="E4" s="269"/>
      <c r="F4" s="269"/>
      <c r="G4" s="270"/>
      <c r="H4" s="271"/>
      <c r="I4" s="268" t="s">
        <v>108</v>
      </c>
      <c r="J4" s="270"/>
      <c r="K4" s="282"/>
      <c r="L4" s="271"/>
      <c r="P4" s="268" t="s">
        <v>90</v>
      </c>
      <c r="Q4" s="269"/>
      <c r="R4" s="269"/>
      <c r="S4" s="270"/>
    </row>
    <row r="5" spans="1:20" ht="16.5" thickBot="1" x14ac:dyDescent="0.3">
      <c r="A5" s="273"/>
      <c r="B5" s="274"/>
      <c r="C5" s="271"/>
      <c r="D5" s="275"/>
      <c r="E5" s="276"/>
      <c r="F5" s="276"/>
      <c r="G5" s="277"/>
      <c r="H5" s="271"/>
      <c r="I5" s="275"/>
      <c r="J5" s="277"/>
      <c r="K5" s="282"/>
      <c r="L5" s="271"/>
      <c r="M5" s="273"/>
      <c r="N5" s="274"/>
      <c r="O5" s="271"/>
      <c r="P5" s="275"/>
      <c r="Q5" s="276"/>
      <c r="R5" s="276"/>
      <c r="S5" s="277"/>
    </row>
    <row r="6" spans="1:20" x14ac:dyDescent="0.25">
      <c r="A6" s="278"/>
      <c r="B6" s="278"/>
      <c r="C6" s="278"/>
      <c r="D6" s="278" t="s">
        <v>1</v>
      </c>
      <c r="E6" s="278"/>
      <c r="F6" s="278"/>
      <c r="G6" s="278" t="s">
        <v>2</v>
      </c>
      <c r="H6" s="278"/>
      <c r="I6" s="278"/>
      <c r="J6" s="278" t="s">
        <v>2</v>
      </c>
      <c r="K6" s="282"/>
      <c r="L6" s="278"/>
      <c r="M6" s="278"/>
      <c r="N6" s="278"/>
      <c r="O6" s="278"/>
      <c r="P6" s="278" t="s">
        <v>1</v>
      </c>
      <c r="Q6" s="278"/>
      <c r="R6" s="278"/>
      <c r="S6" s="278" t="s">
        <v>2</v>
      </c>
    </row>
    <row r="7" spans="1:20" ht="16.5" thickBot="1" x14ac:dyDescent="0.3">
      <c r="A7" s="280"/>
      <c r="B7" s="280"/>
      <c r="C7" s="280"/>
      <c r="D7" s="280" t="s">
        <v>4</v>
      </c>
      <c r="E7" s="276" t="s">
        <v>5</v>
      </c>
      <c r="F7" s="276"/>
      <c r="G7" s="280" t="s">
        <v>6</v>
      </c>
      <c r="H7" s="280"/>
      <c r="I7" s="280" t="s">
        <v>5</v>
      </c>
      <c r="J7" s="280" t="s">
        <v>6</v>
      </c>
      <c r="K7" s="281"/>
      <c r="L7" s="280"/>
      <c r="M7" s="280"/>
      <c r="N7" s="280"/>
      <c r="O7" s="280"/>
      <c r="P7" s="280" t="s">
        <v>4</v>
      </c>
      <c r="Q7" s="276" t="s">
        <v>5</v>
      </c>
      <c r="R7" s="276"/>
      <c r="S7" s="280" t="s">
        <v>6</v>
      </c>
      <c r="T7" s="280" t="s">
        <v>59</v>
      </c>
    </row>
    <row r="8" spans="1:20" x14ac:dyDescent="0.25">
      <c r="K8" s="282"/>
    </row>
    <row r="9" spans="1:20" x14ac:dyDescent="0.25">
      <c r="K9" s="282"/>
    </row>
    <row r="10" spans="1:20" x14ac:dyDescent="0.25">
      <c r="A10" s="283" t="s">
        <v>10</v>
      </c>
      <c r="K10" s="282"/>
      <c r="M10" s="283" t="s">
        <v>10</v>
      </c>
    </row>
    <row r="11" spans="1:20" x14ac:dyDescent="0.25">
      <c r="D11" s="284" t="s">
        <v>94</v>
      </c>
      <c r="E11" s="284" t="s">
        <v>95</v>
      </c>
      <c r="I11" s="284" t="s">
        <v>95</v>
      </c>
      <c r="K11" s="282"/>
      <c r="P11" s="284" t="s">
        <v>94</v>
      </c>
      <c r="Q11" s="284" t="s">
        <v>95</v>
      </c>
    </row>
    <row r="12" spans="1:20" x14ac:dyDescent="0.25">
      <c r="B12" s="266" t="s">
        <v>107</v>
      </c>
      <c r="D12" s="286">
        <f>'Billing Determ'!Q11</f>
        <v>92</v>
      </c>
      <c r="E12" s="74">
        <f>'Present and Proposed Rates'!F20</f>
        <v>1754.33</v>
      </c>
      <c r="G12" s="287">
        <f>D12*E12</f>
        <v>161398.35999999999</v>
      </c>
      <c r="H12" s="287"/>
      <c r="I12" s="308">
        <f>'Present and Proposed Rates'!G20</f>
        <v>1754.33</v>
      </c>
      <c r="J12" s="287">
        <f>I12*D12</f>
        <v>161398.35999999999</v>
      </c>
      <c r="K12" s="288"/>
      <c r="L12" s="287"/>
      <c r="N12" s="266" t="s">
        <v>102</v>
      </c>
      <c r="P12" s="286">
        <f>D12</f>
        <v>92</v>
      </c>
      <c r="Q12" s="74">
        <f>'Present and Proposed Rates'!H20</f>
        <v>1754.33</v>
      </c>
      <c r="S12" s="287">
        <f>P12*Q12</f>
        <v>161398.35999999999</v>
      </c>
      <c r="T12" s="287">
        <f>S12-J12</f>
        <v>0</v>
      </c>
    </row>
    <row r="13" spans="1:20" x14ac:dyDescent="0.25">
      <c r="D13" s="286"/>
      <c r="E13" s="74"/>
      <c r="G13" s="287"/>
      <c r="H13" s="287"/>
      <c r="I13" s="308"/>
      <c r="J13" s="287"/>
      <c r="K13" s="288"/>
      <c r="L13" s="287"/>
      <c r="P13" s="286"/>
      <c r="Q13" s="74"/>
      <c r="S13" s="287"/>
      <c r="T13" s="287"/>
    </row>
    <row r="14" spans="1:20" x14ac:dyDescent="0.25">
      <c r="D14" s="286"/>
      <c r="G14" s="287"/>
      <c r="H14" s="287"/>
      <c r="I14" s="302"/>
      <c r="J14" s="287"/>
      <c r="K14" s="288"/>
      <c r="L14" s="287"/>
      <c r="P14" s="286"/>
      <c r="S14" s="287"/>
      <c r="T14" s="287"/>
    </row>
    <row r="15" spans="1:20" x14ac:dyDescent="0.25">
      <c r="A15" s="265" t="s">
        <v>7</v>
      </c>
      <c r="D15" s="286"/>
      <c r="G15" s="287"/>
      <c r="H15" s="287"/>
      <c r="I15" s="302"/>
      <c r="J15" s="287"/>
      <c r="K15" s="288"/>
      <c r="L15" s="287"/>
      <c r="M15" s="265" t="s">
        <v>7</v>
      </c>
      <c r="P15" s="309"/>
      <c r="Q15" s="302"/>
      <c r="S15" s="287"/>
      <c r="T15" s="287"/>
    </row>
    <row r="16" spans="1:20" x14ac:dyDescent="0.25">
      <c r="D16" s="289" t="s">
        <v>8</v>
      </c>
      <c r="E16" s="290" t="s">
        <v>11</v>
      </c>
      <c r="G16" s="287"/>
      <c r="H16" s="287"/>
      <c r="I16" s="290" t="s">
        <v>11</v>
      </c>
      <c r="J16" s="287"/>
      <c r="K16" s="288"/>
      <c r="L16" s="287"/>
      <c r="P16" s="289" t="s">
        <v>8</v>
      </c>
      <c r="Q16" s="290" t="s">
        <v>11</v>
      </c>
      <c r="S16" s="287"/>
      <c r="T16" s="287"/>
    </row>
    <row r="17" spans="1:21" x14ac:dyDescent="0.25">
      <c r="B17" s="266" t="s">
        <v>164</v>
      </c>
      <c r="D17" s="286">
        <f>'Billing Determ'!Q182</f>
        <v>97780556</v>
      </c>
      <c r="E17" s="293">
        <f>'Present and Proposed Rates'!F21</f>
        <v>4.8320000000000002E-2</v>
      </c>
      <c r="G17" s="287">
        <f>D17*E17</f>
        <v>4724756.4659200003</v>
      </c>
      <c r="H17" s="287"/>
      <c r="I17" s="310">
        <f>'Present and Proposed Rates'!G21</f>
        <v>6.0139999999999999E-2</v>
      </c>
      <c r="J17" s="287">
        <f>I17*D17</f>
        <v>5880522.63784</v>
      </c>
      <c r="K17" s="288"/>
      <c r="L17" s="287"/>
      <c r="N17" s="266" t="s">
        <v>164</v>
      </c>
      <c r="P17" s="286">
        <f>D17</f>
        <v>97780556</v>
      </c>
      <c r="Q17" s="293">
        <f>'Present and Proposed Rates'!H21</f>
        <v>6.0139999999999999E-2</v>
      </c>
      <c r="S17" s="287">
        <f>P17*Q17</f>
        <v>5880522.63784</v>
      </c>
      <c r="T17" s="287">
        <f t="shared" ref="T17:T28" si="0">S17-J17</f>
        <v>0</v>
      </c>
    </row>
    <row r="18" spans="1:21" x14ac:dyDescent="0.25">
      <c r="A18" s="265"/>
      <c r="T18" s="287"/>
    </row>
    <row r="19" spans="1:21" x14ac:dyDescent="0.25">
      <c r="A19" s="265" t="s">
        <v>96</v>
      </c>
      <c r="D19" s="309"/>
      <c r="E19" s="310"/>
      <c r="G19" s="287"/>
      <c r="H19" s="287"/>
      <c r="I19" s="310"/>
      <c r="J19" s="287"/>
      <c r="K19" s="288"/>
      <c r="L19" s="287"/>
      <c r="M19" s="265" t="s">
        <v>96</v>
      </c>
      <c r="P19" s="286"/>
      <c r="Q19" s="293"/>
      <c r="S19" s="287"/>
      <c r="T19" s="287"/>
    </row>
    <row r="20" spans="1:21" x14ac:dyDescent="0.25">
      <c r="A20" s="265"/>
      <c r="D20" s="289" t="s">
        <v>97</v>
      </c>
      <c r="E20" s="290" t="s">
        <v>98</v>
      </c>
      <c r="G20" s="287"/>
      <c r="H20" s="287"/>
      <c r="I20" s="290" t="s">
        <v>98</v>
      </c>
      <c r="J20" s="287"/>
      <c r="K20" s="288"/>
      <c r="L20" s="287"/>
      <c r="M20" s="265"/>
      <c r="P20" s="289" t="s">
        <v>97</v>
      </c>
      <c r="Q20" s="290" t="s">
        <v>98</v>
      </c>
      <c r="S20" s="287"/>
      <c r="T20" s="287"/>
    </row>
    <row r="21" spans="1:21" x14ac:dyDescent="0.25">
      <c r="A21" s="265"/>
      <c r="B21" s="266" t="s">
        <v>165</v>
      </c>
      <c r="D21" s="286">
        <f>'Billing Determ'!Q44</f>
        <v>181019.86</v>
      </c>
      <c r="E21" s="311">
        <f>'Present and Proposed Rates'!F22</f>
        <v>7.06</v>
      </c>
      <c r="G21" s="287">
        <f>D21*E21</f>
        <v>1278000.2115999998</v>
      </c>
      <c r="H21" s="287"/>
      <c r="I21" s="312">
        <f>'Present and Proposed Rates'!G22</f>
        <v>7.06</v>
      </c>
      <c r="J21" s="287">
        <f>I21*D21</f>
        <v>1278000.2115999998</v>
      </c>
      <c r="K21" s="313"/>
      <c r="L21" s="287"/>
      <c r="M21" s="265"/>
      <c r="N21" s="266" t="s">
        <v>165</v>
      </c>
      <c r="P21" s="286">
        <f>D21</f>
        <v>181019.86</v>
      </c>
      <c r="Q21" s="311">
        <f>'Present and Proposed Rates'!H22</f>
        <v>7.06</v>
      </c>
      <c r="S21" s="287">
        <f>P21*Q21</f>
        <v>1278000.2115999998</v>
      </c>
      <c r="T21" s="287">
        <f t="shared" si="0"/>
        <v>0</v>
      </c>
    </row>
    <row r="22" spans="1:21" x14ac:dyDescent="0.25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87"/>
      <c r="U22" s="265"/>
    </row>
    <row r="23" spans="1:21" x14ac:dyDescent="0.25">
      <c r="A23" s="265" t="s">
        <v>99</v>
      </c>
      <c r="B23" s="265"/>
      <c r="C23" s="294"/>
      <c r="D23" s="286"/>
      <c r="E23" s="293"/>
      <c r="G23" s="287"/>
      <c r="H23" s="287"/>
      <c r="I23" s="287"/>
      <c r="J23" s="287"/>
      <c r="K23" s="288"/>
      <c r="L23" s="287"/>
      <c r="M23" s="265" t="s">
        <v>99</v>
      </c>
      <c r="N23" s="265"/>
      <c r="O23" s="294"/>
      <c r="P23" s="286"/>
      <c r="Q23" s="293"/>
      <c r="S23" s="287"/>
      <c r="T23" s="287"/>
    </row>
    <row r="24" spans="1:21" x14ac:dyDescent="0.25">
      <c r="A24" s="265"/>
      <c r="B24" s="266" t="s">
        <v>93</v>
      </c>
      <c r="C24" s="294"/>
      <c r="D24" s="286"/>
      <c r="E24" s="293"/>
      <c r="G24" s="287">
        <f>'Billing Determ'!Q106</f>
        <v>1093818.96</v>
      </c>
      <c r="H24" s="287"/>
      <c r="I24" s="287"/>
      <c r="J24" s="287">
        <f>G24-(J17-G17)</f>
        <v>-61947.211919999681</v>
      </c>
      <c r="K24" s="288"/>
      <c r="L24" s="287"/>
      <c r="M24" s="265"/>
      <c r="N24" s="266" t="s">
        <v>93</v>
      </c>
      <c r="O24" s="294"/>
      <c r="P24" s="286"/>
      <c r="Q24" s="293"/>
      <c r="S24" s="287">
        <f>J24</f>
        <v>-61947.211919999681</v>
      </c>
      <c r="T24" s="287">
        <f t="shared" si="0"/>
        <v>0</v>
      </c>
    </row>
    <row r="25" spans="1:21" x14ac:dyDescent="0.25">
      <c r="A25" s="265"/>
      <c r="B25" s="266" t="s">
        <v>101</v>
      </c>
      <c r="C25" s="294"/>
      <c r="D25" s="286"/>
      <c r="E25" s="293"/>
      <c r="G25" s="287">
        <f>'Billing Determ'!Q122</f>
        <v>891470</v>
      </c>
      <c r="H25" s="287"/>
      <c r="I25" s="287"/>
      <c r="J25" s="287">
        <f>G25</f>
        <v>891470</v>
      </c>
      <c r="K25" s="288"/>
      <c r="L25" s="287"/>
      <c r="M25" s="265"/>
      <c r="N25" s="266" t="s">
        <v>101</v>
      </c>
      <c r="O25" s="294"/>
      <c r="P25" s="286"/>
      <c r="Q25" s="293"/>
      <c r="S25" s="287">
        <f t="shared" ref="S25:S26" si="1">J25</f>
        <v>891470</v>
      </c>
      <c r="T25" s="287">
        <f t="shared" si="0"/>
        <v>0</v>
      </c>
    </row>
    <row r="26" spans="1:21" x14ac:dyDescent="0.25">
      <c r="B26" s="266" t="s">
        <v>139</v>
      </c>
      <c r="D26" s="286"/>
      <c r="E26" s="293"/>
      <c r="G26" s="54">
        <f>Lighting!L54*0</f>
        <v>0</v>
      </c>
      <c r="H26" s="54"/>
      <c r="I26" s="54"/>
      <c r="J26" s="54">
        <f>G26</f>
        <v>0</v>
      </c>
      <c r="K26" s="288"/>
      <c r="L26" s="54"/>
      <c r="M26" s="283"/>
      <c r="N26" s="266" t="s">
        <v>139</v>
      </c>
      <c r="S26" s="287">
        <f t="shared" si="1"/>
        <v>0</v>
      </c>
      <c r="T26" s="287">
        <f t="shared" si="0"/>
        <v>0</v>
      </c>
    </row>
    <row r="27" spans="1:21" x14ac:dyDescent="0.25">
      <c r="A27" s="265"/>
      <c r="D27" s="87"/>
      <c r="G27" s="287"/>
      <c r="H27" s="287"/>
      <c r="I27" s="287"/>
      <c r="J27" s="287"/>
      <c r="K27" s="288"/>
      <c r="L27" s="287"/>
      <c r="M27" s="265"/>
      <c r="S27" s="287"/>
      <c r="T27" s="287"/>
    </row>
    <row r="28" spans="1:21" ht="16.5" thickBot="1" x14ac:dyDescent="0.3">
      <c r="A28" s="265" t="s">
        <v>80</v>
      </c>
      <c r="G28" s="295">
        <f>SUM(G12:G26)</f>
        <v>8149443.9975200007</v>
      </c>
      <c r="H28" s="287"/>
      <c r="I28" s="287"/>
      <c r="J28" s="295">
        <f>SUM(J12:J26)</f>
        <v>8149443.9975200007</v>
      </c>
      <c r="K28" s="288"/>
      <c r="L28" s="287"/>
      <c r="M28" s="265" t="s">
        <v>80</v>
      </c>
      <c r="S28" s="295">
        <f>SUM(S12:S26)</f>
        <v>8149443.9975200007</v>
      </c>
      <c r="T28" s="287">
        <f t="shared" si="0"/>
        <v>0</v>
      </c>
    </row>
    <row r="29" spans="1:21" ht="16.5" thickTop="1" x14ac:dyDescent="0.25">
      <c r="A29" s="265"/>
      <c r="B29" s="265"/>
      <c r="G29" s="287"/>
      <c r="H29" s="287"/>
      <c r="I29" s="287"/>
      <c r="J29" s="287"/>
      <c r="K29" s="288"/>
      <c r="L29" s="287"/>
      <c r="M29" s="265"/>
      <c r="N29" s="265"/>
      <c r="S29" s="287"/>
      <c r="T29" s="287"/>
    </row>
    <row r="30" spans="1:21" x14ac:dyDescent="0.25">
      <c r="A30" s="265" t="s">
        <v>19</v>
      </c>
      <c r="B30" s="296"/>
      <c r="G30" s="287">
        <f>'Billing Determ'!Q91</f>
        <v>7615206.3700000001</v>
      </c>
      <c r="H30" s="287"/>
      <c r="I30" s="287"/>
      <c r="J30" s="287"/>
      <c r="K30" s="297"/>
      <c r="L30" s="287"/>
      <c r="M30" s="265" t="s">
        <v>109</v>
      </c>
      <c r="N30" s="296"/>
      <c r="S30" s="86">
        <f>S28-J28</f>
        <v>0</v>
      </c>
    </row>
    <row r="31" spans="1:21" x14ac:dyDescent="0.25">
      <c r="A31" s="296"/>
      <c r="B31" s="296"/>
      <c r="G31" s="296"/>
      <c r="H31" s="296"/>
      <c r="I31" s="296"/>
      <c r="J31" s="296"/>
      <c r="K31" s="298"/>
      <c r="L31" s="296"/>
      <c r="N31" s="296"/>
      <c r="S31" s="296"/>
    </row>
    <row r="32" spans="1:21" x14ac:dyDescent="0.25">
      <c r="A32" s="265" t="s">
        <v>13</v>
      </c>
      <c r="B32" s="296"/>
      <c r="G32" s="46">
        <f>G28-G30</f>
        <v>534237.62752000056</v>
      </c>
      <c r="H32" s="46"/>
      <c r="I32" s="46"/>
      <c r="J32" s="46">
        <f>J28-G28</f>
        <v>0</v>
      </c>
      <c r="K32" s="288"/>
      <c r="L32" s="46"/>
      <c r="M32" s="265" t="s">
        <v>110</v>
      </c>
      <c r="N32" s="296"/>
      <c r="S32" s="299">
        <f>S30/J28</f>
        <v>0</v>
      </c>
    </row>
    <row r="33" spans="1:19" x14ac:dyDescent="0.25">
      <c r="A33" s="296"/>
      <c r="B33" s="296"/>
      <c r="G33" s="287"/>
      <c r="H33" s="287"/>
      <c r="I33" s="287"/>
      <c r="J33" s="287"/>
      <c r="K33" s="300"/>
      <c r="L33" s="287"/>
      <c r="N33" s="296"/>
      <c r="S33" s="287"/>
    </row>
    <row r="34" spans="1:19" x14ac:dyDescent="0.25">
      <c r="A34" s="265" t="s">
        <v>26</v>
      </c>
      <c r="B34" s="296"/>
      <c r="G34" s="47">
        <f>G32/G30</f>
        <v>7.015405775799094E-2</v>
      </c>
      <c r="H34" s="47"/>
      <c r="I34" s="47"/>
      <c r="J34" s="47">
        <f>J32/G30</f>
        <v>0</v>
      </c>
      <c r="K34" s="288"/>
      <c r="L34" s="47"/>
      <c r="M34" s="265" t="s">
        <v>85</v>
      </c>
      <c r="N34" s="296"/>
      <c r="S34" s="54">
        <f>S30/P12</f>
        <v>0</v>
      </c>
    </row>
    <row r="35" spans="1:19" x14ac:dyDescent="0.25">
      <c r="A35" s="265"/>
      <c r="B35" s="296"/>
      <c r="G35" s="47"/>
      <c r="H35" s="47"/>
      <c r="I35" s="47"/>
      <c r="J35" s="47"/>
      <c r="K35" s="47"/>
      <c r="L35" s="47"/>
      <c r="M35" s="265"/>
      <c r="N35" s="296"/>
      <c r="S35" s="47"/>
    </row>
    <row r="36" spans="1:19" x14ac:dyDescent="0.25">
      <c r="A36" s="265"/>
      <c r="B36" s="296"/>
      <c r="G36" s="48"/>
      <c r="H36" s="47"/>
      <c r="I36" s="47"/>
      <c r="J36" s="47"/>
      <c r="K36" s="47"/>
      <c r="L36" s="47"/>
      <c r="M36" s="265"/>
      <c r="N36" s="296"/>
      <c r="S36" s="47"/>
    </row>
    <row r="37" spans="1:19" x14ac:dyDescent="0.25">
      <c r="A37" s="265"/>
      <c r="B37" s="296"/>
      <c r="G37" s="48"/>
      <c r="H37" s="47"/>
      <c r="I37" s="47"/>
      <c r="J37" s="47"/>
      <c r="K37" s="47"/>
      <c r="L37" s="47"/>
      <c r="M37" s="265"/>
      <c r="N37" s="296"/>
      <c r="S37" s="47"/>
    </row>
    <row r="38" spans="1:19" x14ac:dyDescent="0.25">
      <c r="A38" s="265"/>
      <c r="B38" s="296"/>
      <c r="G38" s="48"/>
      <c r="H38" s="47"/>
      <c r="I38" s="47"/>
      <c r="J38" s="47"/>
      <c r="K38" s="47"/>
      <c r="L38" s="47"/>
      <c r="M38" s="265"/>
      <c r="N38" s="296"/>
      <c r="S38" s="47"/>
    </row>
    <row r="39" spans="1:19" x14ac:dyDescent="0.25">
      <c r="A39" s="265"/>
      <c r="B39" s="296"/>
      <c r="G39" s="47"/>
      <c r="H39" s="47"/>
      <c r="I39" s="47"/>
      <c r="J39" s="47"/>
      <c r="K39" s="47"/>
      <c r="L39" s="47"/>
      <c r="M39" s="265"/>
      <c r="N39" s="296"/>
      <c r="S39" s="47"/>
    </row>
    <row r="40" spans="1:19" x14ac:dyDescent="0.25">
      <c r="A40" s="265"/>
      <c r="B40" s="296"/>
      <c r="G40" s="47"/>
      <c r="H40" s="47"/>
      <c r="I40" s="47"/>
      <c r="J40" s="47"/>
      <c r="K40" s="47"/>
      <c r="L40" s="47"/>
      <c r="M40" s="265"/>
      <c r="N40" s="296"/>
      <c r="S40" s="47"/>
    </row>
    <row r="41" spans="1:19" ht="18.75" customHeight="1" x14ac:dyDescent="0.25">
      <c r="A41" s="265"/>
      <c r="B41" s="287"/>
      <c r="G41" s="47"/>
      <c r="H41" s="47"/>
      <c r="I41" s="47"/>
      <c r="J41" s="47"/>
      <c r="K41" s="47"/>
      <c r="L41" s="47"/>
    </row>
    <row r="42" spans="1:19" x14ac:dyDescent="0.25">
      <c r="E42" s="287"/>
    </row>
    <row r="56" s="266" customFormat="1" ht="16.5" customHeight="1" x14ac:dyDescent="0.25"/>
    <row r="89" s="266" customFormat="1" ht="15" customHeight="1" x14ac:dyDescent="0.25"/>
    <row r="135" spans="3:14" x14ac:dyDescent="0.25">
      <c r="N135" s="302"/>
    </row>
    <row r="136" spans="3:14" x14ac:dyDescent="0.25">
      <c r="C136" s="302"/>
      <c r="D136" s="302"/>
      <c r="N136" s="302"/>
    </row>
    <row r="137" spans="3:14" x14ac:dyDescent="0.25">
      <c r="C137" s="304"/>
      <c r="D137" s="305"/>
      <c r="E137" s="306"/>
      <c r="N137" s="302"/>
    </row>
    <row r="138" spans="3:14" x14ac:dyDescent="0.25">
      <c r="C138" s="304"/>
      <c r="D138" s="305"/>
      <c r="E138" s="306"/>
      <c r="N138" s="302"/>
    </row>
    <row r="139" spans="3:14" x14ac:dyDescent="0.25">
      <c r="C139" s="304"/>
      <c r="D139" s="305"/>
      <c r="E139" s="306"/>
      <c r="N139" s="30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3" orientation="landscape" r:id="rId1"/>
  <headerFooter alignWithMargins="0">
    <oddFooter>&amp;RExhibit JW-9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Residential NonTOU</vt:lpstr>
      <vt:lpstr>Resid. - TOU</vt:lpstr>
      <vt:lpstr>Present and Proposed Rates</vt:lpstr>
      <vt:lpstr>10</vt:lpstr>
      <vt:lpstr>11</vt:lpstr>
      <vt:lpstr>20</vt:lpstr>
      <vt:lpstr>22</vt:lpstr>
      <vt:lpstr>40</vt:lpstr>
      <vt:lpstr>46</vt:lpstr>
      <vt:lpstr>47</vt:lpstr>
      <vt:lpstr>50</vt:lpstr>
      <vt:lpstr>52</vt:lpstr>
      <vt:lpstr>Lighting</vt:lpstr>
      <vt:lpstr>Summary</vt:lpstr>
      <vt:lpstr>ResIncr</vt:lpstr>
      <vt:lpstr>Notice Tables</vt:lpstr>
      <vt:lpstr>Billing Determ</vt:lpstr>
      <vt:lpstr>List</vt:lpstr>
      <vt:lpstr>'10'!Print_Area</vt:lpstr>
      <vt:lpstr>'11'!Print_Area</vt:lpstr>
      <vt:lpstr>'20'!Print_Area</vt:lpstr>
      <vt:lpstr>'22'!Print_Area</vt:lpstr>
      <vt:lpstr>'40'!Print_Area</vt:lpstr>
      <vt:lpstr>'46'!Print_Area</vt:lpstr>
      <vt:lpstr>'47'!Print_Area</vt:lpstr>
      <vt:lpstr>'50'!Print_Area</vt:lpstr>
      <vt:lpstr>'52'!Print_Area</vt:lpstr>
      <vt:lpstr>Lighting!Print_Area</vt:lpstr>
      <vt:lpstr>'Notice Tables'!Print_Area</vt:lpstr>
      <vt:lpstr>'Present and Proposed Rates'!Print_Area</vt:lpstr>
      <vt:lpstr>'Resid. - TOU'!Print_Area</vt:lpstr>
      <vt:lpstr>'Residential NonTOU'!Print_Area</vt:lpstr>
      <vt:lpstr>ResIncr!Print_Area</vt:lpstr>
      <vt:lpstr>Summary!Print_Area</vt:lpstr>
      <vt:lpstr>ResIncr!Print_Titles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John Wolfram</cp:lastModifiedBy>
  <cp:lastPrinted>2024-10-08T00:28:02Z</cp:lastPrinted>
  <dcterms:created xsi:type="dcterms:W3CDTF">2000-07-10T18:54:31Z</dcterms:created>
  <dcterms:modified xsi:type="dcterms:W3CDTF">2024-10-08T00:28:02Z</dcterms:modified>
</cp:coreProperties>
</file>