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EC/Rate Case 2024/COS and Rates/"/>
    </mc:Choice>
  </mc:AlternateContent>
  <xr:revisionPtr revIDLastSave="10" documentId="8_{5A9BA29B-AF77-4227-B40A-4B76647A9A15}" xr6:coauthVersionLast="47" xr6:coauthVersionMax="47" xr10:uidLastSave="{DA3D98D4-06D5-4745-9E98-65777A06CC24}"/>
  <bookViews>
    <workbookView xWindow="-120" yWindow="-120" windowWidth="29040" windowHeight="15720" tabRatio="741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Returns'!$A$1:$O$652</definedName>
    <definedName name="_xlnm.Print_Area" localSheetId="4">'Billing Det'!$A$1:$T$204</definedName>
    <definedName name="_xlnm.Print_Area" localSheetId="2">'Func &amp; Classif'!$A$1:$AA$488</definedName>
    <definedName name="_xlnm.Print_Area" localSheetId="6">Meters!$A$1:$G$32</definedName>
    <definedName name="_xlnm.Print_Area" localSheetId="5">'Purchased Power'!$A$1:$P$196</definedName>
    <definedName name="_xlnm.Print_Area" localSheetId="7">Services!$A$1:$G$32</definedName>
    <definedName name="_xlnm.Print_Area" localSheetId="1">'Summary of Rates'!$A$1:$G$17</definedName>
    <definedName name="_xlnm.Print_Area" localSheetId="0">'Summary of Returns'!$A$1:$I$48</definedName>
    <definedName name="_xlnm.Print_Titles" localSheetId="3">'Alloc &amp; Returns'!$A:$D,'Alloc &amp; Returns'!$1:$3</definedName>
    <definedName name="_xlnm.Print_Titles" localSheetId="4">'Billing Det'!$A:$B,'Billing Det'!$32:$35</definedName>
    <definedName name="_xlnm.Print_Titles" localSheetId="2">'Func &amp; Classif'!$A:$E,'Func &amp; Classif'!$1:$3</definedName>
    <definedName name="_xlnm.Print_Titles" localSheetId="5">'Purchased Power'!$1:$5</definedName>
    <definedName name="_xlnm.Print_Titles" localSheetId="9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4" l="1"/>
  <c r="A34" i="4"/>
  <c r="A35" i="4"/>
  <c r="A36" i="4"/>
  <c r="A37" i="4" s="1"/>
  <c r="A38" i="4" s="1"/>
  <c r="A39" i="4" s="1"/>
  <c r="A40" i="4" s="1"/>
  <c r="A41" i="4" s="1"/>
  <c r="A33" i="4"/>
  <c r="A32" i="4"/>
  <c r="A30" i="16"/>
  <c r="A31" i="16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D33" i="4" l="1"/>
  <c r="D34" i="4"/>
  <c r="D35" i="4"/>
  <c r="D36" i="4"/>
  <c r="D37" i="4"/>
  <c r="D38" i="4"/>
  <c r="D39" i="4"/>
  <c r="D40" i="4"/>
  <c r="D41" i="4"/>
  <c r="D32" i="4"/>
  <c r="E48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32" i="4"/>
  <c r="N348" i="2" l="1"/>
  <c r="M348" i="2"/>
  <c r="J348" i="2"/>
  <c r="H348" i="2"/>
  <c r="E348" i="2"/>
  <c r="F348" i="2" s="1"/>
  <c r="AG348" i="2" l="1"/>
  <c r="AH348" i="2" s="1"/>
  <c r="AJ361" i="2" l="1"/>
  <c r="AJ362" i="2" s="1"/>
  <c r="AJ363" i="2" s="1"/>
  <c r="AJ364" i="2" s="1"/>
  <c r="AJ365" i="2" s="1"/>
  <c r="AJ366" i="2" s="1"/>
  <c r="AJ367" i="2" s="1"/>
  <c r="AJ369" i="2"/>
  <c r="AJ359" i="2"/>
  <c r="AJ342" i="2"/>
  <c r="AJ343" i="2" s="1"/>
  <c r="AJ370" i="2" l="1"/>
  <c r="AJ373" i="2" s="1"/>
  <c r="AJ374" i="2" s="1"/>
  <c r="AJ375" i="2" s="1"/>
  <c r="AJ376" i="2" s="1"/>
  <c r="AJ377" i="2" s="1"/>
  <c r="AJ378" i="2" s="1"/>
  <c r="AJ379" i="2" s="1"/>
  <c r="AJ380" i="2" s="1"/>
  <c r="AJ381" i="2" s="1"/>
  <c r="N361" i="2"/>
  <c r="M361" i="2"/>
  <c r="J361" i="2"/>
  <c r="H361" i="2"/>
  <c r="F361" i="2"/>
  <c r="E361" i="2"/>
  <c r="E359" i="2"/>
  <c r="E360" i="2"/>
  <c r="E362" i="2"/>
  <c r="E363" i="2"/>
  <c r="E364" i="2"/>
  <c r="E365" i="2"/>
  <c r="E366" i="2"/>
  <c r="E367" i="2"/>
  <c r="E368" i="2"/>
  <c r="E369" i="2"/>
  <c r="E370" i="2"/>
  <c r="E371" i="2"/>
  <c r="E372" i="2"/>
  <c r="E358" i="2"/>
  <c r="N343" i="2"/>
  <c r="M343" i="2"/>
  <c r="J343" i="2"/>
  <c r="H343" i="2"/>
  <c r="F343" i="2"/>
  <c r="E342" i="2"/>
  <c r="E343" i="2"/>
  <c r="E341" i="2"/>
  <c r="F609" i="2" l="1"/>
  <c r="C70" i="15"/>
  <c r="D70" i="15"/>
  <c r="E70" i="15"/>
  <c r="F70" i="15"/>
  <c r="G70" i="15"/>
  <c r="H70" i="15"/>
  <c r="I70" i="15"/>
  <c r="J70" i="15"/>
  <c r="K70" i="15"/>
  <c r="L70" i="15"/>
  <c r="M70" i="15"/>
  <c r="N70" i="15"/>
  <c r="E447" i="2"/>
  <c r="C74" i="15"/>
  <c r="E72" i="15"/>
  <c r="F72" i="15" s="1"/>
  <c r="G72" i="15" s="1"/>
  <c r="H72" i="15" s="1"/>
  <c r="I72" i="15" s="1"/>
  <c r="J72" i="15" s="1"/>
  <c r="K72" i="15" s="1"/>
  <c r="L72" i="15" s="1"/>
  <c r="M72" i="15" s="1"/>
  <c r="N72" i="15" s="1"/>
  <c r="D72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E54" i="15"/>
  <c r="F54" i="15" s="1"/>
  <c r="G54" i="15" s="1"/>
  <c r="H54" i="15" s="1"/>
  <c r="I54" i="15" s="1"/>
  <c r="J54" i="15" s="1"/>
  <c r="K54" i="15" s="1"/>
  <c r="L54" i="15" s="1"/>
  <c r="M54" i="15" s="1"/>
  <c r="N54" i="15" s="1"/>
  <c r="D54" i="15"/>
  <c r="P113" i="16"/>
  <c r="P122" i="16"/>
  <c r="P120" i="16"/>
  <c r="P130" i="16"/>
  <c r="E165" i="16"/>
  <c r="F165" i="16"/>
  <c r="G165" i="16"/>
  <c r="H165" i="16"/>
  <c r="I165" i="16"/>
  <c r="J165" i="16"/>
  <c r="K165" i="16"/>
  <c r="L165" i="16"/>
  <c r="M165" i="16"/>
  <c r="N165" i="16"/>
  <c r="O165" i="16"/>
  <c r="E166" i="16"/>
  <c r="F166" i="16"/>
  <c r="G166" i="16"/>
  <c r="H166" i="16"/>
  <c r="I166" i="16"/>
  <c r="J166" i="16"/>
  <c r="K166" i="16"/>
  <c r="L166" i="16"/>
  <c r="M166" i="16"/>
  <c r="N166" i="16"/>
  <c r="O166" i="16"/>
  <c r="E167" i="16"/>
  <c r="F167" i="16"/>
  <c r="G167" i="16"/>
  <c r="H167" i="16"/>
  <c r="I167" i="16"/>
  <c r="J167" i="16"/>
  <c r="K167" i="16"/>
  <c r="L167" i="16"/>
  <c r="M167" i="16"/>
  <c r="N167" i="16"/>
  <c r="O167" i="16"/>
  <c r="E168" i="16"/>
  <c r="F168" i="16"/>
  <c r="G168" i="16"/>
  <c r="H168" i="16"/>
  <c r="I168" i="16"/>
  <c r="J168" i="16"/>
  <c r="K168" i="16"/>
  <c r="L168" i="16"/>
  <c r="M168" i="16"/>
  <c r="N168" i="16"/>
  <c r="O168" i="16"/>
  <c r="D166" i="16"/>
  <c r="D167" i="16"/>
  <c r="D168" i="16"/>
  <c r="D165" i="16"/>
  <c r="E172" i="16"/>
  <c r="F172" i="16"/>
  <c r="G172" i="16"/>
  <c r="H172" i="16"/>
  <c r="I172" i="16"/>
  <c r="J172" i="16"/>
  <c r="K172" i="16"/>
  <c r="L172" i="16"/>
  <c r="M172" i="16"/>
  <c r="N172" i="16"/>
  <c r="O172" i="16"/>
  <c r="E173" i="16"/>
  <c r="F173" i="16"/>
  <c r="G173" i="16"/>
  <c r="H173" i="16"/>
  <c r="I173" i="16"/>
  <c r="J173" i="16"/>
  <c r="K173" i="16"/>
  <c r="L173" i="16"/>
  <c r="M173" i="16"/>
  <c r="N173" i="16"/>
  <c r="O173" i="16"/>
  <c r="E174" i="16"/>
  <c r="F174" i="16"/>
  <c r="G174" i="16"/>
  <c r="H174" i="16"/>
  <c r="I174" i="16"/>
  <c r="J174" i="16"/>
  <c r="K174" i="16"/>
  <c r="L174" i="16"/>
  <c r="M174" i="16"/>
  <c r="N174" i="16"/>
  <c r="O174" i="16"/>
  <c r="E175" i="16"/>
  <c r="F175" i="16"/>
  <c r="G175" i="16"/>
  <c r="H175" i="16"/>
  <c r="I175" i="16"/>
  <c r="J175" i="16"/>
  <c r="K175" i="16"/>
  <c r="L175" i="16"/>
  <c r="M175" i="16"/>
  <c r="N175" i="16"/>
  <c r="O175" i="16"/>
  <c r="D174" i="16"/>
  <c r="D175" i="16"/>
  <c r="D173" i="16"/>
  <c r="D172" i="16"/>
  <c r="P63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P66" i="16"/>
  <c r="P65" i="16"/>
  <c r="P64" i="16"/>
  <c r="P62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P58" i="16"/>
  <c r="P57" i="16"/>
  <c r="P56" i="16"/>
  <c r="P55" i="16"/>
  <c r="K102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P125" i="16"/>
  <c r="P124" i="16"/>
  <c r="P123" i="16"/>
  <c r="P121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P37" i="16"/>
  <c r="P36" i="16"/>
  <c r="P35" i="16"/>
  <c r="P34" i="16"/>
  <c r="F155" i="16"/>
  <c r="F148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P133" i="16"/>
  <c r="P132" i="16"/>
  <c r="P131" i="16"/>
  <c r="P129" i="16"/>
  <c r="E158" i="16"/>
  <c r="F158" i="16"/>
  <c r="G158" i="16"/>
  <c r="H158" i="16"/>
  <c r="I158" i="16"/>
  <c r="J158" i="16"/>
  <c r="K158" i="16"/>
  <c r="L158" i="16"/>
  <c r="M158" i="16"/>
  <c r="N158" i="16"/>
  <c r="O158" i="16"/>
  <c r="E159" i="16"/>
  <c r="F159" i="16"/>
  <c r="G159" i="16"/>
  <c r="H159" i="16"/>
  <c r="I159" i="16"/>
  <c r="J159" i="16"/>
  <c r="K159" i="16"/>
  <c r="L159" i="16"/>
  <c r="M159" i="16"/>
  <c r="N159" i="16"/>
  <c r="O159" i="16"/>
  <c r="E160" i="16"/>
  <c r="F160" i="16"/>
  <c r="G160" i="16"/>
  <c r="H160" i="16"/>
  <c r="I160" i="16"/>
  <c r="J160" i="16"/>
  <c r="K160" i="16"/>
  <c r="L160" i="16"/>
  <c r="M160" i="16"/>
  <c r="N160" i="16"/>
  <c r="O160" i="16"/>
  <c r="E161" i="16"/>
  <c r="F161" i="16"/>
  <c r="G161" i="16"/>
  <c r="H161" i="16"/>
  <c r="I161" i="16"/>
  <c r="J161" i="16"/>
  <c r="K161" i="16"/>
  <c r="L161" i="16"/>
  <c r="M161" i="16"/>
  <c r="N161" i="16"/>
  <c r="O161" i="16"/>
  <c r="D159" i="16"/>
  <c r="D160" i="16"/>
  <c r="D161" i="16"/>
  <c r="D158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P51" i="16"/>
  <c r="P50" i="16"/>
  <c r="P49" i="16"/>
  <c r="P48" i="16"/>
  <c r="C71" i="15" l="1"/>
  <c r="C73" i="15" s="1"/>
  <c r="C75" i="15"/>
  <c r="P67" i="16"/>
  <c r="P59" i="16"/>
  <c r="P126" i="16"/>
  <c r="P38" i="16"/>
  <c r="P134" i="16"/>
  <c r="P52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P80" i="16"/>
  <c r="P79" i="16"/>
  <c r="P78" i="16"/>
  <c r="P77" i="16"/>
  <c r="P81" i="16" l="1"/>
  <c r="D18" i="16"/>
  <c r="E14" i="16"/>
  <c r="F14" i="16"/>
  <c r="G14" i="16"/>
  <c r="H14" i="16"/>
  <c r="I14" i="16"/>
  <c r="J14" i="16"/>
  <c r="K14" i="16"/>
  <c r="L14" i="16"/>
  <c r="M14" i="16"/>
  <c r="N14" i="16"/>
  <c r="O14" i="16"/>
  <c r="D14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P140" i="16"/>
  <c r="P139" i="16"/>
  <c r="P138" i="16"/>
  <c r="P13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P116" i="16"/>
  <c r="P115" i="16"/>
  <c r="P114" i="16"/>
  <c r="P112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P108" i="16"/>
  <c r="P107" i="16"/>
  <c r="P106" i="16"/>
  <c r="P10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P44" i="16"/>
  <c r="P43" i="16"/>
  <c r="P42" i="16"/>
  <c r="P41" i="16"/>
  <c r="E29" i="16"/>
  <c r="E28" i="16"/>
  <c r="F28" i="16" l="1"/>
  <c r="E184" i="16"/>
  <c r="F29" i="16"/>
  <c r="E185" i="16"/>
  <c r="D184" i="16"/>
  <c r="D185" i="16"/>
  <c r="E18" i="16"/>
  <c r="O176" i="16"/>
  <c r="O190" i="16" s="1"/>
  <c r="L176" i="16"/>
  <c r="L190" i="16" s="1"/>
  <c r="J176" i="16"/>
  <c r="J190" i="16" s="1"/>
  <c r="M176" i="16"/>
  <c r="M190" i="16" s="1"/>
  <c r="P175" i="16"/>
  <c r="H176" i="16"/>
  <c r="H190" i="16" s="1"/>
  <c r="K176" i="16"/>
  <c r="K190" i="16" s="1"/>
  <c r="N176" i="16"/>
  <c r="N190" i="16" s="1"/>
  <c r="F176" i="16"/>
  <c r="F190" i="16" s="1"/>
  <c r="P173" i="16"/>
  <c r="G176" i="16"/>
  <c r="G190" i="16" s="1"/>
  <c r="E176" i="16"/>
  <c r="E190" i="16" s="1"/>
  <c r="I176" i="16"/>
  <c r="I190" i="16" s="1"/>
  <c r="D176" i="16"/>
  <c r="D190" i="16" s="1"/>
  <c r="P174" i="16"/>
  <c r="P141" i="16"/>
  <c r="P172" i="16"/>
  <c r="P109" i="16"/>
  <c r="P117" i="16"/>
  <c r="P45" i="16"/>
  <c r="L136" i="18"/>
  <c r="M136" i="18" s="1"/>
  <c r="J136" i="18"/>
  <c r="I136" i="18"/>
  <c r="F136" i="18"/>
  <c r="H136" i="18" s="1"/>
  <c r="L137" i="18"/>
  <c r="M137" i="18" s="1"/>
  <c r="J137" i="18"/>
  <c r="I137" i="18"/>
  <c r="F137" i="18"/>
  <c r="H137" i="18" s="1"/>
  <c r="L145" i="18"/>
  <c r="M145" i="18" s="1"/>
  <c r="J145" i="18"/>
  <c r="I145" i="18"/>
  <c r="F145" i="18"/>
  <c r="H145" i="18" s="1"/>
  <c r="L146" i="18"/>
  <c r="M146" i="18" s="1"/>
  <c r="J146" i="18"/>
  <c r="I146" i="18"/>
  <c r="F146" i="18"/>
  <c r="H146" i="18" s="1"/>
  <c r="L116" i="18"/>
  <c r="M116" i="18" s="1"/>
  <c r="J116" i="18"/>
  <c r="I116" i="18"/>
  <c r="F116" i="18"/>
  <c r="H116" i="18" s="1"/>
  <c r="I19" i="18"/>
  <c r="F19" i="18"/>
  <c r="H19" i="18" s="1"/>
  <c r="C19" i="18"/>
  <c r="J19" i="18" s="1"/>
  <c r="F456" i="1"/>
  <c r="F454" i="1"/>
  <c r="F446" i="1"/>
  <c r="F431" i="1"/>
  <c r="F427" i="1"/>
  <c r="F419" i="1"/>
  <c r="F401" i="1"/>
  <c r="F389" i="1"/>
  <c r="F386" i="1"/>
  <c r="F383" i="1"/>
  <c r="F105" i="1"/>
  <c r="F118" i="1"/>
  <c r="F108" i="1"/>
  <c r="F64" i="1"/>
  <c r="F270" i="1"/>
  <c r="F250" i="1"/>
  <c r="F281" i="1"/>
  <c r="F277" i="1"/>
  <c r="F269" i="1"/>
  <c r="F254" i="1"/>
  <c r="F242" i="1"/>
  <c r="F222" i="1"/>
  <c r="F211" i="1"/>
  <c r="F208" i="1"/>
  <c r="F206" i="1"/>
  <c r="F205" i="1"/>
  <c r="F175" i="1"/>
  <c r="G29" i="16" l="1"/>
  <c r="F185" i="16"/>
  <c r="F18" i="16"/>
  <c r="G28" i="16"/>
  <c r="F184" i="16"/>
  <c r="P176" i="16"/>
  <c r="P190" i="16" s="1"/>
  <c r="F122" i="1"/>
  <c r="F117" i="1"/>
  <c r="F66" i="1"/>
  <c r="F65" i="1"/>
  <c r="F49" i="1"/>
  <c r="F42" i="1"/>
  <c r="H28" i="16" l="1"/>
  <c r="G184" i="16"/>
  <c r="H29" i="16"/>
  <c r="G185" i="16"/>
  <c r="G18" i="16"/>
  <c r="G17" i="17"/>
  <c r="G16" i="17"/>
  <c r="G12" i="17"/>
  <c r="G11" i="17"/>
  <c r="G10" i="17"/>
  <c r="G9" i="17"/>
  <c r="AG361" i="2"/>
  <c r="AH361" i="2" s="1"/>
  <c r="I29" i="16" l="1"/>
  <c r="H185" i="16"/>
  <c r="H18" i="16"/>
  <c r="I28" i="16"/>
  <c r="H184" i="16"/>
  <c r="E50" i="15"/>
  <c r="F50" i="15"/>
  <c r="G50" i="15"/>
  <c r="H50" i="15"/>
  <c r="I50" i="15"/>
  <c r="J50" i="15"/>
  <c r="K50" i="15"/>
  <c r="L50" i="15"/>
  <c r="M50" i="15"/>
  <c r="N50" i="15"/>
  <c r="D50" i="15"/>
  <c r="D52" i="15"/>
  <c r="E52" i="15" s="1"/>
  <c r="F52" i="15" s="1"/>
  <c r="G52" i="15" s="1"/>
  <c r="H52" i="15" s="1"/>
  <c r="I52" i="15" s="1"/>
  <c r="C50" i="15"/>
  <c r="D49" i="15"/>
  <c r="D55" i="15" s="1"/>
  <c r="E49" i="15"/>
  <c r="E55" i="15" s="1"/>
  <c r="F49" i="15"/>
  <c r="F55" i="15" s="1"/>
  <c r="G49" i="15"/>
  <c r="G55" i="15" s="1"/>
  <c r="H49" i="15"/>
  <c r="H55" i="15" s="1"/>
  <c r="I49" i="15"/>
  <c r="I55" i="15" s="1"/>
  <c r="J49" i="15"/>
  <c r="J55" i="15" s="1"/>
  <c r="K49" i="15"/>
  <c r="K55" i="15" s="1"/>
  <c r="L49" i="15"/>
  <c r="L55" i="15" s="1"/>
  <c r="M49" i="15"/>
  <c r="M55" i="15" s="1"/>
  <c r="N49" i="15"/>
  <c r="N55" i="15" s="1"/>
  <c r="C49" i="15"/>
  <c r="C55" i="15" s="1"/>
  <c r="J28" i="16" l="1"/>
  <c r="I184" i="16"/>
  <c r="J29" i="16"/>
  <c r="I185" i="16"/>
  <c r="I18" i="16"/>
  <c r="H51" i="15"/>
  <c r="H53" i="15" s="1"/>
  <c r="L51" i="15"/>
  <c r="D51" i="15"/>
  <c r="D53" i="15" s="1"/>
  <c r="M51" i="15"/>
  <c r="I51" i="15"/>
  <c r="I53" i="15" s="1"/>
  <c r="E51" i="15"/>
  <c r="E53" i="15" s="1"/>
  <c r="N51" i="15"/>
  <c r="J51" i="15"/>
  <c r="J53" i="15" s="1"/>
  <c r="F51" i="15"/>
  <c r="F53" i="15" s="1"/>
  <c r="J52" i="15"/>
  <c r="K52" i="15" s="1"/>
  <c r="L52" i="15" s="1"/>
  <c r="M52" i="15" s="1"/>
  <c r="K51" i="15"/>
  <c r="K53" i="15" s="1"/>
  <c r="G51" i="15"/>
  <c r="G53" i="15" s="1"/>
  <c r="C51" i="15"/>
  <c r="C53" i="15" s="1"/>
  <c r="K29" i="16" l="1"/>
  <c r="J185" i="16"/>
  <c r="J18" i="16"/>
  <c r="K28" i="16"/>
  <c r="J184" i="16"/>
  <c r="L53" i="15"/>
  <c r="N52" i="15"/>
  <c r="N53" i="15" s="1"/>
  <c r="M53" i="15"/>
  <c r="L28" i="16" l="1"/>
  <c r="K184" i="16"/>
  <c r="L29" i="16"/>
  <c r="K185" i="16"/>
  <c r="K18" i="16"/>
  <c r="E169" i="16"/>
  <c r="E189" i="16" s="1"/>
  <c r="E191" i="16" s="1"/>
  <c r="G179" i="16"/>
  <c r="H162" i="16"/>
  <c r="H188" i="16" s="1"/>
  <c r="H169" i="16"/>
  <c r="H189" i="16" s="1"/>
  <c r="H191" i="16" s="1"/>
  <c r="E162" i="16"/>
  <c r="E188" i="16" s="1"/>
  <c r="L179" i="16"/>
  <c r="E180" i="16"/>
  <c r="E179" i="16"/>
  <c r="J179" i="16"/>
  <c r="O162" i="16"/>
  <c r="O188" i="16" s="1"/>
  <c r="N169" i="16"/>
  <c r="N189" i="16" s="1"/>
  <c r="N191" i="16" s="1"/>
  <c r="N162" i="16"/>
  <c r="N188" i="16" s="1"/>
  <c r="M169" i="16"/>
  <c r="M189" i="16" s="1"/>
  <c r="M191" i="16" s="1"/>
  <c r="M162" i="16"/>
  <c r="M188" i="16" s="1"/>
  <c r="L169" i="16"/>
  <c r="L189" i="16" s="1"/>
  <c r="L191" i="16" s="1"/>
  <c r="L162" i="16"/>
  <c r="L188" i="16" s="1"/>
  <c r="K180" i="16"/>
  <c r="K179" i="16"/>
  <c r="K162" i="16"/>
  <c r="K188" i="16" s="1"/>
  <c r="J162" i="16"/>
  <c r="J188" i="16" s="1"/>
  <c r="J169" i="16"/>
  <c r="J189" i="16" s="1"/>
  <c r="J191" i="16" s="1"/>
  <c r="I169" i="16"/>
  <c r="I189" i="16" s="1"/>
  <c r="I191" i="16" s="1"/>
  <c r="I162" i="16"/>
  <c r="I188" i="16" s="1"/>
  <c r="I180" i="16"/>
  <c r="I179" i="16"/>
  <c r="H180" i="16"/>
  <c r="H179" i="16"/>
  <c r="G180" i="16"/>
  <c r="G162" i="16"/>
  <c r="G188" i="16" s="1"/>
  <c r="F162" i="16"/>
  <c r="F188" i="16" s="1"/>
  <c r="F179" i="16"/>
  <c r="F169" i="16"/>
  <c r="F189" i="16" s="1"/>
  <c r="F191" i="16" s="1"/>
  <c r="J180" i="16"/>
  <c r="F180" i="16"/>
  <c r="O169" i="16"/>
  <c r="O189" i="16" s="1"/>
  <c r="O191" i="16" s="1"/>
  <c r="K169" i="16"/>
  <c r="K189" i="16" s="1"/>
  <c r="K191" i="16" s="1"/>
  <c r="G169" i="16"/>
  <c r="G189" i="16" s="1"/>
  <c r="G191" i="16" s="1"/>
  <c r="M29" i="16" l="1"/>
  <c r="L185" i="16"/>
  <c r="L18" i="16"/>
  <c r="L180" i="16"/>
  <c r="M28" i="16"/>
  <c r="L184" i="16"/>
  <c r="L186" i="16" s="1"/>
  <c r="L195" i="16" s="1"/>
  <c r="L196" i="16" s="1"/>
  <c r="I186" i="16"/>
  <c r="I195" i="16" s="1"/>
  <c r="I196" i="16" s="1"/>
  <c r="J186" i="16"/>
  <c r="J195" i="16" s="1"/>
  <c r="J196" i="16" s="1"/>
  <c r="G186" i="16"/>
  <c r="G195" i="16" s="1"/>
  <c r="G196" i="16" s="1"/>
  <c r="K186" i="16"/>
  <c r="K195" i="16" s="1"/>
  <c r="K196" i="16" s="1"/>
  <c r="F186" i="16"/>
  <c r="F195" i="16" s="1"/>
  <c r="F196" i="16" s="1"/>
  <c r="L181" i="16"/>
  <c r="L193" i="16" s="1"/>
  <c r="L194" i="16" s="1"/>
  <c r="G181" i="16"/>
  <c r="G193" i="16" s="1"/>
  <c r="G194" i="16" s="1"/>
  <c r="E186" i="16"/>
  <c r="E195" i="16" s="1"/>
  <c r="E196" i="16" s="1"/>
  <c r="J181" i="16"/>
  <c r="J193" i="16" s="1"/>
  <c r="J194" i="16" s="1"/>
  <c r="E181" i="16"/>
  <c r="E193" i="16" s="1"/>
  <c r="E194" i="16" s="1"/>
  <c r="K181" i="16"/>
  <c r="K193" i="16" s="1"/>
  <c r="K194" i="16" s="1"/>
  <c r="I181" i="16"/>
  <c r="I193" i="16" s="1"/>
  <c r="I194" i="16" s="1"/>
  <c r="H186" i="16"/>
  <c r="H195" i="16" s="1"/>
  <c r="H196" i="16" s="1"/>
  <c r="H181" i="16"/>
  <c r="H193" i="16" s="1"/>
  <c r="H194" i="16" s="1"/>
  <c r="F181" i="16"/>
  <c r="F193" i="16" s="1"/>
  <c r="F194" i="16" s="1"/>
  <c r="N28" i="16" l="1"/>
  <c r="M184" i="16"/>
  <c r="M179" i="16"/>
  <c r="N29" i="16"/>
  <c r="M185" i="16"/>
  <c r="M18" i="16"/>
  <c r="M180" i="16"/>
  <c r="D200" i="15"/>
  <c r="E200" i="15"/>
  <c r="F200" i="15"/>
  <c r="G200" i="15"/>
  <c r="H200" i="15"/>
  <c r="I200" i="15"/>
  <c r="J200" i="15"/>
  <c r="K200" i="15"/>
  <c r="L200" i="15"/>
  <c r="M200" i="15"/>
  <c r="N200" i="15"/>
  <c r="C200" i="15"/>
  <c r="D199" i="15"/>
  <c r="E199" i="15"/>
  <c r="F199" i="15"/>
  <c r="G199" i="15"/>
  <c r="H199" i="15"/>
  <c r="I199" i="15"/>
  <c r="J199" i="15"/>
  <c r="K199" i="15"/>
  <c r="L199" i="15"/>
  <c r="M199" i="15"/>
  <c r="N199" i="15"/>
  <c r="C199" i="15"/>
  <c r="D114" i="15"/>
  <c r="E114" i="15" s="1"/>
  <c r="F114" i="15" s="1"/>
  <c r="G114" i="15" s="1"/>
  <c r="H114" i="15" s="1"/>
  <c r="I114" i="15" s="1"/>
  <c r="J114" i="15" s="1"/>
  <c r="K114" i="15" s="1"/>
  <c r="L114" i="15" s="1"/>
  <c r="M114" i="15" s="1"/>
  <c r="N114" i="15" s="1"/>
  <c r="D124" i="15"/>
  <c r="E124" i="15" s="1"/>
  <c r="F124" i="15" s="1"/>
  <c r="G124" i="15" s="1"/>
  <c r="H124" i="15" s="1"/>
  <c r="I124" i="15" s="1"/>
  <c r="J124" i="15" s="1"/>
  <c r="K124" i="15" s="1"/>
  <c r="L124" i="15" s="1"/>
  <c r="M124" i="15" s="1"/>
  <c r="N124" i="15" s="1"/>
  <c r="D122" i="15"/>
  <c r="E122" i="15" s="1"/>
  <c r="F122" i="15" s="1"/>
  <c r="G122" i="15" s="1"/>
  <c r="H122" i="15" s="1"/>
  <c r="I122" i="15" s="1"/>
  <c r="J122" i="15" s="1"/>
  <c r="K122" i="15" s="1"/>
  <c r="L122" i="15" s="1"/>
  <c r="M122" i="15" s="1"/>
  <c r="N122" i="15" s="1"/>
  <c r="D120" i="15"/>
  <c r="E120" i="15" s="1"/>
  <c r="D112" i="15"/>
  <c r="E112" i="15" s="1"/>
  <c r="F112" i="15" s="1"/>
  <c r="G112" i="15" s="1"/>
  <c r="H112" i="15" s="1"/>
  <c r="I112" i="15" s="1"/>
  <c r="J112" i="15" s="1"/>
  <c r="K112" i="15" s="1"/>
  <c r="L112" i="15" s="1"/>
  <c r="M112" i="15" s="1"/>
  <c r="N112" i="15" s="1"/>
  <c r="D110" i="15"/>
  <c r="E110" i="15" s="1"/>
  <c r="F110" i="15" s="1"/>
  <c r="G110" i="15" s="1"/>
  <c r="H110" i="15" s="1"/>
  <c r="I110" i="15" s="1"/>
  <c r="J110" i="15" s="1"/>
  <c r="K110" i="15" s="1"/>
  <c r="L110" i="15" s="1"/>
  <c r="M110" i="15" s="1"/>
  <c r="N110" i="15" s="1"/>
  <c r="D100" i="15"/>
  <c r="E100" i="15" s="1"/>
  <c r="D90" i="15"/>
  <c r="E90" i="15" s="1"/>
  <c r="F90" i="15" s="1"/>
  <c r="D80" i="15"/>
  <c r="E80" i="15" s="1"/>
  <c r="D102" i="15"/>
  <c r="E102" i="15" s="1"/>
  <c r="F102" i="15" s="1"/>
  <c r="G102" i="15" s="1"/>
  <c r="H102" i="15" s="1"/>
  <c r="I102" i="15" s="1"/>
  <c r="J102" i="15" s="1"/>
  <c r="K102" i="15" s="1"/>
  <c r="L102" i="15" s="1"/>
  <c r="M102" i="15" s="1"/>
  <c r="N102" i="15" s="1"/>
  <c r="D92" i="15"/>
  <c r="E92" i="15" s="1"/>
  <c r="F92" i="15" s="1"/>
  <c r="G92" i="15" s="1"/>
  <c r="H92" i="15" s="1"/>
  <c r="I92" i="15" s="1"/>
  <c r="J92" i="15" s="1"/>
  <c r="K92" i="15" s="1"/>
  <c r="L92" i="15" s="1"/>
  <c r="M92" i="15" s="1"/>
  <c r="N92" i="15" s="1"/>
  <c r="D82" i="15"/>
  <c r="E82" i="15" s="1"/>
  <c r="F82" i="15" s="1"/>
  <c r="G82" i="15" s="1"/>
  <c r="H82" i="15" s="1"/>
  <c r="I82" i="15" s="1"/>
  <c r="J82" i="15" s="1"/>
  <c r="K82" i="15" s="1"/>
  <c r="L82" i="15" s="1"/>
  <c r="M82" i="15" s="1"/>
  <c r="N82" i="15" s="1"/>
  <c r="E62" i="15"/>
  <c r="F62" i="15" s="1"/>
  <c r="G62" i="15" s="1"/>
  <c r="H62" i="15" s="1"/>
  <c r="I62" i="15" s="1"/>
  <c r="J62" i="15" s="1"/>
  <c r="K62" i="15" s="1"/>
  <c r="L62" i="15" s="1"/>
  <c r="M62" i="15" s="1"/>
  <c r="N62" i="15" s="1"/>
  <c r="D62" i="15"/>
  <c r="E60" i="15"/>
  <c r="E71" i="15" s="1"/>
  <c r="E73" i="15" s="1"/>
  <c r="D60" i="15"/>
  <c r="D71" i="15" s="1"/>
  <c r="D73" i="15" s="1"/>
  <c r="D64" i="15"/>
  <c r="C79" i="15"/>
  <c r="C84" i="15" s="1"/>
  <c r="C81" i="15" s="1"/>
  <c r="C83" i="15" s="1"/>
  <c r="C119" i="15"/>
  <c r="C121" i="15" s="1"/>
  <c r="C123" i="15" s="1"/>
  <c r="C109" i="15"/>
  <c r="C111" i="15" s="1"/>
  <c r="C113" i="15" s="1"/>
  <c r="C99" i="15"/>
  <c r="C101" i="15" s="1"/>
  <c r="C103" i="15" s="1"/>
  <c r="M181" i="16" l="1"/>
  <c r="M193" i="16" s="1"/>
  <c r="M194" i="16" s="1"/>
  <c r="M186" i="16"/>
  <c r="M195" i="16" s="1"/>
  <c r="M196" i="16" s="1"/>
  <c r="O29" i="16"/>
  <c r="N185" i="16"/>
  <c r="N18" i="16"/>
  <c r="N180" i="16"/>
  <c r="O28" i="16"/>
  <c r="N184" i="16"/>
  <c r="N186" i="16" s="1"/>
  <c r="N195" i="16" s="1"/>
  <c r="N196" i="16" s="1"/>
  <c r="N179" i="16"/>
  <c r="N181" i="16" s="1"/>
  <c r="N193" i="16" s="1"/>
  <c r="N194" i="16" s="1"/>
  <c r="E64" i="15"/>
  <c r="D74" i="15"/>
  <c r="D75" i="15" s="1"/>
  <c r="F60" i="15"/>
  <c r="F71" i="15" s="1"/>
  <c r="F73" i="15" s="1"/>
  <c r="G60" i="15"/>
  <c r="G71" i="15" s="1"/>
  <c r="G73" i="15" s="1"/>
  <c r="C125" i="15"/>
  <c r="C115" i="15"/>
  <c r="C104" i="15"/>
  <c r="F120" i="15"/>
  <c r="G120" i="15" s="1"/>
  <c r="F100" i="15"/>
  <c r="G100" i="15" s="1"/>
  <c r="H100" i="15" s="1"/>
  <c r="F80" i="15"/>
  <c r="G80" i="15" s="1"/>
  <c r="H80" i="15" s="1"/>
  <c r="I80" i="15" s="1"/>
  <c r="J80" i="15" s="1"/>
  <c r="K80" i="15" s="1"/>
  <c r="L80" i="15" s="1"/>
  <c r="M80" i="15" s="1"/>
  <c r="N80" i="15" s="1"/>
  <c r="G90" i="15"/>
  <c r="P28" i="16" l="1"/>
  <c r="O184" i="16"/>
  <c r="O179" i="16"/>
  <c r="P29" i="16"/>
  <c r="O185" i="16"/>
  <c r="O18" i="16"/>
  <c r="O180" i="16"/>
  <c r="F64" i="15"/>
  <c r="E74" i="15"/>
  <c r="E75" i="15" s="1"/>
  <c r="H60" i="15"/>
  <c r="H71" i="15" s="1"/>
  <c r="H73" i="15" s="1"/>
  <c r="H120" i="15"/>
  <c r="I120" i="15" s="1"/>
  <c r="I100" i="15"/>
  <c r="H90" i="15"/>
  <c r="O181" i="16" l="1"/>
  <c r="O193" i="16" s="1"/>
  <c r="O194" i="16" s="1"/>
  <c r="O186" i="16"/>
  <c r="O195" i="16" s="1"/>
  <c r="O196" i="16" s="1"/>
  <c r="G64" i="15"/>
  <c r="F74" i="15"/>
  <c r="F75" i="15" s="1"/>
  <c r="I60" i="15"/>
  <c r="I71" i="15" s="1"/>
  <c r="I73" i="15" s="1"/>
  <c r="J120" i="15"/>
  <c r="J100" i="15"/>
  <c r="I90" i="15"/>
  <c r="H64" i="15" l="1"/>
  <c r="G74" i="15"/>
  <c r="G75" i="15" s="1"/>
  <c r="J60" i="15"/>
  <c r="J71" i="15" s="1"/>
  <c r="J73" i="15" s="1"/>
  <c r="K120" i="15"/>
  <c r="K100" i="15"/>
  <c r="J90" i="15"/>
  <c r="I64" i="15" l="1"/>
  <c r="H74" i="15"/>
  <c r="H75" i="15" s="1"/>
  <c r="K60" i="15"/>
  <c r="K71" i="15" s="1"/>
  <c r="K73" i="15" s="1"/>
  <c r="L120" i="15"/>
  <c r="L100" i="15"/>
  <c r="K90" i="15"/>
  <c r="J64" i="15" l="1"/>
  <c r="I74" i="15"/>
  <c r="I75" i="15" s="1"/>
  <c r="L60" i="15"/>
  <c r="L71" i="15" s="1"/>
  <c r="L73" i="15" s="1"/>
  <c r="M120" i="15"/>
  <c r="M100" i="15"/>
  <c r="L90" i="15"/>
  <c r="K64" i="15" l="1"/>
  <c r="J74" i="15"/>
  <c r="J75" i="15" s="1"/>
  <c r="M60" i="15"/>
  <c r="M71" i="15" s="1"/>
  <c r="M73" i="15" s="1"/>
  <c r="N120" i="15"/>
  <c r="N100" i="15"/>
  <c r="M90" i="15"/>
  <c r="L64" i="15" l="1"/>
  <c r="K74" i="15"/>
  <c r="K75" i="15" s="1"/>
  <c r="N60" i="15"/>
  <c r="N71" i="15" s="1"/>
  <c r="N73" i="15" s="1"/>
  <c r="N90" i="15"/>
  <c r="M64" i="15" l="1"/>
  <c r="L74" i="15"/>
  <c r="L75" i="15" s="1"/>
  <c r="P166" i="16"/>
  <c r="P167" i="16"/>
  <c r="P168" i="16"/>
  <c r="P159" i="16"/>
  <c r="P160" i="16"/>
  <c r="P161" i="16"/>
  <c r="P154" i="16"/>
  <c r="P153" i="16"/>
  <c r="P152" i="16"/>
  <c r="P151" i="16"/>
  <c r="P147" i="16"/>
  <c r="P146" i="16"/>
  <c r="P145" i="16"/>
  <c r="P144" i="16"/>
  <c r="P94" i="16"/>
  <c r="P93" i="16"/>
  <c r="P92" i="16"/>
  <c r="P91" i="16"/>
  <c r="P101" i="16"/>
  <c r="P100" i="16"/>
  <c r="P99" i="16"/>
  <c r="P98" i="16"/>
  <c r="P87" i="16"/>
  <c r="P86" i="16"/>
  <c r="P85" i="16"/>
  <c r="P84" i="16"/>
  <c r="O155" i="16"/>
  <c r="N155" i="16"/>
  <c r="M155" i="16"/>
  <c r="L155" i="16"/>
  <c r="K155" i="16"/>
  <c r="J155" i="16"/>
  <c r="I155" i="16"/>
  <c r="H155" i="16"/>
  <c r="G155" i="16"/>
  <c r="E155" i="16"/>
  <c r="D155" i="16"/>
  <c r="O148" i="16"/>
  <c r="N148" i="16"/>
  <c r="M148" i="16"/>
  <c r="L148" i="16"/>
  <c r="K148" i="16"/>
  <c r="J148" i="16"/>
  <c r="I148" i="16"/>
  <c r="H148" i="16"/>
  <c r="G148" i="16"/>
  <c r="E148" i="16"/>
  <c r="D148" i="16"/>
  <c r="O102" i="16"/>
  <c r="N102" i="16"/>
  <c r="M102" i="16"/>
  <c r="L102" i="16"/>
  <c r="J102" i="16"/>
  <c r="I102" i="16"/>
  <c r="H102" i="16"/>
  <c r="G102" i="16"/>
  <c r="F102" i="16"/>
  <c r="E102" i="16"/>
  <c r="D102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E74" i="16"/>
  <c r="F74" i="16"/>
  <c r="G74" i="16"/>
  <c r="H74" i="16"/>
  <c r="I74" i="16"/>
  <c r="J74" i="16"/>
  <c r="K74" i="16"/>
  <c r="L74" i="16"/>
  <c r="M74" i="16"/>
  <c r="N74" i="16"/>
  <c r="O74" i="16"/>
  <c r="D74" i="16"/>
  <c r="P71" i="16"/>
  <c r="P72" i="16"/>
  <c r="P73" i="16"/>
  <c r="P70" i="16"/>
  <c r="B10" i="17"/>
  <c r="B11" i="17"/>
  <c r="B12" i="17"/>
  <c r="B13" i="17"/>
  <c r="B14" i="17"/>
  <c r="B15" i="17"/>
  <c r="B16" i="17"/>
  <c r="B17" i="17"/>
  <c r="B9" i="17"/>
  <c r="N64" i="15" l="1"/>
  <c r="N74" i="15" s="1"/>
  <c r="N75" i="15" s="1"/>
  <c r="M74" i="15"/>
  <c r="M75" i="15" s="1"/>
  <c r="D179" i="16"/>
  <c r="P179" i="16" s="1"/>
  <c r="L489" i="2" s="1"/>
  <c r="P184" i="16"/>
  <c r="K489" i="2" s="1"/>
  <c r="P185" i="16"/>
  <c r="K496" i="2" s="1"/>
  <c r="D180" i="16"/>
  <c r="P180" i="16" s="1"/>
  <c r="L496" i="2" s="1"/>
  <c r="D169" i="16"/>
  <c r="D189" i="16" s="1"/>
  <c r="D191" i="16" s="1"/>
  <c r="P165" i="16"/>
  <c r="P169" i="16" s="1"/>
  <c r="P189" i="16" s="1"/>
  <c r="P191" i="16" s="1"/>
  <c r="P158" i="16"/>
  <c r="P162" i="16" s="1"/>
  <c r="P188" i="16" s="1"/>
  <c r="D162" i="16"/>
  <c r="D188" i="16" s="1"/>
  <c r="P148" i="16"/>
  <c r="P88" i="16"/>
  <c r="P95" i="16"/>
  <c r="P102" i="16"/>
  <c r="P155" i="16"/>
  <c r="P74" i="16"/>
  <c r="E496" i="2" l="1"/>
  <c r="E489" i="2"/>
  <c r="P186" i="16"/>
  <c r="P195" i="16" s="1"/>
  <c r="P196" i="16" s="1"/>
  <c r="D186" i="16"/>
  <c r="D195" i="16" s="1"/>
  <c r="D196" i="16" s="1"/>
  <c r="D181" i="16"/>
  <c r="D193" i="16" s="1"/>
  <c r="D194" i="16" s="1"/>
  <c r="P181" i="16"/>
  <c r="P193" i="16" s="1"/>
  <c r="P194" i="16" s="1"/>
  <c r="O127" i="15" l="1"/>
  <c r="C17" i="15" s="1"/>
  <c r="O107" i="15"/>
  <c r="C15" i="15" s="1"/>
  <c r="O117" i="15"/>
  <c r="C16" i="15" s="1"/>
  <c r="O17" i="16" l="1"/>
  <c r="O19" i="16" s="1"/>
  <c r="O20" i="16" s="1"/>
  <c r="E17" i="16"/>
  <c r="E19" i="16" s="1"/>
  <c r="E20" i="16" s="1"/>
  <c r="F17" i="16"/>
  <c r="F19" i="16" s="1"/>
  <c r="F20" i="16" s="1"/>
  <c r="G17" i="16"/>
  <c r="G19" i="16" s="1"/>
  <c r="G20" i="16" s="1"/>
  <c r="H17" i="16"/>
  <c r="H19" i="16" s="1"/>
  <c r="H20" i="16" s="1"/>
  <c r="I17" i="16"/>
  <c r="I19" i="16" s="1"/>
  <c r="I20" i="16" s="1"/>
  <c r="J17" i="16"/>
  <c r="J19" i="16" s="1"/>
  <c r="J20" i="16" s="1"/>
  <c r="K17" i="16"/>
  <c r="K19" i="16" s="1"/>
  <c r="K20" i="16" s="1"/>
  <c r="L17" i="16"/>
  <c r="L19" i="16" s="1"/>
  <c r="L20" i="16" s="1"/>
  <c r="M17" i="16"/>
  <c r="M19" i="16" s="1"/>
  <c r="M20" i="16" s="1"/>
  <c r="N17" i="16"/>
  <c r="N19" i="16" s="1"/>
  <c r="N20" i="16" s="1"/>
  <c r="D17" i="16"/>
  <c r="P17" i="16" l="1"/>
  <c r="D16" i="9" l="1"/>
  <c r="F16" i="9" s="1"/>
  <c r="D15" i="9"/>
  <c r="F15" i="9" s="1"/>
  <c r="D14" i="9"/>
  <c r="F14" i="9" s="1"/>
  <c r="D13" i="9"/>
  <c r="F13" i="9" s="1"/>
  <c r="C12" i="9"/>
  <c r="C13" i="9"/>
  <c r="C14" i="9"/>
  <c r="C15" i="9"/>
  <c r="C16" i="9"/>
  <c r="B12" i="9"/>
  <c r="B13" i="9"/>
  <c r="B14" i="9"/>
  <c r="B15" i="9"/>
  <c r="B16" i="9"/>
  <c r="D16" i="8"/>
  <c r="F16" i="8" s="1"/>
  <c r="D15" i="8"/>
  <c r="F15" i="8" s="1"/>
  <c r="D14" i="8"/>
  <c r="F14" i="8" s="1"/>
  <c r="D13" i="8"/>
  <c r="F13" i="8" s="1"/>
  <c r="C12" i="8"/>
  <c r="C13" i="8"/>
  <c r="C14" i="8"/>
  <c r="C15" i="8"/>
  <c r="C16" i="8"/>
  <c r="B12" i="8"/>
  <c r="B13" i="8"/>
  <c r="B14" i="8"/>
  <c r="B15" i="8"/>
  <c r="B16" i="8"/>
  <c r="P2" i="2"/>
  <c r="O2" i="2"/>
  <c r="N2" i="2"/>
  <c r="M2" i="2"/>
  <c r="L2" i="2"/>
  <c r="P3" i="2"/>
  <c r="F101" i="18" l="1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8" i="18"/>
  <c r="F139" i="18"/>
  <c r="F140" i="18"/>
  <c r="F141" i="18"/>
  <c r="F142" i="18"/>
  <c r="F143" i="18"/>
  <c r="F144" i="18"/>
  <c r="F147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113" i="18"/>
  <c r="L114" i="18"/>
  <c r="L115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8" i="18"/>
  <c r="L139" i="18"/>
  <c r="L140" i="18"/>
  <c r="L141" i="18"/>
  <c r="L142" i="18"/>
  <c r="L143" i="18"/>
  <c r="L144" i="18"/>
  <c r="L147" i="18"/>
  <c r="L76" i="18"/>
  <c r="M128" i="18" l="1"/>
  <c r="J128" i="18"/>
  <c r="I128" i="18"/>
  <c r="H128" i="18"/>
  <c r="M127" i="18"/>
  <c r="J127" i="18"/>
  <c r="I127" i="18"/>
  <c r="H127" i="18"/>
  <c r="M126" i="18"/>
  <c r="J126" i="18"/>
  <c r="I126" i="18"/>
  <c r="H126" i="18"/>
  <c r="M125" i="18"/>
  <c r="J125" i="18"/>
  <c r="I125" i="18"/>
  <c r="H125" i="18"/>
  <c r="M124" i="18"/>
  <c r="J124" i="18"/>
  <c r="I124" i="18"/>
  <c r="H124" i="18"/>
  <c r="M123" i="18"/>
  <c r="J123" i="18"/>
  <c r="I123" i="18"/>
  <c r="H123" i="18"/>
  <c r="M122" i="18"/>
  <c r="J122" i="18"/>
  <c r="I122" i="18"/>
  <c r="H122" i="18"/>
  <c r="M121" i="18"/>
  <c r="J121" i="18"/>
  <c r="I121" i="18"/>
  <c r="H121" i="18"/>
  <c r="M100" i="18"/>
  <c r="J100" i="18"/>
  <c r="I100" i="18"/>
  <c r="H100" i="18"/>
  <c r="M99" i="18"/>
  <c r="J99" i="18"/>
  <c r="I99" i="18"/>
  <c r="H99" i="18"/>
  <c r="M98" i="18"/>
  <c r="J98" i="18"/>
  <c r="I98" i="18"/>
  <c r="H98" i="18"/>
  <c r="M97" i="18"/>
  <c r="J97" i="18"/>
  <c r="I97" i="18"/>
  <c r="H97" i="18"/>
  <c r="M96" i="18"/>
  <c r="J96" i="18"/>
  <c r="I96" i="18"/>
  <c r="H96" i="18"/>
  <c r="M95" i="18"/>
  <c r="J95" i="18"/>
  <c r="I95" i="18"/>
  <c r="H95" i="18"/>
  <c r="M94" i="18"/>
  <c r="J94" i="18"/>
  <c r="I94" i="18"/>
  <c r="H94" i="18"/>
  <c r="M93" i="18"/>
  <c r="J93" i="18"/>
  <c r="I93" i="18"/>
  <c r="H93" i="18"/>
  <c r="H77" i="18"/>
  <c r="I77" i="18"/>
  <c r="J77" i="18"/>
  <c r="M77" i="18"/>
  <c r="H78" i="18"/>
  <c r="I78" i="18"/>
  <c r="J78" i="18"/>
  <c r="M78" i="18"/>
  <c r="H79" i="18"/>
  <c r="I79" i="18"/>
  <c r="J79" i="18"/>
  <c r="M79" i="18"/>
  <c r="H80" i="18"/>
  <c r="I80" i="18"/>
  <c r="J80" i="18"/>
  <c r="M80" i="18"/>
  <c r="H81" i="18"/>
  <c r="I81" i="18"/>
  <c r="J81" i="18"/>
  <c r="M81" i="18"/>
  <c r="H82" i="18"/>
  <c r="I82" i="18"/>
  <c r="J82" i="18"/>
  <c r="M82" i="18"/>
  <c r="H83" i="18"/>
  <c r="I83" i="18"/>
  <c r="J83" i="18"/>
  <c r="M83" i="18"/>
  <c r="H84" i="18"/>
  <c r="I84" i="18"/>
  <c r="J84" i="18"/>
  <c r="M84" i="18"/>
  <c r="H85" i="18"/>
  <c r="I85" i="18"/>
  <c r="J85" i="18"/>
  <c r="M85" i="18"/>
  <c r="H86" i="18"/>
  <c r="I86" i="18"/>
  <c r="J86" i="18"/>
  <c r="M86" i="18"/>
  <c r="H87" i="18"/>
  <c r="I87" i="18"/>
  <c r="J87" i="18"/>
  <c r="M87" i="18"/>
  <c r="H88" i="18"/>
  <c r="I88" i="18"/>
  <c r="J88" i="18"/>
  <c r="M88" i="18"/>
  <c r="H89" i="18"/>
  <c r="I89" i="18"/>
  <c r="J89" i="18"/>
  <c r="M89" i="18"/>
  <c r="H90" i="18"/>
  <c r="I90" i="18"/>
  <c r="J90" i="18"/>
  <c r="M90" i="18"/>
  <c r="H91" i="18"/>
  <c r="I91" i="18"/>
  <c r="J91" i="18"/>
  <c r="M91" i="18"/>
  <c r="H92" i="18"/>
  <c r="I92" i="18"/>
  <c r="J92" i="18"/>
  <c r="M92" i="18"/>
  <c r="H101" i="18"/>
  <c r="I101" i="18"/>
  <c r="J101" i="18"/>
  <c r="M101" i="18"/>
  <c r="H102" i="18"/>
  <c r="I102" i="18"/>
  <c r="J102" i="18"/>
  <c r="M102" i="18"/>
  <c r="H103" i="18"/>
  <c r="I103" i="18"/>
  <c r="J103" i="18"/>
  <c r="M103" i="18"/>
  <c r="H104" i="18"/>
  <c r="I104" i="18"/>
  <c r="J104" i="18"/>
  <c r="M104" i="18"/>
  <c r="H105" i="18"/>
  <c r="I105" i="18"/>
  <c r="J105" i="18"/>
  <c r="M105" i="18"/>
  <c r="H106" i="18"/>
  <c r="I106" i="18"/>
  <c r="J106" i="18"/>
  <c r="M106" i="18"/>
  <c r="H107" i="18"/>
  <c r="I107" i="18"/>
  <c r="J107" i="18"/>
  <c r="M107" i="18"/>
  <c r="H108" i="18"/>
  <c r="I108" i="18"/>
  <c r="J108" i="18"/>
  <c r="M108" i="18"/>
  <c r="H109" i="18"/>
  <c r="I109" i="18"/>
  <c r="J109" i="18"/>
  <c r="M109" i="18"/>
  <c r="H110" i="18"/>
  <c r="I110" i="18"/>
  <c r="J110" i="18"/>
  <c r="M110" i="18"/>
  <c r="H111" i="18"/>
  <c r="I111" i="18"/>
  <c r="J111" i="18"/>
  <c r="M111" i="18"/>
  <c r="H112" i="18"/>
  <c r="I112" i="18"/>
  <c r="J112" i="18"/>
  <c r="M112" i="18"/>
  <c r="H113" i="18"/>
  <c r="I113" i="18"/>
  <c r="J113" i="18"/>
  <c r="M113" i="18"/>
  <c r="H114" i="18"/>
  <c r="I114" i="18"/>
  <c r="J114" i="18"/>
  <c r="M114" i="18"/>
  <c r="H115" i="18"/>
  <c r="I115" i="18"/>
  <c r="J115" i="18"/>
  <c r="M115" i="18"/>
  <c r="H117" i="18"/>
  <c r="I117" i="18"/>
  <c r="J117" i="18"/>
  <c r="M117" i="18"/>
  <c r="H118" i="18"/>
  <c r="I118" i="18"/>
  <c r="J118" i="18"/>
  <c r="M118" i="18"/>
  <c r="H119" i="18"/>
  <c r="I119" i="18"/>
  <c r="J119" i="18"/>
  <c r="M119" i="18"/>
  <c r="H120" i="18"/>
  <c r="I120" i="18"/>
  <c r="J120" i="18"/>
  <c r="M120" i="18"/>
  <c r="H129" i="18"/>
  <c r="I129" i="18"/>
  <c r="J129" i="18"/>
  <c r="M129" i="18"/>
  <c r="H130" i="18"/>
  <c r="I130" i="18"/>
  <c r="J130" i="18"/>
  <c r="M130" i="18"/>
  <c r="H131" i="18"/>
  <c r="I131" i="18"/>
  <c r="J131" i="18"/>
  <c r="M131" i="18"/>
  <c r="H132" i="18"/>
  <c r="I132" i="18"/>
  <c r="J132" i="18"/>
  <c r="M132" i="18"/>
  <c r="H133" i="18"/>
  <c r="I133" i="18"/>
  <c r="J133" i="18"/>
  <c r="M133" i="18"/>
  <c r="H134" i="18"/>
  <c r="I134" i="18"/>
  <c r="J134" i="18"/>
  <c r="M134" i="18"/>
  <c r="H135" i="18"/>
  <c r="I135" i="18"/>
  <c r="J135" i="18"/>
  <c r="M135" i="18"/>
  <c r="H138" i="18"/>
  <c r="I138" i="18"/>
  <c r="J138" i="18"/>
  <c r="M138" i="18"/>
  <c r="H139" i="18"/>
  <c r="I139" i="18"/>
  <c r="J139" i="18"/>
  <c r="M139" i="18"/>
  <c r="H140" i="18"/>
  <c r="I140" i="18"/>
  <c r="J140" i="18"/>
  <c r="M140" i="18"/>
  <c r="H141" i="18"/>
  <c r="I141" i="18"/>
  <c r="J141" i="18"/>
  <c r="M141" i="18"/>
  <c r="H142" i="18"/>
  <c r="I142" i="18"/>
  <c r="J142" i="18"/>
  <c r="M142" i="18"/>
  <c r="H143" i="18"/>
  <c r="I143" i="18"/>
  <c r="J143" i="18"/>
  <c r="M143" i="18"/>
  <c r="H144" i="18"/>
  <c r="I144" i="18"/>
  <c r="J144" i="18"/>
  <c r="M144" i="18"/>
  <c r="H147" i="18"/>
  <c r="I147" i="18"/>
  <c r="J147" i="18"/>
  <c r="M147" i="18"/>
  <c r="M76" i="18"/>
  <c r="J76" i="18"/>
  <c r="I76" i="18"/>
  <c r="H76" i="18"/>
  <c r="J50" i="18"/>
  <c r="I50" i="18"/>
  <c r="F50" i="18"/>
  <c r="H50" i="18" s="1"/>
  <c r="J49" i="18"/>
  <c r="I49" i="18"/>
  <c r="F49" i="18"/>
  <c r="H49" i="18" s="1"/>
  <c r="J48" i="18"/>
  <c r="I48" i="18"/>
  <c r="F48" i="18"/>
  <c r="H48" i="18" s="1"/>
  <c r="J47" i="18"/>
  <c r="I47" i="18"/>
  <c r="F47" i="18"/>
  <c r="H47" i="18" s="1"/>
  <c r="J46" i="18"/>
  <c r="I46" i="18"/>
  <c r="F46" i="18"/>
  <c r="H46" i="18" s="1"/>
  <c r="J20" i="18"/>
  <c r="F16" i="18"/>
  <c r="H16" i="18" s="1"/>
  <c r="I16" i="18"/>
  <c r="J16" i="18"/>
  <c r="F17" i="18"/>
  <c r="H17" i="18" s="1"/>
  <c r="I17" i="18"/>
  <c r="J17" i="18"/>
  <c r="F18" i="18"/>
  <c r="H18" i="18" s="1"/>
  <c r="I18" i="18"/>
  <c r="J18" i="18"/>
  <c r="F20" i="18"/>
  <c r="H20" i="18" s="1"/>
  <c r="I20" i="18"/>
  <c r="F8" i="18"/>
  <c r="H8" i="18" s="1"/>
  <c r="F9" i="18"/>
  <c r="H9" i="18" s="1"/>
  <c r="F10" i="18"/>
  <c r="H10" i="18" s="1"/>
  <c r="F11" i="18"/>
  <c r="H11" i="18" s="1"/>
  <c r="F12" i="18"/>
  <c r="H12" i="18" s="1"/>
  <c r="F13" i="18"/>
  <c r="H13" i="18" s="1"/>
  <c r="F14" i="18"/>
  <c r="H14" i="18" s="1"/>
  <c r="F15" i="18"/>
  <c r="H15" i="18" s="1"/>
  <c r="I8" i="18"/>
  <c r="J8" i="18"/>
  <c r="I9" i="18"/>
  <c r="J9" i="18"/>
  <c r="I10" i="18"/>
  <c r="J10" i="18"/>
  <c r="I11" i="18"/>
  <c r="J11" i="18"/>
  <c r="I12" i="18"/>
  <c r="J12" i="18"/>
  <c r="I13" i="18"/>
  <c r="J13" i="18"/>
  <c r="I14" i="18"/>
  <c r="J14" i="18"/>
  <c r="I15" i="18"/>
  <c r="J15" i="18"/>
  <c r="A6" i="16" l="1"/>
  <c r="A7" i="16" s="1"/>
  <c r="A8" i="16" s="1"/>
  <c r="A9" i="16" s="1"/>
  <c r="A10" i="16" s="1"/>
  <c r="A11" i="16" s="1"/>
  <c r="A12" i="16" s="1"/>
  <c r="A13" i="16" s="1"/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P18" i="16"/>
  <c r="L23" i="15"/>
  <c r="L22" i="15"/>
  <c r="L21" i="15"/>
  <c r="L20" i="15"/>
  <c r="L19" i="15"/>
  <c r="L18" i="15"/>
  <c r="E148" i="18"/>
  <c r="D148" i="18"/>
  <c r="D163" i="18" s="1"/>
  <c r="E51" i="18"/>
  <c r="D61" i="18" s="1"/>
  <c r="D51" i="18"/>
  <c r="D66" i="18" s="1"/>
  <c r="E21" i="18"/>
  <c r="D31" i="18" s="1"/>
  <c r="D21" i="18"/>
  <c r="D36" i="18" s="1"/>
  <c r="N189" i="15"/>
  <c r="N195" i="15" s="1"/>
  <c r="M189" i="15"/>
  <c r="M195" i="15" s="1"/>
  <c r="L189" i="15"/>
  <c r="L195" i="15" s="1"/>
  <c r="K189" i="15"/>
  <c r="K195" i="15" s="1"/>
  <c r="J189" i="15"/>
  <c r="I189" i="15"/>
  <c r="I195" i="15" s="1"/>
  <c r="H189" i="15"/>
  <c r="H195" i="15" s="1"/>
  <c r="G189" i="15"/>
  <c r="F189" i="15"/>
  <c r="F195" i="15" s="1"/>
  <c r="E189" i="15"/>
  <c r="E195" i="15" s="1"/>
  <c r="D189" i="15"/>
  <c r="D195" i="15" s="1"/>
  <c r="C189" i="15"/>
  <c r="C195" i="15" s="1"/>
  <c r="N179" i="15"/>
  <c r="N185" i="15" s="1"/>
  <c r="M179" i="15"/>
  <c r="M185" i="15" s="1"/>
  <c r="L179" i="15"/>
  <c r="L185" i="15" s="1"/>
  <c r="K179" i="15"/>
  <c r="K185" i="15" s="1"/>
  <c r="J179" i="15"/>
  <c r="J185" i="15" s="1"/>
  <c r="I179" i="15"/>
  <c r="I185" i="15" s="1"/>
  <c r="H179" i="15"/>
  <c r="H185" i="15" s="1"/>
  <c r="G179" i="15"/>
  <c r="G185" i="15" s="1"/>
  <c r="F179" i="15"/>
  <c r="F185" i="15" s="1"/>
  <c r="E179" i="15"/>
  <c r="E185" i="15" s="1"/>
  <c r="D179" i="15"/>
  <c r="C179" i="15"/>
  <c r="C185" i="15" s="1"/>
  <c r="N169" i="15"/>
  <c r="N175" i="15" s="1"/>
  <c r="M169" i="15"/>
  <c r="M175" i="15" s="1"/>
  <c r="L169" i="15"/>
  <c r="L175" i="15" s="1"/>
  <c r="K169" i="15"/>
  <c r="K175" i="15" s="1"/>
  <c r="J169" i="15"/>
  <c r="J175" i="15" s="1"/>
  <c r="I169" i="15"/>
  <c r="I175" i="15" s="1"/>
  <c r="H169" i="15"/>
  <c r="H175" i="15" s="1"/>
  <c r="G169" i="15"/>
  <c r="G175" i="15" s="1"/>
  <c r="F169" i="15"/>
  <c r="F175" i="15" s="1"/>
  <c r="E169" i="15"/>
  <c r="E175" i="15" s="1"/>
  <c r="D169" i="15"/>
  <c r="D175" i="15" s="1"/>
  <c r="C169" i="15"/>
  <c r="C175" i="15" s="1"/>
  <c r="N159" i="15"/>
  <c r="N165" i="15" s="1"/>
  <c r="M159" i="15"/>
  <c r="M165" i="15" s="1"/>
  <c r="L159" i="15"/>
  <c r="L165" i="15" s="1"/>
  <c r="K159" i="15"/>
  <c r="K165" i="15" s="1"/>
  <c r="J159" i="15"/>
  <c r="J165" i="15" s="1"/>
  <c r="I159" i="15"/>
  <c r="I165" i="15" s="1"/>
  <c r="H159" i="15"/>
  <c r="H165" i="15" s="1"/>
  <c r="G159" i="15"/>
  <c r="G165" i="15" s="1"/>
  <c r="F159" i="15"/>
  <c r="F165" i="15" s="1"/>
  <c r="E159" i="15"/>
  <c r="E165" i="15" s="1"/>
  <c r="D159" i="15"/>
  <c r="D165" i="15" s="1"/>
  <c r="C159" i="15"/>
  <c r="C165" i="15" s="1"/>
  <c r="N149" i="15"/>
  <c r="N155" i="15" s="1"/>
  <c r="M149" i="15"/>
  <c r="M155" i="15" s="1"/>
  <c r="L149" i="15"/>
  <c r="L155" i="15" s="1"/>
  <c r="K149" i="15"/>
  <c r="K155" i="15" s="1"/>
  <c r="J149" i="15"/>
  <c r="J155" i="15" s="1"/>
  <c r="I149" i="15"/>
  <c r="I155" i="15" s="1"/>
  <c r="H149" i="15"/>
  <c r="H155" i="15" s="1"/>
  <c r="G149" i="15"/>
  <c r="G155" i="15" s="1"/>
  <c r="F149" i="15"/>
  <c r="F155" i="15" s="1"/>
  <c r="E149" i="15"/>
  <c r="E155" i="15" s="1"/>
  <c r="D149" i="15"/>
  <c r="D155" i="15" s="1"/>
  <c r="C149" i="15"/>
  <c r="C155" i="15" s="1"/>
  <c r="N139" i="15"/>
  <c r="N145" i="15" s="1"/>
  <c r="M139" i="15"/>
  <c r="M145" i="15" s="1"/>
  <c r="L139" i="15"/>
  <c r="L145" i="15" s="1"/>
  <c r="K139" i="15"/>
  <c r="K145" i="15" s="1"/>
  <c r="J139" i="15"/>
  <c r="J145" i="15" s="1"/>
  <c r="I139" i="15"/>
  <c r="I145" i="15" s="1"/>
  <c r="H139" i="15"/>
  <c r="H145" i="15" s="1"/>
  <c r="G139" i="15"/>
  <c r="G145" i="15" s="1"/>
  <c r="F139" i="15"/>
  <c r="F145" i="15" s="1"/>
  <c r="E139" i="15"/>
  <c r="E145" i="15" s="1"/>
  <c r="D139" i="15"/>
  <c r="D145" i="15" s="1"/>
  <c r="C139" i="15"/>
  <c r="C145" i="15" s="1"/>
  <c r="N129" i="15"/>
  <c r="N135" i="15" s="1"/>
  <c r="M129" i="15"/>
  <c r="M135" i="15" s="1"/>
  <c r="L129" i="15"/>
  <c r="L135" i="15" s="1"/>
  <c r="K129" i="15"/>
  <c r="K135" i="15" s="1"/>
  <c r="J129" i="15"/>
  <c r="J135" i="15" s="1"/>
  <c r="I129" i="15"/>
  <c r="I135" i="15" s="1"/>
  <c r="H129" i="15"/>
  <c r="H135" i="15" s="1"/>
  <c r="G129" i="15"/>
  <c r="G135" i="15" s="1"/>
  <c r="F129" i="15"/>
  <c r="F135" i="15" s="1"/>
  <c r="E129" i="15"/>
  <c r="E135" i="15" s="1"/>
  <c r="D129" i="15"/>
  <c r="D135" i="15" s="1"/>
  <c r="C129" i="15"/>
  <c r="C135" i="15" s="1"/>
  <c r="N119" i="15"/>
  <c r="M119" i="15"/>
  <c r="L119" i="15"/>
  <c r="K119" i="15"/>
  <c r="J119" i="15"/>
  <c r="I119" i="15"/>
  <c r="H119" i="15"/>
  <c r="H121" i="15" s="1"/>
  <c r="H123" i="15" s="1"/>
  <c r="G119" i="15"/>
  <c r="F119" i="15"/>
  <c r="E119" i="15"/>
  <c r="D119" i="15"/>
  <c r="N109" i="15"/>
  <c r="N111" i="15" s="1"/>
  <c r="N113" i="15" s="1"/>
  <c r="M109" i="15"/>
  <c r="L109" i="15"/>
  <c r="K109" i="15"/>
  <c r="J109" i="15"/>
  <c r="I109" i="15"/>
  <c r="I111" i="15" s="1"/>
  <c r="I113" i="15" s="1"/>
  <c r="H109" i="15"/>
  <c r="G109" i="15"/>
  <c r="F109" i="15"/>
  <c r="E109" i="15"/>
  <c r="D109" i="15"/>
  <c r="N99" i="15"/>
  <c r="M99" i="15"/>
  <c r="L99" i="15"/>
  <c r="K99" i="15"/>
  <c r="J99" i="15"/>
  <c r="I99" i="15"/>
  <c r="H99" i="15"/>
  <c r="G99" i="15"/>
  <c r="F99" i="15"/>
  <c r="E99" i="15"/>
  <c r="D9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M197" i="15"/>
  <c r="K197" i="15"/>
  <c r="I197" i="15"/>
  <c r="E197" i="15"/>
  <c r="N79" i="15"/>
  <c r="M79" i="15"/>
  <c r="L79" i="15"/>
  <c r="K79" i="15"/>
  <c r="J79" i="15"/>
  <c r="I79" i="15"/>
  <c r="H79" i="15"/>
  <c r="G79" i="15"/>
  <c r="F79" i="15"/>
  <c r="E79" i="15"/>
  <c r="D79" i="15"/>
  <c r="N59" i="15"/>
  <c r="M59" i="15"/>
  <c r="M61" i="15" s="1"/>
  <c r="M63" i="15" s="1"/>
  <c r="L59" i="15"/>
  <c r="K59" i="15"/>
  <c r="J59" i="15"/>
  <c r="J61" i="15" s="1"/>
  <c r="J63" i="15" s="1"/>
  <c r="I59" i="15"/>
  <c r="I61" i="15" s="1"/>
  <c r="I63" i="15" s="1"/>
  <c r="H59" i="15"/>
  <c r="G59" i="15"/>
  <c r="G61" i="15" s="1"/>
  <c r="G63" i="15" s="1"/>
  <c r="F59" i="15"/>
  <c r="F61" i="15" s="1"/>
  <c r="F63" i="15" s="1"/>
  <c r="E59" i="15"/>
  <c r="E61" i="15" s="1"/>
  <c r="E63" i="15" s="1"/>
  <c r="D59" i="15"/>
  <c r="C59" i="15"/>
  <c r="C61" i="15" s="1"/>
  <c r="C63" i="15" s="1"/>
  <c r="I39" i="15"/>
  <c r="I45" i="15" s="1"/>
  <c r="H39" i="15"/>
  <c r="H45" i="15" s="1"/>
  <c r="D39" i="15"/>
  <c r="D45" i="15" s="1"/>
  <c r="O87" i="15"/>
  <c r="C13" i="15" s="1"/>
  <c r="M13" i="15" s="1"/>
  <c r="E349" i="2"/>
  <c r="O77" i="15"/>
  <c r="C12" i="15" s="1"/>
  <c r="M12" i="15" s="1"/>
  <c r="O97" i="15"/>
  <c r="C14" i="15" s="1"/>
  <c r="O67" i="15"/>
  <c r="C11" i="15" s="1"/>
  <c r="O57" i="15"/>
  <c r="C10" i="15" s="1"/>
  <c r="D8" i="9" s="1"/>
  <c r="F8" i="9" s="1"/>
  <c r="O47" i="15"/>
  <c r="C9" i="15" s="1"/>
  <c r="D7" i="9" s="1"/>
  <c r="F7" i="9" s="1"/>
  <c r="O37" i="15"/>
  <c r="C8" i="15" s="1"/>
  <c r="D6" i="8" s="1"/>
  <c r="F6" i="8" s="1"/>
  <c r="C39" i="15"/>
  <c r="C45" i="15" s="1"/>
  <c r="P8" i="16"/>
  <c r="P9" i="16"/>
  <c r="P10" i="16"/>
  <c r="P11" i="16"/>
  <c r="P12" i="16"/>
  <c r="P6" i="16"/>
  <c r="P13" i="16"/>
  <c r="P7" i="16"/>
  <c r="F283" i="1"/>
  <c r="C11" i="8"/>
  <c r="B11" i="8"/>
  <c r="C10" i="8"/>
  <c r="B10" i="8"/>
  <c r="C9" i="8"/>
  <c r="B9" i="8"/>
  <c r="C8" i="8"/>
  <c r="B8" i="8"/>
  <c r="C7" i="8"/>
  <c r="B7" i="8"/>
  <c r="C6" i="8"/>
  <c r="B6" i="8"/>
  <c r="B7" i="9"/>
  <c r="C7" i="9"/>
  <c r="B8" i="9"/>
  <c r="C8" i="9"/>
  <c r="B9" i="9"/>
  <c r="C9" i="9"/>
  <c r="B10" i="9"/>
  <c r="C10" i="9"/>
  <c r="B11" i="9"/>
  <c r="C11" i="9"/>
  <c r="C6" i="9"/>
  <c r="B6" i="9"/>
  <c r="A32" i="15"/>
  <c r="O108" i="15"/>
  <c r="O109" i="15" s="1"/>
  <c r="F262" i="1"/>
  <c r="Y258" i="1"/>
  <c r="W258" i="1"/>
  <c r="U258" i="1"/>
  <c r="S258" i="1"/>
  <c r="R258" i="1"/>
  <c r="P258" i="1"/>
  <c r="O258" i="1"/>
  <c r="M258" i="1"/>
  <c r="K258" i="1"/>
  <c r="I258" i="1"/>
  <c r="H258" i="1"/>
  <c r="O58" i="15"/>
  <c r="D10" i="15" s="1"/>
  <c r="B8" i="15"/>
  <c r="B37" i="15" s="1"/>
  <c r="B9" i="15"/>
  <c r="B47" i="15" s="1"/>
  <c r="B10" i="15"/>
  <c r="B57" i="15" s="1"/>
  <c r="B11" i="15"/>
  <c r="B67" i="15" s="1"/>
  <c r="B12" i="15"/>
  <c r="B77" i="15" s="1"/>
  <c r="B13" i="15"/>
  <c r="B87" i="15" s="1"/>
  <c r="B14" i="15"/>
  <c r="B97" i="15" s="1"/>
  <c r="B15" i="15"/>
  <c r="B107" i="15" s="1"/>
  <c r="B16" i="15"/>
  <c r="B117" i="15" s="1"/>
  <c r="B17" i="15"/>
  <c r="B127" i="15" s="1"/>
  <c r="B18" i="15"/>
  <c r="B137" i="15" s="1"/>
  <c r="B19" i="15"/>
  <c r="B147" i="15" s="1"/>
  <c r="B20" i="15"/>
  <c r="B157" i="15" s="1"/>
  <c r="B21" i="15"/>
  <c r="B167" i="15" s="1"/>
  <c r="B22" i="15"/>
  <c r="B177" i="15" s="1"/>
  <c r="B23" i="15"/>
  <c r="B187" i="15" s="1"/>
  <c r="A23" i="15"/>
  <c r="A187" i="15" s="1"/>
  <c r="A22" i="15"/>
  <c r="A177" i="15" s="1"/>
  <c r="A21" i="15"/>
  <c r="A167" i="15" s="1"/>
  <c r="A20" i="15"/>
  <c r="A157" i="15" s="1"/>
  <c r="A19" i="15"/>
  <c r="A147" i="15" s="1"/>
  <c r="A18" i="15"/>
  <c r="A137" i="15" s="1"/>
  <c r="A17" i="15"/>
  <c r="A16" i="15"/>
  <c r="A15" i="15"/>
  <c r="A14" i="15"/>
  <c r="A13" i="15"/>
  <c r="L13" i="15" s="1"/>
  <c r="A12" i="15"/>
  <c r="L12" i="15" s="1"/>
  <c r="A11" i="15"/>
  <c r="L11" i="15" s="1"/>
  <c r="A10" i="15"/>
  <c r="L10" i="15" s="1"/>
  <c r="A9" i="15"/>
  <c r="L9" i="15" s="1"/>
  <c r="A8" i="15"/>
  <c r="L8" i="15" s="1"/>
  <c r="O3" i="2"/>
  <c r="N3" i="2"/>
  <c r="M3" i="2"/>
  <c r="L3" i="2"/>
  <c r="K3" i="2"/>
  <c r="J3" i="2"/>
  <c r="I3" i="2"/>
  <c r="H3" i="2"/>
  <c r="G3" i="2"/>
  <c r="F3" i="2"/>
  <c r="K2" i="2"/>
  <c r="J2" i="2"/>
  <c r="I2" i="2"/>
  <c r="H2" i="2"/>
  <c r="G2" i="2"/>
  <c r="F2" i="2"/>
  <c r="N183" i="15"/>
  <c r="M183" i="15"/>
  <c r="L183" i="15"/>
  <c r="K183" i="15"/>
  <c r="J183" i="15"/>
  <c r="I183" i="15"/>
  <c r="H183" i="15"/>
  <c r="G183" i="15"/>
  <c r="F183" i="15"/>
  <c r="E183" i="15"/>
  <c r="D183" i="15"/>
  <c r="C183" i="15"/>
  <c r="Q181" i="15"/>
  <c r="H22" i="15" s="1"/>
  <c r="T435" i="2" s="1"/>
  <c r="O181" i="15"/>
  <c r="D185" i="15"/>
  <c r="O178" i="15"/>
  <c r="O179" i="15" s="1"/>
  <c r="N173" i="15"/>
  <c r="M173" i="15"/>
  <c r="L173" i="15"/>
  <c r="K173" i="15"/>
  <c r="J173" i="15"/>
  <c r="I173" i="15"/>
  <c r="H173" i="15"/>
  <c r="G173" i="15"/>
  <c r="F173" i="15"/>
  <c r="E173" i="15"/>
  <c r="D173" i="15"/>
  <c r="C173" i="15"/>
  <c r="Q171" i="15"/>
  <c r="H21" i="15" s="1"/>
  <c r="S435" i="2" s="1"/>
  <c r="O171" i="15"/>
  <c r="O168" i="15"/>
  <c r="O169" i="15" s="1"/>
  <c r="N163" i="15"/>
  <c r="M163" i="15"/>
  <c r="L163" i="15"/>
  <c r="K163" i="15"/>
  <c r="J163" i="15"/>
  <c r="I163" i="15"/>
  <c r="H163" i="15"/>
  <c r="G163" i="15"/>
  <c r="F163" i="15"/>
  <c r="E163" i="15"/>
  <c r="D163" i="15"/>
  <c r="C163" i="15"/>
  <c r="Q161" i="15"/>
  <c r="H20" i="15" s="1"/>
  <c r="R435" i="2" s="1"/>
  <c r="O161" i="15"/>
  <c r="O158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Q151" i="15"/>
  <c r="H19" i="15" s="1"/>
  <c r="Q435" i="2" s="1"/>
  <c r="O151" i="15"/>
  <c r="O148" i="15"/>
  <c r="N143" i="15"/>
  <c r="M143" i="15"/>
  <c r="L143" i="15"/>
  <c r="K143" i="15"/>
  <c r="J143" i="15"/>
  <c r="I143" i="15"/>
  <c r="H143" i="15"/>
  <c r="G143" i="15"/>
  <c r="F143" i="15"/>
  <c r="E143" i="15"/>
  <c r="D143" i="15"/>
  <c r="C143" i="15"/>
  <c r="Q141" i="15"/>
  <c r="H18" i="15" s="1"/>
  <c r="P435" i="2" s="1"/>
  <c r="O141" i="15"/>
  <c r="O138" i="15"/>
  <c r="O139" i="15" s="1"/>
  <c r="N133" i="15"/>
  <c r="M133" i="15"/>
  <c r="L133" i="15"/>
  <c r="K133" i="15"/>
  <c r="J133" i="15"/>
  <c r="I133" i="15"/>
  <c r="H133" i="15"/>
  <c r="G133" i="15"/>
  <c r="F133" i="15"/>
  <c r="E133" i="15"/>
  <c r="D133" i="15"/>
  <c r="C133" i="15"/>
  <c r="Q131" i="15"/>
  <c r="H17" i="15" s="1"/>
  <c r="O435" i="2" s="1"/>
  <c r="O131" i="15"/>
  <c r="O128" i="15"/>
  <c r="D17" i="15" s="1"/>
  <c r="O118" i="15"/>
  <c r="N6" i="15"/>
  <c r="O6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M6" i="15"/>
  <c r="M15" i="15"/>
  <c r="M16" i="15"/>
  <c r="M17" i="15"/>
  <c r="M18" i="15"/>
  <c r="M19" i="15"/>
  <c r="M20" i="15"/>
  <c r="M21" i="15"/>
  <c r="M22" i="15"/>
  <c r="M23" i="15"/>
  <c r="M5" i="15"/>
  <c r="E382" i="2"/>
  <c r="AF614" i="2"/>
  <c r="AE614" i="2"/>
  <c r="AD614" i="2"/>
  <c r="AC614" i="2"/>
  <c r="AB614" i="2"/>
  <c r="AA614" i="2"/>
  <c r="Z614" i="2"/>
  <c r="Y614" i="2"/>
  <c r="X614" i="2"/>
  <c r="W614" i="2"/>
  <c r="V614" i="2"/>
  <c r="U614" i="2"/>
  <c r="T614" i="2"/>
  <c r="S614" i="2"/>
  <c r="AF588" i="2"/>
  <c r="AE588" i="2"/>
  <c r="AD588" i="2"/>
  <c r="AC588" i="2"/>
  <c r="AB588" i="2"/>
  <c r="AA588" i="2"/>
  <c r="Z588" i="2"/>
  <c r="Y588" i="2"/>
  <c r="X588" i="2"/>
  <c r="W588" i="2"/>
  <c r="V588" i="2"/>
  <c r="U588" i="2"/>
  <c r="T588" i="2"/>
  <c r="S588" i="2"/>
  <c r="S648" i="2"/>
  <c r="S638" i="2"/>
  <c r="S636" i="2"/>
  <c r="O200" i="15"/>
  <c r="Y416" i="2"/>
  <c r="X416" i="2"/>
  <c r="W416" i="2"/>
  <c r="V416" i="2"/>
  <c r="P428" i="2"/>
  <c r="AG428" i="2" s="1"/>
  <c r="AH428" i="2" s="1"/>
  <c r="Z415" i="2"/>
  <c r="U424" i="2"/>
  <c r="U425" i="2" s="1"/>
  <c r="U427" i="2" s="1"/>
  <c r="T424" i="2"/>
  <c r="T425" i="2" s="1"/>
  <c r="S424" i="2"/>
  <c r="S425" i="2" s="1"/>
  <c r="S427" i="2" s="1"/>
  <c r="R424" i="2"/>
  <c r="R429" i="2" s="1"/>
  <c r="Q424" i="2"/>
  <c r="Q429" i="2" s="1"/>
  <c r="P424" i="2"/>
  <c r="P425" i="2" s="1"/>
  <c r="P426" i="2" s="1"/>
  <c r="P430" i="2" s="1"/>
  <c r="O424" i="2"/>
  <c r="O425" i="2" s="1"/>
  <c r="O427" i="2" s="1"/>
  <c r="O429" i="2" s="1"/>
  <c r="N424" i="2"/>
  <c r="M424" i="2"/>
  <c r="M663" i="2" s="1"/>
  <c r="U420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D197" i="15"/>
  <c r="F197" i="15"/>
  <c r="H197" i="15"/>
  <c r="J197" i="15"/>
  <c r="L197" i="15"/>
  <c r="N197" i="15"/>
  <c r="O199" i="15"/>
  <c r="V423" i="2"/>
  <c r="V401" i="2" s="1"/>
  <c r="V360" i="2" s="1"/>
  <c r="W423" i="2"/>
  <c r="W401" i="2" s="1"/>
  <c r="W360" i="2" s="1"/>
  <c r="X423" i="2"/>
  <c r="X401" i="2" s="1"/>
  <c r="X360" i="2" s="1"/>
  <c r="Y423" i="2"/>
  <c r="Y401" i="2" s="1"/>
  <c r="Y360" i="2" s="1"/>
  <c r="Z423" i="2"/>
  <c r="Z401" i="2" s="1"/>
  <c r="AA423" i="2"/>
  <c r="AA401" i="2"/>
  <c r="AA360" i="2" s="1"/>
  <c r="AB423" i="2"/>
  <c r="AB401" i="2" s="1"/>
  <c r="AB360" i="2" s="1"/>
  <c r="AC423" i="2"/>
  <c r="AC401" i="2" s="1"/>
  <c r="AD423" i="2"/>
  <c r="AD401" i="2" s="1"/>
  <c r="AE423" i="2"/>
  <c r="AE401" i="2" s="1"/>
  <c r="AF423" i="2"/>
  <c r="AF401" i="2" s="1"/>
  <c r="AF360" i="2" s="1"/>
  <c r="V414" i="2"/>
  <c r="W414" i="2"/>
  <c r="X414" i="2"/>
  <c r="Y414" i="2"/>
  <c r="Z414" i="2"/>
  <c r="AA414" i="2"/>
  <c r="AB414" i="2"/>
  <c r="AC414" i="2"/>
  <c r="AD414" i="2"/>
  <c r="AE414" i="2"/>
  <c r="AF414" i="2"/>
  <c r="V407" i="2"/>
  <c r="V408" i="2" s="1"/>
  <c r="W407" i="2"/>
  <c r="W408" i="2" s="1"/>
  <c r="X407" i="2"/>
  <c r="X408" i="2" s="1"/>
  <c r="Y407" i="2"/>
  <c r="Y408" i="2" s="1"/>
  <c r="Z407" i="2"/>
  <c r="Z408" i="2" s="1"/>
  <c r="AA407" i="2"/>
  <c r="AA408" i="2" s="1"/>
  <c r="AB407" i="2"/>
  <c r="AB408" i="2" s="1"/>
  <c r="AC407" i="2"/>
  <c r="AC408" i="2" s="1"/>
  <c r="AD407" i="2"/>
  <c r="AD408" i="2" s="1"/>
  <c r="AE407" i="2"/>
  <c r="AE408" i="2" s="1"/>
  <c r="AF407" i="2"/>
  <c r="AF408" i="2" s="1"/>
  <c r="V440" i="2"/>
  <c r="V447" i="2" s="1"/>
  <c r="V454" i="2"/>
  <c r="V461" i="2" s="1"/>
  <c r="V468" i="2"/>
  <c r="V475" i="2" s="1"/>
  <c r="V487" i="2"/>
  <c r="V494" i="2"/>
  <c r="V561" i="2"/>
  <c r="V563" i="2"/>
  <c r="V572" i="2"/>
  <c r="V577" i="2"/>
  <c r="V597" i="2"/>
  <c r="V623" i="2" s="1"/>
  <c r="V602" i="2"/>
  <c r="V628" i="2" s="1"/>
  <c r="F354" i="1"/>
  <c r="F345" i="1"/>
  <c r="AA352" i="1"/>
  <c r="Y352" i="1"/>
  <c r="W352" i="1"/>
  <c r="U352" i="1"/>
  <c r="S352" i="1"/>
  <c r="R352" i="1"/>
  <c r="P352" i="1"/>
  <c r="O352" i="1"/>
  <c r="M352" i="1"/>
  <c r="K352" i="1"/>
  <c r="I352" i="1"/>
  <c r="H352" i="1"/>
  <c r="AA351" i="1"/>
  <c r="Y351" i="1"/>
  <c r="W351" i="1"/>
  <c r="U351" i="1"/>
  <c r="S351" i="1"/>
  <c r="R351" i="1"/>
  <c r="P351" i="1"/>
  <c r="O351" i="1"/>
  <c r="M351" i="1"/>
  <c r="K351" i="1"/>
  <c r="I351" i="1"/>
  <c r="H351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9" i="1"/>
  <c r="Y349" i="1"/>
  <c r="W349" i="1"/>
  <c r="U349" i="1"/>
  <c r="S349" i="1"/>
  <c r="R349" i="1"/>
  <c r="P349" i="1"/>
  <c r="O349" i="1"/>
  <c r="M349" i="1"/>
  <c r="K349" i="1"/>
  <c r="I349" i="1"/>
  <c r="H349" i="1"/>
  <c r="AA348" i="1"/>
  <c r="Y348" i="1"/>
  <c r="W348" i="1"/>
  <c r="U348" i="1"/>
  <c r="S348" i="1"/>
  <c r="R348" i="1"/>
  <c r="P348" i="1"/>
  <c r="O348" i="1"/>
  <c r="M348" i="1"/>
  <c r="K348" i="1"/>
  <c r="I348" i="1"/>
  <c r="H348" i="1"/>
  <c r="AA343" i="1"/>
  <c r="Y343" i="1"/>
  <c r="W343" i="1"/>
  <c r="U343" i="1"/>
  <c r="S343" i="1"/>
  <c r="R343" i="1"/>
  <c r="P343" i="1"/>
  <c r="O343" i="1"/>
  <c r="M343" i="1"/>
  <c r="K343" i="1"/>
  <c r="I343" i="1"/>
  <c r="H343" i="1"/>
  <c r="AA342" i="1"/>
  <c r="Y342" i="1"/>
  <c r="W342" i="1"/>
  <c r="U342" i="1"/>
  <c r="S342" i="1"/>
  <c r="R342" i="1"/>
  <c r="P342" i="1"/>
  <c r="O342" i="1"/>
  <c r="M342" i="1"/>
  <c r="K342" i="1"/>
  <c r="I342" i="1"/>
  <c r="H342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337" i="1"/>
  <c r="Y337" i="1"/>
  <c r="W337" i="1"/>
  <c r="U337" i="1"/>
  <c r="S337" i="1"/>
  <c r="R337" i="1"/>
  <c r="P337" i="1"/>
  <c r="O337" i="1"/>
  <c r="M337" i="1"/>
  <c r="K337" i="1"/>
  <c r="I337" i="1"/>
  <c r="H337" i="1"/>
  <c r="AA336" i="1"/>
  <c r="Y336" i="1"/>
  <c r="W336" i="1"/>
  <c r="U336" i="1"/>
  <c r="S336" i="1"/>
  <c r="R336" i="1"/>
  <c r="P336" i="1"/>
  <c r="O336" i="1"/>
  <c r="M336" i="1"/>
  <c r="K336" i="1"/>
  <c r="I336" i="1"/>
  <c r="H336" i="1"/>
  <c r="AA177" i="1"/>
  <c r="Y177" i="1"/>
  <c r="W177" i="1"/>
  <c r="U177" i="1"/>
  <c r="S177" i="1"/>
  <c r="R177" i="1"/>
  <c r="P177" i="1"/>
  <c r="O177" i="1"/>
  <c r="M177" i="1"/>
  <c r="K177" i="1"/>
  <c r="AB487" i="1"/>
  <c r="AC487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86" i="2"/>
  <c r="AE612" i="2" s="1"/>
  <c r="AE587" i="2"/>
  <c r="AE613" i="2" s="1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F449" i="2"/>
  <c r="E449" i="2"/>
  <c r="F420" i="2"/>
  <c r="N193" i="15"/>
  <c r="M193" i="15"/>
  <c r="K193" i="15"/>
  <c r="J195" i="15"/>
  <c r="G193" i="15"/>
  <c r="F193" i="15"/>
  <c r="E193" i="15"/>
  <c r="C193" i="15"/>
  <c r="O188" i="15"/>
  <c r="O189" i="15" s="1"/>
  <c r="O98" i="15"/>
  <c r="O99" i="15" s="1"/>
  <c r="O68" i="15"/>
  <c r="O69" i="15" s="1"/>
  <c r="L61" i="15"/>
  <c r="L63" i="15" s="1"/>
  <c r="O48" i="15"/>
  <c r="O49" i="15" s="1"/>
  <c r="N39" i="15"/>
  <c r="N45" i="15" s="1"/>
  <c r="M39" i="15"/>
  <c r="M41" i="15" s="1"/>
  <c r="M43" i="15" s="1"/>
  <c r="L39" i="15"/>
  <c r="L41" i="15" s="1"/>
  <c r="L43" i="15" s="1"/>
  <c r="K39" i="15"/>
  <c r="K41" i="15" s="1"/>
  <c r="K43" i="15" s="1"/>
  <c r="J39" i="15"/>
  <c r="J41" i="15" s="1"/>
  <c r="J43" i="15" s="1"/>
  <c r="G39" i="15"/>
  <c r="G45" i="15" s="1"/>
  <c r="F39" i="15"/>
  <c r="F41" i="15" s="1"/>
  <c r="E39" i="15"/>
  <c r="E45" i="15" s="1"/>
  <c r="O38" i="15"/>
  <c r="D8" i="15" s="1"/>
  <c r="F421" i="2" s="1"/>
  <c r="F664" i="2" s="1"/>
  <c r="E25" i="15"/>
  <c r="M40" i="1"/>
  <c r="F54" i="1"/>
  <c r="F392" i="1"/>
  <c r="Q456" i="2"/>
  <c r="AG456" i="2" s="1"/>
  <c r="AH456" i="2" s="1"/>
  <c r="N8" i="10"/>
  <c r="O8" i="10"/>
  <c r="F8" i="10"/>
  <c r="K7" i="10"/>
  <c r="K8" i="10"/>
  <c r="L7" i="10"/>
  <c r="L8" i="10" s="1"/>
  <c r="R7" i="10"/>
  <c r="R8" i="10" s="1"/>
  <c r="Q7" i="10"/>
  <c r="Q8" i="10" s="1"/>
  <c r="M7" i="10"/>
  <c r="M8" i="10"/>
  <c r="J7" i="10"/>
  <c r="J8" i="10" s="1"/>
  <c r="I7" i="10"/>
  <c r="I8" i="10" s="1"/>
  <c r="H7" i="10"/>
  <c r="H8" i="10" s="1"/>
  <c r="G7" i="10"/>
  <c r="S6" i="10"/>
  <c r="T6" i="10" s="1"/>
  <c r="AG489" i="2"/>
  <c r="AH489" i="2" s="1"/>
  <c r="K175" i="1"/>
  <c r="M175" i="1"/>
  <c r="O175" i="1"/>
  <c r="P175" i="1"/>
  <c r="R175" i="1"/>
  <c r="S175" i="1"/>
  <c r="U175" i="1"/>
  <c r="W175" i="1"/>
  <c r="Y175" i="1"/>
  <c r="AA175" i="1"/>
  <c r="AA432" i="1"/>
  <c r="W432" i="1"/>
  <c r="U432" i="1"/>
  <c r="S432" i="1"/>
  <c r="R432" i="1"/>
  <c r="P432" i="1"/>
  <c r="O432" i="1"/>
  <c r="M432" i="1"/>
  <c r="K432" i="1"/>
  <c r="I432" i="1"/>
  <c r="H432" i="1"/>
  <c r="Y432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54" i="2"/>
  <c r="AD484" i="2" s="1"/>
  <c r="AC454" i="2"/>
  <c r="AC484" i="2" s="1"/>
  <c r="AA454" i="2"/>
  <c r="AA484" i="2" s="1"/>
  <c r="Z425" i="2"/>
  <c r="Z426" i="2" s="1"/>
  <c r="AB425" i="2"/>
  <c r="AB427" i="2" s="1"/>
  <c r="AD425" i="2"/>
  <c r="AD427" i="2" s="1"/>
  <c r="AA425" i="2"/>
  <c r="AA427" i="2" s="1"/>
  <c r="AC425" i="2"/>
  <c r="AC427" i="2" s="1"/>
  <c r="AC412" i="2" s="1"/>
  <c r="AE425" i="2"/>
  <c r="AE426" i="2" s="1"/>
  <c r="AF425" i="2"/>
  <c r="AF427" i="2" s="1"/>
  <c r="AE440" i="2"/>
  <c r="AE447" i="2" s="1"/>
  <c r="AF440" i="2"/>
  <c r="AF447" i="2" s="1"/>
  <c r="AG442" i="2"/>
  <c r="AH442" i="2" s="1"/>
  <c r="AE454" i="2"/>
  <c r="AE484" i="2" s="1"/>
  <c r="AF454" i="2"/>
  <c r="AF484" i="2" s="1"/>
  <c r="E461" i="2"/>
  <c r="AD463" i="2"/>
  <c r="AG463" i="2" s="1"/>
  <c r="AH463" i="2" s="1"/>
  <c r="AF468" i="2"/>
  <c r="AF475" i="2" s="1"/>
  <c r="AG470" i="2"/>
  <c r="AH470" i="2" s="1"/>
  <c r="AE475" i="2"/>
  <c r="AG477" i="2"/>
  <c r="AH477" i="2" s="1"/>
  <c r="E484" i="2"/>
  <c r="AF487" i="2"/>
  <c r="AF494" i="2"/>
  <c r="AF623" i="2"/>
  <c r="AF628" i="2"/>
  <c r="AE629" i="2"/>
  <c r="Z454" i="2"/>
  <c r="Z484" i="2" s="1"/>
  <c r="Z468" i="2"/>
  <c r="Z475" i="2" s="1"/>
  <c r="AD475" i="2"/>
  <c r="AB440" i="2"/>
  <c r="AB447" i="2" s="1"/>
  <c r="AB468" i="2"/>
  <c r="AB475" i="2" s="1"/>
  <c r="K28" i="1"/>
  <c r="K29" i="1"/>
  <c r="K30" i="1"/>
  <c r="K31" i="1"/>
  <c r="K32" i="1"/>
  <c r="K33" i="1"/>
  <c r="M41" i="1"/>
  <c r="M295" i="1" s="1"/>
  <c r="M42" i="1"/>
  <c r="M400" i="1" s="1"/>
  <c r="M43" i="1"/>
  <c r="M44" i="1"/>
  <c r="M401" i="1" s="1"/>
  <c r="M45" i="1"/>
  <c r="M299" i="1" s="1"/>
  <c r="M46" i="1"/>
  <c r="M47" i="1"/>
  <c r="M301" i="1" s="1"/>
  <c r="M166" i="1"/>
  <c r="M48" i="1"/>
  <c r="M388" i="1" s="1"/>
  <c r="M49" i="1"/>
  <c r="M50" i="1"/>
  <c r="M51" i="1"/>
  <c r="M52" i="1"/>
  <c r="M305" i="1" s="1"/>
  <c r="O40" i="1"/>
  <c r="O41" i="1"/>
  <c r="O109" i="1" s="1"/>
  <c r="O42" i="1"/>
  <c r="O400" i="1" s="1"/>
  <c r="O48" i="1"/>
  <c r="O388" i="1" s="1"/>
  <c r="O49" i="1"/>
  <c r="O117" i="1" s="1"/>
  <c r="O50" i="1"/>
  <c r="O118" i="1" s="1"/>
  <c r="O154" i="1"/>
  <c r="O51" i="1"/>
  <c r="O52" i="1"/>
  <c r="O225" i="1" s="1"/>
  <c r="U27" i="1"/>
  <c r="U28" i="1"/>
  <c r="U29" i="1"/>
  <c r="U30" i="1"/>
  <c r="U31" i="1"/>
  <c r="U32" i="1"/>
  <c r="U33" i="1"/>
  <c r="U40" i="1"/>
  <c r="U41" i="1"/>
  <c r="U42" i="1"/>
  <c r="U203" i="1" s="1"/>
  <c r="U43" i="1"/>
  <c r="U44" i="1"/>
  <c r="U205" i="1" s="1"/>
  <c r="U45" i="1"/>
  <c r="U46" i="1"/>
  <c r="U300" i="1" s="1"/>
  <c r="U47" i="1"/>
  <c r="U224" i="1" s="1"/>
  <c r="U48" i="1"/>
  <c r="U49" i="1"/>
  <c r="U226" i="1" s="1"/>
  <c r="U50" i="1"/>
  <c r="U207" i="1" s="1"/>
  <c r="U51" i="1"/>
  <c r="U52" i="1"/>
  <c r="U404" i="1" s="1"/>
  <c r="S27" i="1"/>
  <c r="S28" i="1"/>
  <c r="S29" i="1"/>
  <c r="S30" i="1"/>
  <c r="S31" i="1"/>
  <c r="S32" i="1"/>
  <c r="S33" i="1"/>
  <c r="S40" i="1"/>
  <c r="S41" i="1"/>
  <c r="S109" i="1" s="1"/>
  <c r="S42" i="1"/>
  <c r="S381" i="1" s="1"/>
  <c r="S43" i="1"/>
  <c r="S44" i="1"/>
  <c r="S45" i="1"/>
  <c r="S299" i="1" s="1"/>
  <c r="S46" i="1"/>
  <c r="S402" i="1" s="1"/>
  <c r="S47" i="1"/>
  <c r="S403" i="1" s="1"/>
  <c r="S48" i="1"/>
  <c r="S210" i="1" s="1"/>
  <c r="S49" i="1"/>
  <c r="S117" i="1" s="1"/>
  <c r="S50" i="1"/>
  <c r="S207" i="1" s="1"/>
  <c r="S51" i="1"/>
  <c r="S52" i="1"/>
  <c r="S225" i="1" s="1"/>
  <c r="R27" i="1"/>
  <c r="R28" i="1"/>
  <c r="R29" i="1"/>
  <c r="R30" i="1"/>
  <c r="R31" i="1"/>
  <c r="R32" i="1"/>
  <c r="R33" i="1"/>
  <c r="R40" i="1"/>
  <c r="R41" i="1"/>
  <c r="R42" i="1"/>
  <c r="R204" i="1" s="1"/>
  <c r="R43" i="1"/>
  <c r="R297" i="1" s="1"/>
  <c r="R44" i="1"/>
  <c r="R112" i="1" s="1"/>
  <c r="R45" i="1"/>
  <c r="R299" i="1" s="1"/>
  <c r="R46" i="1"/>
  <c r="R402" i="1" s="1"/>
  <c r="R47" i="1"/>
  <c r="R224" i="1" s="1"/>
  <c r="R48" i="1"/>
  <c r="R116" i="1" s="1"/>
  <c r="R49" i="1"/>
  <c r="R303" i="1" s="1"/>
  <c r="R50" i="1"/>
  <c r="R385" i="1" s="1"/>
  <c r="R51" i="1"/>
  <c r="R52" i="1"/>
  <c r="R30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1" i="1" s="1"/>
  <c r="Y43" i="1"/>
  <c r="Y111" i="1" s="1"/>
  <c r="Y44" i="1"/>
  <c r="Y383" i="1" s="1"/>
  <c r="Y45" i="1"/>
  <c r="Y299" i="1" s="1"/>
  <c r="Y46" i="1"/>
  <c r="Y384" i="1" s="1"/>
  <c r="Y47" i="1"/>
  <c r="Y48" i="1"/>
  <c r="Y49" i="1"/>
  <c r="Y303" i="1" s="1"/>
  <c r="Y50" i="1"/>
  <c r="Y385" i="1" s="1"/>
  <c r="Y52" i="1"/>
  <c r="Y40" i="1"/>
  <c r="Y51" i="1"/>
  <c r="F75" i="1"/>
  <c r="AA27" i="1"/>
  <c r="AA28" i="1"/>
  <c r="AA29" i="1"/>
  <c r="AA30" i="1"/>
  <c r="AA31" i="1"/>
  <c r="AA32" i="1"/>
  <c r="AA33" i="1"/>
  <c r="AA40" i="1"/>
  <c r="AA41" i="1"/>
  <c r="AA42" i="1"/>
  <c r="AA204" i="1" s="1"/>
  <c r="AA43" i="1"/>
  <c r="AA111" i="1" s="1"/>
  <c r="AA44" i="1"/>
  <c r="AA298" i="1" s="1"/>
  <c r="AA45" i="1"/>
  <c r="AA299" i="1" s="1"/>
  <c r="AA46" i="1"/>
  <c r="AA206" i="1" s="1"/>
  <c r="AA47" i="1"/>
  <c r="AA224" i="1" s="1"/>
  <c r="AA48" i="1"/>
  <c r="AA388" i="1" s="1"/>
  <c r="AA157" i="1"/>
  <c r="AA49" i="1"/>
  <c r="AA405" i="1" s="1"/>
  <c r="AA50" i="1"/>
  <c r="AA154" i="1"/>
  <c r="AA51" i="1"/>
  <c r="AA52" i="1"/>
  <c r="AA305" i="1" s="1"/>
  <c r="P27" i="1"/>
  <c r="P28" i="1"/>
  <c r="P29" i="1"/>
  <c r="P30" i="1"/>
  <c r="P31" i="1"/>
  <c r="P32" i="1"/>
  <c r="P33" i="1"/>
  <c r="P40" i="1"/>
  <c r="P41" i="1"/>
  <c r="P109" i="1" s="1"/>
  <c r="P42" i="1"/>
  <c r="P221" i="1" s="1"/>
  <c r="P48" i="1"/>
  <c r="P302" i="1" s="1"/>
  <c r="P49" i="1"/>
  <c r="P303" i="1" s="1"/>
  <c r="P50" i="1"/>
  <c r="P118" i="1" s="1"/>
  <c r="P51" i="1"/>
  <c r="P52" i="1"/>
  <c r="P404" i="1" s="1"/>
  <c r="W27" i="1"/>
  <c r="W28" i="1"/>
  <c r="W29" i="1"/>
  <c r="W30" i="1"/>
  <c r="W31" i="1"/>
  <c r="W32" i="1"/>
  <c r="W33" i="1"/>
  <c r="W41" i="1"/>
  <c r="W42" i="1"/>
  <c r="W203" i="1" s="1"/>
  <c r="W43" i="1"/>
  <c r="W297" i="1" s="1"/>
  <c r="W44" i="1"/>
  <c r="W383" i="1" s="1"/>
  <c r="W45" i="1"/>
  <c r="W299" i="1" s="1"/>
  <c r="W46" i="1"/>
  <c r="W223" i="1" s="1"/>
  <c r="W47" i="1"/>
  <c r="W115" i="1" s="1"/>
  <c r="W48" i="1"/>
  <c r="W210" i="1" s="1"/>
  <c r="W49" i="1"/>
  <c r="W405" i="1" s="1"/>
  <c r="W50" i="1"/>
  <c r="W385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99" i="1" s="1"/>
  <c r="F124" i="1"/>
  <c r="Y387" i="1"/>
  <c r="Y362" i="1"/>
  <c r="Y363" i="1"/>
  <c r="Y417" i="1"/>
  <c r="Y418" i="1"/>
  <c r="Y419" i="1"/>
  <c r="Y420" i="1"/>
  <c r="Y421" i="1"/>
  <c r="Y426" i="1"/>
  <c r="Y427" i="1"/>
  <c r="Y428" i="1"/>
  <c r="Y429" i="1"/>
  <c r="Y430" i="1"/>
  <c r="Y431" i="1"/>
  <c r="Y433" i="1"/>
  <c r="Y434" i="1"/>
  <c r="Y435" i="1"/>
  <c r="Y436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08" i="1"/>
  <c r="F377" i="1"/>
  <c r="F423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7" i="1"/>
  <c r="W417" i="1"/>
  <c r="W418" i="1"/>
  <c r="W419" i="1"/>
  <c r="W420" i="1"/>
  <c r="W421" i="1"/>
  <c r="W426" i="1"/>
  <c r="W427" i="1"/>
  <c r="W428" i="1"/>
  <c r="W429" i="1"/>
  <c r="W430" i="1"/>
  <c r="W431" i="1"/>
  <c r="W433" i="1"/>
  <c r="W434" i="1"/>
  <c r="W435" i="1"/>
  <c r="W436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7" i="1"/>
  <c r="U417" i="1"/>
  <c r="U418" i="1"/>
  <c r="U419" i="1"/>
  <c r="U420" i="1"/>
  <c r="U421" i="1"/>
  <c r="U426" i="1"/>
  <c r="U427" i="1"/>
  <c r="U428" i="1"/>
  <c r="U429" i="1"/>
  <c r="U430" i="1"/>
  <c r="U431" i="1"/>
  <c r="U433" i="1"/>
  <c r="U434" i="1"/>
  <c r="U435" i="1"/>
  <c r="U436" i="1"/>
  <c r="U362" i="1"/>
  <c r="U363" i="1"/>
  <c r="R387" i="1"/>
  <c r="R362" i="1"/>
  <c r="R363" i="1"/>
  <c r="R417" i="1"/>
  <c r="R418" i="1"/>
  <c r="R419" i="1"/>
  <c r="R420" i="1"/>
  <c r="R421" i="1"/>
  <c r="R426" i="1"/>
  <c r="R427" i="1"/>
  <c r="R428" i="1"/>
  <c r="R429" i="1"/>
  <c r="R430" i="1"/>
  <c r="R431" i="1"/>
  <c r="R433" i="1"/>
  <c r="R434" i="1"/>
  <c r="R435" i="1"/>
  <c r="R436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2" i="1"/>
  <c r="W363" i="1"/>
  <c r="K202" i="1"/>
  <c r="K42" i="1"/>
  <c r="K400" i="1" s="1"/>
  <c r="K44" i="1"/>
  <c r="K222" i="1" s="1"/>
  <c r="K46" i="1"/>
  <c r="K223" i="1" s="1"/>
  <c r="K50" i="1"/>
  <c r="K304" i="1" s="1"/>
  <c r="K49" i="1"/>
  <c r="K209" i="1"/>
  <c r="K48" i="1"/>
  <c r="K302" i="1" s="1"/>
  <c r="K211" i="1"/>
  <c r="K212" i="1"/>
  <c r="K213" i="1"/>
  <c r="K220" i="1"/>
  <c r="K47" i="1"/>
  <c r="K403" i="1" s="1"/>
  <c r="K52" i="1"/>
  <c r="K404" i="1" s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80" i="1"/>
  <c r="K387" i="1"/>
  <c r="K389" i="1"/>
  <c r="K390" i="1"/>
  <c r="K399" i="1"/>
  <c r="K406" i="1"/>
  <c r="K417" i="1"/>
  <c r="K418" i="1"/>
  <c r="K419" i="1"/>
  <c r="K420" i="1"/>
  <c r="K421" i="1"/>
  <c r="K426" i="1"/>
  <c r="K427" i="1"/>
  <c r="K428" i="1"/>
  <c r="K429" i="1"/>
  <c r="K430" i="1"/>
  <c r="K431" i="1"/>
  <c r="K433" i="1"/>
  <c r="K434" i="1"/>
  <c r="K435" i="1"/>
  <c r="K436" i="1"/>
  <c r="K78" i="1"/>
  <c r="K41" i="1"/>
  <c r="K43" i="1"/>
  <c r="K297" i="1" s="1"/>
  <c r="K45" i="1"/>
  <c r="K108" i="1"/>
  <c r="S387" i="1"/>
  <c r="S362" i="1"/>
  <c r="S363" i="1"/>
  <c r="S417" i="1"/>
  <c r="S418" i="1"/>
  <c r="S419" i="1"/>
  <c r="S420" i="1"/>
  <c r="S421" i="1"/>
  <c r="S426" i="1"/>
  <c r="S427" i="1"/>
  <c r="S428" i="1"/>
  <c r="S429" i="1"/>
  <c r="S430" i="1"/>
  <c r="S431" i="1"/>
  <c r="S433" i="1"/>
  <c r="S434" i="1"/>
  <c r="S435" i="1"/>
  <c r="S436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7" i="1"/>
  <c r="AA417" i="1"/>
  <c r="AA418" i="1"/>
  <c r="AA419" i="1"/>
  <c r="AA420" i="1"/>
  <c r="AA421" i="1"/>
  <c r="AA426" i="1"/>
  <c r="AA427" i="1"/>
  <c r="AA428" i="1"/>
  <c r="AA429" i="1"/>
  <c r="AA430" i="1"/>
  <c r="AA431" i="1"/>
  <c r="AA433" i="1"/>
  <c r="AA434" i="1"/>
  <c r="AA435" i="1"/>
  <c r="AA436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7" i="1"/>
  <c r="P417" i="1"/>
  <c r="P418" i="1"/>
  <c r="P419" i="1"/>
  <c r="P420" i="1"/>
  <c r="P421" i="1"/>
  <c r="P426" i="1"/>
  <c r="P427" i="1"/>
  <c r="P428" i="1"/>
  <c r="P429" i="1"/>
  <c r="P430" i="1"/>
  <c r="P431" i="1"/>
  <c r="P433" i="1"/>
  <c r="P434" i="1"/>
  <c r="P435" i="1"/>
  <c r="P436" i="1"/>
  <c r="I40" i="1"/>
  <c r="I41" i="1"/>
  <c r="I295" i="1" s="1"/>
  <c r="I42" i="1"/>
  <c r="I400" i="1" s="1"/>
  <c r="I43" i="1"/>
  <c r="I111" i="1" s="1"/>
  <c r="I44" i="1"/>
  <c r="I401" i="1" s="1"/>
  <c r="I45" i="1"/>
  <c r="I46" i="1"/>
  <c r="I402" i="1" s="1"/>
  <c r="I47" i="1"/>
  <c r="I48" i="1"/>
  <c r="I302" i="1" s="1"/>
  <c r="I157" i="1"/>
  <c r="I49" i="1"/>
  <c r="I50" i="1"/>
  <c r="I118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7" i="1"/>
  <c r="I417" i="1"/>
  <c r="I418" i="1"/>
  <c r="I419" i="1"/>
  <c r="I420" i="1"/>
  <c r="I421" i="1"/>
  <c r="I426" i="1"/>
  <c r="I427" i="1"/>
  <c r="I428" i="1"/>
  <c r="I429" i="1"/>
  <c r="I430" i="1"/>
  <c r="I431" i="1"/>
  <c r="I433" i="1"/>
  <c r="I434" i="1"/>
  <c r="I435" i="1"/>
  <c r="I436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7" i="1"/>
  <c r="M417" i="1"/>
  <c r="M418" i="1"/>
  <c r="M419" i="1"/>
  <c r="M420" i="1"/>
  <c r="M421" i="1"/>
  <c r="M426" i="1"/>
  <c r="M427" i="1"/>
  <c r="M428" i="1"/>
  <c r="M429" i="1"/>
  <c r="M430" i="1"/>
  <c r="M431" i="1"/>
  <c r="M433" i="1"/>
  <c r="M434" i="1"/>
  <c r="M435" i="1"/>
  <c r="M436" i="1"/>
  <c r="AA362" i="1"/>
  <c r="AA363" i="1"/>
  <c r="M362" i="1"/>
  <c r="M363" i="1"/>
  <c r="S178" i="1"/>
  <c r="P362" i="1"/>
  <c r="P363" i="1"/>
  <c r="O387" i="1"/>
  <c r="O362" i="1"/>
  <c r="O363" i="1"/>
  <c r="O417" i="1"/>
  <c r="O418" i="1"/>
  <c r="O419" i="1"/>
  <c r="O420" i="1"/>
  <c r="O421" i="1"/>
  <c r="O426" i="1"/>
  <c r="O427" i="1"/>
  <c r="O428" i="1"/>
  <c r="O429" i="1"/>
  <c r="O430" i="1"/>
  <c r="O431" i="1"/>
  <c r="O433" i="1"/>
  <c r="O434" i="1"/>
  <c r="O435" i="1"/>
  <c r="O436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109" i="1" s="1"/>
  <c r="H42" i="1"/>
  <c r="H381" i="1" s="1"/>
  <c r="H43" i="1"/>
  <c r="H111" i="1" s="1"/>
  <c r="H44" i="1"/>
  <c r="H205" i="1" s="1"/>
  <c r="H45" i="1"/>
  <c r="H299" i="1" s="1"/>
  <c r="H46" i="1"/>
  <c r="H114" i="1" s="1"/>
  <c r="H47" i="1"/>
  <c r="H403" i="1" s="1"/>
  <c r="H48" i="1"/>
  <c r="H388" i="1" s="1"/>
  <c r="H49" i="1"/>
  <c r="H303" i="1" s="1"/>
  <c r="H50" i="1"/>
  <c r="H118" i="1" s="1"/>
  <c r="H51" i="1"/>
  <c r="H52" i="1"/>
  <c r="H225" i="1" s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0" i="1"/>
  <c r="H251" i="1"/>
  <c r="H252" i="1"/>
  <c r="H253" i="1"/>
  <c r="H254" i="1"/>
  <c r="H256" i="1"/>
  <c r="H257" i="1"/>
  <c r="H259" i="1"/>
  <c r="H260" i="1"/>
  <c r="H387" i="1"/>
  <c r="H417" i="1"/>
  <c r="H418" i="1"/>
  <c r="H419" i="1"/>
  <c r="H420" i="1"/>
  <c r="H421" i="1"/>
  <c r="H426" i="1"/>
  <c r="H427" i="1"/>
  <c r="H428" i="1"/>
  <c r="H429" i="1"/>
  <c r="H430" i="1"/>
  <c r="H431" i="1"/>
  <c r="H433" i="1"/>
  <c r="H434" i="1"/>
  <c r="H435" i="1"/>
  <c r="H436" i="1"/>
  <c r="K40" i="1"/>
  <c r="K51" i="1"/>
  <c r="F365" i="1"/>
  <c r="F459" i="1"/>
  <c r="F312" i="1"/>
  <c r="AB467" i="1"/>
  <c r="AC467" i="1" s="1"/>
  <c r="AB472" i="1"/>
  <c r="AC472" i="1" s="1"/>
  <c r="AB473" i="1"/>
  <c r="AC473" i="1" s="1"/>
  <c r="AB474" i="1"/>
  <c r="AC474" i="1" s="1"/>
  <c r="AB475" i="1"/>
  <c r="AC475" i="1" s="1"/>
  <c r="AB476" i="1"/>
  <c r="AC476" i="1" s="1"/>
  <c r="AB477" i="1"/>
  <c r="AC477" i="1" s="1"/>
  <c r="AB478" i="1"/>
  <c r="AC478" i="1" s="1"/>
  <c r="AB483" i="1"/>
  <c r="AC483" i="1" s="1"/>
  <c r="AB484" i="1"/>
  <c r="AC484" i="1" s="1"/>
  <c r="AB485" i="1"/>
  <c r="AC485" i="1" s="1"/>
  <c r="AB486" i="1"/>
  <c r="AC486" i="1" s="1"/>
  <c r="AA468" i="2"/>
  <c r="AA475" i="2" s="1"/>
  <c r="AA440" i="2"/>
  <c r="AA447" i="2" s="1"/>
  <c r="F438" i="1"/>
  <c r="Z440" i="2"/>
  <c r="Z447" i="2" s="1"/>
  <c r="AB454" i="2"/>
  <c r="AB461" i="2" s="1"/>
  <c r="AC440" i="2"/>
  <c r="AC447" i="2" s="1"/>
  <c r="AC468" i="2"/>
  <c r="AC475" i="2" s="1"/>
  <c r="AD440" i="2"/>
  <c r="AD447" i="2" s="1"/>
  <c r="K363" i="1"/>
  <c r="K362" i="1"/>
  <c r="K178" i="1"/>
  <c r="Z494" i="2"/>
  <c r="Z487" i="2"/>
  <c r="X494" i="2"/>
  <c r="Y494" i="2"/>
  <c r="W494" i="2"/>
  <c r="Y454" i="2"/>
  <c r="Y484" i="2" s="1"/>
  <c r="W468" i="2"/>
  <c r="W475" i="2" s="1"/>
  <c r="Y440" i="2"/>
  <c r="Y447" i="2" s="1"/>
  <c r="W454" i="2"/>
  <c r="W461" i="2" s="1"/>
  <c r="X454" i="2"/>
  <c r="X461" i="2" s="1"/>
  <c r="Y487" i="2"/>
  <c r="AG496" i="2"/>
  <c r="AH496" i="2" s="1"/>
  <c r="X487" i="2"/>
  <c r="X468" i="2"/>
  <c r="X475" i="2" s="1"/>
  <c r="W487" i="2"/>
  <c r="X440" i="2"/>
  <c r="X447" i="2" s="1"/>
  <c r="Y468" i="2"/>
  <c r="Y475" i="2" s="1"/>
  <c r="W440" i="2"/>
  <c r="W447" i="2" s="1"/>
  <c r="G8" i="10"/>
  <c r="P7" i="10"/>
  <c r="P8" i="10"/>
  <c r="AF602" i="2"/>
  <c r="AF577" i="2"/>
  <c r="AF573" i="2"/>
  <c r="AE563" i="2"/>
  <c r="Z563" i="2"/>
  <c r="AA563" i="2"/>
  <c r="U563" i="2"/>
  <c r="Y563" i="2"/>
  <c r="AD563" i="2"/>
  <c r="T563" i="2"/>
  <c r="AB563" i="2"/>
  <c r="AC563" i="2"/>
  <c r="AF563" i="2"/>
  <c r="AF587" i="2"/>
  <c r="AF613" i="2" s="1"/>
  <c r="X563" i="2"/>
  <c r="W563" i="2"/>
  <c r="E468" i="2"/>
  <c r="E475" i="2" s="1"/>
  <c r="U572" i="2"/>
  <c r="U597" i="2"/>
  <c r="U623" i="2" s="1"/>
  <c r="W572" i="2"/>
  <c r="W597" i="2"/>
  <c r="W623" i="2" s="1"/>
  <c r="AB597" i="2"/>
  <c r="AB623" i="2" s="1"/>
  <c r="AB572" i="2"/>
  <c r="AD577" i="2"/>
  <c r="AD602" i="2"/>
  <c r="AD628" i="2" s="1"/>
  <c r="AA572" i="2"/>
  <c r="AA597" i="2"/>
  <c r="AA623" i="2" s="1"/>
  <c r="AC602" i="2"/>
  <c r="AC628" i="2" s="1"/>
  <c r="AC577" i="2"/>
  <c r="Y602" i="2"/>
  <c r="Y628" i="2" s="1"/>
  <c r="Y577" i="2"/>
  <c r="T602" i="2"/>
  <c r="T628" i="2" s="1"/>
  <c r="T577" i="2"/>
  <c r="X577" i="2"/>
  <c r="X602" i="2"/>
  <c r="X628" i="2" s="1"/>
  <c r="Z577" i="2"/>
  <c r="Z602" i="2"/>
  <c r="Z628" i="2" s="1"/>
  <c r="AE572" i="2"/>
  <c r="AE597" i="2"/>
  <c r="AE623" i="2" s="1"/>
  <c r="AF578" i="2"/>
  <c r="AA577" i="2"/>
  <c r="AA602" i="2"/>
  <c r="AA628" i="2"/>
  <c r="Y572" i="2"/>
  <c r="Y597" i="2"/>
  <c r="Y623" i="2" s="1"/>
  <c r="X597" i="2"/>
  <c r="X623" i="2" s="1"/>
  <c r="X572" i="2"/>
  <c r="Z597" i="2"/>
  <c r="Z623" i="2" s="1"/>
  <c r="Z572" i="2"/>
  <c r="AE602" i="2"/>
  <c r="AE628" i="2"/>
  <c r="AE630" i="2" s="1"/>
  <c r="AE577" i="2"/>
  <c r="AF597" i="2"/>
  <c r="AF572" i="2"/>
  <c r="AC597" i="2"/>
  <c r="AC623" i="2" s="1"/>
  <c r="AC572" i="2"/>
  <c r="U602" i="2"/>
  <c r="U628" i="2" s="1"/>
  <c r="U577" i="2"/>
  <c r="W577" i="2"/>
  <c r="W602" i="2"/>
  <c r="W628" i="2" s="1"/>
  <c r="AB602" i="2"/>
  <c r="AB628" i="2" s="1"/>
  <c r="AB577" i="2"/>
  <c r="AD572" i="2"/>
  <c r="AD597" i="2"/>
  <c r="AD623" i="2" s="1"/>
  <c r="T597" i="2"/>
  <c r="T623" i="2" s="1"/>
  <c r="T572" i="2"/>
  <c r="AD561" i="2"/>
  <c r="AC561" i="2"/>
  <c r="AF561" i="2"/>
  <c r="AF586" i="2"/>
  <c r="AF612" i="2" s="1"/>
  <c r="T561" i="2"/>
  <c r="U561" i="2"/>
  <c r="X561" i="2"/>
  <c r="AE561" i="2"/>
  <c r="AA561" i="2"/>
  <c r="W561" i="2"/>
  <c r="Y561" i="2"/>
  <c r="AB561" i="2"/>
  <c r="Z561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3" i="15"/>
  <c r="O78" i="15"/>
  <c r="D12" i="15" s="1"/>
  <c r="N12" i="15" s="1"/>
  <c r="I193" i="15"/>
  <c r="U408" i="2"/>
  <c r="L193" i="15"/>
  <c r="D193" i="15"/>
  <c r="J193" i="15"/>
  <c r="O191" i="15"/>
  <c r="Q191" i="15"/>
  <c r="H23" i="15" s="1"/>
  <c r="U435" i="2" s="1"/>
  <c r="G195" i="15"/>
  <c r="O65" i="15"/>
  <c r="F10" i="15" s="1"/>
  <c r="P65" i="15"/>
  <c r="G10" i="15" s="1"/>
  <c r="P75" i="15"/>
  <c r="G11" i="15" s="1"/>
  <c r="O75" i="15"/>
  <c r="F11" i="15" s="1"/>
  <c r="I436" i="2" s="1"/>
  <c r="I665" i="2" s="1"/>
  <c r="O85" i="15"/>
  <c r="F12" i="15" s="1"/>
  <c r="J436" i="2" s="1"/>
  <c r="P85" i="15"/>
  <c r="G12" i="15" s="1"/>
  <c r="Y412" i="2"/>
  <c r="W412" i="2"/>
  <c r="V412" i="2"/>
  <c r="S408" i="2"/>
  <c r="S314" i="2" s="1"/>
  <c r="T408" i="2"/>
  <c r="X412" i="2"/>
  <c r="P414" i="2"/>
  <c r="Q414" i="2"/>
  <c r="R414" i="2"/>
  <c r="K139" i="1"/>
  <c r="F229" i="1"/>
  <c r="F35" i="1"/>
  <c r="F199" i="1"/>
  <c r="F215" i="1"/>
  <c r="F246" i="1"/>
  <c r="Y244" i="1"/>
  <c r="P407" i="2"/>
  <c r="P408" i="2" s="1"/>
  <c r="Q407" i="2"/>
  <c r="Q408" i="2" s="1"/>
  <c r="R407" i="2"/>
  <c r="R408" i="2" s="1"/>
  <c r="R314" i="2" s="1"/>
  <c r="K89" i="1"/>
  <c r="K137" i="1"/>
  <c r="K138" i="1"/>
  <c r="K105" i="1"/>
  <c r="AA258" i="1"/>
  <c r="F170" i="1"/>
  <c r="F356" i="1"/>
  <c r="AF415" i="2"/>
  <c r="V415" i="2"/>
  <c r="Q415" i="2"/>
  <c r="N415" i="2"/>
  <c r="I415" i="2"/>
  <c r="AC415" i="2"/>
  <c r="J415" i="2"/>
  <c r="S415" i="2"/>
  <c r="X415" i="2"/>
  <c r="M415" i="2"/>
  <c r="H415" i="2"/>
  <c r="G415" i="2"/>
  <c r="AA415" i="2"/>
  <c r="AE415" i="2"/>
  <c r="R415" i="2"/>
  <c r="Y415" i="2"/>
  <c r="AD415" i="2"/>
  <c r="W415" i="2"/>
  <c r="O415" i="2"/>
  <c r="U415" i="2"/>
  <c r="T415" i="2"/>
  <c r="AB415" i="2"/>
  <c r="L415" i="2"/>
  <c r="F415" i="2"/>
  <c r="P55" i="15"/>
  <c r="G9" i="15" s="1"/>
  <c r="O55" i="15"/>
  <c r="F9" i="15" s="1"/>
  <c r="G436" i="2" s="1"/>
  <c r="G665" i="2" s="1"/>
  <c r="N422" i="2"/>
  <c r="O422" i="2" s="1"/>
  <c r="V484" i="2"/>
  <c r="AA426" i="2"/>
  <c r="P415" i="2"/>
  <c r="AC426" i="2"/>
  <c r="AA461" i="2"/>
  <c r="T314" i="2"/>
  <c r="O88" i="15"/>
  <c r="D13" i="15" s="1"/>
  <c r="C197" i="15"/>
  <c r="G197" i="15"/>
  <c r="X484" i="2"/>
  <c r="U314" i="2"/>
  <c r="AD416" i="2"/>
  <c r="AD412" i="2"/>
  <c r="N425" i="2" l="1"/>
  <c r="N663" i="2"/>
  <c r="J454" i="2"/>
  <c r="J665" i="2"/>
  <c r="U113" i="1"/>
  <c r="I113" i="1"/>
  <c r="AD426" i="2"/>
  <c r="AB484" i="2"/>
  <c r="AB485" i="2" s="1"/>
  <c r="AG449" i="2"/>
  <c r="AH449" i="2" s="1"/>
  <c r="S173" i="15"/>
  <c r="J21" i="15" s="1"/>
  <c r="S433" i="2" s="1"/>
  <c r="Q18" i="15"/>
  <c r="E29" i="15"/>
  <c r="E30" i="15" s="1"/>
  <c r="D41" i="15"/>
  <c r="D43" i="15" s="1"/>
  <c r="M8" i="15"/>
  <c r="E420" i="2"/>
  <c r="AF347" i="2" s="1"/>
  <c r="F424" i="2"/>
  <c r="D6" i="9"/>
  <c r="F6" i="9" s="1"/>
  <c r="D18" i="15"/>
  <c r="N18" i="15" s="1"/>
  <c r="AA354" i="1"/>
  <c r="AF344" i="2"/>
  <c r="H436" i="2"/>
  <c r="I354" i="1"/>
  <c r="A127" i="15"/>
  <c r="L17" i="15"/>
  <c r="Y461" i="2"/>
  <c r="AA485" i="2"/>
  <c r="AF574" i="2"/>
  <c r="S7" i="10"/>
  <c r="T7" i="10" s="1"/>
  <c r="A97" i="15"/>
  <c r="L14" i="15"/>
  <c r="Q15" i="15"/>
  <c r="Q16" i="15"/>
  <c r="Q17" i="15"/>
  <c r="AB426" i="2"/>
  <c r="S8" i="10"/>
  <c r="T8" i="10" s="1"/>
  <c r="S354" i="1"/>
  <c r="A107" i="15"/>
  <c r="L15" i="15"/>
  <c r="A117" i="15"/>
  <c r="L16" i="15"/>
  <c r="H125" i="15"/>
  <c r="I115" i="15"/>
  <c r="C41" i="15"/>
  <c r="C43" i="15" s="1"/>
  <c r="M45" i="15"/>
  <c r="O421" i="2"/>
  <c r="O494" i="2" s="1"/>
  <c r="Q9" i="15"/>
  <c r="E313" i="2"/>
  <c r="E316" i="2" s="1"/>
  <c r="E338" i="2" s="1"/>
  <c r="E351" i="2" s="1"/>
  <c r="D125" i="15"/>
  <c r="D121" i="15"/>
  <c r="L125" i="15"/>
  <c r="L121" i="15"/>
  <c r="L123" i="15" s="1"/>
  <c r="F125" i="15"/>
  <c r="F121" i="15"/>
  <c r="F123" i="15" s="1"/>
  <c r="J125" i="15"/>
  <c r="J121" i="15"/>
  <c r="J123" i="15" s="1"/>
  <c r="N125" i="15"/>
  <c r="N121" i="15"/>
  <c r="N123" i="15" s="1"/>
  <c r="G125" i="15"/>
  <c r="G121" i="15"/>
  <c r="G123" i="15" s="1"/>
  <c r="K125" i="15"/>
  <c r="K121" i="15"/>
  <c r="K123" i="15" s="1"/>
  <c r="E125" i="15"/>
  <c r="E121" i="15"/>
  <c r="E123" i="15" s="1"/>
  <c r="I125" i="15"/>
  <c r="I121" i="15"/>
  <c r="I123" i="15" s="1"/>
  <c r="M125" i="15"/>
  <c r="M121" i="15"/>
  <c r="M123" i="15" s="1"/>
  <c r="G115" i="15"/>
  <c r="G111" i="15"/>
  <c r="G113" i="15" s="1"/>
  <c r="J115" i="15"/>
  <c r="J111" i="15"/>
  <c r="J113" i="15" s="1"/>
  <c r="N115" i="15"/>
  <c r="F115" i="15"/>
  <c r="F111" i="15"/>
  <c r="F113" i="15" s="1"/>
  <c r="M115" i="15"/>
  <c r="M111" i="15"/>
  <c r="M113" i="15" s="1"/>
  <c r="D115" i="15"/>
  <c r="D111" i="15"/>
  <c r="H115" i="15"/>
  <c r="H111" i="15"/>
  <c r="H113" i="15" s="1"/>
  <c r="K115" i="15"/>
  <c r="K111" i="15"/>
  <c r="K113" i="15" s="1"/>
  <c r="E115" i="15"/>
  <c r="E111" i="15"/>
  <c r="E113" i="15" s="1"/>
  <c r="L115" i="15"/>
  <c r="L111" i="15"/>
  <c r="L113" i="15" s="1"/>
  <c r="E104" i="15"/>
  <c r="E101" i="15"/>
  <c r="E103" i="15" s="1"/>
  <c r="I104" i="15"/>
  <c r="I101" i="15"/>
  <c r="I103" i="15" s="1"/>
  <c r="M104" i="15"/>
  <c r="M101" i="15"/>
  <c r="M103" i="15" s="1"/>
  <c r="F104" i="15"/>
  <c r="F101" i="15"/>
  <c r="F103" i="15" s="1"/>
  <c r="J104" i="15"/>
  <c r="J101" i="15"/>
  <c r="J103" i="15" s="1"/>
  <c r="N104" i="15"/>
  <c r="N101" i="15"/>
  <c r="N103" i="15" s="1"/>
  <c r="G104" i="15"/>
  <c r="G101" i="15"/>
  <c r="G103" i="15" s="1"/>
  <c r="K104" i="15"/>
  <c r="K101" i="15"/>
  <c r="K103" i="15" s="1"/>
  <c r="D104" i="15"/>
  <c r="D101" i="15"/>
  <c r="H104" i="15"/>
  <c r="H101" i="15"/>
  <c r="H103" i="15" s="1"/>
  <c r="L104" i="15"/>
  <c r="L101" i="15"/>
  <c r="L103" i="15" s="1"/>
  <c r="F94" i="15"/>
  <c r="F91" i="15"/>
  <c r="F93" i="15" s="1"/>
  <c r="J94" i="15"/>
  <c r="J91" i="15"/>
  <c r="J93" i="15" s="1"/>
  <c r="N94" i="15"/>
  <c r="N91" i="15"/>
  <c r="N93" i="15" s="1"/>
  <c r="D91" i="15"/>
  <c r="D93" i="15" s="1"/>
  <c r="D94" i="15"/>
  <c r="H94" i="15"/>
  <c r="H91" i="15"/>
  <c r="H93" i="15" s="1"/>
  <c r="L94" i="15"/>
  <c r="L91" i="15"/>
  <c r="L93" i="15" s="1"/>
  <c r="E94" i="15"/>
  <c r="E91" i="15"/>
  <c r="E93" i="15" s="1"/>
  <c r="I94" i="15"/>
  <c r="I91" i="15"/>
  <c r="I93" i="15" s="1"/>
  <c r="M94" i="15"/>
  <c r="M91" i="15"/>
  <c r="M93" i="15" s="1"/>
  <c r="C91" i="15"/>
  <c r="C93" i="15" s="1"/>
  <c r="C94" i="15"/>
  <c r="G94" i="15"/>
  <c r="G91" i="15"/>
  <c r="G93" i="15" s="1"/>
  <c r="K94" i="15"/>
  <c r="K91" i="15"/>
  <c r="K93" i="15" s="1"/>
  <c r="E84" i="15"/>
  <c r="E81" i="15"/>
  <c r="E83" i="15" s="1"/>
  <c r="I84" i="15"/>
  <c r="I81" i="15"/>
  <c r="I83" i="15" s="1"/>
  <c r="M84" i="15"/>
  <c r="M81" i="15"/>
  <c r="M83" i="15" s="1"/>
  <c r="F84" i="15"/>
  <c r="F81" i="15"/>
  <c r="F83" i="15" s="1"/>
  <c r="D84" i="15"/>
  <c r="D81" i="15"/>
  <c r="H84" i="15"/>
  <c r="H81" i="15"/>
  <c r="H83" i="15" s="1"/>
  <c r="L84" i="15"/>
  <c r="L81" i="15"/>
  <c r="L83" i="15" s="1"/>
  <c r="J84" i="15"/>
  <c r="J81" i="15"/>
  <c r="J83" i="15" s="1"/>
  <c r="N84" i="15"/>
  <c r="N81" i="15"/>
  <c r="N83" i="15" s="1"/>
  <c r="G84" i="15"/>
  <c r="G81" i="15"/>
  <c r="G83" i="15" s="1"/>
  <c r="K84" i="15"/>
  <c r="K81" i="15"/>
  <c r="K83" i="15" s="1"/>
  <c r="J45" i="15"/>
  <c r="A77" i="15"/>
  <c r="A67" i="15"/>
  <c r="AD341" i="2"/>
  <c r="AD360" i="2"/>
  <c r="AD358" i="2"/>
  <c r="AC341" i="2"/>
  <c r="AC360" i="2"/>
  <c r="Z341" i="2"/>
  <c r="Z360" i="2"/>
  <c r="AE341" i="2"/>
  <c r="AE360" i="2"/>
  <c r="W484" i="2"/>
  <c r="W485" i="2" s="1"/>
  <c r="AE461" i="2"/>
  <c r="AE358" i="2"/>
  <c r="AC416" i="2"/>
  <c r="Z461" i="2"/>
  <c r="Z358" i="2"/>
  <c r="AC358" i="2"/>
  <c r="AF358" i="2"/>
  <c r="AF341" i="2"/>
  <c r="AB358" i="2"/>
  <c r="AB341" i="2"/>
  <c r="Y358" i="2"/>
  <c r="Y341" i="2"/>
  <c r="V358" i="2"/>
  <c r="V341" i="2"/>
  <c r="AA358" i="2"/>
  <c r="AA341" i="2"/>
  <c r="X358" i="2"/>
  <c r="X341" i="2"/>
  <c r="W358" i="2"/>
  <c r="W341" i="2"/>
  <c r="AA416" i="2"/>
  <c r="AA412" i="2"/>
  <c r="Z427" i="2"/>
  <c r="AD461" i="2"/>
  <c r="V485" i="2"/>
  <c r="X485" i="2"/>
  <c r="AF426" i="2"/>
  <c r="AD485" i="2"/>
  <c r="AC485" i="2"/>
  <c r="S426" i="2"/>
  <c r="S430" i="2" s="1"/>
  <c r="AE427" i="2"/>
  <c r="AC461" i="2"/>
  <c r="AB416" i="2"/>
  <c r="AB412" i="2"/>
  <c r="AF412" i="2"/>
  <c r="AF416" i="2"/>
  <c r="Y485" i="2"/>
  <c r="AE485" i="2"/>
  <c r="AF485" i="2"/>
  <c r="AF579" i="2"/>
  <c r="AF461" i="2"/>
  <c r="Q20" i="15"/>
  <c r="Q22" i="15"/>
  <c r="N17" i="15"/>
  <c r="D11" i="15"/>
  <c r="N11" i="15" s="1"/>
  <c r="O173" i="15"/>
  <c r="R173" i="15" s="1"/>
  <c r="T173" i="15" s="1"/>
  <c r="K21" i="15" s="1"/>
  <c r="S432" i="2" s="1"/>
  <c r="F45" i="15"/>
  <c r="U426" i="2"/>
  <c r="L45" i="15"/>
  <c r="D15" i="15"/>
  <c r="U412" i="2"/>
  <c r="U429" i="2"/>
  <c r="U416" i="2" s="1"/>
  <c r="D9" i="15"/>
  <c r="N9" i="15" s="1"/>
  <c r="O39" i="15"/>
  <c r="O129" i="15"/>
  <c r="N41" i="15"/>
  <c r="N43" i="15" s="1"/>
  <c r="O163" i="15"/>
  <c r="R163" i="15" s="1"/>
  <c r="I20" i="15" s="1"/>
  <c r="R434" i="2" s="1"/>
  <c r="R487" i="2" s="1"/>
  <c r="S163" i="15"/>
  <c r="J20" i="15" s="1"/>
  <c r="R433" i="2" s="1"/>
  <c r="O59" i="15"/>
  <c r="O135" i="15"/>
  <c r="F17" i="15" s="1"/>
  <c r="P135" i="15"/>
  <c r="G17" i="15" s="1"/>
  <c r="N8" i="15"/>
  <c r="O79" i="15"/>
  <c r="G424" i="2"/>
  <c r="O426" i="2"/>
  <c r="N427" i="2"/>
  <c r="N412" i="2" s="1"/>
  <c r="N426" i="2"/>
  <c r="G461" i="2"/>
  <c r="G484" i="2"/>
  <c r="G485" i="2" s="1"/>
  <c r="P145" i="15"/>
  <c r="G18" i="15" s="1"/>
  <c r="O133" i="15"/>
  <c r="R133" i="15" s="1"/>
  <c r="I41" i="15"/>
  <c r="I43" i="15" s="1"/>
  <c r="M9" i="15"/>
  <c r="K45" i="15"/>
  <c r="D23" i="15"/>
  <c r="N23" i="15" s="1"/>
  <c r="D22" i="15"/>
  <c r="O165" i="15"/>
  <c r="F20" i="15" s="1"/>
  <c r="O89" i="15"/>
  <c r="R425" i="2"/>
  <c r="R426" i="2" s="1"/>
  <c r="R430" i="2" s="1"/>
  <c r="S193" i="15"/>
  <c r="J23" i="15" s="1"/>
  <c r="U433" i="2" s="1"/>
  <c r="O153" i="15"/>
  <c r="R153" i="15" s="1"/>
  <c r="I19" i="15" s="1"/>
  <c r="Q434" i="2" s="1"/>
  <c r="A37" i="15"/>
  <c r="D12" i="9"/>
  <c r="F12" i="9" s="1"/>
  <c r="D12" i="8"/>
  <c r="F12" i="8" s="1"/>
  <c r="K424" i="2"/>
  <c r="D8" i="8"/>
  <c r="F8" i="8" s="1"/>
  <c r="H424" i="2"/>
  <c r="H663" i="2" s="1"/>
  <c r="M10" i="15"/>
  <c r="D7" i="8"/>
  <c r="F7" i="8" s="1"/>
  <c r="D14" i="15"/>
  <c r="N14" i="15" s="1"/>
  <c r="P95" i="15"/>
  <c r="G13" i="15" s="1"/>
  <c r="J421" i="2"/>
  <c r="J664" i="2" s="1"/>
  <c r="N10" i="15"/>
  <c r="H421" i="2"/>
  <c r="H664" i="2" s="1"/>
  <c r="H61" i="15"/>
  <c r="H63" i="15" s="1"/>
  <c r="S63" i="15" s="1"/>
  <c r="J10" i="15" s="1"/>
  <c r="H433" i="2" s="1"/>
  <c r="N61" i="15"/>
  <c r="N63" i="15" s="1"/>
  <c r="K61" i="15"/>
  <c r="K63" i="15" s="1"/>
  <c r="F494" i="2"/>
  <c r="F423" i="2"/>
  <c r="F401" i="2" s="1"/>
  <c r="F360" i="2" s="1"/>
  <c r="E41" i="15"/>
  <c r="E43" i="15" s="1"/>
  <c r="G41" i="15"/>
  <c r="G43" i="15" s="1"/>
  <c r="H41" i="15"/>
  <c r="H43" i="15" s="1"/>
  <c r="F410" i="1"/>
  <c r="F412" i="1" s="1"/>
  <c r="F440" i="1" s="1"/>
  <c r="O354" i="1"/>
  <c r="O143" i="15"/>
  <c r="R143" i="15" s="1"/>
  <c r="S143" i="15"/>
  <c r="J18" i="15" s="1"/>
  <c r="P433" i="2" s="1"/>
  <c r="Q314" i="2"/>
  <c r="P314" i="2"/>
  <c r="O183" i="15"/>
  <c r="R183" i="15" s="1"/>
  <c r="I22" i="15" s="1"/>
  <c r="T434" i="2" s="1"/>
  <c r="T487" i="2" s="1"/>
  <c r="S153" i="15"/>
  <c r="J19" i="15" s="1"/>
  <c r="Q433" i="2" s="1"/>
  <c r="P185" i="15"/>
  <c r="G22" i="15" s="1"/>
  <c r="D21" i="15"/>
  <c r="N21" i="15" s="1"/>
  <c r="P165" i="15"/>
  <c r="G20" i="15" s="1"/>
  <c r="I21" i="15"/>
  <c r="S434" i="2" s="1"/>
  <c r="S440" i="2" s="1"/>
  <c r="P105" i="15"/>
  <c r="G14" i="15" s="1"/>
  <c r="O105" i="15"/>
  <c r="F14" i="15" s="1"/>
  <c r="O195" i="15"/>
  <c r="F23" i="15" s="1"/>
  <c r="O185" i="15"/>
  <c r="F22" i="15" s="1"/>
  <c r="T468" i="2"/>
  <c r="T475" i="2" s="1"/>
  <c r="T440" i="2"/>
  <c r="T447" i="2" s="1"/>
  <c r="O145" i="15"/>
  <c r="F18" i="15" s="1"/>
  <c r="O155" i="15"/>
  <c r="F19" i="15" s="1"/>
  <c r="D16" i="15"/>
  <c r="O119" i="15"/>
  <c r="O149" i="15"/>
  <c r="D19" i="15"/>
  <c r="D20" i="15"/>
  <c r="O159" i="15"/>
  <c r="L424" i="2"/>
  <c r="L663" i="2" s="1"/>
  <c r="C25" i="15"/>
  <c r="C29" i="15" s="1"/>
  <c r="C30" i="15" s="1"/>
  <c r="M14" i="15"/>
  <c r="P175" i="15"/>
  <c r="G21" i="15" s="1"/>
  <c r="O175" i="15"/>
  <c r="F21" i="15" s="1"/>
  <c r="S183" i="15"/>
  <c r="J22" i="15" s="1"/>
  <c r="T433" i="2" s="1"/>
  <c r="O197" i="15"/>
  <c r="P200" i="15" s="1"/>
  <c r="P155" i="15"/>
  <c r="G19" i="15" s="1"/>
  <c r="O193" i="15"/>
  <c r="R193" i="15" s="1"/>
  <c r="I23" i="15" s="1"/>
  <c r="U434" i="2" s="1"/>
  <c r="U487" i="2" s="1"/>
  <c r="P195" i="15"/>
  <c r="G23" i="15" s="1"/>
  <c r="S133" i="15"/>
  <c r="J17" i="15" s="1"/>
  <c r="O433" i="2" s="1"/>
  <c r="G346" i="2"/>
  <c r="AG420" i="2"/>
  <c r="K346" i="2"/>
  <c r="W346" i="2"/>
  <c r="P427" i="2"/>
  <c r="L346" i="2"/>
  <c r="I346" i="2"/>
  <c r="Q10" i="15"/>
  <c r="Q19" i="15"/>
  <c r="Q11" i="15"/>
  <c r="Q13" i="15"/>
  <c r="Q25" i="15"/>
  <c r="Q23" i="15"/>
  <c r="Q8" i="15"/>
  <c r="O25" i="15"/>
  <c r="Q21" i="15"/>
  <c r="Q12" i="15"/>
  <c r="Q14" i="15"/>
  <c r="M425" i="2"/>
  <c r="M426" i="2" s="1"/>
  <c r="S429" i="2"/>
  <c r="S416" i="2" s="1"/>
  <c r="S412" i="2"/>
  <c r="O346" i="2"/>
  <c r="AA346" i="2"/>
  <c r="Q425" i="2"/>
  <c r="A57" i="15"/>
  <c r="D63" i="18"/>
  <c r="H55" i="18" a="1"/>
  <c r="H56" i="18" s="1"/>
  <c r="M148" i="18"/>
  <c r="D158" i="18" s="1"/>
  <c r="F326" i="1"/>
  <c r="K354" i="1"/>
  <c r="Y354" i="1"/>
  <c r="M354" i="1"/>
  <c r="O24" i="1"/>
  <c r="O149" i="1" s="1"/>
  <c r="O159" i="1" s="1"/>
  <c r="P354" i="1"/>
  <c r="W354" i="1"/>
  <c r="F82" i="1"/>
  <c r="F56" i="1"/>
  <c r="F58" i="1" s="1"/>
  <c r="D19" i="16"/>
  <c r="E21" i="16"/>
  <c r="U24" i="1"/>
  <c r="U149" i="1" s="1"/>
  <c r="U159" i="1" s="1"/>
  <c r="M22" i="16"/>
  <c r="P304" i="1"/>
  <c r="M404" i="1"/>
  <c r="M302" i="1"/>
  <c r="M116" i="1"/>
  <c r="M109" i="1"/>
  <c r="M119" i="1"/>
  <c r="K221" i="1"/>
  <c r="P207" i="1"/>
  <c r="M210" i="1"/>
  <c r="W111" i="1"/>
  <c r="M225" i="1"/>
  <c r="K204" i="1"/>
  <c r="R301" i="1"/>
  <c r="M113" i="1"/>
  <c r="W301" i="1"/>
  <c r="P385" i="1"/>
  <c r="W403" i="1"/>
  <c r="Y113" i="1"/>
  <c r="P14" i="16"/>
  <c r="P24" i="16" s="1"/>
  <c r="P26" i="16" s="1"/>
  <c r="O110" i="1"/>
  <c r="Y180" i="1"/>
  <c r="K115" i="1"/>
  <c r="R24" i="1"/>
  <c r="R106" i="1" s="1"/>
  <c r="Y24" i="1"/>
  <c r="Y80" i="1" s="1"/>
  <c r="H301" i="1"/>
  <c r="R400" i="1"/>
  <c r="H224" i="1"/>
  <c r="K300" i="1"/>
  <c r="S221" i="1"/>
  <c r="I305" i="1"/>
  <c r="M298" i="1"/>
  <c r="AA381" i="1"/>
  <c r="W206" i="1"/>
  <c r="AA365" i="1"/>
  <c r="H119" i="1"/>
  <c r="P208" i="1"/>
  <c r="R203" i="1"/>
  <c r="U204" i="1"/>
  <c r="AA221" i="1"/>
  <c r="K114" i="1"/>
  <c r="Y205" i="1"/>
  <c r="W114" i="1"/>
  <c r="O204" i="1"/>
  <c r="M205" i="1"/>
  <c r="W207" i="1"/>
  <c r="U381" i="1"/>
  <c r="AB16" i="1"/>
  <c r="AC16" i="1" s="1"/>
  <c r="AB20" i="1"/>
  <c r="AC20" i="1" s="1"/>
  <c r="M24" i="1"/>
  <c r="M149" i="1" s="1"/>
  <c r="M159" i="1" s="1"/>
  <c r="S24" i="1"/>
  <c r="S293" i="1" s="1"/>
  <c r="AA24" i="1"/>
  <c r="AA149" i="1" s="1"/>
  <c r="AA159" i="1" s="1"/>
  <c r="AB156" i="1"/>
  <c r="AC156" i="1" s="1"/>
  <c r="AB337" i="1"/>
  <c r="AC337" i="1" s="1"/>
  <c r="AB338" i="1"/>
  <c r="AC338" i="1" s="1"/>
  <c r="AB340" i="1"/>
  <c r="AC340" i="1" s="1"/>
  <c r="AB341" i="1"/>
  <c r="AC341" i="1" s="1"/>
  <c r="AB343" i="1"/>
  <c r="AC343" i="1" s="1"/>
  <c r="AB349" i="1"/>
  <c r="AC349" i="1" s="1"/>
  <c r="AB350" i="1"/>
  <c r="AC350" i="1" s="1"/>
  <c r="AB351" i="1"/>
  <c r="AC351" i="1" s="1"/>
  <c r="AB352" i="1"/>
  <c r="AC352" i="1" s="1"/>
  <c r="U223" i="1"/>
  <c r="AA203" i="1"/>
  <c r="K384" i="1"/>
  <c r="P117" i="1"/>
  <c r="W384" i="1"/>
  <c r="AA402" i="1"/>
  <c r="U384" i="1"/>
  <c r="O221" i="1"/>
  <c r="O381" i="1"/>
  <c r="M222" i="1"/>
  <c r="M112" i="1"/>
  <c r="S304" i="1"/>
  <c r="U296" i="1"/>
  <c r="U110" i="1"/>
  <c r="U168" i="1"/>
  <c r="O180" i="1"/>
  <c r="K296" i="1"/>
  <c r="W24" i="1"/>
  <c r="W85" i="1" s="1"/>
  <c r="P386" i="1"/>
  <c r="K206" i="1"/>
  <c r="U114" i="1"/>
  <c r="O203" i="1"/>
  <c r="M383" i="1"/>
  <c r="K402" i="1"/>
  <c r="Y168" i="1"/>
  <c r="AB240" i="1"/>
  <c r="AC240" i="1" s="1"/>
  <c r="S423" i="1"/>
  <c r="AB17" i="1"/>
  <c r="AC17" i="1" s="1"/>
  <c r="AB19" i="1"/>
  <c r="AC19" i="1" s="1"/>
  <c r="AB22" i="1"/>
  <c r="AC22" i="1" s="1"/>
  <c r="H115" i="1"/>
  <c r="U402" i="1"/>
  <c r="S118" i="1"/>
  <c r="S400" i="1"/>
  <c r="S204" i="1"/>
  <c r="AA384" i="1"/>
  <c r="O382" i="1"/>
  <c r="O296" i="1"/>
  <c r="U385" i="1"/>
  <c r="R381" i="1"/>
  <c r="W304" i="1"/>
  <c r="K24" i="1"/>
  <c r="S119" i="1"/>
  <c r="M381" i="1"/>
  <c r="P400" i="1"/>
  <c r="H117" i="1"/>
  <c r="I297" i="1"/>
  <c r="AA116" i="1"/>
  <c r="R383" i="1"/>
  <c r="O386" i="1"/>
  <c r="H35" i="1"/>
  <c r="H369" i="1" s="1"/>
  <c r="K205" i="1"/>
  <c r="AA401" i="1"/>
  <c r="H405" i="1"/>
  <c r="S302" i="1"/>
  <c r="U299" i="1"/>
  <c r="AA438" i="1"/>
  <c r="R225" i="1"/>
  <c r="W386" i="1"/>
  <c r="K112" i="1"/>
  <c r="AB251" i="1"/>
  <c r="AC251" i="1" s="1"/>
  <c r="M365" i="1"/>
  <c r="R404" i="1"/>
  <c r="U305" i="1"/>
  <c r="R302" i="1"/>
  <c r="H296" i="1"/>
  <c r="I206" i="1"/>
  <c r="U401" i="1"/>
  <c r="O305" i="1"/>
  <c r="U117" i="1"/>
  <c r="H300" i="1"/>
  <c r="O304" i="1"/>
  <c r="S113" i="1"/>
  <c r="W222" i="1"/>
  <c r="P204" i="1"/>
  <c r="U208" i="1"/>
  <c r="Y304" i="1"/>
  <c r="M296" i="1"/>
  <c r="W113" i="1"/>
  <c r="O303" i="1"/>
  <c r="Y296" i="1"/>
  <c r="AA113" i="1"/>
  <c r="S388" i="1"/>
  <c r="I204" i="1"/>
  <c r="R117" i="1"/>
  <c r="H402" i="1"/>
  <c r="K111" i="1"/>
  <c r="Y246" i="1"/>
  <c r="K401" i="1"/>
  <c r="I223" i="1"/>
  <c r="S115" i="1"/>
  <c r="O404" i="1"/>
  <c r="W117" i="1"/>
  <c r="W303" i="1"/>
  <c r="H168" i="1"/>
  <c r="K168" i="1"/>
  <c r="W54" i="1"/>
  <c r="W310" i="1" s="1"/>
  <c r="K383" i="1"/>
  <c r="R111" i="1"/>
  <c r="P110" i="1"/>
  <c r="AA110" i="1"/>
  <c r="AA400" i="1"/>
  <c r="S385" i="1"/>
  <c r="S296" i="1"/>
  <c r="H116" i="1"/>
  <c r="H295" i="1"/>
  <c r="S110" i="1"/>
  <c r="O208" i="1"/>
  <c r="U206" i="1"/>
  <c r="Y208" i="1"/>
  <c r="I382" i="1"/>
  <c r="U221" i="1"/>
  <c r="U400" i="1"/>
  <c r="R296" i="1"/>
  <c r="AA403" i="1"/>
  <c r="U382" i="1"/>
  <c r="H302" i="1"/>
  <c r="O207" i="1"/>
  <c r="U365" i="1"/>
  <c r="Y365" i="1"/>
  <c r="P35" i="1"/>
  <c r="P294" i="1" s="1"/>
  <c r="M35" i="1"/>
  <c r="M183" i="1" s="1"/>
  <c r="S35" i="1"/>
  <c r="S375" i="1" s="1"/>
  <c r="AA180" i="1"/>
  <c r="H208" i="1"/>
  <c r="I221" i="1"/>
  <c r="H262" i="1"/>
  <c r="Y423" i="1"/>
  <c r="K180" i="1"/>
  <c r="K298" i="1"/>
  <c r="P296" i="1"/>
  <c r="AA296" i="1"/>
  <c r="AA382" i="1"/>
  <c r="R221" i="1"/>
  <c r="H112" i="1"/>
  <c r="S382" i="1"/>
  <c r="S203" i="1"/>
  <c r="Y295" i="1"/>
  <c r="AA297" i="1"/>
  <c r="P382" i="1"/>
  <c r="O405" i="1"/>
  <c r="O226" i="1"/>
  <c r="O385" i="1"/>
  <c r="I299" i="1"/>
  <c r="AA223" i="1"/>
  <c r="P210" i="1"/>
  <c r="O119" i="1"/>
  <c r="I296" i="1"/>
  <c r="U304" i="1"/>
  <c r="U118" i="1"/>
  <c r="R382" i="1"/>
  <c r="H298" i="1"/>
  <c r="R110" i="1"/>
  <c r="H383" i="1"/>
  <c r="P381" i="1"/>
  <c r="AA246" i="1"/>
  <c r="U262" i="1"/>
  <c r="W262" i="1"/>
  <c r="W246" i="1"/>
  <c r="AB50" i="1"/>
  <c r="AC50" i="1" s="1"/>
  <c r="AB28" i="1"/>
  <c r="AC28" i="1" s="1"/>
  <c r="S438" i="1"/>
  <c r="P180" i="1"/>
  <c r="U386" i="1"/>
  <c r="H206" i="1"/>
  <c r="I388" i="1"/>
  <c r="I210" i="1"/>
  <c r="P116" i="1"/>
  <c r="AA302" i="1"/>
  <c r="W298" i="1"/>
  <c r="AB431" i="1"/>
  <c r="AC431" i="1" s="1"/>
  <c r="AB419" i="1"/>
  <c r="AC419" i="1" s="1"/>
  <c r="AB242" i="1"/>
  <c r="AC242" i="1" s="1"/>
  <c r="W438" i="1"/>
  <c r="AA35" i="1"/>
  <c r="AA195" i="1" s="1"/>
  <c r="R119" i="1"/>
  <c r="U225" i="1"/>
  <c r="U405" i="1"/>
  <c r="Y114" i="1"/>
  <c r="P295" i="1"/>
  <c r="W224" i="1"/>
  <c r="H113" i="1"/>
  <c r="M207" i="1"/>
  <c r="I116" i="1"/>
  <c r="H305" i="1"/>
  <c r="Y221" i="1"/>
  <c r="P388" i="1"/>
  <c r="H226" i="1"/>
  <c r="AA210" i="1"/>
  <c r="K224" i="1"/>
  <c r="S295" i="1"/>
  <c r="I205" i="1"/>
  <c r="H304" i="1"/>
  <c r="W205" i="1"/>
  <c r="R226" i="1"/>
  <c r="I298" i="1"/>
  <c r="M168" i="1"/>
  <c r="AA168" i="1"/>
  <c r="AB155" i="1"/>
  <c r="AC155" i="1" s="1"/>
  <c r="W168" i="1"/>
  <c r="P168" i="1"/>
  <c r="P203" i="1"/>
  <c r="AB253" i="1"/>
  <c r="AC253" i="1" s="1"/>
  <c r="AB32" i="1"/>
  <c r="AC32" i="1" s="1"/>
  <c r="S262" i="1"/>
  <c r="S180" i="1"/>
  <c r="M180" i="1"/>
  <c r="P262" i="1"/>
  <c r="W112" i="1"/>
  <c r="U303" i="1"/>
  <c r="P119" i="1"/>
  <c r="I383" i="1"/>
  <c r="R386" i="1"/>
  <c r="AB426" i="1"/>
  <c r="AC426" i="1" s="1"/>
  <c r="AB436" i="1"/>
  <c r="AC436" i="1" s="1"/>
  <c r="U119" i="1"/>
  <c r="M423" i="1"/>
  <c r="H386" i="1"/>
  <c r="M385" i="1"/>
  <c r="P225" i="1"/>
  <c r="H404" i="1"/>
  <c r="H297" i="1"/>
  <c r="U222" i="1"/>
  <c r="K301" i="1"/>
  <c r="S116" i="1"/>
  <c r="P305" i="1"/>
  <c r="W401" i="1"/>
  <c r="H385" i="1"/>
  <c r="H207" i="1"/>
  <c r="K226" i="1"/>
  <c r="K386" i="1"/>
  <c r="K208" i="1"/>
  <c r="K303" i="1"/>
  <c r="K405" i="1"/>
  <c r="Y404" i="1"/>
  <c r="Y305" i="1"/>
  <c r="Y225" i="1"/>
  <c r="R295" i="1"/>
  <c r="R109" i="1"/>
  <c r="U295" i="1"/>
  <c r="U109" i="1"/>
  <c r="Y438" i="1"/>
  <c r="R54" i="1"/>
  <c r="R89" i="1" s="1"/>
  <c r="H382" i="1"/>
  <c r="H221" i="1"/>
  <c r="H203" i="1"/>
  <c r="I385" i="1"/>
  <c r="I304" i="1"/>
  <c r="I207" i="1"/>
  <c r="AB257" i="1"/>
  <c r="AC257" i="1" s="1"/>
  <c r="K385" i="1"/>
  <c r="K118" i="1"/>
  <c r="K207" i="1"/>
  <c r="K110" i="1"/>
  <c r="K381" i="1"/>
  <c r="K203" i="1"/>
  <c r="K382" i="1"/>
  <c r="R423" i="1"/>
  <c r="U246" i="1"/>
  <c r="W305" i="1"/>
  <c r="W225" i="1"/>
  <c r="AA304" i="1"/>
  <c r="AA385" i="1"/>
  <c r="AA118" i="1"/>
  <c r="AA205" i="1"/>
  <c r="AA112" i="1"/>
  <c r="AA222" i="1"/>
  <c r="AA54" i="1"/>
  <c r="AA399" i="1" s="1"/>
  <c r="Y207" i="1"/>
  <c r="Y118" i="1"/>
  <c r="Y402" i="1"/>
  <c r="Y206" i="1"/>
  <c r="Y300" i="1"/>
  <c r="Y223" i="1"/>
  <c r="R388" i="1"/>
  <c r="R210" i="1"/>
  <c r="S383" i="1"/>
  <c r="S112" i="1"/>
  <c r="S298" i="1"/>
  <c r="S205" i="1"/>
  <c r="S401" i="1"/>
  <c r="S222" i="1"/>
  <c r="U116" i="1"/>
  <c r="U302" i="1"/>
  <c r="U54" i="1"/>
  <c r="U310" i="1" s="1"/>
  <c r="M203" i="1"/>
  <c r="M204" i="1"/>
  <c r="M110" i="1"/>
  <c r="M382" i="1"/>
  <c r="M221" i="1"/>
  <c r="R180" i="1"/>
  <c r="U438" i="1"/>
  <c r="Y115" i="1"/>
  <c r="Y403" i="1"/>
  <c r="S386" i="1"/>
  <c r="S303" i="1"/>
  <c r="O302" i="1"/>
  <c r="O116" i="1"/>
  <c r="M403" i="1"/>
  <c r="M115" i="1"/>
  <c r="Y262" i="1"/>
  <c r="AB15" i="1"/>
  <c r="AC15" i="1" s="1"/>
  <c r="H24" i="1"/>
  <c r="H80" i="1" s="1"/>
  <c r="W302" i="1"/>
  <c r="S226" i="1"/>
  <c r="K117" i="1"/>
  <c r="Y119" i="1"/>
  <c r="AB212" i="1"/>
  <c r="AC212" i="1" s="1"/>
  <c r="R262" i="1"/>
  <c r="H54" i="1"/>
  <c r="H399" i="1" s="1"/>
  <c r="AB41" i="1"/>
  <c r="AC41" i="1" s="1"/>
  <c r="S405" i="1"/>
  <c r="Y54" i="1"/>
  <c r="Y137" i="1" s="1"/>
  <c r="AB249" i="1"/>
  <c r="AC249" i="1" s="1"/>
  <c r="AB42" i="1"/>
  <c r="AC42" i="1" s="1"/>
  <c r="H204" i="1"/>
  <c r="Y301" i="1"/>
  <c r="M224" i="1"/>
  <c r="O210" i="1"/>
  <c r="O295" i="1"/>
  <c r="S208" i="1"/>
  <c r="Y297" i="1"/>
  <c r="H110" i="1"/>
  <c r="H400" i="1"/>
  <c r="AB21" i="1"/>
  <c r="AC21" i="1" s="1"/>
  <c r="Y224" i="1"/>
  <c r="K35" i="1"/>
  <c r="K370" i="1" s="1"/>
  <c r="W404" i="1"/>
  <c r="R401" i="1"/>
  <c r="AA383" i="1"/>
  <c r="AA207" i="1"/>
  <c r="R113" i="1"/>
  <c r="AA262" i="1"/>
  <c r="AB418" i="1"/>
  <c r="AC418" i="1" s="1"/>
  <c r="H210" i="1"/>
  <c r="AB48" i="1"/>
  <c r="AC48" i="1" s="1"/>
  <c r="O262" i="1"/>
  <c r="AB241" i="1"/>
  <c r="AC241" i="1" s="1"/>
  <c r="AB387" i="1"/>
  <c r="AC387" i="1" s="1"/>
  <c r="AB256" i="1"/>
  <c r="AC256" i="1" s="1"/>
  <c r="AB33" i="1"/>
  <c r="AC33" i="1" s="1"/>
  <c r="I114" i="1"/>
  <c r="I384" i="1"/>
  <c r="I300" i="1"/>
  <c r="I110" i="1"/>
  <c r="I203" i="1"/>
  <c r="I381" i="1"/>
  <c r="S365" i="1"/>
  <c r="AB427" i="1"/>
  <c r="AC427" i="1" s="1"/>
  <c r="K388" i="1"/>
  <c r="K116" i="1"/>
  <c r="K210" i="1"/>
  <c r="W402" i="1"/>
  <c r="W300" i="1"/>
  <c r="W221" i="1"/>
  <c r="W296" i="1"/>
  <c r="W400" i="1"/>
  <c r="W110" i="1"/>
  <c r="W382" i="1"/>
  <c r="AA404" i="1"/>
  <c r="AA225" i="1"/>
  <c r="AA119" i="1"/>
  <c r="AA303" i="1"/>
  <c r="AA117" i="1"/>
  <c r="AA226" i="1"/>
  <c r="AA208" i="1"/>
  <c r="AA386" i="1"/>
  <c r="AA115" i="1"/>
  <c r="AA301" i="1"/>
  <c r="R115" i="1"/>
  <c r="R403" i="1"/>
  <c r="S301" i="1"/>
  <c r="S224" i="1"/>
  <c r="AB51" i="1"/>
  <c r="AC51" i="1" s="1"/>
  <c r="AG415" i="2"/>
  <c r="AH415" i="2" s="1"/>
  <c r="H423" i="1"/>
  <c r="H222" i="1"/>
  <c r="H401" i="1"/>
  <c r="W226" i="1"/>
  <c r="W208" i="1"/>
  <c r="W109" i="1"/>
  <c r="W295" i="1"/>
  <c r="P226" i="1"/>
  <c r="P405" i="1"/>
  <c r="Y401" i="1"/>
  <c r="Y222" i="1"/>
  <c r="Y112" i="1"/>
  <c r="Y298" i="1"/>
  <c r="R207" i="1"/>
  <c r="R304" i="1"/>
  <c r="R118" i="1"/>
  <c r="S300" i="1"/>
  <c r="S223" i="1"/>
  <c r="AB260" i="1"/>
  <c r="AC260" i="1" s="1"/>
  <c r="AB254" i="1"/>
  <c r="AC254" i="1" s="1"/>
  <c r="AB250" i="1"/>
  <c r="AC250" i="1" s="1"/>
  <c r="O246" i="1"/>
  <c r="O423" i="1"/>
  <c r="O365" i="1"/>
  <c r="P365" i="1"/>
  <c r="R35" i="1"/>
  <c r="R191" i="1" s="1"/>
  <c r="AB339" i="1"/>
  <c r="AC339" i="1" s="1"/>
  <c r="AB342" i="1"/>
  <c r="AC342" i="1" s="1"/>
  <c r="W365" i="1"/>
  <c r="R246" i="1"/>
  <c r="K141" i="1"/>
  <c r="I168" i="1"/>
  <c r="AB163" i="1"/>
  <c r="AC163" i="1" s="1"/>
  <c r="AB154" i="1"/>
  <c r="AC154" i="1" s="1"/>
  <c r="AB164" i="1"/>
  <c r="AC164" i="1" s="1"/>
  <c r="O168" i="1"/>
  <c r="AB151" i="1"/>
  <c r="AC151" i="1" s="1"/>
  <c r="AB157" i="1"/>
  <c r="AC157" i="1" s="1"/>
  <c r="AB166" i="1"/>
  <c r="AC166" i="1" s="1"/>
  <c r="R168" i="1"/>
  <c r="AB165" i="1"/>
  <c r="AC165" i="1" s="1"/>
  <c r="I115" i="1"/>
  <c r="I224" i="1"/>
  <c r="I403" i="1"/>
  <c r="I301" i="1"/>
  <c r="K299" i="1"/>
  <c r="K113" i="1"/>
  <c r="K262" i="1"/>
  <c r="K246" i="1"/>
  <c r="M297" i="1"/>
  <c r="M111" i="1"/>
  <c r="M54" i="1"/>
  <c r="AB255" i="1"/>
  <c r="AC255" i="1" s="1"/>
  <c r="M262" i="1"/>
  <c r="AB432" i="1"/>
  <c r="AC432" i="1" s="1"/>
  <c r="M438" i="1"/>
  <c r="AB258" i="1"/>
  <c r="AC258" i="1" s="1"/>
  <c r="AB428" i="1"/>
  <c r="AC428" i="1" s="1"/>
  <c r="I438" i="1"/>
  <c r="I423" i="1"/>
  <c r="AB420" i="1"/>
  <c r="AC420" i="1" s="1"/>
  <c r="I262" i="1"/>
  <c r="AB243" i="1"/>
  <c r="AC243" i="1" s="1"/>
  <c r="I246" i="1"/>
  <c r="AB29" i="1"/>
  <c r="AC29" i="1" s="1"/>
  <c r="I35" i="1"/>
  <c r="I184" i="1" s="1"/>
  <c r="I208" i="1"/>
  <c r="I117" i="1"/>
  <c r="I386" i="1"/>
  <c r="I226" i="1"/>
  <c r="AB49" i="1"/>
  <c r="AC49" i="1" s="1"/>
  <c r="I303" i="1"/>
  <c r="S111" i="1"/>
  <c r="S54" i="1"/>
  <c r="S227" i="1" s="1"/>
  <c r="S297" i="1"/>
  <c r="U301" i="1"/>
  <c r="U115" i="1"/>
  <c r="U403" i="1"/>
  <c r="U297" i="1"/>
  <c r="U111" i="1"/>
  <c r="U35" i="1"/>
  <c r="AB30" i="1"/>
  <c r="AC30" i="1" s="1"/>
  <c r="M117" i="1"/>
  <c r="M226" i="1"/>
  <c r="M303" i="1"/>
  <c r="M386" i="1"/>
  <c r="M405" i="1"/>
  <c r="M402" i="1"/>
  <c r="M384" i="1"/>
  <c r="M300" i="1"/>
  <c r="M114" i="1"/>
  <c r="M223" i="1"/>
  <c r="M206" i="1"/>
  <c r="M208" i="1"/>
  <c r="I405" i="1"/>
  <c r="Y386" i="1"/>
  <c r="Y405" i="1"/>
  <c r="Y226" i="1"/>
  <c r="Y117" i="1"/>
  <c r="Y400" i="1"/>
  <c r="Y204" i="1"/>
  <c r="Y110" i="1"/>
  <c r="Y382" i="1"/>
  <c r="Y203" i="1"/>
  <c r="Y35" i="1"/>
  <c r="Y191" i="1" s="1"/>
  <c r="R384" i="1"/>
  <c r="R223" i="1"/>
  <c r="R206" i="1"/>
  <c r="R300" i="1"/>
  <c r="R114" i="1"/>
  <c r="S305" i="1"/>
  <c r="S404" i="1"/>
  <c r="AB52" i="1"/>
  <c r="AC52" i="1" s="1"/>
  <c r="H384" i="1"/>
  <c r="H223" i="1"/>
  <c r="AB40" i="1"/>
  <c r="AC40" i="1" s="1"/>
  <c r="AB209" i="1"/>
  <c r="AC209" i="1" s="1"/>
  <c r="AB433" i="1"/>
  <c r="AC433" i="1" s="1"/>
  <c r="M246" i="1"/>
  <c r="I225" i="1"/>
  <c r="I404" i="1"/>
  <c r="K438" i="1"/>
  <c r="AA109" i="1"/>
  <c r="AA295" i="1"/>
  <c r="Y116" i="1"/>
  <c r="Y210" i="1"/>
  <c r="Y302" i="1"/>
  <c r="Y388" i="1"/>
  <c r="R405" i="1"/>
  <c r="R208" i="1"/>
  <c r="AB152" i="1"/>
  <c r="AC152" i="1" s="1"/>
  <c r="K365" i="1"/>
  <c r="AB435" i="1"/>
  <c r="AC435" i="1" s="1"/>
  <c r="AB430" i="1"/>
  <c r="AC430" i="1" s="1"/>
  <c r="AB259" i="1"/>
  <c r="AC259" i="1" s="1"/>
  <c r="AB31" i="1"/>
  <c r="AC31" i="1" s="1"/>
  <c r="AB434" i="1"/>
  <c r="AC434" i="1" s="1"/>
  <c r="AB244" i="1"/>
  <c r="AC244" i="1" s="1"/>
  <c r="K225" i="1"/>
  <c r="K119" i="1"/>
  <c r="K305" i="1"/>
  <c r="R365" i="1"/>
  <c r="W118" i="1"/>
  <c r="AB18" i="1"/>
  <c r="AC18" i="1" s="1"/>
  <c r="AB336" i="1"/>
  <c r="AC336" i="1" s="1"/>
  <c r="AB348" i="1"/>
  <c r="AC348" i="1" s="1"/>
  <c r="AB421" i="1"/>
  <c r="AC421" i="1" s="1"/>
  <c r="H246" i="1"/>
  <c r="W381" i="1"/>
  <c r="W204" i="1"/>
  <c r="AA300" i="1"/>
  <c r="AA114" i="1"/>
  <c r="R205" i="1"/>
  <c r="R222" i="1"/>
  <c r="R298" i="1"/>
  <c r="S114" i="1"/>
  <c r="S206" i="1"/>
  <c r="U210" i="1"/>
  <c r="U388" i="1"/>
  <c r="U383" i="1"/>
  <c r="U298" i="1"/>
  <c r="U112" i="1"/>
  <c r="M118" i="1"/>
  <c r="M304" i="1"/>
  <c r="O21" i="16"/>
  <c r="AB162" i="1"/>
  <c r="AC162" i="1" s="1"/>
  <c r="S168" i="1"/>
  <c r="AA423" i="1"/>
  <c r="I24" i="1"/>
  <c r="H354" i="1"/>
  <c r="U354" i="1"/>
  <c r="N21" i="16"/>
  <c r="P24" i="1"/>
  <c r="R354" i="1"/>
  <c r="F43" i="15"/>
  <c r="O438" i="1"/>
  <c r="I54" i="1"/>
  <c r="I109" i="1"/>
  <c r="AB429" i="1"/>
  <c r="AC429" i="1" s="1"/>
  <c r="P438" i="1"/>
  <c r="P423" i="1"/>
  <c r="AB417" i="1"/>
  <c r="AC417" i="1" s="1"/>
  <c r="R438" i="1"/>
  <c r="O35" i="1"/>
  <c r="AB27" i="1"/>
  <c r="AC27" i="1" s="1"/>
  <c r="W116" i="1"/>
  <c r="W388" i="1"/>
  <c r="T427" i="2"/>
  <c r="T426" i="2"/>
  <c r="K421" i="2"/>
  <c r="K664" i="2" s="1"/>
  <c r="N13" i="15"/>
  <c r="J461" i="2"/>
  <c r="J484" i="2"/>
  <c r="J485" i="2" s="1"/>
  <c r="I22" i="16"/>
  <c r="I21" i="16"/>
  <c r="L21" i="16"/>
  <c r="L22" i="16"/>
  <c r="I461" i="2"/>
  <c r="I484" i="2"/>
  <c r="E22" i="16"/>
  <c r="O95" i="15"/>
  <c r="F13" i="15" s="1"/>
  <c r="K436" i="2" s="1"/>
  <c r="F231" i="1"/>
  <c r="U468" i="2"/>
  <c r="U440" i="2"/>
  <c r="AB252" i="1"/>
  <c r="AC252" i="1" s="1"/>
  <c r="I112" i="1"/>
  <c r="I222" i="1"/>
  <c r="W35" i="1"/>
  <c r="AB153" i="1"/>
  <c r="AC153" i="1" s="1"/>
  <c r="W423" i="1"/>
  <c r="D9" i="9"/>
  <c r="F9" i="9" s="1"/>
  <c r="M11" i="15"/>
  <c r="I424" i="2"/>
  <c r="I663" i="2" s="1"/>
  <c r="D9" i="8"/>
  <c r="F9" i="8" s="1"/>
  <c r="AB150" i="1"/>
  <c r="AC150" i="1" s="1"/>
  <c r="H438" i="1"/>
  <c r="P246" i="1"/>
  <c r="S246" i="1"/>
  <c r="K295" i="1"/>
  <c r="K109" i="1"/>
  <c r="K423" i="1"/>
  <c r="U423" i="1"/>
  <c r="U180" i="1"/>
  <c r="D10" i="9"/>
  <c r="F10" i="9" s="1"/>
  <c r="D10" i="8"/>
  <c r="F10" i="8" s="1"/>
  <c r="J424" i="2"/>
  <c r="J663" i="2" s="1"/>
  <c r="H25" i="18" a="1"/>
  <c r="D33" i="18"/>
  <c r="W180" i="1"/>
  <c r="A47" i="15"/>
  <c r="D61" i="15"/>
  <c r="S384" i="1"/>
  <c r="D11" i="9"/>
  <c r="F11" i="9" s="1"/>
  <c r="D11" i="8"/>
  <c r="F11" i="8" s="1"/>
  <c r="Z485" i="2"/>
  <c r="A87" i="15"/>
  <c r="D160" i="18"/>
  <c r="H152" i="18" a="1"/>
  <c r="J344" i="2" l="1"/>
  <c r="I345" i="2"/>
  <c r="F344" i="2"/>
  <c r="H344" i="2"/>
  <c r="I347" i="2"/>
  <c r="AA344" i="2"/>
  <c r="W347" i="2"/>
  <c r="F425" i="2"/>
  <c r="F663" i="2"/>
  <c r="K454" i="2"/>
  <c r="K665" i="2"/>
  <c r="J347" i="2"/>
  <c r="G345" i="2"/>
  <c r="Q345" i="2"/>
  <c r="K345" i="2"/>
  <c r="X346" i="2"/>
  <c r="R347" i="2"/>
  <c r="L347" i="2"/>
  <c r="N347" i="2"/>
  <c r="S345" i="2"/>
  <c r="U346" i="2"/>
  <c r="Q346" i="2"/>
  <c r="Q347" i="2"/>
  <c r="T347" i="2"/>
  <c r="H345" i="2"/>
  <c r="P347" i="2"/>
  <c r="Y346" i="2"/>
  <c r="N346" i="2"/>
  <c r="F345" i="2"/>
  <c r="P345" i="2"/>
  <c r="M344" i="2"/>
  <c r="AC346" i="2"/>
  <c r="AD346" i="2"/>
  <c r="P313" i="2"/>
  <c r="AB346" i="2"/>
  <c r="G425" i="2"/>
  <c r="G426" i="2" s="1"/>
  <c r="G663" i="2"/>
  <c r="H454" i="2"/>
  <c r="H665" i="2"/>
  <c r="N345" i="2"/>
  <c r="U347" i="2"/>
  <c r="J345" i="2"/>
  <c r="F346" i="2"/>
  <c r="K425" i="2"/>
  <c r="K427" i="2" s="1"/>
  <c r="K663" i="2"/>
  <c r="Y347" i="2"/>
  <c r="K347" i="2"/>
  <c r="AC347" i="2"/>
  <c r="O347" i="2"/>
  <c r="Y313" i="2"/>
  <c r="AE313" i="2"/>
  <c r="U313" i="2"/>
  <c r="G313" i="2"/>
  <c r="G409" i="2" s="1"/>
  <c r="Z313" i="2"/>
  <c r="AB313" i="2"/>
  <c r="S103" i="15"/>
  <c r="J14" i="15" s="1"/>
  <c r="L433" i="2" s="1"/>
  <c r="F313" i="2"/>
  <c r="F409" i="2" s="1"/>
  <c r="AD313" i="2"/>
  <c r="W313" i="2"/>
  <c r="AF313" i="2"/>
  <c r="O313" i="2"/>
  <c r="Q313" i="2"/>
  <c r="S123" i="15"/>
  <c r="J16" i="15" s="1"/>
  <c r="N433" i="2" s="1"/>
  <c r="D21" i="16"/>
  <c r="D20" i="16"/>
  <c r="I56" i="18"/>
  <c r="O423" i="2"/>
  <c r="O401" i="2" s="1"/>
  <c r="O360" i="2" s="1"/>
  <c r="V313" i="2"/>
  <c r="R346" i="2"/>
  <c r="I313" i="2"/>
  <c r="Z346" i="2"/>
  <c r="X313" i="2"/>
  <c r="H313" i="2"/>
  <c r="AB345" i="2"/>
  <c r="AC345" i="2"/>
  <c r="Y344" i="2"/>
  <c r="AE344" i="2"/>
  <c r="AE345" i="2"/>
  <c r="M347" i="2"/>
  <c r="AB344" i="2"/>
  <c r="S344" i="2"/>
  <c r="G347" i="2"/>
  <c r="AD344" i="2"/>
  <c r="H346" i="2"/>
  <c r="M313" i="2"/>
  <c r="V346" i="2"/>
  <c r="AE346" i="2"/>
  <c r="AC313" i="2"/>
  <c r="P421" i="2"/>
  <c r="P494" i="2" s="1"/>
  <c r="P346" i="2"/>
  <c r="P344" i="2"/>
  <c r="Z347" i="2"/>
  <c r="V345" i="2"/>
  <c r="R344" i="2"/>
  <c r="AB347" i="2"/>
  <c r="G344" i="2"/>
  <c r="Y345" i="2"/>
  <c r="U344" i="2"/>
  <c r="AE347" i="2"/>
  <c r="AA345" i="2"/>
  <c r="L313" i="2"/>
  <c r="AF346" i="2"/>
  <c r="S313" i="2"/>
  <c r="AH420" i="2"/>
  <c r="S346" i="2"/>
  <c r="X344" i="2"/>
  <c r="T345" i="2"/>
  <c r="AD345" i="2"/>
  <c r="Z344" i="2"/>
  <c r="W344" i="2"/>
  <c r="K344" i="2"/>
  <c r="F347" i="2"/>
  <c r="AC344" i="2"/>
  <c r="L345" i="2"/>
  <c r="H347" i="2"/>
  <c r="J313" i="2"/>
  <c r="T346" i="2"/>
  <c r="K313" i="2"/>
  <c r="T313" i="2"/>
  <c r="M346" i="2"/>
  <c r="M345" i="2"/>
  <c r="I344" i="2"/>
  <c r="S347" i="2"/>
  <c r="O345" i="2"/>
  <c r="X345" i="2"/>
  <c r="L344" i="2"/>
  <c r="V347" i="2"/>
  <c r="R345" i="2"/>
  <c r="N344" i="2"/>
  <c r="X347" i="2"/>
  <c r="J346" i="2"/>
  <c r="N313" i="2"/>
  <c r="R313" i="2"/>
  <c r="AA313" i="2"/>
  <c r="O344" i="2"/>
  <c r="U345" i="2"/>
  <c r="Q344" i="2"/>
  <c r="AA347" i="2"/>
  <c r="W345" i="2"/>
  <c r="AF345" i="2"/>
  <c r="T344" i="2"/>
  <c r="AD347" i="2"/>
  <c r="Z345" i="2"/>
  <c r="V344" i="2"/>
  <c r="M430" i="2"/>
  <c r="M429" i="2"/>
  <c r="P436" i="2"/>
  <c r="P454" i="2" s="1"/>
  <c r="I421" i="2"/>
  <c r="Q436" i="2"/>
  <c r="Q454" i="2" s="1"/>
  <c r="O125" i="15"/>
  <c r="F16" i="15" s="1"/>
  <c r="N436" i="2" s="1"/>
  <c r="O115" i="15"/>
  <c r="F15" i="15" s="1"/>
  <c r="M436" i="2" s="1"/>
  <c r="P45" i="15"/>
  <c r="G8" i="15" s="1"/>
  <c r="T436" i="2"/>
  <c r="T454" i="2" s="1"/>
  <c r="N430" i="2"/>
  <c r="N429" i="2"/>
  <c r="N416" i="2" s="1"/>
  <c r="S93" i="15"/>
  <c r="J13" i="15" s="1"/>
  <c r="K433" i="2" s="1"/>
  <c r="S436" i="2"/>
  <c r="S454" i="2" s="1"/>
  <c r="U436" i="2"/>
  <c r="U454" i="2" s="1"/>
  <c r="R436" i="2"/>
  <c r="R454" i="2" s="1"/>
  <c r="R484" i="2" s="1"/>
  <c r="R485" i="2" s="1"/>
  <c r="P125" i="15"/>
  <c r="G16" i="15" s="1"/>
  <c r="P115" i="15"/>
  <c r="G15" i="15" s="1"/>
  <c r="S113" i="15"/>
  <c r="J15" i="15" s="1"/>
  <c r="M433" i="2" s="1"/>
  <c r="O45" i="15"/>
  <c r="F8" i="15" s="1"/>
  <c r="F436" i="2" s="1"/>
  <c r="M25" i="15"/>
  <c r="C26" i="15"/>
  <c r="M26" i="15" s="1"/>
  <c r="O436" i="2"/>
  <c r="O454" i="2" s="1"/>
  <c r="D123" i="15"/>
  <c r="O123" i="15" s="1"/>
  <c r="R123" i="15" s="1"/>
  <c r="I16" i="15" s="1"/>
  <c r="N434" i="2" s="1"/>
  <c r="N487" i="2" s="1"/>
  <c r="O121" i="15"/>
  <c r="Q121" i="15"/>
  <c r="H16" i="15" s="1"/>
  <c r="N435" i="2" s="1"/>
  <c r="D113" i="15"/>
  <c r="O113" i="15" s="1"/>
  <c r="R113" i="15" s="1"/>
  <c r="I15" i="15" s="1"/>
  <c r="M434" i="2" s="1"/>
  <c r="Q111" i="15"/>
  <c r="H15" i="15" s="1"/>
  <c r="M435" i="2" s="1"/>
  <c r="O111" i="15"/>
  <c r="D103" i="15"/>
  <c r="O103" i="15" s="1"/>
  <c r="R103" i="15" s="1"/>
  <c r="I14" i="15" s="1"/>
  <c r="L434" i="2" s="1"/>
  <c r="L440" i="2" s="1"/>
  <c r="Q101" i="15"/>
  <c r="H14" i="15" s="1"/>
  <c r="L435" i="2" s="1"/>
  <c r="O101" i="15"/>
  <c r="D83" i="15"/>
  <c r="Q81" i="15"/>
  <c r="H12" i="15" s="1"/>
  <c r="J435" i="2" s="1"/>
  <c r="O81" i="15"/>
  <c r="G421" i="2"/>
  <c r="L436" i="2"/>
  <c r="D22" i="16"/>
  <c r="R440" i="2"/>
  <c r="R447" i="2" s="1"/>
  <c r="R468" i="2" s="1"/>
  <c r="R475" i="2" s="1"/>
  <c r="P19" i="16"/>
  <c r="P20" i="16" s="1"/>
  <c r="F358" i="2"/>
  <c r="F341" i="2"/>
  <c r="AE416" i="2"/>
  <c r="AE412" i="2"/>
  <c r="Z416" i="2"/>
  <c r="Z412" i="2"/>
  <c r="N15" i="15"/>
  <c r="M421" i="2"/>
  <c r="M664" i="2" s="1"/>
  <c r="O53" i="15"/>
  <c r="R53" i="15" s="1"/>
  <c r="I9" i="15" s="1"/>
  <c r="G434" i="2" s="1"/>
  <c r="G440" i="2" s="1"/>
  <c r="Q51" i="15"/>
  <c r="H9" i="15" s="1"/>
  <c r="G435" i="2" s="1"/>
  <c r="M427" i="2"/>
  <c r="R427" i="2"/>
  <c r="U421" i="2"/>
  <c r="U494" i="2" s="1"/>
  <c r="S53" i="15"/>
  <c r="J9" i="15" s="1"/>
  <c r="G433" i="2" s="1"/>
  <c r="Q440" i="2"/>
  <c r="Q447" i="2" s="1"/>
  <c r="Q487" i="2"/>
  <c r="L421" i="2"/>
  <c r="T163" i="15"/>
  <c r="K20" i="15" s="1"/>
  <c r="R432" i="2" s="1"/>
  <c r="T133" i="15"/>
  <c r="K17" i="15" s="1"/>
  <c r="O432" i="2" s="1"/>
  <c r="Q91" i="15"/>
  <c r="H13" i="15" s="1"/>
  <c r="K435" i="2" s="1"/>
  <c r="I17" i="15"/>
  <c r="O434" i="2" s="1"/>
  <c r="O487" i="2" s="1"/>
  <c r="S421" i="2"/>
  <c r="T421" i="2"/>
  <c r="N22" i="15"/>
  <c r="T193" i="15"/>
  <c r="K23" i="15" s="1"/>
  <c r="U432" i="2" s="1"/>
  <c r="T153" i="15"/>
  <c r="K19" i="15" s="1"/>
  <c r="Q432" i="2" s="1"/>
  <c r="T183" i="15"/>
  <c r="K22" i="15" s="1"/>
  <c r="T432" i="2" s="1"/>
  <c r="S43" i="15"/>
  <c r="J8" i="15" s="1"/>
  <c r="F433" i="2" s="1"/>
  <c r="O51" i="15"/>
  <c r="O416" i="2"/>
  <c r="O412" i="2"/>
  <c r="K426" i="2"/>
  <c r="H425" i="2"/>
  <c r="G412" i="2"/>
  <c r="G416" i="2"/>
  <c r="E425" i="2"/>
  <c r="O91" i="15"/>
  <c r="J494" i="2"/>
  <c r="J423" i="2"/>
  <c r="J401" i="2" s="1"/>
  <c r="J360" i="2" s="1"/>
  <c r="H494" i="2"/>
  <c r="H423" i="2"/>
  <c r="H401" i="2" s="1"/>
  <c r="H360" i="2" s="1"/>
  <c r="O41" i="15"/>
  <c r="Q41" i="15"/>
  <c r="H8" i="15" s="1"/>
  <c r="F435" i="2" s="1"/>
  <c r="F414" i="1"/>
  <c r="F461" i="1" s="1"/>
  <c r="F463" i="1" s="1"/>
  <c r="T143" i="15"/>
  <c r="K18" i="15" s="1"/>
  <c r="P432" i="2" s="1"/>
  <c r="I18" i="15"/>
  <c r="P434" i="2" s="1"/>
  <c r="S487" i="2"/>
  <c r="R421" i="2"/>
  <c r="N20" i="15"/>
  <c r="N421" i="2"/>
  <c r="N664" i="2" s="1"/>
  <c r="N16" i="15"/>
  <c r="Q421" i="2"/>
  <c r="N19" i="15"/>
  <c r="E424" i="2"/>
  <c r="L425" i="2"/>
  <c r="D25" i="15"/>
  <c r="D29" i="15" s="1"/>
  <c r="D30" i="15" s="1"/>
  <c r="Q427" i="2"/>
  <c r="Q426" i="2"/>
  <c r="Q430" i="2" s="1"/>
  <c r="P429" i="2"/>
  <c r="P416" i="2" s="1"/>
  <c r="P412" i="2"/>
  <c r="H57" i="18"/>
  <c r="D57" i="18" s="1"/>
  <c r="I55" i="18"/>
  <c r="D56" i="18" s="1"/>
  <c r="D62" i="18" s="1"/>
  <c r="D65" i="18" s="1"/>
  <c r="D67" i="18" s="1"/>
  <c r="D68" i="18" s="1"/>
  <c r="D69" i="18" s="1"/>
  <c r="D171" i="18" s="1"/>
  <c r="O470" i="1" s="1"/>
  <c r="H55" i="18"/>
  <c r="D55" i="18" s="1"/>
  <c r="I57" i="18"/>
  <c r="F98" i="1"/>
  <c r="F101" i="1" s="1"/>
  <c r="F126" i="1" s="1"/>
  <c r="H197" i="1"/>
  <c r="O335" i="1"/>
  <c r="O345" i="1" s="1"/>
  <c r="O356" i="1" s="1"/>
  <c r="O85" i="1"/>
  <c r="O80" i="1"/>
  <c r="O293" i="1"/>
  <c r="O106" i="1"/>
  <c r="F93" i="1"/>
  <c r="U293" i="1"/>
  <c r="U106" i="1"/>
  <c r="U85" i="1"/>
  <c r="U335" i="1"/>
  <c r="U345" i="1" s="1"/>
  <c r="U356" i="1" s="1"/>
  <c r="U80" i="1"/>
  <c r="R335" i="1"/>
  <c r="R345" i="1" s="1"/>
  <c r="R356" i="1" s="1"/>
  <c r="W80" i="1"/>
  <c r="K22" i="16"/>
  <c r="J21" i="16"/>
  <c r="AA85" i="1"/>
  <c r="R80" i="1"/>
  <c r="W149" i="1"/>
  <c r="W159" i="1" s="1"/>
  <c r="R85" i="1"/>
  <c r="AA293" i="1"/>
  <c r="R293" i="1"/>
  <c r="AA335" i="1"/>
  <c r="AA345" i="1" s="1"/>
  <c r="AA356" i="1" s="1"/>
  <c r="R149" i="1"/>
  <c r="R159" i="1" s="1"/>
  <c r="R170" i="1" s="1"/>
  <c r="Y335" i="1"/>
  <c r="Y345" i="1" s="1"/>
  <c r="Y356" i="1" s="1"/>
  <c r="J22" i="16"/>
  <c r="Y149" i="1"/>
  <c r="Y159" i="1" s="1"/>
  <c r="Y170" i="1" s="1"/>
  <c r="Y85" i="1"/>
  <c r="Y106" i="1"/>
  <c r="Y293" i="1"/>
  <c r="F22" i="16"/>
  <c r="S149" i="1"/>
  <c r="S159" i="1" s="1"/>
  <c r="S170" i="1" s="1"/>
  <c r="M293" i="1"/>
  <c r="S187" i="1"/>
  <c r="W106" i="1"/>
  <c r="AA80" i="1"/>
  <c r="W335" i="1"/>
  <c r="W345" i="1" s="1"/>
  <c r="AA106" i="1"/>
  <c r="U170" i="1"/>
  <c r="W293" i="1"/>
  <c r="M80" i="1"/>
  <c r="S106" i="1"/>
  <c r="S335" i="1"/>
  <c r="S345" i="1" s="1"/>
  <c r="S356" i="1" s="1"/>
  <c r="M85" i="1"/>
  <c r="S80" i="1"/>
  <c r="M106" i="1"/>
  <c r="M335" i="1"/>
  <c r="M345" i="1" s="1"/>
  <c r="M356" i="1" s="1"/>
  <c r="S85" i="1"/>
  <c r="S192" i="1"/>
  <c r="H188" i="1"/>
  <c r="K85" i="1"/>
  <c r="K149" i="1"/>
  <c r="K159" i="1" s="1"/>
  <c r="K170" i="1" s="1"/>
  <c r="K335" i="1"/>
  <c r="K345" i="1" s="1"/>
  <c r="K356" i="1" s="1"/>
  <c r="K106" i="1"/>
  <c r="K80" i="1"/>
  <c r="K293" i="1"/>
  <c r="S368" i="1"/>
  <c r="K408" i="1"/>
  <c r="M21" i="16"/>
  <c r="S370" i="1"/>
  <c r="H194" i="1"/>
  <c r="S184" i="1"/>
  <c r="H196" i="1"/>
  <c r="H85" i="1"/>
  <c r="R380" i="1"/>
  <c r="R220" i="1"/>
  <c r="Y390" i="1"/>
  <c r="M193" i="1"/>
  <c r="M188" i="1"/>
  <c r="M191" i="1"/>
  <c r="R137" i="1"/>
  <c r="S185" i="1"/>
  <c r="S190" i="1"/>
  <c r="S188" i="1"/>
  <c r="S374" i="1"/>
  <c r="H190" i="1"/>
  <c r="H189" i="1"/>
  <c r="H370" i="1"/>
  <c r="I369" i="1"/>
  <c r="S306" i="1"/>
  <c r="M196" i="1"/>
  <c r="S186" i="1"/>
  <c r="S194" i="1"/>
  <c r="K188" i="1"/>
  <c r="S193" i="1"/>
  <c r="S372" i="1"/>
  <c r="S189" i="1"/>
  <c r="S371" i="1"/>
  <c r="H185" i="1"/>
  <c r="H374" i="1"/>
  <c r="H373" i="1"/>
  <c r="H375" i="1"/>
  <c r="H195" i="1"/>
  <c r="H186" i="1"/>
  <c r="H191" i="1"/>
  <c r="H193" i="1"/>
  <c r="S294" i="1"/>
  <c r="S56" i="1"/>
  <c r="S9" i="1" s="1"/>
  <c r="S369" i="1"/>
  <c r="S373" i="1"/>
  <c r="S86" i="1"/>
  <c r="H187" i="1"/>
  <c r="H183" i="1"/>
  <c r="H184" i="1"/>
  <c r="H371" i="1"/>
  <c r="S195" i="1"/>
  <c r="S105" i="1"/>
  <c r="M192" i="1"/>
  <c r="Y227" i="1"/>
  <c r="S107" i="1"/>
  <c r="S197" i="1"/>
  <c r="S183" i="1"/>
  <c r="S196" i="1"/>
  <c r="U105" i="1"/>
  <c r="H368" i="1"/>
  <c r="H294" i="1"/>
  <c r="H107" i="1"/>
  <c r="H192" i="1"/>
  <c r="M187" i="1"/>
  <c r="H86" i="1"/>
  <c r="S191" i="1"/>
  <c r="H372" i="1"/>
  <c r="U227" i="1"/>
  <c r="AA373" i="1"/>
  <c r="H220" i="1"/>
  <c r="R368" i="1"/>
  <c r="AA108" i="1"/>
  <c r="AB168" i="1"/>
  <c r="AC168" i="1" s="1"/>
  <c r="U211" i="1"/>
  <c r="W202" i="1"/>
  <c r="W406" i="1"/>
  <c r="W227" i="1"/>
  <c r="P86" i="1"/>
  <c r="R372" i="1"/>
  <c r="S406" i="1"/>
  <c r="M170" i="1"/>
  <c r="U406" i="1"/>
  <c r="P369" i="1"/>
  <c r="R373" i="1"/>
  <c r="R188" i="1"/>
  <c r="P191" i="1"/>
  <c r="AA107" i="1"/>
  <c r="R374" i="1"/>
  <c r="S220" i="1"/>
  <c r="S229" i="1" s="1"/>
  <c r="AA183" i="1"/>
  <c r="U220" i="1"/>
  <c r="W389" i="1"/>
  <c r="W105" i="1"/>
  <c r="W390" i="1"/>
  <c r="K229" i="1"/>
  <c r="P187" i="1"/>
  <c r="K371" i="1"/>
  <c r="W380" i="1"/>
  <c r="P190" i="1"/>
  <c r="P185" i="1"/>
  <c r="R371" i="1"/>
  <c r="R375" i="1"/>
  <c r="R190" i="1"/>
  <c r="P107" i="1"/>
  <c r="U138" i="1"/>
  <c r="U137" i="1"/>
  <c r="U136" i="1"/>
  <c r="W108" i="1"/>
  <c r="O170" i="1"/>
  <c r="K215" i="1"/>
  <c r="AB304" i="1"/>
  <c r="AC304" i="1" s="1"/>
  <c r="P183" i="1"/>
  <c r="W211" i="1"/>
  <c r="P186" i="1"/>
  <c r="P371" i="1"/>
  <c r="W399" i="1"/>
  <c r="P195" i="1"/>
  <c r="R197" i="1"/>
  <c r="R187" i="1"/>
  <c r="R194" i="1"/>
  <c r="P196" i="1"/>
  <c r="AA190" i="1"/>
  <c r="U380" i="1"/>
  <c r="U389" i="1"/>
  <c r="P374" i="1"/>
  <c r="P373" i="1"/>
  <c r="AA306" i="1"/>
  <c r="R211" i="1"/>
  <c r="R56" i="1"/>
  <c r="R71" i="1" s="1"/>
  <c r="Y56" i="1"/>
  <c r="Y71" i="1" s="1"/>
  <c r="P188" i="1"/>
  <c r="P184" i="1"/>
  <c r="R390" i="1"/>
  <c r="M373" i="1"/>
  <c r="M86" i="1"/>
  <c r="H227" i="1"/>
  <c r="H406" i="1"/>
  <c r="H408" i="1" s="1"/>
  <c r="AA192" i="1"/>
  <c r="AA375" i="1"/>
  <c r="H149" i="1"/>
  <c r="H159" i="1" s="1"/>
  <c r="H170" i="1" s="1"/>
  <c r="AB262" i="1"/>
  <c r="AC262" i="1" s="1"/>
  <c r="Y310" i="1"/>
  <c r="P194" i="1"/>
  <c r="W137" i="1"/>
  <c r="M369" i="1"/>
  <c r="W87" i="1"/>
  <c r="W306" i="1"/>
  <c r="W213" i="1"/>
  <c r="M371" i="1"/>
  <c r="M195" i="1"/>
  <c r="P197" i="1"/>
  <c r="M197" i="1"/>
  <c r="M368" i="1"/>
  <c r="M294" i="1"/>
  <c r="H56" i="1"/>
  <c r="H58" i="1" s="1"/>
  <c r="AB296" i="1"/>
  <c r="AC296" i="1" s="1"/>
  <c r="M186" i="1"/>
  <c r="M372" i="1"/>
  <c r="M190" i="1"/>
  <c r="AB385" i="1"/>
  <c r="AC385" i="1" s="1"/>
  <c r="AB225" i="1"/>
  <c r="AC225" i="1" s="1"/>
  <c r="AA170" i="1"/>
  <c r="W220" i="1"/>
  <c r="W139" i="1"/>
  <c r="AA369" i="1"/>
  <c r="F21" i="16"/>
  <c r="W89" i="1"/>
  <c r="W78" i="1"/>
  <c r="P192" i="1"/>
  <c r="P370" i="1"/>
  <c r="R78" i="1"/>
  <c r="AA310" i="1"/>
  <c r="AB110" i="1"/>
  <c r="AC110" i="1" s="1"/>
  <c r="P368" i="1"/>
  <c r="P372" i="1"/>
  <c r="R406" i="1"/>
  <c r="M375" i="1"/>
  <c r="M189" i="1"/>
  <c r="M185" i="1"/>
  <c r="AA86" i="1"/>
  <c r="M56" i="1"/>
  <c r="M71" i="1" s="1"/>
  <c r="M374" i="1"/>
  <c r="P375" i="1"/>
  <c r="W136" i="1"/>
  <c r="M370" i="1"/>
  <c r="M107" i="1"/>
  <c r="W138" i="1"/>
  <c r="M194" i="1"/>
  <c r="M184" i="1"/>
  <c r="P189" i="1"/>
  <c r="P193" i="1"/>
  <c r="AB423" i="1"/>
  <c r="AC423" i="1" s="1"/>
  <c r="I190" i="1"/>
  <c r="AA390" i="1"/>
  <c r="AA139" i="1"/>
  <c r="S139" i="1"/>
  <c r="S78" i="1"/>
  <c r="S213" i="1"/>
  <c r="AB381" i="1"/>
  <c r="AC381" i="1" s="1"/>
  <c r="AB305" i="1"/>
  <c r="AC305" i="1" s="1"/>
  <c r="AB404" i="1"/>
  <c r="AC404" i="1" s="1"/>
  <c r="K294" i="1"/>
  <c r="K368" i="1"/>
  <c r="AA196" i="1"/>
  <c r="AA197" i="1"/>
  <c r="AA374" i="1"/>
  <c r="AA368" i="1"/>
  <c r="AA370" i="1"/>
  <c r="AA189" i="1"/>
  <c r="AA294" i="1"/>
  <c r="K107" i="1"/>
  <c r="AA193" i="1"/>
  <c r="E441" i="2"/>
  <c r="E448" i="2" s="1"/>
  <c r="R136" i="1"/>
  <c r="R202" i="1"/>
  <c r="AA211" i="1"/>
  <c r="AA105" i="1"/>
  <c r="R186" i="1"/>
  <c r="R294" i="1"/>
  <c r="R189" i="1"/>
  <c r="R184" i="1"/>
  <c r="R183" i="1"/>
  <c r="R107" i="1"/>
  <c r="Y184" i="1"/>
  <c r="S138" i="1"/>
  <c r="S211" i="1"/>
  <c r="S310" i="1"/>
  <c r="S108" i="1"/>
  <c r="AB119" i="1"/>
  <c r="AC119" i="1" s="1"/>
  <c r="R105" i="1"/>
  <c r="AA185" i="1"/>
  <c r="AA191" i="1"/>
  <c r="AA187" i="1"/>
  <c r="AA186" i="1"/>
  <c r="AB303" i="1"/>
  <c r="AC303" i="1" s="1"/>
  <c r="AB117" i="1"/>
  <c r="AC117" i="1" s="1"/>
  <c r="K195" i="1"/>
  <c r="K185" i="1"/>
  <c r="U108" i="1"/>
  <c r="U202" i="1"/>
  <c r="U306" i="1"/>
  <c r="U139" i="1"/>
  <c r="U89" i="1"/>
  <c r="U213" i="1"/>
  <c r="AA188" i="1"/>
  <c r="K197" i="1"/>
  <c r="AA380" i="1"/>
  <c r="S202" i="1"/>
  <c r="S389" i="1"/>
  <c r="K372" i="1"/>
  <c r="K193" i="1"/>
  <c r="K187" i="1"/>
  <c r="R306" i="1"/>
  <c r="AA136" i="1"/>
  <c r="AA220" i="1"/>
  <c r="R370" i="1"/>
  <c r="R86" i="1"/>
  <c r="R369" i="1"/>
  <c r="R193" i="1"/>
  <c r="R195" i="1"/>
  <c r="Y375" i="1"/>
  <c r="S390" i="1"/>
  <c r="S89" i="1"/>
  <c r="S380" i="1"/>
  <c r="R139" i="1"/>
  <c r="AA194" i="1"/>
  <c r="AA372" i="1"/>
  <c r="AA56" i="1"/>
  <c r="AA71" i="1" s="1"/>
  <c r="AA184" i="1"/>
  <c r="K374" i="1"/>
  <c r="U87" i="1"/>
  <c r="U390" i="1"/>
  <c r="U78" i="1"/>
  <c r="U399" i="1"/>
  <c r="AA371" i="1"/>
  <c r="AB382" i="1"/>
  <c r="AC382" i="1" s="1"/>
  <c r="AB221" i="1"/>
  <c r="AC221" i="1" s="1"/>
  <c r="Y78" i="1"/>
  <c r="Y211" i="1"/>
  <c r="Y139" i="1"/>
  <c r="AB207" i="1"/>
  <c r="AC207" i="1" s="1"/>
  <c r="H293" i="1"/>
  <c r="Y202" i="1"/>
  <c r="Y87" i="1"/>
  <c r="K192" i="1"/>
  <c r="K196" i="1"/>
  <c r="K86" i="1"/>
  <c r="K191" i="1"/>
  <c r="K369" i="1"/>
  <c r="AA137" i="1"/>
  <c r="AA78" i="1"/>
  <c r="AA138" i="1"/>
  <c r="AA202" i="1"/>
  <c r="AA213" i="1"/>
  <c r="Y194" i="1"/>
  <c r="AB118" i="1"/>
  <c r="AC118" i="1" s="1"/>
  <c r="AB302" i="1"/>
  <c r="AC302" i="1" s="1"/>
  <c r="AB203" i="1"/>
  <c r="AC203" i="1" s="1"/>
  <c r="AB400" i="1"/>
  <c r="AC400" i="1" s="1"/>
  <c r="Y89" i="1"/>
  <c r="H335" i="1"/>
  <c r="H345" i="1" s="1"/>
  <c r="H356" i="1" s="1"/>
  <c r="Y105" i="1"/>
  <c r="K184" i="1"/>
  <c r="K186" i="1"/>
  <c r="K194" i="1"/>
  <c r="Y399" i="1"/>
  <c r="Y213" i="1"/>
  <c r="Y136" i="1"/>
  <c r="Y406" i="1"/>
  <c r="R192" i="1"/>
  <c r="R196" i="1"/>
  <c r="R185" i="1"/>
  <c r="K392" i="1"/>
  <c r="R87" i="1"/>
  <c r="R399" i="1"/>
  <c r="R138" i="1"/>
  <c r="R108" i="1"/>
  <c r="R213" i="1"/>
  <c r="R389" i="1"/>
  <c r="R227" i="1"/>
  <c r="R310" i="1"/>
  <c r="AB24" i="1"/>
  <c r="AC24" i="1" s="1"/>
  <c r="Y306" i="1"/>
  <c r="K190" i="1"/>
  <c r="K189" i="1"/>
  <c r="AA89" i="1"/>
  <c r="AA227" i="1"/>
  <c r="AA87" i="1"/>
  <c r="AA389" i="1"/>
  <c r="AA406" i="1"/>
  <c r="AA408" i="1" s="1"/>
  <c r="AB210" i="1"/>
  <c r="AC210" i="1" s="1"/>
  <c r="AB204" i="1"/>
  <c r="AC204" i="1" s="1"/>
  <c r="AB208" i="1"/>
  <c r="AC208" i="1" s="1"/>
  <c r="Y108" i="1"/>
  <c r="H106" i="1"/>
  <c r="Y220" i="1"/>
  <c r="AB386" i="1"/>
  <c r="AC386" i="1" s="1"/>
  <c r="K375" i="1"/>
  <c r="K56" i="1"/>
  <c r="K73" i="1" s="1"/>
  <c r="K373" i="1"/>
  <c r="K183" i="1"/>
  <c r="Y138" i="1"/>
  <c r="Y389" i="1"/>
  <c r="Y380" i="1"/>
  <c r="H306" i="1"/>
  <c r="H389" i="1"/>
  <c r="H136" i="1"/>
  <c r="H211" i="1"/>
  <c r="H310" i="1"/>
  <c r="H139" i="1"/>
  <c r="H390" i="1"/>
  <c r="H380" i="1"/>
  <c r="H137" i="1"/>
  <c r="H105" i="1"/>
  <c r="H89" i="1"/>
  <c r="H213" i="1"/>
  <c r="H78" i="1"/>
  <c r="H108" i="1"/>
  <c r="H202" i="1"/>
  <c r="H138" i="1"/>
  <c r="H87" i="1"/>
  <c r="H21" i="16"/>
  <c r="Y197" i="1"/>
  <c r="Y189" i="1"/>
  <c r="Y107" i="1"/>
  <c r="Y188" i="1"/>
  <c r="Y190" i="1"/>
  <c r="Y372" i="1"/>
  <c r="Y187" i="1"/>
  <c r="Y193" i="1"/>
  <c r="Y373" i="1"/>
  <c r="Y192" i="1"/>
  <c r="Y370" i="1"/>
  <c r="Y185" i="1"/>
  <c r="AB388" i="1"/>
  <c r="AC388" i="1" s="1"/>
  <c r="Y294" i="1"/>
  <c r="Y186" i="1"/>
  <c r="Y369" i="1"/>
  <c r="Y183" i="1"/>
  <c r="Y374" i="1"/>
  <c r="P85" i="1"/>
  <c r="P335" i="1"/>
  <c r="P345" i="1" s="1"/>
  <c r="P356" i="1" s="1"/>
  <c r="P293" i="1"/>
  <c r="P80" i="1"/>
  <c r="P149" i="1"/>
  <c r="P159" i="1" s="1"/>
  <c r="P170" i="1" s="1"/>
  <c r="P106" i="1"/>
  <c r="AB354" i="1"/>
  <c r="AC354" i="1" s="1"/>
  <c r="AB405" i="1"/>
  <c r="AC405" i="1" s="1"/>
  <c r="M213" i="1"/>
  <c r="M406" i="1"/>
  <c r="M310" i="1"/>
  <c r="M389" i="1"/>
  <c r="M137" i="1"/>
  <c r="M399" i="1"/>
  <c r="M108" i="1"/>
  <c r="M306" i="1"/>
  <c r="M139" i="1"/>
  <c r="M211" i="1"/>
  <c r="M227" i="1"/>
  <c r="M380" i="1"/>
  <c r="M220" i="1"/>
  <c r="M390" i="1"/>
  <c r="M202" i="1"/>
  <c r="M78" i="1"/>
  <c r="M87" i="1"/>
  <c r="M89" i="1"/>
  <c r="M136" i="1"/>
  <c r="M105" i="1"/>
  <c r="M138" i="1"/>
  <c r="N22" i="16"/>
  <c r="G21" i="16"/>
  <c r="U372" i="1"/>
  <c r="U187" i="1"/>
  <c r="U368" i="1"/>
  <c r="U374" i="1"/>
  <c r="U197" i="1"/>
  <c r="U191" i="1"/>
  <c r="U193" i="1"/>
  <c r="U194" i="1"/>
  <c r="U373" i="1"/>
  <c r="U196" i="1"/>
  <c r="U188" i="1"/>
  <c r="U56" i="1"/>
  <c r="U86" i="1"/>
  <c r="U375" i="1"/>
  <c r="U183" i="1"/>
  <c r="U190" i="1"/>
  <c r="U195" i="1"/>
  <c r="U184" i="1"/>
  <c r="U371" i="1"/>
  <c r="U189" i="1"/>
  <c r="U369" i="1"/>
  <c r="U192" i="1"/>
  <c r="U107" i="1"/>
  <c r="U370" i="1"/>
  <c r="U186" i="1"/>
  <c r="U294" i="1"/>
  <c r="U185" i="1"/>
  <c r="O22" i="16"/>
  <c r="AB116" i="1"/>
  <c r="AC116" i="1" s="1"/>
  <c r="Y195" i="1"/>
  <c r="Y196" i="1"/>
  <c r="Y368" i="1"/>
  <c r="Y86" i="1"/>
  <c r="Y371" i="1"/>
  <c r="I293" i="1"/>
  <c r="I335" i="1"/>
  <c r="I345" i="1" s="1"/>
  <c r="I356" i="1" s="1"/>
  <c r="I106" i="1"/>
  <c r="I85" i="1"/>
  <c r="I149" i="1"/>
  <c r="I159" i="1" s="1"/>
  <c r="I170" i="1" s="1"/>
  <c r="I80" i="1"/>
  <c r="G22" i="16"/>
  <c r="H22" i="16"/>
  <c r="S136" i="1"/>
  <c r="S87" i="1"/>
  <c r="S399" i="1"/>
  <c r="S137" i="1"/>
  <c r="AB226" i="1"/>
  <c r="AC226" i="1" s="1"/>
  <c r="I187" i="1"/>
  <c r="I368" i="1"/>
  <c r="I188" i="1"/>
  <c r="I186" i="1"/>
  <c r="I191" i="1"/>
  <c r="I375" i="1"/>
  <c r="I194" i="1"/>
  <c r="I86" i="1"/>
  <c r="I183" i="1"/>
  <c r="I197" i="1"/>
  <c r="I189" i="1"/>
  <c r="I372" i="1"/>
  <c r="I196" i="1"/>
  <c r="I192" i="1"/>
  <c r="I195" i="1"/>
  <c r="I374" i="1"/>
  <c r="I294" i="1"/>
  <c r="I107" i="1"/>
  <c r="I185" i="1"/>
  <c r="I371" i="1"/>
  <c r="I370" i="1"/>
  <c r="I193" i="1"/>
  <c r="I373" i="1"/>
  <c r="H153" i="18"/>
  <c r="I154" i="18"/>
  <c r="H154" i="18"/>
  <c r="D154" i="18" s="1"/>
  <c r="I153" i="18"/>
  <c r="H152" i="18"/>
  <c r="D152" i="18" s="1"/>
  <c r="I152" i="18"/>
  <c r="D153" i="18" s="1"/>
  <c r="D159" i="18" s="1"/>
  <c r="D162" i="18" s="1"/>
  <c r="D164" i="18" s="1"/>
  <c r="D165" i="18" s="1"/>
  <c r="I425" i="2"/>
  <c r="AG424" i="2"/>
  <c r="F233" i="1"/>
  <c r="F264" i="1" s="1"/>
  <c r="F237" i="1"/>
  <c r="F285" i="1" s="1"/>
  <c r="F129" i="1" s="1"/>
  <c r="S447" i="2"/>
  <c r="AB109" i="1"/>
  <c r="AC109" i="1" s="1"/>
  <c r="D32" i="9"/>
  <c r="O43" i="15"/>
  <c r="R43" i="15" s="1"/>
  <c r="H25" i="18"/>
  <c r="D25" i="18" s="1"/>
  <c r="I27" i="18"/>
  <c r="I26" i="18"/>
  <c r="H27" i="18"/>
  <c r="D27" i="18" s="1"/>
  <c r="H26" i="18"/>
  <c r="I25" i="18"/>
  <c r="D26" i="18" s="1"/>
  <c r="D32" i="18" s="1"/>
  <c r="D35" i="18" s="1"/>
  <c r="D37" i="18" s="1"/>
  <c r="D38" i="18" s="1"/>
  <c r="D63" i="15"/>
  <c r="O61" i="15"/>
  <c r="Q61" i="15"/>
  <c r="H10" i="15" s="1"/>
  <c r="H435" i="2" s="1"/>
  <c r="O93" i="15"/>
  <c r="R93" i="15" s="1"/>
  <c r="C202" i="15"/>
  <c r="M416" i="2"/>
  <c r="I485" i="2"/>
  <c r="K423" i="2"/>
  <c r="K401" i="2" s="1"/>
  <c r="K360" i="2" s="1"/>
  <c r="I105" i="1"/>
  <c r="I213" i="1"/>
  <c r="I220" i="1"/>
  <c r="I306" i="1"/>
  <c r="I108" i="1"/>
  <c r="I139" i="1"/>
  <c r="I390" i="1"/>
  <c r="I138" i="1"/>
  <c r="I78" i="1"/>
  <c r="I89" i="1"/>
  <c r="I211" i="1"/>
  <c r="I399" i="1"/>
  <c r="I202" i="1"/>
  <c r="I87" i="1"/>
  <c r="I227" i="1"/>
  <c r="I137" i="1"/>
  <c r="I406" i="1"/>
  <c r="I56" i="1"/>
  <c r="I136" i="1"/>
  <c r="I389" i="1"/>
  <c r="I380" i="1"/>
  <c r="I310" i="1"/>
  <c r="S73" i="15"/>
  <c r="J11" i="15" s="1"/>
  <c r="AB438" i="1"/>
  <c r="AC438" i="1" s="1"/>
  <c r="F32" i="9"/>
  <c r="G9" i="9" s="1"/>
  <c r="I407" i="2" s="1"/>
  <c r="I408" i="2" s="1"/>
  <c r="W369" i="1"/>
  <c r="W192" i="1"/>
  <c r="W194" i="1"/>
  <c r="W370" i="1"/>
  <c r="W189" i="1"/>
  <c r="W374" i="1"/>
  <c r="W183" i="1"/>
  <c r="W188" i="1"/>
  <c r="W185" i="1"/>
  <c r="W193" i="1"/>
  <c r="W184" i="1"/>
  <c r="W191" i="1"/>
  <c r="W294" i="1"/>
  <c r="W86" i="1"/>
  <c r="W107" i="1"/>
  <c r="W186" i="1"/>
  <c r="W196" i="1"/>
  <c r="W190" i="1"/>
  <c r="W187" i="1"/>
  <c r="W368" i="1"/>
  <c r="W373" i="1"/>
  <c r="W375" i="1"/>
  <c r="W56" i="1"/>
  <c r="W372" i="1"/>
  <c r="W371" i="1"/>
  <c r="W197" i="1"/>
  <c r="W195" i="1"/>
  <c r="F235" i="1"/>
  <c r="U447" i="2"/>
  <c r="F25" i="15"/>
  <c r="E436" i="2" s="1"/>
  <c r="T429" i="2"/>
  <c r="T416" i="2" s="1"/>
  <c r="T412" i="2"/>
  <c r="O192" i="1"/>
  <c r="O370" i="1"/>
  <c r="O372" i="1"/>
  <c r="O186" i="1"/>
  <c r="O107" i="1"/>
  <c r="O184" i="1"/>
  <c r="O369" i="1"/>
  <c r="O187" i="1"/>
  <c r="O193" i="1"/>
  <c r="O197" i="1"/>
  <c r="O194" i="1"/>
  <c r="O195" i="1"/>
  <c r="O191" i="1"/>
  <c r="O185" i="1"/>
  <c r="O371" i="1"/>
  <c r="O368" i="1"/>
  <c r="O188" i="1"/>
  <c r="O373" i="1"/>
  <c r="O375" i="1"/>
  <c r="O183" i="1"/>
  <c r="O196" i="1"/>
  <c r="O374" i="1"/>
  <c r="AB35" i="1"/>
  <c r="AC35" i="1" s="1"/>
  <c r="O86" i="1"/>
  <c r="O189" i="1"/>
  <c r="O190" i="1"/>
  <c r="O294" i="1"/>
  <c r="J425" i="2"/>
  <c r="O71" i="15"/>
  <c r="Q71" i="15"/>
  <c r="H11" i="15" s="1"/>
  <c r="I435" i="2" s="1"/>
  <c r="AB246" i="1"/>
  <c r="AC246" i="1" s="1"/>
  <c r="AB295" i="1"/>
  <c r="AC295" i="1" s="1"/>
  <c r="D32" i="8"/>
  <c r="U475" i="2"/>
  <c r="T103" i="15" l="1"/>
  <c r="K14" i="15" s="1"/>
  <c r="L432" i="2" s="1"/>
  <c r="N440" i="2"/>
  <c r="O358" i="2"/>
  <c r="L454" i="2"/>
  <c r="L665" i="2"/>
  <c r="L423" i="2"/>
  <c r="L401" i="2" s="1"/>
  <c r="L358" i="2" s="1"/>
  <c r="L664" i="2"/>
  <c r="G423" i="2"/>
  <c r="G401" i="2" s="1"/>
  <c r="G360" i="2" s="1"/>
  <c r="G664" i="2"/>
  <c r="F454" i="2"/>
  <c r="F665" i="2"/>
  <c r="P423" i="2"/>
  <c r="P401" i="2" s="1"/>
  <c r="P360" i="2" s="1"/>
  <c r="F427" i="2"/>
  <c r="F412" i="2" s="1"/>
  <c r="F426" i="2"/>
  <c r="I423" i="2"/>
  <c r="I401" i="2" s="1"/>
  <c r="I360" i="2" s="1"/>
  <c r="I664" i="2"/>
  <c r="M454" i="2"/>
  <c r="M461" i="2" s="1"/>
  <c r="M665" i="2"/>
  <c r="H484" i="2"/>
  <c r="H485" i="2" s="1"/>
  <c r="H461" i="2"/>
  <c r="N454" i="2"/>
  <c r="N665" i="2"/>
  <c r="O341" i="2"/>
  <c r="E409" i="2"/>
  <c r="AE316" i="2" s="1"/>
  <c r="AE338" i="2" s="1"/>
  <c r="AG409" i="2"/>
  <c r="T123" i="15"/>
  <c r="K16" i="15" s="1"/>
  <c r="N432" i="2" s="1"/>
  <c r="G25" i="15"/>
  <c r="AG344" i="2"/>
  <c r="AH344" i="2" s="1"/>
  <c r="AG346" i="2"/>
  <c r="AH346" i="2" s="1"/>
  <c r="AG347" i="2"/>
  <c r="AH347" i="2" s="1"/>
  <c r="AG313" i="2"/>
  <c r="AH313" i="2" s="1"/>
  <c r="AG345" i="2"/>
  <c r="AH345" i="2" s="1"/>
  <c r="P461" i="2"/>
  <c r="P484" i="2"/>
  <c r="P485" i="2" s="1"/>
  <c r="T461" i="2"/>
  <c r="T484" i="2"/>
  <c r="T485" i="2" s="1"/>
  <c r="U484" i="2"/>
  <c r="U485" i="2" s="1"/>
  <c r="U461" i="2"/>
  <c r="Q461" i="2"/>
  <c r="Q484" i="2"/>
  <c r="Q485" i="2" s="1"/>
  <c r="R461" i="2"/>
  <c r="E171" i="18"/>
  <c r="P470" i="1" s="1"/>
  <c r="P46" i="1" s="1"/>
  <c r="S484" i="2"/>
  <c r="S485" i="2" s="1"/>
  <c r="S461" i="2"/>
  <c r="T113" i="15"/>
  <c r="K15" i="15" s="1"/>
  <c r="M432" i="2" s="1"/>
  <c r="K430" i="2"/>
  <c r="K417" i="2" s="1"/>
  <c r="K429" i="2"/>
  <c r="K416" i="2" s="1"/>
  <c r="I494" i="2"/>
  <c r="M484" i="2"/>
  <c r="M485" i="2" s="1"/>
  <c r="G494" i="2"/>
  <c r="P15" i="15"/>
  <c r="P16" i="15"/>
  <c r="P17" i="15"/>
  <c r="AH424" i="2"/>
  <c r="O484" i="2"/>
  <c r="O485" i="2" s="1"/>
  <c r="O461" i="2"/>
  <c r="AG436" i="2"/>
  <c r="AH436" i="2" s="1"/>
  <c r="N484" i="2"/>
  <c r="N485" i="2" s="1"/>
  <c r="N461" i="2"/>
  <c r="M487" i="2"/>
  <c r="M440" i="2"/>
  <c r="M447" i="2" s="1"/>
  <c r="M468" i="2" s="1"/>
  <c r="L360" i="2"/>
  <c r="F461" i="2"/>
  <c r="F484" i="2"/>
  <c r="F485" i="2" s="1"/>
  <c r="AA9" i="1"/>
  <c r="S215" i="1"/>
  <c r="S231" i="1" s="1"/>
  <c r="O45" i="1"/>
  <c r="O46" i="1"/>
  <c r="M412" i="2"/>
  <c r="K358" i="2"/>
  <c r="K341" i="2"/>
  <c r="P358" i="2"/>
  <c r="J358" i="2"/>
  <c r="J341" i="2"/>
  <c r="H358" i="2"/>
  <c r="H341" i="2"/>
  <c r="T53" i="15"/>
  <c r="K9" i="15" s="1"/>
  <c r="G432" i="2" s="1"/>
  <c r="O440" i="2"/>
  <c r="O447" i="2" s="1"/>
  <c r="O468" i="2" s="1"/>
  <c r="R412" i="2"/>
  <c r="R416" i="2"/>
  <c r="M423" i="2"/>
  <c r="M401" i="2" s="1"/>
  <c r="M360" i="2" s="1"/>
  <c r="M494" i="2"/>
  <c r="U423" i="2"/>
  <c r="U401" i="2" s="1"/>
  <c r="U360" i="2" s="1"/>
  <c r="AG421" i="2"/>
  <c r="AG435" i="2"/>
  <c r="T494" i="2"/>
  <c r="T423" i="2"/>
  <c r="T401" i="2" s="1"/>
  <c r="T360" i="2" s="1"/>
  <c r="S494" i="2"/>
  <c r="S423" i="2"/>
  <c r="S401" i="2" s="1"/>
  <c r="S360" i="2" s="1"/>
  <c r="E426" i="2"/>
  <c r="K413" i="2" s="1"/>
  <c r="K412" i="2"/>
  <c r="H427" i="2"/>
  <c r="H426" i="2"/>
  <c r="H25" i="15"/>
  <c r="E435" i="2" s="1"/>
  <c r="AF405" i="2" s="1"/>
  <c r="G487" i="2"/>
  <c r="G447" i="2"/>
  <c r="G468" i="2" s="1"/>
  <c r="G475" i="2" s="1"/>
  <c r="X316" i="2"/>
  <c r="X338" i="2" s="1"/>
  <c r="P440" i="2"/>
  <c r="P447" i="2" s="1"/>
  <c r="P468" i="2" s="1"/>
  <c r="P475" i="2" s="1"/>
  <c r="P487" i="2"/>
  <c r="G11" i="9"/>
  <c r="K407" i="2" s="1"/>
  <c r="K408" i="2" s="1"/>
  <c r="G12" i="9"/>
  <c r="L407" i="2" s="1"/>
  <c r="L408" i="2" s="1"/>
  <c r="G14" i="9"/>
  <c r="N407" i="2" s="1"/>
  <c r="N408" i="2" s="1"/>
  <c r="G16" i="9"/>
  <c r="G13" i="9"/>
  <c r="M407" i="2" s="1"/>
  <c r="M408" i="2" s="1"/>
  <c r="G15" i="9"/>
  <c r="O407" i="2" s="1"/>
  <c r="O408" i="2" s="1"/>
  <c r="Y316" i="2"/>
  <c r="Y338" i="2" s="1"/>
  <c r="T316" i="2"/>
  <c r="T338" i="2" s="1"/>
  <c r="S316" i="2"/>
  <c r="S338" i="2" s="1"/>
  <c r="W316" i="2"/>
  <c r="W338" i="2" s="1"/>
  <c r="AD316" i="2"/>
  <c r="AD338" i="2" s="1"/>
  <c r="P316" i="2"/>
  <c r="P338" i="2" s="1"/>
  <c r="AF316" i="2"/>
  <c r="AF338" i="2" s="1"/>
  <c r="AC316" i="2"/>
  <c r="AC338" i="2" s="1"/>
  <c r="AB316" i="2"/>
  <c r="AB338" i="2" s="1"/>
  <c r="V316" i="2"/>
  <c r="V338" i="2" s="1"/>
  <c r="Z316" i="2"/>
  <c r="Z338" i="2" s="1"/>
  <c r="U316" i="2"/>
  <c r="U338" i="2" s="1"/>
  <c r="R316" i="2"/>
  <c r="R338" i="2" s="1"/>
  <c r="Q316" i="2"/>
  <c r="Q338" i="2" s="1"/>
  <c r="AA316" i="2"/>
  <c r="AA338" i="2" s="1"/>
  <c r="L427" i="2"/>
  <c r="L426" i="2"/>
  <c r="Q494" i="2"/>
  <c r="Q423" i="2"/>
  <c r="Q401" i="2" s="1"/>
  <c r="Q360" i="2" s="1"/>
  <c r="R494" i="2"/>
  <c r="R423" i="2"/>
  <c r="R401" i="2" s="1"/>
  <c r="R360" i="2" s="1"/>
  <c r="N494" i="2"/>
  <c r="N423" i="2"/>
  <c r="E421" i="2"/>
  <c r="P10" i="15"/>
  <c r="P8" i="15"/>
  <c r="P11" i="15"/>
  <c r="P18" i="15"/>
  <c r="P25" i="15"/>
  <c r="P9" i="15"/>
  <c r="N25" i="15"/>
  <c r="P22" i="15"/>
  <c r="P21" i="15"/>
  <c r="P14" i="15"/>
  <c r="P23" i="15"/>
  <c r="P13" i="15"/>
  <c r="P12" i="15"/>
  <c r="P20" i="15"/>
  <c r="P19" i="15"/>
  <c r="AB417" i="2"/>
  <c r="AC417" i="2"/>
  <c r="S417" i="2"/>
  <c r="P417" i="2"/>
  <c r="AE417" i="2"/>
  <c r="AA417" i="2"/>
  <c r="U417" i="2"/>
  <c r="R417" i="2"/>
  <c r="AF417" i="2"/>
  <c r="G417" i="2"/>
  <c r="X417" i="2"/>
  <c r="W417" i="2"/>
  <c r="N417" i="2"/>
  <c r="Q417" i="2"/>
  <c r="Z417" i="2"/>
  <c r="O417" i="2"/>
  <c r="T417" i="2"/>
  <c r="AD417" i="2"/>
  <c r="V417" i="2"/>
  <c r="Y417" i="2"/>
  <c r="G10" i="9"/>
  <c r="J407" i="2" s="1"/>
  <c r="J408" i="2" s="1"/>
  <c r="Q412" i="2"/>
  <c r="Q416" i="2"/>
  <c r="M417" i="2"/>
  <c r="P21" i="16"/>
  <c r="P22" i="16"/>
  <c r="I481" i="1" s="1"/>
  <c r="I362" i="1" s="1"/>
  <c r="K21" i="16"/>
  <c r="U229" i="1"/>
  <c r="Y73" i="1"/>
  <c r="R229" i="1"/>
  <c r="M408" i="1"/>
  <c r="Y67" i="1"/>
  <c r="R408" i="1"/>
  <c r="Y408" i="1"/>
  <c r="S68" i="1"/>
  <c r="S69" i="1"/>
  <c r="K410" i="1"/>
  <c r="H229" i="1"/>
  <c r="S72" i="1"/>
  <c r="Y70" i="1"/>
  <c r="S377" i="1"/>
  <c r="S73" i="1"/>
  <c r="Y8" i="1"/>
  <c r="S408" i="1"/>
  <c r="AB106" i="1"/>
  <c r="AC106" i="1" s="1"/>
  <c r="AG441" i="2"/>
  <c r="AH441" i="2" s="1"/>
  <c r="H309" i="1"/>
  <c r="H377" i="1"/>
  <c r="H199" i="1"/>
  <c r="AA392" i="1"/>
  <c r="AA410" i="1" s="1"/>
  <c r="H8" i="1"/>
  <c r="R70" i="1"/>
  <c r="H77" i="1"/>
  <c r="H64" i="1"/>
  <c r="H73" i="1"/>
  <c r="H71" i="1"/>
  <c r="S199" i="1"/>
  <c r="S67" i="1"/>
  <c r="S77" i="1"/>
  <c r="W215" i="1"/>
  <c r="S58" i="1"/>
  <c r="S8" i="1"/>
  <c r="S71" i="1"/>
  <c r="S309" i="1"/>
  <c r="S10" i="1"/>
  <c r="S65" i="1"/>
  <c r="S66" i="1"/>
  <c r="Y58" i="1"/>
  <c r="Y65" i="1"/>
  <c r="M69" i="1"/>
  <c r="Y229" i="1"/>
  <c r="W229" i="1"/>
  <c r="S64" i="1"/>
  <c r="S70" i="1"/>
  <c r="S63" i="1"/>
  <c r="Y10" i="1"/>
  <c r="Y63" i="1"/>
  <c r="H66" i="1"/>
  <c r="H72" i="1"/>
  <c r="W408" i="1"/>
  <c r="U408" i="1"/>
  <c r="Y72" i="1"/>
  <c r="Y9" i="1"/>
  <c r="Y66" i="1"/>
  <c r="Y309" i="1"/>
  <c r="H67" i="1"/>
  <c r="H69" i="1"/>
  <c r="H68" i="1"/>
  <c r="H63" i="1"/>
  <c r="H70" i="1"/>
  <c r="K231" i="1"/>
  <c r="W392" i="1"/>
  <c r="Y68" i="1"/>
  <c r="Y64" i="1"/>
  <c r="Y69" i="1"/>
  <c r="Y77" i="1"/>
  <c r="H9" i="1"/>
  <c r="H65" i="1"/>
  <c r="H10" i="1"/>
  <c r="Y215" i="1"/>
  <c r="K58" i="1"/>
  <c r="AB293" i="1"/>
  <c r="AC293" i="1" s="1"/>
  <c r="U141" i="1"/>
  <c r="W141" i="1"/>
  <c r="P199" i="1"/>
  <c r="R10" i="1"/>
  <c r="M68" i="1"/>
  <c r="R392" i="1"/>
  <c r="R141" i="1"/>
  <c r="P377" i="1"/>
  <c r="M199" i="1"/>
  <c r="M377" i="1"/>
  <c r="R77" i="1"/>
  <c r="R9" i="1"/>
  <c r="M10" i="1"/>
  <c r="M66" i="1"/>
  <c r="R215" i="1"/>
  <c r="U392" i="1"/>
  <c r="AB195" i="1"/>
  <c r="AC195" i="1" s="1"/>
  <c r="AB187" i="1"/>
  <c r="AC187" i="1" s="1"/>
  <c r="AB186" i="1"/>
  <c r="AC186" i="1" s="1"/>
  <c r="R67" i="1"/>
  <c r="M77" i="1"/>
  <c r="R69" i="1"/>
  <c r="R66" i="1"/>
  <c r="M67" i="1"/>
  <c r="M72" i="1"/>
  <c r="K199" i="1"/>
  <c r="AA141" i="1"/>
  <c r="AA377" i="1"/>
  <c r="R8" i="1"/>
  <c r="R58" i="1"/>
  <c r="R72" i="1"/>
  <c r="R73" i="1"/>
  <c r="E469" i="2"/>
  <c r="E471" i="2" s="1"/>
  <c r="M65" i="1"/>
  <c r="M309" i="1"/>
  <c r="M9" i="1"/>
  <c r="S392" i="1"/>
  <c r="R377" i="1"/>
  <c r="U215" i="1"/>
  <c r="AA199" i="1"/>
  <c r="R199" i="1"/>
  <c r="R68" i="1"/>
  <c r="R63" i="1"/>
  <c r="AB80" i="1"/>
  <c r="AC80" i="1" s="1"/>
  <c r="M73" i="1"/>
  <c r="M64" i="1"/>
  <c r="K9" i="1"/>
  <c r="AA215" i="1"/>
  <c r="AB149" i="1"/>
  <c r="AC149" i="1" s="1"/>
  <c r="R309" i="1"/>
  <c r="R64" i="1"/>
  <c r="R65" i="1"/>
  <c r="M8" i="1"/>
  <c r="M63" i="1"/>
  <c r="M58" i="1"/>
  <c r="M70" i="1"/>
  <c r="H215" i="1"/>
  <c r="AA63" i="1"/>
  <c r="AA73" i="1"/>
  <c r="AA68" i="1"/>
  <c r="AA67" i="1"/>
  <c r="AA66" i="1"/>
  <c r="AA65" i="1"/>
  <c r="K66" i="1"/>
  <c r="AA64" i="1"/>
  <c r="AB369" i="1"/>
  <c r="AC369" i="1" s="1"/>
  <c r="E443" i="2"/>
  <c r="U443" i="2" s="1"/>
  <c r="U444" i="2" s="1"/>
  <c r="I199" i="1"/>
  <c r="AB189" i="1"/>
  <c r="AC189" i="1" s="1"/>
  <c r="AA77" i="1"/>
  <c r="K63" i="1"/>
  <c r="K71" i="1"/>
  <c r="AA58" i="1"/>
  <c r="AA229" i="1"/>
  <c r="AA8" i="1"/>
  <c r="AA69" i="1"/>
  <c r="AA72" i="1"/>
  <c r="K10" i="1"/>
  <c r="AA309" i="1"/>
  <c r="K377" i="1"/>
  <c r="AA10" i="1"/>
  <c r="K72" i="1"/>
  <c r="K77" i="1"/>
  <c r="H392" i="1"/>
  <c r="H410" i="1" s="1"/>
  <c r="H141" i="1"/>
  <c r="Y392" i="1"/>
  <c r="Y141" i="1"/>
  <c r="AA70" i="1"/>
  <c r="AB335" i="1"/>
  <c r="AC335" i="1" s="1"/>
  <c r="AB85" i="1"/>
  <c r="AC85" i="1" s="1"/>
  <c r="M229" i="1"/>
  <c r="Y199" i="1"/>
  <c r="Y377" i="1"/>
  <c r="K67" i="1"/>
  <c r="K68" i="1"/>
  <c r="K69" i="1"/>
  <c r="K70" i="1"/>
  <c r="K65" i="1"/>
  <c r="I377" i="1"/>
  <c r="S141" i="1"/>
  <c r="M392" i="1"/>
  <c r="K64" i="1"/>
  <c r="K309" i="1"/>
  <c r="K8" i="1"/>
  <c r="AB374" i="1"/>
  <c r="AC374" i="1" s="1"/>
  <c r="AB373" i="1"/>
  <c r="AC373" i="1" s="1"/>
  <c r="AB185" i="1"/>
  <c r="AC185" i="1" s="1"/>
  <c r="AB197" i="1"/>
  <c r="AC197" i="1" s="1"/>
  <c r="AB184" i="1"/>
  <c r="AC184" i="1" s="1"/>
  <c r="AB370" i="1"/>
  <c r="AC370" i="1" s="1"/>
  <c r="M141" i="1"/>
  <c r="M215" i="1"/>
  <c r="U199" i="1"/>
  <c r="U377" i="1"/>
  <c r="AB190" i="1"/>
  <c r="AC190" i="1" s="1"/>
  <c r="AB375" i="1"/>
  <c r="AC375" i="1" s="1"/>
  <c r="AB371" i="1"/>
  <c r="AC371" i="1" s="1"/>
  <c r="AB194" i="1"/>
  <c r="AC194" i="1" s="1"/>
  <c r="AB372" i="1"/>
  <c r="AC372" i="1" s="1"/>
  <c r="AB86" i="1"/>
  <c r="AC86" i="1" s="1"/>
  <c r="AB196" i="1"/>
  <c r="AC196" i="1" s="1"/>
  <c r="AB188" i="1"/>
  <c r="AC188" i="1" s="1"/>
  <c r="AB191" i="1"/>
  <c r="AC191" i="1" s="1"/>
  <c r="AB193" i="1"/>
  <c r="AC193" i="1" s="1"/>
  <c r="AB107" i="1"/>
  <c r="AC107" i="1" s="1"/>
  <c r="AB192" i="1"/>
  <c r="AC192" i="1" s="1"/>
  <c r="U68" i="1"/>
  <c r="U70" i="1"/>
  <c r="U69" i="1"/>
  <c r="U10" i="1"/>
  <c r="U67" i="1"/>
  <c r="U9" i="1"/>
  <c r="U58" i="1"/>
  <c r="U65" i="1"/>
  <c r="U8" i="1"/>
  <c r="U309" i="1"/>
  <c r="U66" i="1"/>
  <c r="U63" i="1"/>
  <c r="U71" i="1"/>
  <c r="U64" i="1"/>
  <c r="U72" i="1"/>
  <c r="U77" i="1"/>
  <c r="U73" i="1"/>
  <c r="F32" i="8"/>
  <c r="E202" i="15"/>
  <c r="E204" i="15" s="1"/>
  <c r="E34" i="15" s="1"/>
  <c r="O73" i="15"/>
  <c r="R73" i="15" s="1"/>
  <c r="I314" i="2"/>
  <c r="I408" i="1"/>
  <c r="T93" i="15"/>
  <c r="K13" i="15" s="1"/>
  <c r="K432" i="2" s="1"/>
  <c r="I13" i="15"/>
  <c r="K434" i="2" s="1"/>
  <c r="F202" i="15"/>
  <c r="F204" i="15" s="1"/>
  <c r="F34" i="15" s="1"/>
  <c r="G202" i="15"/>
  <c r="G204" i="15" s="1"/>
  <c r="G34" i="15" s="1"/>
  <c r="Q468" i="2"/>
  <c r="G8" i="9"/>
  <c r="H407" i="2" s="1"/>
  <c r="H408" i="2" s="1"/>
  <c r="G7" i="9"/>
  <c r="G407" i="2" s="1"/>
  <c r="G408" i="2" s="1"/>
  <c r="G6" i="9"/>
  <c r="E32" i="9"/>
  <c r="I433" i="2"/>
  <c r="I141" i="1"/>
  <c r="D39" i="18"/>
  <c r="D170" i="18" s="1"/>
  <c r="O469" i="1" s="1"/>
  <c r="O468" i="1" s="1"/>
  <c r="E170" i="18"/>
  <c r="P469" i="1" s="1"/>
  <c r="L447" i="2"/>
  <c r="J426" i="2"/>
  <c r="J427" i="2"/>
  <c r="E450" i="2"/>
  <c r="AG448" i="2"/>
  <c r="AH448" i="2" s="1"/>
  <c r="W377" i="1"/>
  <c r="I73" i="1"/>
  <c r="I9" i="1"/>
  <c r="I65" i="1"/>
  <c r="I72" i="1"/>
  <c r="I58" i="1"/>
  <c r="I309" i="1"/>
  <c r="I66" i="1"/>
  <c r="I68" i="1"/>
  <c r="I63" i="1"/>
  <c r="I71" i="1"/>
  <c r="I67" i="1"/>
  <c r="I69" i="1"/>
  <c r="I8" i="1"/>
  <c r="I77" i="1"/>
  <c r="I64" i="1"/>
  <c r="I70" i="1"/>
  <c r="I10" i="1"/>
  <c r="I229" i="1"/>
  <c r="W356" i="1"/>
  <c r="AB345" i="1"/>
  <c r="AC345" i="1" s="1"/>
  <c r="F328" i="1"/>
  <c r="F287" i="1"/>
  <c r="F133" i="1"/>
  <c r="F144" i="1" s="1"/>
  <c r="D166" i="18"/>
  <c r="D172" i="18" s="1"/>
  <c r="O471" i="1" s="1"/>
  <c r="E172" i="18"/>
  <c r="P471" i="1" s="1"/>
  <c r="P47" i="1" s="1"/>
  <c r="AB294" i="1"/>
  <c r="AC294" i="1" s="1"/>
  <c r="O199" i="1"/>
  <c r="AB183" i="1"/>
  <c r="AC183" i="1" s="1"/>
  <c r="O377" i="1"/>
  <c r="AB368" i="1"/>
  <c r="AC368" i="1" s="1"/>
  <c r="W170" i="1"/>
  <c r="AB159" i="1"/>
  <c r="AC159" i="1" s="1"/>
  <c r="W67" i="1"/>
  <c r="W70" i="1"/>
  <c r="W73" i="1"/>
  <c r="W77" i="1"/>
  <c r="W10" i="1"/>
  <c r="W63" i="1"/>
  <c r="W58" i="1"/>
  <c r="W65" i="1"/>
  <c r="W309" i="1"/>
  <c r="W68" i="1"/>
  <c r="W9" i="1"/>
  <c r="W69" i="1"/>
  <c r="W64" i="1"/>
  <c r="W66" i="1"/>
  <c r="W71" i="1"/>
  <c r="W72" i="1"/>
  <c r="W8" i="1"/>
  <c r="W199" i="1"/>
  <c r="I392" i="1"/>
  <c r="I215" i="1"/>
  <c r="N447" i="2"/>
  <c r="C204" i="15"/>
  <c r="C34" i="15" s="1"/>
  <c r="O63" i="15"/>
  <c r="R63" i="15" s="1"/>
  <c r="D202" i="15"/>
  <c r="D204" i="15" s="1"/>
  <c r="D34" i="15" s="1"/>
  <c r="I8" i="15"/>
  <c r="T43" i="15"/>
  <c r="K8" i="15" s="1"/>
  <c r="S468" i="2"/>
  <c r="I426" i="2"/>
  <c r="AG425" i="2"/>
  <c r="AH425" i="2" s="1"/>
  <c r="P341" i="2" l="1"/>
  <c r="M450" i="2"/>
  <c r="M451" i="2" s="1"/>
  <c r="I358" i="2"/>
  <c r="AH409" i="2"/>
  <c r="G341" i="2"/>
  <c r="G358" i="2"/>
  <c r="I341" i="2"/>
  <c r="L341" i="2"/>
  <c r="F429" i="2"/>
  <c r="F416" i="2" s="1"/>
  <c r="F430" i="2"/>
  <c r="F417" i="2" s="1"/>
  <c r="J413" i="2"/>
  <c r="I413" i="2"/>
  <c r="L413" i="2"/>
  <c r="P44" i="1"/>
  <c r="P298" i="1" s="1"/>
  <c r="P468" i="1"/>
  <c r="P43" i="1" s="1"/>
  <c r="P111" i="1" s="1"/>
  <c r="AB470" i="1"/>
  <c r="AC470" i="1" s="1"/>
  <c r="AB413" i="2"/>
  <c r="V413" i="2"/>
  <c r="AF413" i="2"/>
  <c r="Y413" i="2"/>
  <c r="W413" i="2"/>
  <c r="AC413" i="2"/>
  <c r="AE413" i="2"/>
  <c r="Z413" i="2"/>
  <c r="X413" i="2"/>
  <c r="AA413" i="2"/>
  <c r="AD413" i="2"/>
  <c r="Q413" i="2"/>
  <c r="R413" i="2"/>
  <c r="U413" i="2"/>
  <c r="F413" i="2"/>
  <c r="S413" i="2"/>
  <c r="G413" i="2"/>
  <c r="O413" i="2"/>
  <c r="N413" i="2"/>
  <c r="T413" i="2"/>
  <c r="J430" i="2"/>
  <c r="J417" i="2" s="1"/>
  <c r="J429" i="2"/>
  <c r="J416" i="2" s="1"/>
  <c r="M413" i="2"/>
  <c r="H430" i="2"/>
  <c r="H417" i="2" s="1"/>
  <c r="H429" i="2"/>
  <c r="H416" i="2" s="1"/>
  <c r="P413" i="2"/>
  <c r="O43" i="1"/>
  <c r="H413" i="2"/>
  <c r="P45" i="1"/>
  <c r="AB45" i="1" s="1"/>
  <c r="AC45" i="1" s="1"/>
  <c r="L430" i="2"/>
  <c r="L417" i="2" s="1"/>
  <c r="L429" i="2"/>
  <c r="N314" i="2"/>
  <c r="N316" i="2" s="1"/>
  <c r="N338" i="2" s="1"/>
  <c r="O314" i="2"/>
  <c r="O316" i="2" s="1"/>
  <c r="O338" i="2" s="1"/>
  <c r="L314" i="2"/>
  <c r="L316" i="2" s="1"/>
  <c r="L338" i="2" s="1"/>
  <c r="M314" i="2"/>
  <c r="M316" i="2" s="1"/>
  <c r="M338" i="2" s="1"/>
  <c r="L484" i="2"/>
  <c r="L485" i="2" s="1"/>
  <c r="L461" i="2"/>
  <c r="O44" i="1"/>
  <c r="AB469" i="1"/>
  <c r="AC469" i="1" s="1"/>
  <c r="P384" i="1"/>
  <c r="P114" i="1"/>
  <c r="P402" i="1"/>
  <c r="P206" i="1"/>
  <c r="P300" i="1"/>
  <c r="P223" i="1"/>
  <c r="O206" i="1"/>
  <c r="O384" i="1"/>
  <c r="AB46" i="1"/>
  <c r="AC46" i="1" s="1"/>
  <c r="O114" i="1"/>
  <c r="O223" i="1"/>
  <c r="O300" i="1"/>
  <c r="O402" i="1"/>
  <c r="O113" i="1"/>
  <c r="O299" i="1"/>
  <c r="P403" i="1"/>
  <c r="P301" i="1"/>
  <c r="P224" i="1"/>
  <c r="P115" i="1"/>
  <c r="O47" i="1"/>
  <c r="AB471" i="1"/>
  <c r="AC471" i="1" s="1"/>
  <c r="T358" i="2"/>
  <c r="T341" i="2"/>
  <c r="U358" i="2"/>
  <c r="U341" i="2"/>
  <c r="R358" i="2"/>
  <c r="R341" i="2"/>
  <c r="S358" i="2"/>
  <c r="S341" i="2"/>
  <c r="M358" i="2"/>
  <c r="M341" i="2"/>
  <c r="Q358" i="2"/>
  <c r="Q341" i="2"/>
  <c r="X406" i="2"/>
  <c r="G406" i="2"/>
  <c r="P406" i="2"/>
  <c r="AH435" i="2"/>
  <c r="W405" i="2"/>
  <c r="H405" i="2"/>
  <c r="M406" i="2"/>
  <c r="AE405" i="2"/>
  <c r="Z406" i="2"/>
  <c r="I406" i="2"/>
  <c r="X405" i="2"/>
  <c r="V405" i="2"/>
  <c r="V406" i="2"/>
  <c r="R405" i="2"/>
  <c r="S405" i="2"/>
  <c r="N405" i="2"/>
  <c r="AA406" i="2"/>
  <c r="L405" i="2"/>
  <c r="AB406" i="2"/>
  <c r="J406" i="2"/>
  <c r="T406" i="2"/>
  <c r="AA405" i="2"/>
  <c r="F406" i="2"/>
  <c r="I405" i="2"/>
  <c r="Z405" i="2"/>
  <c r="G405" i="2"/>
  <c r="R406" i="2"/>
  <c r="AE406" i="2"/>
  <c r="O405" i="2"/>
  <c r="S406" i="2"/>
  <c r="K405" i="2"/>
  <c r="M405" i="2"/>
  <c r="U405" i="2"/>
  <c r="U406" i="2"/>
  <c r="AD405" i="2"/>
  <c r="AC405" i="2"/>
  <c r="Q406" i="2"/>
  <c r="L406" i="2"/>
  <c r="AF406" i="2"/>
  <c r="T405" i="2"/>
  <c r="AB405" i="2"/>
  <c r="K406" i="2"/>
  <c r="Y405" i="2"/>
  <c r="J405" i="2"/>
  <c r="AC406" i="2"/>
  <c r="Q405" i="2"/>
  <c r="W406" i="2"/>
  <c r="P405" i="2"/>
  <c r="AD406" i="2"/>
  <c r="H406" i="2"/>
  <c r="F405" i="2"/>
  <c r="O406" i="2"/>
  <c r="Y406" i="2"/>
  <c r="N406" i="2"/>
  <c r="H412" i="2"/>
  <c r="AG494" i="2"/>
  <c r="AH494" i="2" s="1"/>
  <c r="K314" i="2"/>
  <c r="K412" i="1"/>
  <c r="K414" i="1" s="1"/>
  <c r="J314" i="2"/>
  <c r="G9" i="8"/>
  <c r="G14" i="8"/>
  <c r="G15" i="8"/>
  <c r="G16" i="8"/>
  <c r="G12" i="8"/>
  <c r="G13" i="8"/>
  <c r="N401" i="2"/>
  <c r="AG423" i="2"/>
  <c r="AH423" i="2" s="1"/>
  <c r="AH421" i="2"/>
  <c r="L412" i="2"/>
  <c r="L416" i="2"/>
  <c r="H481" i="1"/>
  <c r="H177" i="1" s="1"/>
  <c r="I363" i="1"/>
  <c r="I365" i="1" s="1"/>
  <c r="I178" i="1"/>
  <c r="I177" i="1"/>
  <c r="I175" i="1"/>
  <c r="I176" i="1"/>
  <c r="U231" i="1"/>
  <c r="U235" i="1" s="1"/>
  <c r="R231" i="1"/>
  <c r="R237" i="1" s="1"/>
  <c r="R410" i="1"/>
  <c r="R412" i="1" s="1"/>
  <c r="R440" i="1" s="1"/>
  <c r="M410" i="1"/>
  <c r="M412" i="1" s="1"/>
  <c r="M414" i="1" s="1"/>
  <c r="Y410" i="1"/>
  <c r="Y412" i="1" s="1"/>
  <c r="Y440" i="1" s="1"/>
  <c r="Y450" i="1" s="1"/>
  <c r="S12" i="1"/>
  <c r="U410" i="1"/>
  <c r="U412" i="1" s="1"/>
  <c r="U414" i="1" s="1"/>
  <c r="Y231" i="1"/>
  <c r="Y233" i="1" s="1"/>
  <c r="Y264" i="1" s="1"/>
  <c r="Y452" i="1" s="1"/>
  <c r="H231" i="1"/>
  <c r="H233" i="1" s="1"/>
  <c r="H264" i="1" s="1"/>
  <c r="H277" i="1" s="1"/>
  <c r="S410" i="1"/>
  <c r="S412" i="1" s="1"/>
  <c r="S414" i="1" s="1"/>
  <c r="H412" i="1"/>
  <c r="H440" i="1" s="1"/>
  <c r="H447" i="1" s="1"/>
  <c r="H12" i="1"/>
  <c r="Y12" i="1"/>
  <c r="Y75" i="1"/>
  <c r="Y121" i="1" s="1"/>
  <c r="S75" i="1"/>
  <c r="S122" i="1" s="1"/>
  <c r="W231" i="1"/>
  <c r="W235" i="1" s="1"/>
  <c r="S233" i="1"/>
  <c r="S264" i="1" s="1"/>
  <c r="S454" i="1" s="1"/>
  <c r="H75" i="1"/>
  <c r="H308" i="1" s="1"/>
  <c r="R12" i="1"/>
  <c r="K237" i="1"/>
  <c r="W410" i="1"/>
  <c r="W412" i="1" s="1"/>
  <c r="W414" i="1" s="1"/>
  <c r="V443" i="2"/>
  <c r="K233" i="1"/>
  <c r="K264" i="1" s="1"/>
  <c r="K275" i="1" s="1"/>
  <c r="R443" i="2"/>
  <c r="R444" i="2" s="1"/>
  <c r="K235" i="1"/>
  <c r="K12" i="1"/>
  <c r="AG469" i="2"/>
  <c r="AH469" i="2" s="1"/>
  <c r="O450" i="2"/>
  <c r="O451" i="2" s="1"/>
  <c r="M12" i="1"/>
  <c r="AB443" i="2"/>
  <c r="E476" i="2"/>
  <c r="AG476" i="2" s="1"/>
  <c r="AH476" i="2" s="1"/>
  <c r="R75" i="1"/>
  <c r="R279" i="1" s="1"/>
  <c r="M75" i="1"/>
  <c r="M120" i="1" s="1"/>
  <c r="S450" i="2"/>
  <c r="S451" i="2" s="1"/>
  <c r="N443" i="2"/>
  <c r="N444" i="2" s="1"/>
  <c r="AA443" i="2"/>
  <c r="L443" i="2"/>
  <c r="L444" i="2" s="1"/>
  <c r="Y443" i="2"/>
  <c r="M443" i="2"/>
  <c r="M444" i="2" s="1"/>
  <c r="AE443" i="2"/>
  <c r="T443" i="2"/>
  <c r="T444" i="2" s="1"/>
  <c r="X443" i="2"/>
  <c r="W443" i="2"/>
  <c r="Q443" i="2"/>
  <c r="Q444" i="2" s="1"/>
  <c r="AA412" i="1"/>
  <c r="AA12" i="1"/>
  <c r="G443" i="2"/>
  <c r="G444" i="2" s="1"/>
  <c r="AC443" i="2"/>
  <c r="E444" i="2"/>
  <c r="AD52" i="2" s="1"/>
  <c r="S235" i="1"/>
  <c r="S443" i="2"/>
  <c r="S444" i="2" s="1"/>
  <c r="O443" i="2"/>
  <c r="O444" i="2" s="1"/>
  <c r="AD443" i="2"/>
  <c r="P443" i="2"/>
  <c r="P444" i="2" s="1"/>
  <c r="AF443" i="2"/>
  <c r="Z443" i="2"/>
  <c r="AA231" i="1"/>
  <c r="AA235" i="1" s="1"/>
  <c r="S237" i="1"/>
  <c r="K75" i="1"/>
  <c r="K308" i="1" s="1"/>
  <c r="AA75" i="1"/>
  <c r="U12" i="1"/>
  <c r="AB377" i="1"/>
  <c r="AC377" i="1" s="1"/>
  <c r="M231" i="1"/>
  <c r="M235" i="1" s="1"/>
  <c r="P471" i="2"/>
  <c r="P472" i="2" s="1"/>
  <c r="W471" i="2"/>
  <c r="W472" i="2" s="1"/>
  <c r="AD471" i="2"/>
  <c r="AD472" i="2" s="1"/>
  <c r="AA471" i="2"/>
  <c r="AA472" i="2" s="1"/>
  <c r="R471" i="2"/>
  <c r="R472" i="2" s="1"/>
  <c r="G471" i="2"/>
  <c r="G472" i="2" s="1"/>
  <c r="AF471" i="2"/>
  <c r="AF472" i="2" s="1"/>
  <c r="AC471" i="2"/>
  <c r="AC472" i="2" s="1"/>
  <c r="V471" i="2"/>
  <c r="V472" i="2" s="1"/>
  <c r="Z471" i="2"/>
  <c r="Z472" i="2" s="1"/>
  <c r="X471" i="2"/>
  <c r="X472" i="2" s="1"/>
  <c r="Y471" i="2"/>
  <c r="Y472" i="2" s="1"/>
  <c r="AE471" i="2"/>
  <c r="AE472" i="2" s="1"/>
  <c r="E472" i="2"/>
  <c r="AB471" i="2"/>
  <c r="AB472" i="2" s="1"/>
  <c r="T471" i="2"/>
  <c r="T472" i="2" s="1"/>
  <c r="U471" i="2"/>
  <c r="U472" i="2" s="1"/>
  <c r="I316" i="2"/>
  <c r="I338" i="2" s="1"/>
  <c r="U75" i="1"/>
  <c r="AG426" i="2"/>
  <c r="AH426" i="2" s="1"/>
  <c r="I412" i="2"/>
  <c r="I416" i="2"/>
  <c r="AG427" i="2"/>
  <c r="AH427" i="2" s="1"/>
  <c r="S475" i="2"/>
  <c r="S471" i="2"/>
  <c r="S472" i="2" s="1"/>
  <c r="I410" i="1"/>
  <c r="W75" i="1"/>
  <c r="I12" i="1"/>
  <c r="I75" i="1"/>
  <c r="V450" i="2"/>
  <c r="W450" i="2"/>
  <c r="AA450" i="2"/>
  <c r="AB450" i="2"/>
  <c r="AF450" i="2"/>
  <c r="Z450" i="2"/>
  <c r="AC450" i="2"/>
  <c r="E451" i="2"/>
  <c r="Y450" i="2"/>
  <c r="T450" i="2"/>
  <c r="T451" i="2" s="1"/>
  <c r="X450" i="2"/>
  <c r="AE450" i="2"/>
  <c r="P450" i="2"/>
  <c r="P451" i="2" s="1"/>
  <c r="AD450" i="2"/>
  <c r="R450" i="2"/>
  <c r="R451" i="2" s="1"/>
  <c r="G450" i="2"/>
  <c r="G451" i="2" s="1"/>
  <c r="L468" i="2"/>
  <c r="L450" i="2"/>
  <c r="L451" i="2" s="1"/>
  <c r="T63" i="15"/>
  <c r="K10" i="15" s="1"/>
  <c r="H432" i="2" s="1"/>
  <c r="I10" i="15"/>
  <c r="H434" i="2" s="1"/>
  <c r="N468" i="2"/>
  <c r="N450" i="2"/>
  <c r="N451" i="2" s="1"/>
  <c r="I231" i="1"/>
  <c r="W12" i="1"/>
  <c r="AB170" i="1"/>
  <c r="AC170" i="1" s="1"/>
  <c r="G32" i="9"/>
  <c r="E407" i="2" s="1"/>
  <c r="F407" i="2"/>
  <c r="U450" i="2"/>
  <c r="U451" i="2" s="1"/>
  <c r="K440" i="2"/>
  <c r="G8" i="8"/>
  <c r="E32" i="8"/>
  <c r="G6" i="8"/>
  <c r="G7" i="8"/>
  <c r="G10" i="8"/>
  <c r="G11" i="8"/>
  <c r="M475" i="2"/>
  <c r="M471" i="2"/>
  <c r="M472" i="2" s="1"/>
  <c r="F432" i="2"/>
  <c r="O475" i="2"/>
  <c r="O471" i="2"/>
  <c r="O472" i="2" s="1"/>
  <c r="AB356" i="1"/>
  <c r="AC356" i="1" s="1"/>
  <c r="J412" i="2"/>
  <c r="G314" i="2"/>
  <c r="Q450" i="2"/>
  <c r="Q451" i="2" s="1"/>
  <c r="I11" i="15"/>
  <c r="I434" i="2" s="1"/>
  <c r="I440" i="2" s="1"/>
  <c r="T73" i="15"/>
  <c r="K11" i="15" s="1"/>
  <c r="I432" i="2" s="1"/>
  <c r="F434" i="2"/>
  <c r="K461" i="2"/>
  <c r="K484" i="2"/>
  <c r="AG454" i="2"/>
  <c r="AH454" i="2" s="1"/>
  <c r="H314" i="2"/>
  <c r="Q475" i="2"/>
  <c r="Q471" i="2"/>
  <c r="Q472" i="2" s="1"/>
  <c r="AB199" i="1"/>
  <c r="AC199" i="1" s="1"/>
  <c r="J414" i="2" l="1"/>
  <c r="L414" i="2"/>
  <c r="H414" i="2"/>
  <c r="O414" i="2"/>
  <c r="G414" i="2"/>
  <c r="M414" i="2"/>
  <c r="N414" i="2"/>
  <c r="I414" i="2"/>
  <c r="K414" i="2"/>
  <c r="AB468" i="1"/>
  <c r="AC468" i="1" s="1"/>
  <c r="P401" i="1"/>
  <c r="AB114" i="1"/>
  <c r="AC114" i="1" s="1"/>
  <c r="P383" i="1"/>
  <c r="P222" i="1"/>
  <c r="P205" i="1"/>
  <c r="P112" i="1"/>
  <c r="P297" i="1"/>
  <c r="P113" i="1"/>
  <c r="AB113" i="1" s="1"/>
  <c r="AC113" i="1" s="1"/>
  <c r="P299" i="1"/>
  <c r="AB299" i="1" s="1"/>
  <c r="AC299" i="1" s="1"/>
  <c r="P54" i="1"/>
  <c r="P389" i="1" s="1"/>
  <c r="AG413" i="2"/>
  <c r="AH413" i="2" s="1"/>
  <c r="AG429" i="2"/>
  <c r="AH429" i="2" s="1"/>
  <c r="O111" i="1"/>
  <c r="AB111" i="1" s="1"/>
  <c r="AC111" i="1" s="1"/>
  <c r="O297" i="1"/>
  <c r="AB43" i="1"/>
  <c r="AC43" i="1" s="1"/>
  <c r="AB223" i="1"/>
  <c r="AC223" i="1" s="1"/>
  <c r="O222" i="1"/>
  <c r="O205" i="1"/>
  <c r="O112" i="1"/>
  <c r="O383" i="1"/>
  <c r="O401" i="1"/>
  <c r="O298" i="1"/>
  <c r="AB298" i="1" s="1"/>
  <c r="AC298" i="1" s="1"/>
  <c r="AB44" i="1"/>
  <c r="AC44" i="1" s="1"/>
  <c r="AB402" i="1"/>
  <c r="AC402" i="1" s="1"/>
  <c r="AB384" i="1"/>
  <c r="AC384" i="1" s="1"/>
  <c r="AB206" i="1"/>
  <c r="AC206" i="1" s="1"/>
  <c r="AB300" i="1"/>
  <c r="AC300" i="1" s="1"/>
  <c r="AB47" i="1"/>
  <c r="AC47" i="1" s="1"/>
  <c r="O301" i="1"/>
  <c r="AB301" i="1" s="1"/>
  <c r="AC301" i="1" s="1"/>
  <c r="O54" i="1"/>
  <c r="O224" i="1"/>
  <c r="AB224" i="1" s="1"/>
  <c r="AC224" i="1" s="1"/>
  <c r="O115" i="1"/>
  <c r="AB115" i="1" s="1"/>
  <c r="AC115" i="1" s="1"/>
  <c r="O403" i="1"/>
  <c r="AB403" i="1" s="1"/>
  <c r="AC403" i="1" s="1"/>
  <c r="N341" i="2"/>
  <c r="AG341" i="2" s="1"/>
  <c r="AH341" i="2" s="1"/>
  <c r="N360" i="2"/>
  <c r="AG360" i="2" s="1"/>
  <c r="AH360" i="2" s="1"/>
  <c r="AG401" i="2"/>
  <c r="AH401" i="2" s="1"/>
  <c r="N358" i="2"/>
  <c r="AG358" i="2" s="1"/>
  <c r="AH358" i="2" s="1"/>
  <c r="K440" i="1"/>
  <c r="K274" i="1" s="1"/>
  <c r="AG406" i="2"/>
  <c r="AH406" i="2" s="1"/>
  <c r="AG405" i="2"/>
  <c r="AH405" i="2" s="1"/>
  <c r="AB177" i="1"/>
  <c r="AC177" i="1" s="1"/>
  <c r="H175" i="1"/>
  <c r="AB175" i="1" s="1"/>
  <c r="AC175" i="1" s="1"/>
  <c r="AB481" i="1"/>
  <c r="AC481" i="1" s="1"/>
  <c r="H178" i="1"/>
  <c r="AB178" i="1" s="1"/>
  <c r="AC178" i="1" s="1"/>
  <c r="H362" i="1"/>
  <c r="AB362" i="1" s="1"/>
  <c r="AC362" i="1" s="1"/>
  <c r="H176" i="1"/>
  <c r="AB176" i="1" s="1"/>
  <c r="AC176" i="1" s="1"/>
  <c r="H363" i="1"/>
  <c r="AB363" i="1" s="1"/>
  <c r="AC363" i="1" s="1"/>
  <c r="K316" i="2"/>
  <c r="K338" i="2" s="1"/>
  <c r="J316" i="2"/>
  <c r="J338" i="2" s="1"/>
  <c r="U237" i="1"/>
  <c r="U233" i="1"/>
  <c r="U264" i="1" s="1"/>
  <c r="U276" i="1" s="1"/>
  <c r="I180" i="1"/>
  <c r="R235" i="1"/>
  <c r="T52" i="2"/>
  <c r="Y235" i="1"/>
  <c r="H235" i="1"/>
  <c r="R233" i="1"/>
  <c r="R264" i="1" s="1"/>
  <c r="R452" i="1" s="1"/>
  <c r="Y308" i="1"/>
  <c r="Y237" i="1"/>
  <c r="H280" i="1"/>
  <c r="W233" i="1"/>
  <c r="W264" i="1" s="1"/>
  <c r="W454" i="1" s="1"/>
  <c r="Y456" i="1"/>
  <c r="S271" i="1"/>
  <c r="Y280" i="1"/>
  <c r="S275" i="1"/>
  <c r="Y122" i="1"/>
  <c r="S446" i="1"/>
  <c r="R457" i="1"/>
  <c r="Y279" i="1"/>
  <c r="Y120" i="1"/>
  <c r="S453" i="1"/>
  <c r="S452" i="1"/>
  <c r="S440" i="1"/>
  <c r="S270" i="1" s="1"/>
  <c r="S82" i="1"/>
  <c r="S142" i="1" s="1"/>
  <c r="Y457" i="1"/>
  <c r="Y88" i="1"/>
  <c r="Y91" i="1" s="1"/>
  <c r="Y99" i="1" s="1"/>
  <c r="S279" i="1"/>
  <c r="K446" i="1"/>
  <c r="S277" i="1"/>
  <c r="S269" i="1"/>
  <c r="S121" i="1"/>
  <c r="R307" i="1"/>
  <c r="Y307" i="1"/>
  <c r="S448" i="1"/>
  <c r="S276" i="1"/>
  <c r="W237" i="1"/>
  <c r="S307" i="1"/>
  <c r="K453" i="1"/>
  <c r="H446" i="1"/>
  <c r="H450" i="1"/>
  <c r="H270" i="1"/>
  <c r="S457" i="1"/>
  <c r="H456" i="1"/>
  <c r="Y82" i="1"/>
  <c r="Y130" i="1" s="1"/>
  <c r="N90" i="2"/>
  <c r="N524" i="2" s="1"/>
  <c r="K277" i="1"/>
  <c r="H120" i="1"/>
  <c r="H88" i="1"/>
  <c r="H91" i="1" s="1"/>
  <c r="H99" i="1" s="1"/>
  <c r="H451" i="1"/>
  <c r="R122" i="1"/>
  <c r="S120" i="1"/>
  <c r="K276" i="1"/>
  <c r="K448" i="1"/>
  <c r="H122" i="1"/>
  <c r="Y273" i="1"/>
  <c r="R120" i="1"/>
  <c r="S280" i="1"/>
  <c r="S308" i="1"/>
  <c r="S88" i="1"/>
  <c r="S91" i="1" s="1"/>
  <c r="S99" i="1" s="1"/>
  <c r="K269" i="1"/>
  <c r="K271" i="1"/>
  <c r="H82" i="1"/>
  <c r="E8" i="2" s="1"/>
  <c r="H457" i="1"/>
  <c r="H307" i="1"/>
  <c r="H312" i="1" s="1"/>
  <c r="E199" i="2" s="1"/>
  <c r="H276" i="1"/>
  <c r="S456" i="1"/>
  <c r="K454" i="1"/>
  <c r="K452" i="1"/>
  <c r="H279" i="1"/>
  <c r="H121" i="1"/>
  <c r="K456" i="1"/>
  <c r="H274" i="1"/>
  <c r="H273" i="1"/>
  <c r="M457" i="1"/>
  <c r="R82" i="1"/>
  <c r="R130" i="1" s="1"/>
  <c r="U440" i="1"/>
  <c r="U450" i="1" s="1"/>
  <c r="M308" i="1"/>
  <c r="R456" i="1"/>
  <c r="R121" i="1"/>
  <c r="M456" i="1"/>
  <c r="K82" i="1"/>
  <c r="K131" i="1" s="1"/>
  <c r="M82" i="1"/>
  <c r="M142" i="1" s="1"/>
  <c r="M307" i="1"/>
  <c r="R88" i="1"/>
  <c r="R91" i="1" s="1"/>
  <c r="R99" i="1" s="1"/>
  <c r="R308" i="1"/>
  <c r="R280" i="1"/>
  <c r="M122" i="1"/>
  <c r="E478" i="2"/>
  <c r="O478" i="2" s="1"/>
  <c r="O479" i="2" s="1"/>
  <c r="H453" i="1"/>
  <c r="Y451" i="1"/>
  <c r="K280" i="1"/>
  <c r="H452" i="1"/>
  <c r="R13" i="2"/>
  <c r="AA90" i="2"/>
  <c r="K457" i="1"/>
  <c r="H275" i="1"/>
  <c r="R274" i="1"/>
  <c r="R273" i="1"/>
  <c r="R270" i="1"/>
  <c r="R450" i="1"/>
  <c r="S445" i="2"/>
  <c r="P13" i="2"/>
  <c r="Y271" i="1"/>
  <c r="Y447" i="1"/>
  <c r="G445" i="2"/>
  <c r="AF204" i="2"/>
  <c r="J52" i="2"/>
  <c r="O204" i="2"/>
  <c r="K88" i="1"/>
  <c r="K91" i="1" s="1"/>
  <c r="K99" i="1" s="1"/>
  <c r="R414" i="1"/>
  <c r="V204" i="2"/>
  <c r="Q90" i="2"/>
  <c r="Q524" i="2" s="1"/>
  <c r="Q553" i="2" s="1"/>
  <c r="W440" i="1"/>
  <c r="W450" i="1" s="1"/>
  <c r="H90" i="2"/>
  <c r="H524" i="2" s="1"/>
  <c r="AE90" i="2"/>
  <c r="M13" i="2"/>
  <c r="AE445" i="2"/>
  <c r="K122" i="1"/>
  <c r="M440" i="1"/>
  <c r="M450" i="1" s="1"/>
  <c r="R451" i="1"/>
  <c r="AE204" i="2"/>
  <c r="AC90" i="2"/>
  <c r="Q204" i="2"/>
  <c r="T90" i="2"/>
  <c r="R204" i="2"/>
  <c r="S204" i="2"/>
  <c r="AC52" i="2"/>
  <c r="M52" i="2"/>
  <c r="M280" i="1"/>
  <c r="M88" i="1"/>
  <c r="M91" i="1" s="1"/>
  <c r="M99" i="1" s="1"/>
  <c r="M121" i="1"/>
  <c r="H269" i="1"/>
  <c r="H454" i="1"/>
  <c r="H448" i="1"/>
  <c r="AA237" i="1"/>
  <c r="R447" i="1"/>
  <c r="Z90" i="2"/>
  <c r="P52" i="2"/>
  <c r="I13" i="2"/>
  <c r="U52" i="2"/>
  <c r="Q445" i="2"/>
  <c r="AB13" i="2"/>
  <c r="I90" i="2"/>
  <c r="I524" i="2" s="1"/>
  <c r="K204" i="2"/>
  <c r="W90" i="2"/>
  <c r="M279" i="1"/>
  <c r="H271" i="1"/>
  <c r="M237" i="1"/>
  <c r="AA440" i="1"/>
  <c r="AA414" i="1"/>
  <c r="L90" i="2"/>
  <c r="L524" i="2" s="1"/>
  <c r="I52" i="2"/>
  <c r="AE52" i="2"/>
  <c r="U204" i="2"/>
  <c r="N445" i="2"/>
  <c r="O52" i="2"/>
  <c r="N13" i="2"/>
  <c r="AF13" i="2"/>
  <c r="O445" i="2"/>
  <c r="P445" i="2"/>
  <c r="Z445" i="2"/>
  <c r="W204" i="2"/>
  <c r="Y445" i="2"/>
  <c r="AA204" i="2"/>
  <c r="N204" i="2"/>
  <c r="J90" i="2"/>
  <c r="J524" i="2" s="1"/>
  <c r="J553" i="2" s="1"/>
  <c r="Y204" i="2"/>
  <c r="M233" i="1"/>
  <c r="M264" i="1" s="1"/>
  <c r="M277" i="1" s="1"/>
  <c r="G204" i="2"/>
  <c r="U13" i="2"/>
  <c r="AD13" i="2"/>
  <c r="L445" i="2"/>
  <c r="S52" i="2"/>
  <c r="Q13" i="2"/>
  <c r="Z52" i="2"/>
  <c r="T445" i="2"/>
  <c r="R445" i="2"/>
  <c r="AD90" i="2"/>
  <c r="X13" i="2"/>
  <c r="X204" i="2"/>
  <c r="Z13" i="2"/>
  <c r="AF445" i="2"/>
  <c r="AC13" i="2"/>
  <c r="X52" i="2"/>
  <c r="P204" i="2"/>
  <c r="AD445" i="2"/>
  <c r="M445" i="2"/>
  <c r="L52" i="2"/>
  <c r="X445" i="2"/>
  <c r="AA52" i="2"/>
  <c r="F90" i="2"/>
  <c r="F524" i="2" s="1"/>
  <c r="G13" i="2"/>
  <c r="N52" i="2"/>
  <c r="G52" i="2"/>
  <c r="M204" i="2"/>
  <c r="H204" i="2"/>
  <c r="V90" i="2"/>
  <c r="AD204" i="2"/>
  <c r="P90" i="2"/>
  <c r="P524" i="2" s="1"/>
  <c r="Y52" i="2"/>
  <c r="T204" i="2"/>
  <c r="J204" i="2"/>
  <c r="Y453" i="1"/>
  <c r="AA233" i="1"/>
  <c r="AA264" i="1" s="1"/>
  <c r="AA276" i="1" s="1"/>
  <c r="AE13" i="2"/>
  <c r="AA445" i="2"/>
  <c r="O90" i="2"/>
  <c r="O524" i="2" s="1"/>
  <c r="L204" i="2"/>
  <c r="M90" i="2"/>
  <c r="M524" i="2" s="1"/>
  <c r="Q52" i="2"/>
  <c r="K52" i="2"/>
  <c r="AF90" i="2"/>
  <c r="Y90" i="2"/>
  <c r="W13" i="2"/>
  <c r="AB204" i="2"/>
  <c r="U90" i="2"/>
  <c r="G90" i="2"/>
  <c r="G524" i="2" s="1"/>
  <c r="AC445" i="2"/>
  <c r="Y13" i="2"/>
  <c r="F52" i="2"/>
  <c r="K445" i="2"/>
  <c r="J13" i="2"/>
  <c r="AB445" i="2"/>
  <c r="H52" i="2"/>
  <c r="S13" i="2"/>
  <c r="H13" i="2"/>
  <c r="R52" i="2"/>
  <c r="R90" i="2"/>
  <c r="R524" i="2" s="1"/>
  <c r="R553" i="2" s="1"/>
  <c r="I204" i="2"/>
  <c r="L13" i="2"/>
  <c r="I445" i="2"/>
  <c r="F204" i="2"/>
  <c r="AA13" i="2"/>
  <c r="K13" i="2"/>
  <c r="S90" i="2"/>
  <c r="Z204" i="2"/>
  <c r="V13" i="2"/>
  <c r="AB90" i="2"/>
  <c r="V52" i="2"/>
  <c r="F445" i="2"/>
  <c r="V445" i="2"/>
  <c r="F13" i="2"/>
  <c r="X90" i="2"/>
  <c r="AB52" i="2"/>
  <c r="J445" i="2"/>
  <c r="K90" i="2"/>
  <c r="K524" i="2" s="1"/>
  <c r="W52" i="2"/>
  <c r="AC204" i="2"/>
  <c r="U445" i="2"/>
  <c r="AF52" i="2"/>
  <c r="W445" i="2"/>
  <c r="T13" i="2"/>
  <c r="O13" i="2"/>
  <c r="H445" i="2"/>
  <c r="Y448" i="1"/>
  <c r="AA121" i="1"/>
  <c r="AA308" i="1"/>
  <c r="AA307" i="1"/>
  <c r="AA456" i="1"/>
  <c r="AA88" i="1"/>
  <c r="AA91" i="1" s="1"/>
  <c r="AA99" i="1" s="1"/>
  <c r="AA280" i="1"/>
  <c r="AA457" i="1"/>
  <c r="AA279" i="1"/>
  <c r="AA120" i="1"/>
  <c r="AA122" i="1"/>
  <c r="Y274" i="1"/>
  <c r="W82" i="1"/>
  <c r="W130" i="1" s="1"/>
  <c r="K120" i="1"/>
  <c r="K121" i="1"/>
  <c r="Y270" i="1"/>
  <c r="K279" i="1"/>
  <c r="K307" i="1"/>
  <c r="K312" i="1" s="1"/>
  <c r="E204" i="2" s="1"/>
  <c r="Y414" i="1"/>
  <c r="AA82" i="1"/>
  <c r="Y276" i="1"/>
  <c r="Y275" i="1"/>
  <c r="Q473" i="2"/>
  <c r="Y277" i="1"/>
  <c r="Y454" i="1"/>
  <c r="Y446" i="1"/>
  <c r="U473" i="2"/>
  <c r="O473" i="2"/>
  <c r="M473" i="2"/>
  <c r="Y269" i="1"/>
  <c r="S473" i="2"/>
  <c r="U120" i="1"/>
  <c r="U279" i="1"/>
  <c r="U457" i="1"/>
  <c r="U307" i="1"/>
  <c r="U280" i="1"/>
  <c r="U308" i="1"/>
  <c r="U456" i="1"/>
  <c r="U88" i="1"/>
  <c r="U91" i="1" s="1"/>
  <c r="U99" i="1" s="1"/>
  <c r="U122" i="1"/>
  <c r="U121" i="1"/>
  <c r="U82" i="1"/>
  <c r="V473" i="2"/>
  <c r="G473" i="2"/>
  <c r="W473" i="2"/>
  <c r="P473" i="2"/>
  <c r="AE473" i="2"/>
  <c r="Y473" i="2"/>
  <c r="Z473" i="2"/>
  <c r="AF473" i="2"/>
  <c r="X473" i="2"/>
  <c r="AB473" i="2"/>
  <c r="T473" i="2"/>
  <c r="AA473" i="2"/>
  <c r="AC473" i="2"/>
  <c r="R473" i="2"/>
  <c r="AD473" i="2"/>
  <c r="G316" i="2"/>
  <c r="N475" i="2"/>
  <c r="N471" i="2"/>
  <c r="N472" i="2" s="1"/>
  <c r="N473" i="2" s="1"/>
  <c r="I202" i="15"/>
  <c r="I204" i="15" s="1"/>
  <c r="I34" i="15" s="1"/>
  <c r="L475" i="2"/>
  <c r="L471" i="2"/>
  <c r="L472" i="2" s="1"/>
  <c r="L473" i="2" s="1"/>
  <c r="I417" i="2"/>
  <c r="AG430" i="2"/>
  <c r="AH430" i="2" s="1"/>
  <c r="K485" i="2"/>
  <c r="AG484" i="2"/>
  <c r="AH484" i="2" s="1"/>
  <c r="F487" i="2"/>
  <c r="F440" i="2"/>
  <c r="H440" i="2"/>
  <c r="H487" i="2"/>
  <c r="M242" i="2"/>
  <c r="G452" i="2"/>
  <c r="M128" i="2"/>
  <c r="V128" i="2"/>
  <c r="AE242" i="2"/>
  <c r="O242" i="2"/>
  <c r="X452" i="2"/>
  <c r="W166" i="2"/>
  <c r="U242" i="2"/>
  <c r="M452" i="2"/>
  <c r="H242" i="2"/>
  <c r="G166" i="2"/>
  <c r="P166" i="2"/>
  <c r="F452" i="2"/>
  <c r="AC280" i="2"/>
  <c r="P452" i="2"/>
  <c r="K166" i="2"/>
  <c r="I242" i="2"/>
  <c r="G128" i="2"/>
  <c r="J452" i="2"/>
  <c r="T452" i="2"/>
  <c r="AE128" i="2"/>
  <c r="H280" i="2"/>
  <c r="AC242" i="2"/>
  <c r="W280" i="2"/>
  <c r="Q452" i="2"/>
  <c r="AB242" i="2"/>
  <c r="S280" i="2"/>
  <c r="R128" i="2"/>
  <c r="V242" i="2"/>
  <c r="N166" i="2"/>
  <c r="I280" i="2"/>
  <c r="N280" i="2"/>
  <c r="O452" i="2"/>
  <c r="Y166" i="2"/>
  <c r="S242" i="2"/>
  <c r="Y280" i="2"/>
  <c r="U452" i="2"/>
  <c r="P280" i="2"/>
  <c r="AE166" i="2"/>
  <c r="H166" i="2"/>
  <c r="Y452" i="2"/>
  <c r="L452" i="2"/>
  <c r="Q128" i="2"/>
  <c r="Q242" i="2"/>
  <c r="V452" i="2"/>
  <c r="F166" i="2"/>
  <c r="O166" i="2"/>
  <c r="AD280" i="2"/>
  <c r="J166" i="2"/>
  <c r="K452" i="2"/>
  <c r="N242" i="2"/>
  <c r="AA452" i="2"/>
  <c r="G280" i="2"/>
  <c r="AA242" i="2"/>
  <c r="AA128" i="2"/>
  <c r="Y128" i="2"/>
  <c r="X242" i="2"/>
  <c r="R166" i="2"/>
  <c r="I166" i="2"/>
  <c r="P242" i="2"/>
  <c r="T280" i="2"/>
  <c r="Z452" i="2"/>
  <c r="T166" i="2"/>
  <c r="H128" i="2"/>
  <c r="AC166" i="2"/>
  <c r="T128" i="2"/>
  <c r="AF166" i="2"/>
  <c r="X128" i="2"/>
  <c r="R452" i="2"/>
  <c r="X280" i="2"/>
  <c r="W452" i="2"/>
  <c r="L242" i="2"/>
  <c r="X166" i="2"/>
  <c r="K280" i="2"/>
  <c r="AA166" i="2"/>
  <c r="G242" i="2"/>
  <c r="AB452" i="2"/>
  <c r="Z280" i="2"/>
  <c r="L166" i="2"/>
  <c r="J242" i="2"/>
  <c r="H452" i="2"/>
  <c r="N452" i="2"/>
  <c r="O128" i="2"/>
  <c r="AF242" i="2"/>
  <c r="U280" i="2"/>
  <c r="AE280" i="2"/>
  <c r="AF452" i="2"/>
  <c r="O280" i="2"/>
  <c r="Z166" i="2"/>
  <c r="K128" i="2"/>
  <c r="V280" i="2"/>
  <c r="AF128" i="2"/>
  <c r="M280" i="2"/>
  <c r="K242" i="2"/>
  <c r="AD166" i="2"/>
  <c r="AD128" i="2"/>
  <c r="AC128" i="2"/>
  <c r="AC452" i="2"/>
  <c r="AB128" i="2"/>
  <c r="J280" i="2"/>
  <c r="Q280" i="2"/>
  <c r="U128" i="2"/>
  <c r="W128" i="2"/>
  <c r="AA280" i="2"/>
  <c r="F242" i="2"/>
  <c r="AD452" i="2"/>
  <c r="U166" i="2"/>
  <c r="M166" i="2"/>
  <c r="T242" i="2"/>
  <c r="V166" i="2"/>
  <c r="S452" i="2"/>
  <c r="F128" i="2"/>
  <c r="S166" i="2"/>
  <c r="Q166" i="2"/>
  <c r="I452" i="2"/>
  <c r="AB280" i="2"/>
  <c r="S128" i="2"/>
  <c r="J128" i="2"/>
  <c r="AF280" i="2"/>
  <c r="P128" i="2"/>
  <c r="N128" i="2"/>
  <c r="Y242" i="2"/>
  <c r="F280" i="2"/>
  <c r="AE452" i="2"/>
  <c r="L280" i="2"/>
  <c r="Z128" i="2"/>
  <c r="AD242" i="2"/>
  <c r="I128" i="2"/>
  <c r="L128" i="2"/>
  <c r="Z242" i="2"/>
  <c r="R242" i="2"/>
  <c r="AB166" i="2"/>
  <c r="W242" i="2"/>
  <c r="R280" i="2"/>
  <c r="I82" i="1"/>
  <c r="W308" i="1"/>
  <c r="W121" i="1"/>
  <c r="W456" i="1"/>
  <c r="W279" i="1"/>
  <c r="W88" i="1"/>
  <c r="W91" i="1" s="1"/>
  <c r="W99" i="1" s="1"/>
  <c r="W120" i="1"/>
  <c r="W457" i="1"/>
  <c r="W280" i="1"/>
  <c r="W307" i="1"/>
  <c r="W122" i="1"/>
  <c r="I412" i="1"/>
  <c r="AG416" i="2"/>
  <c r="AH416" i="2" s="1"/>
  <c r="H316" i="2"/>
  <c r="AG461" i="2"/>
  <c r="AH461" i="2" s="1"/>
  <c r="G32" i="8"/>
  <c r="E414" i="2" s="1"/>
  <c r="F414" i="2"/>
  <c r="AG407" i="2"/>
  <c r="AH407" i="2" s="1"/>
  <c r="F408" i="2"/>
  <c r="I233" i="1"/>
  <c r="I235" i="1"/>
  <c r="AG412" i="2"/>
  <c r="AH412" i="2" s="1"/>
  <c r="I487" i="2"/>
  <c r="K447" i="2"/>
  <c r="K443" i="2"/>
  <c r="K444" i="2" s="1"/>
  <c r="H202" i="15"/>
  <c r="I457" i="1"/>
  <c r="I280" i="1"/>
  <c r="I279" i="1"/>
  <c r="I122" i="1"/>
  <c r="I88" i="1"/>
  <c r="I120" i="1"/>
  <c r="I456" i="1"/>
  <c r="I307" i="1"/>
  <c r="I121" i="1"/>
  <c r="I308" i="1"/>
  <c r="F619" i="2" l="1"/>
  <c r="F553" i="2"/>
  <c r="AG414" i="2"/>
  <c r="AB401" i="1"/>
  <c r="AC401" i="1" s="1"/>
  <c r="AB383" i="1"/>
  <c r="AC383" i="1" s="1"/>
  <c r="AB112" i="1"/>
  <c r="AC112" i="1" s="1"/>
  <c r="AB205" i="1"/>
  <c r="AC205" i="1" s="1"/>
  <c r="AB222" i="1"/>
  <c r="AC222" i="1" s="1"/>
  <c r="AB297" i="1"/>
  <c r="AC297" i="1" s="1"/>
  <c r="P89" i="1"/>
  <c r="P136" i="1"/>
  <c r="P399" i="1"/>
  <c r="P390" i="1"/>
  <c r="P78" i="1"/>
  <c r="P227" i="1"/>
  <c r="P202" i="1"/>
  <c r="P380" i="1"/>
  <c r="P220" i="1"/>
  <c r="P139" i="1"/>
  <c r="P213" i="1"/>
  <c r="P138" i="1"/>
  <c r="P211" i="1"/>
  <c r="P87" i="1"/>
  <c r="P137" i="1"/>
  <c r="P406" i="1"/>
  <c r="P108" i="1"/>
  <c r="P310" i="1"/>
  <c r="P105" i="1"/>
  <c r="P56" i="1"/>
  <c r="P9" i="1" s="1"/>
  <c r="P306" i="1"/>
  <c r="O87" i="1"/>
  <c r="AB87" i="1" s="1"/>
  <c r="AC87" i="1" s="1"/>
  <c r="O406" i="1"/>
  <c r="O89" i="1"/>
  <c r="O139" i="1"/>
  <c r="O220" i="1"/>
  <c r="E455" i="2"/>
  <c r="AB54" i="1"/>
  <c r="AC54" i="1" s="1"/>
  <c r="O390" i="1"/>
  <c r="O389" i="1"/>
  <c r="AB389" i="1" s="1"/>
  <c r="AC389" i="1" s="1"/>
  <c r="O136" i="1"/>
  <c r="O78" i="1"/>
  <c r="O211" i="1"/>
  <c r="O213" i="1"/>
  <c r="O380" i="1"/>
  <c r="O108" i="1"/>
  <c r="O137" i="1"/>
  <c r="O138" i="1"/>
  <c r="O399" i="1"/>
  <c r="O56" i="1"/>
  <c r="O227" i="1"/>
  <c r="O202" i="1"/>
  <c r="O306" i="1"/>
  <c r="O105" i="1"/>
  <c r="O310" i="1"/>
  <c r="H553" i="2"/>
  <c r="G553" i="2"/>
  <c r="M553" i="2"/>
  <c r="L553" i="2"/>
  <c r="I553" i="2"/>
  <c r="N553" i="2"/>
  <c r="K270" i="1"/>
  <c r="K451" i="1"/>
  <c r="K447" i="1"/>
  <c r="K273" i="1"/>
  <c r="K450" i="1"/>
  <c r="H180" i="1"/>
  <c r="H237" i="1" s="1"/>
  <c r="H365" i="1"/>
  <c r="H414" i="1" s="1"/>
  <c r="U275" i="1"/>
  <c r="U277" i="1"/>
  <c r="I237" i="1"/>
  <c r="U446" i="1"/>
  <c r="U454" i="1"/>
  <c r="U453" i="1"/>
  <c r="U452" i="1"/>
  <c r="U269" i="1"/>
  <c r="U448" i="1"/>
  <c r="U271" i="1"/>
  <c r="Y312" i="1"/>
  <c r="E226" i="2" s="1"/>
  <c r="W312" i="1"/>
  <c r="E223" i="2" s="1"/>
  <c r="R275" i="1"/>
  <c r="R271" i="1"/>
  <c r="R269" i="1"/>
  <c r="R277" i="1"/>
  <c r="R276" i="1"/>
  <c r="R453" i="1"/>
  <c r="R446" i="1"/>
  <c r="R454" i="1"/>
  <c r="R448" i="1"/>
  <c r="G478" i="2"/>
  <c r="G479" i="2" s="1"/>
  <c r="W452" i="1"/>
  <c r="W269" i="1"/>
  <c r="W446" i="1"/>
  <c r="S451" i="1"/>
  <c r="S274" i="1"/>
  <c r="S450" i="1"/>
  <c r="E13" i="2"/>
  <c r="H130" i="1"/>
  <c r="W276" i="1"/>
  <c r="W275" i="1"/>
  <c r="W453" i="1"/>
  <c r="W277" i="1"/>
  <c r="W448" i="1"/>
  <c r="W271" i="1"/>
  <c r="AE478" i="2"/>
  <c r="AE479" i="2" s="1"/>
  <c r="K142" i="1"/>
  <c r="AB478" i="2"/>
  <c r="AB479" i="2" s="1"/>
  <c r="K130" i="1"/>
  <c r="U478" i="2"/>
  <c r="U479" i="2" s="1"/>
  <c r="AD478" i="2"/>
  <c r="AD479" i="2" s="1"/>
  <c r="S130" i="1"/>
  <c r="S273" i="1"/>
  <c r="S447" i="1"/>
  <c r="R312" i="1"/>
  <c r="E215" i="2" s="1"/>
  <c r="S312" i="1"/>
  <c r="E216" i="2" s="1"/>
  <c r="T216" i="2" s="1"/>
  <c r="S98" i="1"/>
  <c r="S101" i="1" s="1"/>
  <c r="S104" i="1" s="1"/>
  <c r="S124" i="1" s="1"/>
  <c r="S126" i="1" s="1"/>
  <c r="S131" i="1"/>
  <c r="E25" i="2"/>
  <c r="F25" i="2" s="1"/>
  <c r="Y142" i="1"/>
  <c r="U451" i="1"/>
  <c r="E35" i="2"/>
  <c r="M35" i="2" s="1"/>
  <c r="Y93" i="1"/>
  <c r="E24" i="2"/>
  <c r="R24" i="2" s="1"/>
  <c r="U274" i="1"/>
  <c r="H142" i="1"/>
  <c r="H98" i="1"/>
  <c r="H101" i="1" s="1"/>
  <c r="H104" i="1" s="1"/>
  <c r="H124" i="1" s="1"/>
  <c r="H126" i="1" s="1"/>
  <c r="M478" i="2"/>
  <c r="M479" i="2" s="1"/>
  <c r="Y131" i="1"/>
  <c r="Y98" i="1"/>
  <c r="Y101" i="1" s="1"/>
  <c r="Y104" i="1" s="1"/>
  <c r="Y124" i="1" s="1"/>
  <c r="Y126" i="1" s="1"/>
  <c r="H131" i="1"/>
  <c r="H93" i="1"/>
  <c r="K98" i="1"/>
  <c r="K101" i="1" s="1"/>
  <c r="K104" i="1" s="1"/>
  <c r="K124" i="1" s="1"/>
  <c r="K126" i="1" s="1"/>
  <c r="K449" i="1" s="1"/>
  <c r="Y478" i="2"/>
  <c r="Y479" i="2" s="1"/>
  <c r="W478" i="2"/>
  <c r="W479" i="2" s="1"/>
  <c r="R98" i="1"/>
  <c r="R101" i="1" s="1"/>
  <c r="R104" i="1" s="1"/>
  <c r="R124" i="1" s="1"/>
  <c r="R126" i="1" s="1"/>
  <c r="R131" i="1"/>
  <c r="R142" i="1"/>
  <c r="R93" i="1"/>
  <c r="AC478" i="2"/>
  <c r="AC479" i="2" s="1"/>
  <c r="T478" i="2"/>
  <c r="T479" i="2" s="1"/>
  <c r="Q478" i="2"/>
  <c r="Q479" i="2" s="1"/>
  <c r="M274" i="1"/>
  <c r="W98" i="1"/>
  <c r="W101" i="1" s="1"/>
  <c r="M448" i="1"/>
  <c r="W447" i="1"/>
  <c r="S93" i="1"/>
  <c r="M447" i="1"/>
  <c r="M312" i="1"/>
  <c r="E207" i="2" s="1"/>
  <c r="G207" i="2" s="1"/>
  <c r="U270" i="1"/>
  <c r="W142" i="1"/>
  <c r="U447" i="1"/>
  <c r="M131" i="1"/>
  <c r="M273" i="1"/>
  <c r="M130" i="1"/>
  <c r="E32" i="2"/>
  <c r="I32" i="2" s="1"/>
  <c r="U273" i="1"/>
  <c r="M452" i="1"/>
  <c r="AA454" i="1"/>
  <c r="P553" i="2"/>
  <c r="L478" i="2"/>
  <c r="L479" i="2" s="1"/>
  <c r="S478" i="2"/>
  <c r="S479" i="2" s="1"/>
  <c r="AF478" i="2"/>
  <c r="AF479" i="2" s="1"/>
  <c r="AA478" i="2"/>
  <c r="AA479" i="2" s="1"/>
  <c r="X478" i="2"/>
  <c r="X479" i="2" s="1"/>
  <c r="R478" i="2"/>
  <c r="R479" i="2" s="1"/>
  <c r="M98" i="1"/>
  <c r="M101" i="1" s="1"/>
  <c r="M104" i="1" s="1"/>
  <c r="M124" i="1" s="1"/>
  <c r="M126" i="1" s="1"/>
  <c r="N478" i="2"/>
  <c r="N479" i="2" s="1"/>
  <c r="E479" i="2"/>
  <c r="O480" i="2" s="1"/>
  <c r="P478" i="2"/>
  <c r="P479" i="2" s="1"/>
  <c r="Z478" i="2"/>
  <c r="Z479" i="2" s="1"/>
  <c r="V478" i="2"/>
  <c r="V479" i="2" s="1"/>
  <c r="E16" i="2"/>
  <c r="Q16" i="2" s="1"/>
  <c r="W274" i="1"/>
  <c r="W451" i="1"/>
  <c r="W273" i="1"/>
  <c r="W270" i="1"/>
  <c r="AA446" i="1"/>
  <c r="K553" i="2"/>
  <c r="M275" i="1"/>
  <c r="M271" i="1"/>
  <c r="M270" i="1"/>
  <c r="AA277" i="1"/>
  <c r="AA271" i="1"/>
  <c r="AA275" i="1"/>
  <c r="M276" i="1"/>
  <c r="K93" i="1"/>
  <c r="M451" i="1"/>
  <c r="AG445" i="2"/>
  <c r="AH445" i="2" s="1"/>
  <c r="AG204" i="2"/>
  <c r="AH204" i="2" s="1"/>
  <c r="AG52" i="2"/>
  <c r="AG13" i="2"/>
  <c r="AG90" i="2"/>
  <c r="M269" i="1"/>
  <c r="M454" i="1"/>
  <c r="M93" i="1"/>
  <c r="M446" i="1"/>
  <c r="M453" i="1"/>
  <c r="W131" i="1"/>
  <c r="AA448" i="1"/>
  <c r="AA452" i="1"/>
  <c r="AA269" i="1"/>
  <c r="AA453" i="1"/>
  <c r="AA274" i="1"/>
  <c r="AA450" i="1"/>
  <c r="AA451" i="1"/>
  <c r="AA273" i="1"/>
  <c r="AA270" i="1"/>
  <c r="AA447" i="1"/>
  <c r="AA312" i="1"/>
  <c r="E229" i="2" s="1"/>
  <c r="I229" i="2" s="1"/>
  <c r="AA130" i="1"/>
  <c r="AA142" i="1"/>
  <c r="E38" i="2"/>
  <c r="I38" i="2" s="1"/>
  <c r="AA93" i="1"/>
  <c r="AA131" i="1"/>
  <c r="AA98" i="1"/>
  <c r="AA101" i="1" s="1"/>
  <c r="AA104" i="1" s="1"/>
  <c r="AA124" i="1" s="1"/>
  <c r="AA126" i="1" s="1"/>
  <c r="I505" i="2"/>
  <c r="J505" i="2"/>
  <c r="J514" i="2" s="1"/>
  <c r="K505" i="2"/>
  <c r="G505" i="2"/>
  <c r="M505" i="2"/>
  <c r="U312" i="1"/>
  <c r="E220" i="2" s="1"/>
  <c r="I220" i="2" s="1"/>
  <c r="L505" i="2"/>
  <c r="N505" i="2"/>
  <c r="U131" i="1"/>
  <c r="U142" i="1"/>
  <c r="U98" i="1"/>
  <c r="U101" i="1" s="1"/>
  <c r="U104" i="1" s="1"/>
  <c r="U124" i="1" s="1"/>
  <c r="U126" i="1" s="1"/>
  <c r="U272" i="1" s="1"/>
  <c r="E29" i="2"/>
  <c r="L29" i="2" s="1"/>
  <c r="U93" i="1"/>
  <c r="U130" i="1"/>
  <c r="O505" i="2"/>
  <c r="O514" i="2" s="1"/>
  <c r="I312" i="1"/>
  <c r="I142" i="1"/>
  <c r="E9" i="2"/>
  <c r="I98" i="1"/>
  <c r="I131" i="1"/>
  <c r="I130" i="1"/>
  <c r="P505" i="2"/>
  <c r="P514" i="2" s="1"/>
  <c r="AG128" i="2"/>
  <c r="F505" i="2"/>
  <c r="H505" i="2"/>
  <c r="R505" i="2"/>
  <c r="R514" i="2" s="1"/>
  <c r="AG524" i="2"/>
  <c r="AH414" i="2"/>
  <c r="I440" i="1"/>
  <c r="I414" i="1"/>
  <c r="AG166" i="2"/>
  <c r="H204" i="15"/>
  <c r="H34" i="15" s="1"/>
  <c r="K468" i="2"/>
  <c r="K450" i="2"/>
  <c r="K451" i="2" s="1"/>
  <c r="I443" i="2"/>
  <c r="I444" i="2" s="1"/>
  <c r="I447" i="2"/>
  <c r="AG280" i="2"/>
  <c r="Q505" i="2"/>
  <c r="Q514" i="2" s="1"/>
  <c r="F443" i="2"/>
  <c r="F447" i="2"/>
  <c r="AG485" i="2"/>
  <c r="AH485" i="2" s="1"/>
  <c r="AG417" i="2"/>
  <c r="AH417" i="2" s="1"/>
  <c r="W93" i="1"/>
  <c r="I264" i="1"/>
  <c r="F314" i="2"/>
  <c r="AG314" i="2" s="1"/>
  <c r="AH314" i="2" s="1"/>
  <c r="AG408" i="2"/>
  <c r="AH408" i="2" s="1"/>
  <c r="I91" i="1"/>
  <c r="I93" i="1" s="1"/>
  <c r="H338" i="2"/>
  <c r="AG242" i="2"/>
  <c r="AG452" i="2"/>
  <c r="AH452" i="2" s="1"/>
  <c r="H447" i="2"/>
  <c r="H443" i="2"/>
  <c r="H444" i="2" s="1"/>
  <c r="G338" i="2"/>
  <c r="F514" i="2" l="1"/>
  <c r="N514" i="2"/>
  <c r="N544" i="2" s="1"/>
  <c r="N567" i="2" s="1"/>
  <c r="G514" i="2"/>
  <c r="G544" i="2" s="1"/>
  <c r="G567" i="2" s="1"/>
  <c r="H514" i="2"/>
  <c r="H544" i="2" s="1"/>
  <c r="H567" i="2" s="1"/>
  <c r="I514" i="2"/>
  <c r="I544" i="2" s="1"/>
  <c r="I567" i="2" s="1"/>
  <c r="L514" i="2"/>
  <c r="L544" i="2" s="1"/>
  <c r="L567" i="2" s="1"/>
  <c r="M514" i="2"/>
  <c r="M544" i="2" s="1"/>
  <c r="M567" i="2" s="1"/>
  <c r="K514" i="2"/>
  <c r="K544" i="2" s="1"/>
  <c r="AB89" i="1"/>
  <c r="AC89" i="1" s="1"/>
  <c r="P408" i="1"/>
  <c r="AB390" i="1"/>
  <c r="AC390" i="1" s="1"/>
  <c r="P392" i="1"/>
  <c r="AB227" i="1"/>
  <c r="AC227" i="1" s="1"/>
  <c r="AB211" i="1"/>
  <c r="AC211" i="1" s="1"/>
  <c r="P229" i="1"/>
  <c r="AB78" i="1"/>
  <c r="AC78" i="1" s="1"/>
  <c r="P215" i="1"/>
  <c r="AB139" i="1"/>
  <c r="AC139" i="1" s="1"/>
  <c r="P141" i="1"/>
  <c r="AB213" i="1"/>
  <c r="AC213" i="1" s="1"/>
  <c r="AB406" i="1"/>
  <c r="AC406" i="1" s="1"/>
  <c r="AB138" i="1"/>
  <c r="AC138" i="1" s="1"/>
  <c r="AB310" i="1"/>
  <c r="AC310" i="1" s="1"/>
  <c r="AB137" i="1"/>
  <c r="AC137" i="1" s="1"/>
  <c r="AB306" i="1"/>
  <c r="AC306" i="1" s="1"/>
  <c r="AB105" i="1"/>
  <c r="AC105" i="1" s="1"/>
  <c r="AB108" i="1"/>
  <c r="AC108" i="1" s="1"/>
  <c r="P64" i="1"/>
  <c r="P58" i="1"/>
  <c r="P67" i="1"/>
  <c r="P68" i="1"/>
  <c r="P8" i="1"/>
  <c r="P77" i="1"/>
  <c r="P63" i="1"/>
  <c r="P10" i="1"/>
  <c r="P309" i="1"/>
  <c r="P71" i="1"/>
  <c r="P73" i="1"/>
  <c r="P69" i="1"/>
  <c r="P65" i="1"/>
  <c r="P70" i="1"/>
  <c r="P66" i="1"/>
  <c r="P72" i="1"/>
  <c r="O65" i="1"/>
  <c r="O77" i="1"/>
  <c r="O63" i="1"/>
  <c r="O8" i="1"/>
  <c r="O309" i="1"/>
  <c r="O10" i="1"/>
  <c r="O69" i="1"/>
  <c r="O72" i="1"/>
  <c r="O68" i="1"/>
  <c r="O64" i="1"/>
  <c r="O9" i="1"/>
  <c r="AB9" i="1" s="1"/>
  <c r="AC9" i="1" s="1"/>
  <c r="O71" i="1"/>
  <c r="O67" i="1"/>
  <c r="AB56" i="1"/>
  <c r="AC56" i="1" s="1"/>
  <c r="O70" i="1"/>
  <c r="O58" i="1"/>
  <c r="O66" i="1"/>
  <c r="O73" i="1"/>
  <c r="AB399" i="1"/>
  <c r="AC399" i="1" s="1"/>
  <c r="O408" i="1"/>
  <c r="O392" i="1"/>
  <c r="AB380" i="1"/>
  <c r="AC380" i="1" s="1"/>
  <c r="O141" i="1"/>
  <c r="AB136" i="1"/>
  <c r="AC136" i="1" s="1"/>
  <c r="E457" i="2"/>
  <c r="E462" i="2"/>
  <c r="AG455" i="2"/>
  <c r="AH455" i="2" s="1"/>
  <c r="AB202" i="1"/>
  <c r="AC202" i="1" s="1"/>
  <c r="O215" i="1"/>
  <c r="O229" i="1"/>
  <c r="AB220" i="1"/>
  <c r="AC220" i="1" s="1"/>
  <c r="AB365" i="1"/>
  <c r="AC365" i="1" s="1"/>
  <c r="AB180" i="1"/>
  <c r="AC180" i="1" s="1"/>
  <c r="AF216" i="2"/>
  <c r="AC24" i="2"/>
  <c r="AH13" i="2"/>
  <c r="AB25" i="2"/>
  <c r="R25" i="2"/>
  <c r="R26" i="2" s="1"/>
  <c r="AA35" i="2"/>
  <c r="T25" i="2"/>
  <c r="AD25" i="2"/>
  <c r="J25" i="2"/>
  <c r="X25" i="2"/>
  <c r="K25" i="2"/>
  <c r="AC25" i="2"/>
  <c r="N25" i="2"/>
  <c r="AF25" i="2"/>
  <c r="M25" i="2"/>
  <c r="J35" i="2"/>
  <c r="AC35" i="2"/>
  <c r="S35" i="2"/>
  <c r="I35" i="2"/>
  <c r="X35" i="2"/>
  <c r="AD216" i="2"/>
  <c r="O216" i="2"/>
  <c r="X216" i="2"/>
  <c r="N216" i="2"/>
  <c r="AA216" i="2"/>
  <c r="W216" i="2"/>
  <c r="P24" i="2"/>
  <c r="V25" i="2"/>
  <c r="W25" i="2"/>
  <c r="L25" i="2"/>
  <c r="AE25" i="2"/>
  <c r="Q25" i="2"/>
  <c r="S25" i="2"/>
  <c r="I24" i="2"/>
  <c r="P25" i="2"/>
  <c r="I25" i="2"/>
  <c r="AA25" i="2"/>
  <c r="Y25" i="2"/>
  <c r="Z25" i="2"/>
  <c r="O25" i="2"/>
  <c r="H25" i="2"/>
  <c r="J216" i="2"/>
  <c r="U216" i="2"/>
  <c r="V216" i="2"/>
  <c r="L216" i="2"/>
  <c r="H216" i="2"/>
  <c r="Y216" i="2"/>
  <c r="Z216" i="2"/>
  <c r="AE216" i="2"/>
  <c r="S216" i="2"/>
  <c r="I216" i="2"/>
  <c r="P216" i="2"/>
  <c r="M216" i="2"/>
  <c r="Z24" i="2"/>
  <c r="U35" i="2"/>
  <c r="AE35" i="2"/>
  <c r="AC216" i="2"/>
  <c r="K216" i="2"/>
  <c r="Q216" i="2"/>
  <c r="K24" i="2"/>
  <c r="F216" i="2"/>
  <c r="R216" i="2"/>
  <c r="AB216" i="2"/>
  <c r="G216" i="2"/>
  <c r="O35" i="2"/>
  <c r="K35" i="2"/>
  <c r="E26" i="2"/>
  <c r="G24" i="2"/>
  <c r="V35" i="2"/>
  <c r="N35" i="2"/>
  <c r="F35" i="2"/>
  <c r="H24" i="2"/>
  <c r="AE24" i="2"/>
  <c r="F24" i="2"/>
  <c r="F26" i="2" s="1"/>
  <c r="AB35" i="2"/>
  <c r="Q35" i="2"/>
  <c r="AD35" i="2"/>
  <c r="W35" i="2"/>
  <c r="Y35" i="2"/>
  <c r="P35" i="2"/>
  <c r="AF24" i="2"/>
  <c r="Z220" i="2"/>
  <c r="V24" i="2"/>
  <c r="N24" i="2"/>
  <c r="AB24" i="2"/>
  <c r="Z35" i="2"/>
  <c r="H35" i="2"/>
  <c r="AF35" i="2"/>
  <c r="L35" i="2"/>
  <c r="R35" i="2"/>
  <c r="T35" i="2"/>
  <c r="G35" i="2"/>
  <c r="G25" i="2"/>
  <c r="U25" i="2"/>
  <c r="AB32" i="2"/>
  <c r="AD32" i="2"/>
  <c r="O24" i="2"/>
  <c r="AD24" i="2"/>
  <c r="T24" i="2"/>
  <c r="J24" i="2"/>
  <c r="AA24" i="2"/>
  <c r="U24" i="2"/>
  <c r="Y24" i="2"/>
  <c r="X24" i="2"/>
  <c r="Q24" i="2"/>
  <c r="W24" i="2"/>
  <c r="L24" i="2"/>
  <c r="S24" i="2"/>
  <c r="M24" i="2"/>
  <c r="R316" i="1"/>
  <c r="E291" i="2" s="1"/>
  <c r="L291" i="2" s="1"/>
  <c r="E63" i="2"/>
  <c r="K63" i="2" s="1"/>
  <c r="R278" i="1"/>
  <c r="R318" i="1"/>
  <c r="U32" i="2"/>
  <c r="M32" i="2"/>
  <c r="AF32" i="2"/>
  <c r="K324" i="1"/>
  <c r="Q32" i="2"/>
  <c r="G32" i="2"/>
  <c r="AB480" i="2"/>
  <c r="AF16" i="2"/>
  <c r="J32" i="2"/>
  <c r="Z32" i="2"/>
  <c r="N32" i="2"/>
  <c r="R314" i="1"/>
  <c r="E253" i="2" s="1"/>
  <c r="M253" i="2" s="1"/>
  <c r="S32" i="2"/>
  <c r="O32" i="2"/>
  <c r="X32" i="2"/>
  <c r="F32" i="2"/>
  <c r="R449" i="1"/>
  <c r="R455" i="1"/>
  <c r="AC32" i="2"/>
  <c r="P32" i="2"/>
  <c r="W32" i="2"/>
  <c r="R32" i="2"/>
  <c r="T32" i="2"/>
  <c r="AE32" i="2"/>
  <c r="K32" i="2"/>
  <c r="R324" i="1"/>
  <c r="R272" i="1"/>
  <c r="T480" i="2"/>
  <c r="AD16" i="2"/>
  <c r="X16" i="2"/>
  <c r="N16" i="2"/>
  <c r="H32" i="2"/>
  <c r="Y32" i="2"/>
  <c r="AA32" i="2"/>
  <c r="V32" i="2"/>
  <c r="L32" i="2"/>
  <c r="L16" i="2"/>
  <c r="R281" i="1"/>
  <c r="R322" i="1"/>
  <c r="R320" i="1"/>
  <c r="G480" i="2"/>
  <c r="G16" i="2"/>
  <c r="U480" i="2"/>
  <c r="M480" i="2"/>
  <c r="AA480" i="2"/>
  <c r="AE480" i="2"/>
  <c r="AC16" i="2"/>
  <c r="AF480" i="2"/>
  <c r="V480" i="2"/>
  <c r="AD480" i="2"/>
  <c r="Y480" i="2"/>
  <c r="Z16" i="2"/>
  <c r="V16" i="2"/>
  <c r="AB16" i="2"/>
  <c r="S480" i="2"/>
  <c r="Q480" i="2"/>
  <c r="O16" i="2"/>
  <c r="R480" i="2"/>
  <c r="W16" i="2"/>
  <c r="AA16" i="2"/>
  <c r="Y16" i="2"/>
  <c r="P480" i="2"/>
  <c r="Z480" i="2"/>
  <c r="AC480" i="2"/>
  <c r="X480" i="2"/>
  <c r="T16" i="2"/>
  <c r="P16" i="2"/>
  <c r="AE16" i="2"/>
  <c r="R16" i="2"/>
  <c r="N480" i="2"/>
  <c r="W480" i="2"/>
  <c r="L480" i="2"/>
  <c r="S16" i="2"/>
  <c r="M16" i="2"/>
  <c r="U16" i="2"/>
  <c r="K320" i="1"/>
  <c r="U455" i="1"/>
  <c r="K281" i="1"/>
  <c r="K272" i="1"/>
  <c r="K314" i="1"/>
  <c r="E242" i="2" s="1"/>
  <c r="AH242" i="2" s="1"/>
  <c r="K316" i="1"/>
  <c r="E280" i="2" s="1"/>
  <c r="AH280" i="2" s="1"/>
  <c r="K318" i="1"/>
  <c r="K322" i="1"/>
  <c r="K278" i="1"/>
  <c r="E52" i="2"/>
  <c r="AH52" i="2" s="1"/>
  <c r="K455" i="1"/>
  <c r="K459" i="1" s="1"/>
  <c r="K461" i="1" s="1"/>
  <c r="K463" i="1" s="1"/>
  <c r="E166" i="2" s="1"/>
  <c r="AH166" i="2" s="1"/>
  <c r="U324" i="1"/>
  <c r="L220" i="2"/>
  <c r="U316" i="1"/>
  <c r="E296" i="2" s="1"/>
  <c r="AB296" i="2" s="1"/>
  <c r="AD220" i="2"/>
  <c r="J220" i="2"/>
  <c r="AC220" i="2"/>
  <c r="E68" i="2"/>
  <c r="AB68" i="2" s="1"/>
  <c r="AF220" i="2"/>
  <c r="U449" i="1"/>
  <c r="T38" i="2"/>
  <c r="K38" i="2"/>
  <c r="AC38" i="2"/>
  <c r="AB38" i="2"/>
  <c r="N38" i="2"/>
  <c r="Z38" i="2"/>
  <c r="O38" i="2"/>
  <c r="AE38" i="2"/>
  <c r="U38" i="2"/>
  <c r="X38" i="2"/>
  <c r="M38" i="2"/>
  <c r="AD38" i="2"/>
  <c r="AF38" i="2"/>
  <c r="R38" i="2"/>
  <c r="F38" i="2"/>
  <c r="G38" i="2"/>
  <c r="V38" i="2"/>
  <c r="L38" i="2"/>
  <c r="Q38" i="2"/>
  <c r="Y38" i="2"/>
  <c r="H38" i="2"/>
  <c r="J38" i="2"/>
  <c r="W38" i="2"/>
  <c r="P38" i="2"/>
  <c r="AA38" i="2"/>
  <c r="S38" i="2"/>
  <c r="AA449" i="1"/>
  <c r="AA281" i="1"/>
  <c r="AA272" i="1"/>
  <c r="AA455" i="1"/>
  <c r="AA322" i="1"/>
  <c r="AA314" i="1"/>
  <c r="AA278" i="1"/>
  <c r="AA318" i="1"/>
  <c r="E77" i="2"/>
  <c r="AA320" i="1"/>
  <c r="AA324" i="1"/>
  <c r="AA316" i="1"/>
  <c r="E305" i="2" s="1"/>
  <c r="AC229" i="2"/>
  <c r="Q229" i="2"/>
  <c r="Y229" i="2"/>
  <c r="AE229" i="2"/>
  <c r="K229" i="2"/>
  <c r="T229" i="2"/>
  <c r="R229" i="2"/>
  <c r="N229" i="2"/>
  <c r="Z229" i="2"/>
  <c r="O229" i="2"/>
  <c r="X229" i="2"/>
  <c r="AF229" i="2"/>
  <c r="AD229" i="2"/>
  <c r="G229" i="2"/>
  <c r="M229" i="2"/>
  <c r="H229" i="2"/>
  <c r="U229" i="2"/>
  <c r="W229" i="2"/>
  <c r="L229" i="2"/>
  <c r="AA229" i="2"/>
  <c r="P229" i="2"/>
  <c r="V229" i="2"/>
  <c r="J229" i="2"/>
  <c r="S229" i="2"/>
  <c r="AB229" i="2"/>
  <c r="F229" i="2"/>
  <c r="Q29" i="2"/>
  <c r="AC207" i="2"/>
  <c r="V29" i="2"/>
  <c r="AD29" i="2"/>
  <c r="P29" i="2"/>
  <c r="V220" i="2"/>
  <c r="R220" i="2"/>
  <c r="N220" i="2"/>
  <c r="K29" i="2"/>
  <c r="U220" i="2"/>
  <c r="L207" i="2"/>
  <c r="U281" i="1"/>
  <c r="U320" i="1"/>
  <c r="U318" i="1"/>
  <c r="U278" i="1"/>
  <c r="X207" i="2"/>
  <c r="N207" i="2"/>
  <c r="W29" i="2"/>
  <c r="AB220" i="2"/>
  <c r="U29" i="2"/>
  <c r="X29" i="2"/>
  <c r="AE220" i="2"/>
  <c r="O29" i="2"/>
  <c r="U322" i="1"/>
  <c r="U314" i="1"/>
  <c r="E258" i="2" s="1"/>
  <c r="U207" i="2"/>
  <c r="S207" i="2"/>
  <c r="M207" i="2"/>
  <c r="Q207" i="2"/>
  <c r="O207" i="2"/>
  <c r="V207" i="2"/>
  <c r="P207" i="2"/>
  <c r="T207" i="2"/>
  <c r="AB207" i="2"/>
  <c r="AD207" i="2"/>
  <c r="Y207" i="2"/>
  <c r="AE207" i="2"/>
  <c r="AA207" i="2"/>
  <c r="AF207" i="2"/>
  <c r="W207" i="2"/>
  <c r="R207" i="2"/>
  <c r="Z207" i="2"/>
  <c r="I29" i="2"/>
  <c r="M220" i="2"/>
  <c r="S220" i="2"/>
  <c r="O220" i="2"/>
  <c r="Y220" i="2"/>
  <c r="AB29" i="2"/>
  <c r="Q220" i="2"/>
  <c r="F29" i="2"/>
  <c r="X220" i="2"/>
  <c r="T220" i="2"/>
  <c r="G220" i="2"/>
  <c r="R29" i="2"/>
  <c r="H220" i="2"/>
  <c r="AC29" i="2"/>
  <c r="P220" i="2"/>
  <c r="W220" i="2"/>
  <c r="AE29" i="2"/>
  <c r="H281" i="1"/>
  <c r="H449" i="1"/>
  <c r="H455" i="1"/>
  <c r="E47" i="2"/>
  <c r="H318" i="1"/>
  <c r="H278" i="1"/>
  <c r="H320" i="1"/>
  <c r="H316" i="1"/>
  <c r="E275" i="2" s="1"/>
  <c r="H314" i="1"/>
  <c r="H322" i="1"/>
  <c r="H324" i="1"/>
  <c r="H272" i="1"/>
  <c r="M316" i="1"/>
  <c r="E283" i="2" s="1"/>
  <c r="M322" i="1"/>
  <c r="M278" i="1"/>
  <c r="M324" i="1"/>
  <c r="M449" i="1"/>
  <c r="E55" i="2"/>
  <c r="M272" i="1"/>
  <c r="M318" i="1"/>
  <c r="M281" i="1"/>
  <c r="M320" i="1"/>
  <c r="M455" i="1"/>
  <c r="M314" i="1"/>
  <c r="AF29" i="2"/>
  <c r="Z29" i="2"/>
  <c r="AA220" i="2"/>
  <c r="K220" i="2"/>
  <c r="N29" i="2"/>
  <c r="AA29" i="2"/>
  <c r="G29" i="2"/>
  <c r="H29" i="2"/>
  <c r="F220" i="2"/>
  <c r="T29" i="2"/>
  <c r="Y29" i="2"/>
  <c r="S29" i="2"/>
  <c r="J29" i="2"/>
  <c r="M29" i="2"/>
  <c r="Y455" i="1"/>
  <c r="E74" i="2"/>
  <c r="Y324" i="1"/>
  <c r="Y314" i="1"/>
  <c r="Y449" i="1"/>
  <c r="Y316" i="1"/>
  <c r="E302" i="2" s="1"/>
  <c r="Y322" i="1"/>
  <c r="Y281" i="1"/>
  <c r="Y278" i="1"/>
  <c r="Y272" i="1"/>
  <c r="Y318" i="1"/>
  <c r="Y320" i="1"/>
  <c r="S320" i="1"/>
  <c r="S449" i="1"/>
  <c r="E64" i="2"/>
  <c r="S322" i="1"/>
  <c r="S272" i="1"/>
  <c r="S281" i="1"/>
  <c r="S314" i="1"/>
  <c r="S278" i="1"/>
  <c r="S316" i="1"/>
  <c r="E292" i="2" s="1"/>
  <c r="S324" i="1"/>
  <c r="S318" i="1"/>
  <c r="S455" i="1"/>
  <c r="I223" i="2"/>
  <c r="X223" i="2"/>
  <c r="W223" i="2"/>
  <c r="G223" i="2"/>
  <c r="S223" i="2"/>
  <c r="K223" i="2"/>
  <c r="N223" i="2"/>
  <c r="F223" i="2"/>
  <c r="M223" i="2"/>
  <c r="T223" i="2"/>
  <c r="U223" i="2"/>
  <c r="AD223" i="2"/>
  <c r="R223" i="2"/>
  <c r="J223" i="2"/>
  <c r="O223" i="2"/>
  <c r="AC223" i="2"/>
  <c r="V223" i="2"/>
  <c r="AB223" i="2"/>
  <c r="AF223" i="2"/>
  <c r="P223" i="2"/>
  <c r="H223" i="2"/>
  <c r="Z223" i="2"/>
  <c r="Q223" i="2"/>
  <c r="AE223" i="2"/>
  <c r="Y223" i="2"/>
  <c r="AA223" i="2"/>
  <c r="L223" i="2"/>
  <c r="K202" i="15"/>
  <c r="K204" i="15" s="1"/>
  <c r="K34" i="15" s="1"/>
  <c r="F316" i="2"/>
  <c r="F450" i="2"/>
  <c r="F468" i="2"/>
  <c r="Q544" i="2"/>
  <c r="Q567" i="2" s="1"/>
  <c r="R544" i="2"/>
  <c r="R567" i="2" s="1"/>
  <c r="P544" i="2"/>
  <c r="P567" i="2" s="1"/>
  <c r="E10" i="2"/>
  <c r="W104" i="1"/>
  <c r="W124" i="1" s="1"/>
  <c r="W126" i="1" s="1"/>
  <c r="I468" i="2"/>
  <c r="I450" i="2"/>
  <c r="I451" i="2" s="1"/>
  <c r="E217" i="2"/>
  <c r="AD215" i="2"/>
  <c r="W215" i="2"/>
  <c r="M215" i="2"/>
  <c r="X215" i="2"/>
  <c r="P215" i="2"/>
  <c r="H215" i="2"/>
  <c r="AF215" i="2"/>
  <c r="Q215" i="2"/>
  <c r="K215" i="2"/>
  <c r="S215" i="2"/>
  <c r="AA215" i="2"/>
  <c r="G215" i="2"/>
  <c r="T215" i="2"/>
  <c r="T217" i="2" s="1"/>
  <c r="V215" i="2"/>
  <c r="Z215" i="2"/>
  <c r="I215" i="2"/>
  <c r="Y215" i="2"/>
  <c r="R215" i="2"/>
  <c r="AB215" i="2"/>
  <c r="U215" i="2"/>
  <c r="AC215" i="2"/>
  <c r="O215" i="2"/>
  <c r="F215" i="2"/>
  <c r="AE215" i="2"/>
  <c r="N215" i="2"/>
  <c r="L215" i="2"/>
  <c r="J215" i="2"/>
  <c r="F444" i="2"/>
  <c r="I450" i="1"/>
  <c r="I274" i="1"/>
  <c r="I273" i="1"/>
  <c r="I451" i="1"/>
  <c r="I270" i="1"/>
  <c r="I447" i="1"/>
  <c r="J202" i="15"/>
  <c r="S83" i="15"/>
  <c r="J12" i="15" s="1"/>
  <c r="H468" i="2"/>
  <c r="H450" i="2"/>
  <c r="H451" i="2" s="1"/>
  <c r="I99" i="1"/>
  <c r="I452" i="1"/>
  <c r="I275" i="1"/>
  <c r="I269" i="1"/>
  <c r="I448" i="1"/>
  <c r="I277" i="1"/>
  <c r="I454" i="1"/>
  <c r="I453" i="1"/>
  <c r="I271" i="1"/>
  <c r="I446" i="1"/>
  <c r="I276" i="1"/>
  <c r="K475" i="2"/>
  <c r="K478" i="2" s="1"/>
  <c r="K479" i="2" s="1"/>
  <c r="K480" i="2" s="1"/>
  <c r="K471" i="2"/>
  <c r="K472" i="2" s="1"/>
  <c r="K473" i="2" s="1"/>
  <c r="AF226" i="2"/>
  <c r="U226" i="2"/>
  <c r="AD226" i="2"/>
  <c r="V226" i="2"/>
  <c r="P226" i="2"/>
  <c r="L226" i="2"/>
  <c r="X226" i="2"/>
  <c r="N226" i="2"/>
  <c r="Y226" i="2"/>
  <c r="W226" i="2"/>
  <c r="AA226" i="2"/>
  <c r="O226" i="2"/>
  <c r="AC226" i="2"/>
  <c r="S226" i="2"/>
  <c r="K226" i="2"/>
  <c r="AB226" i="2"/>
  <c r="G226" i="2"/>
  <c r="AE226" i="2"/>
  <c r="Z226" i="2"/>
  <c r="F226" i="2"/>
  <c r="Q226" i="2"/>
  <c r="R226" i="2"/>
  <c r="T226" i="2"/>
  <c r="M226" i="2"/>
  <c r="H226" i="2"/>
  <c r="I226" i="2"/>
  <c r="J226" i="2"/>
  <c r="AG505" i="2"/>
  <c r="E200" i="2"/>
  <c r="F544" i="2" l="1"/>
  <c r="F567" i="2" s="1"/>
  <c r="F618" i="2" s="1"/>
  <c r="F620" i="2" s="1"/>
  <c r="AG514" i="2"/>
  <c r="AB229" i="1"/>
  <c r="AC229" i="1" s="1"/>
  <c r="P410" i="1"/>
  <c r="P412" i="1" s="1"/>
  <c r="P414" i="1" s="1"/>
  <c r="AB408" i="1"/>
  <c r="AC408" i="1" s="1"/>
  <c r="AB58" i="1"/>
  <c r="AC58" i="1" s="1"/>
  <c r="P231" i="1"/>
  <c r="P235" i="1" s="1"/>
  <c r="AB141" i="1"/>
  <c r="AC141" i="1" s="1"/>
  <c r="AB64" i="1"/>
  <c r="AC64" i="1" s="1"/>
  <c r="AB67" i="1"/>
  <c r="AC67" i="1" s="1"/>
  <c r="P12" i="1"/>
  <c r="AB70" i="1"/>
  <c r="AC70" i="1" s="1"/>
  <c r="AB77" i="1"/>
  <c r="AC77" i="1" s="1"/>
  <c r="AB309" i="1"/>
  <c r="AC309" i="1" s="1"/>
  <c r="P75" i="1"/>
  <c r="P280" i="1" s="1"/>
  <c r="AB66" i="1"/>
  <c r="AC66" i="1" s="1"/>
  <c r="AB68" i="1"/>
  <c r="AC68" i="1" s="1"/>
  <c r="AB65" i="1"/>
  <c r="AC65" i="1" s="1"/>
  <c r="AB69" i="1"/>
  <c r="AC69" i="1" s="1"/>
  <c r="AB72" i="1"/>
  <c r="AC72" i="1" s="1"/>
  <c r="AB10" i="1"/>
  <c r="AC10" i="1" s="1"/>
  <c r="AB71" i="1"/>
  <c r="AC71" i="1" s="1"/>
  <c r="AB73" i="1"/>
  <c r="AC73" i="1" s="1"/>
  <c r="Y459" i="1"/>
  <c r="Y461" i="1" s="1"/>
  <c r="Y463" i="1" s="1"/>
  <c r="E188" i="2" s="1"/>
  <c r="X188" i="2" s="1"/>
  <c r="AB63" i="1"/>
  <c r="AC63" i="1" s="1"/>
  <c r="O75" i="1"/>
  <c r="E464" i="2"/>
  <c r="AG462" i="2"/>
  <c r="AH462" i="2" s="1"/>
  <c r="X457" i="2"/>
  <c r="X458" i="2" s="1"/>
  <c r="S457" i="2"/>
  <c r="S458" i="2" s="1"/>
  <c r="AC457" i="2"/>
  <c r="AC458" i="2" s="1"/>
  <c r="AF457" i="2"/>
  <c r="AF458" i="2" s="1"/>
  <c r="AD457" i="2"/>
  <c r="AD458" i="2" s="1"/>
  <c r="Q457" i="2"/>
  <c r="Q458" i="2" s="1"/>
  <c r="I457" i="2"/>
  <c r="I458" i="2" s="1"/>
  <c r="AB457" i="2"/>
  <c r="AB458" i="2" s="1"/>
  <c r="V457" i="2"/>
  <c r="V458" i="2" s="1"/>
  <c r="U457" i="2"/>
  <c r="U458" i="2" s="1"/>
  <c r="R457" i="2"/>
  <c r="R458" i="2" s="1"/>
  <c r="AA457" i="2"/>
  <c r="AA458" i="2" s="1"/>
  <c r="L457" i="2"/>
  <c r="L458" i="2" s="1"/>
  <c r="Y457" i="2"/>
  <c r="Y458" i="2" s="1"/>
  <c r="H457" i="2"/>
  <c r="H458" i="2" s="1"/>
  <c r="G457" i="2"/>
  <c r="G458" i="2" s="1"/>
  <c r="N457" i="2"/>
  <c r="N458" i="2" s="1"/>
  <c r="Z457" i="2"/>
  <c r="Z458" i="2" s="1"/>
  <c r="E458" i="2"/>
  <c r="W457" i="2"/>
  <c r="W458" i="2" s="1"/>
  <c r="AE457" i="2"/>
  <c r="AE458" i="2" s="1"/>
  <c r="O457" i="2"/>
  <c r="O458" i="2" s="1"/>
  <c r="F457" i="2"/>
  <c r="J457" i="2"/>
  <c r="J458" i="2" s="1"/>
  <c r="T457" i="2"/>
  <c r="T458" i="2" s="1"/>
  <c r="P457" i="2"/>
  <c r="P458" i="2" s="1"/>
  <c r="M457" i="2"/>
  <c r="M458" i="2" s="1"/>
  <c r="K457" i="2"/>
  <c r="K458" i="2" s="1"/>
  <c r="O410" i="1"/>
  <c r="AB392" i="1"/>
  <c r="AC392" i="1" s="1"/>
  <c r="O231" i="1"/>
  <c r="AB215" i="1"/>
  <c r="AC215" i="1" s="1"/>
  <c r="AB8" i="1"/>
  <c r="AC8" i="1" s="1"/>
  <c r="O12" i="1"/>
  <c r="M618" i="2"/>
  <c r="M592" i="2"/>
  <c r="N592" i="2"/>
  <c r="N618" i="2"/>
  <c r="H618" i="2"/>
  <c r="H592" i="2"/>
  <c r="L618" i="2"/>
  <c r="L592" i="2"/>
  <c r="I592" i="2"/>
  <c r="I618" i="2"/>
  <c r="G592" i="2"/>
  <c r="G618" i="2"/>
  <c r="K567" i="2"/>
  <c r="J544" i="2"/>
  <c r="J567" i="2" s="1"/>
  <c r="J618" i="2" s="1"/>
  <c r="AF217" i="2"/>
  <c r="Z26" i="2"/>
  <c r="AB291" i="2"/>
  <c r="U291" i="2"/>
  <c r="S291" i="2"/>
  <c r="E293" i="2"/>
  <c r="R291" i="2"/>
  <c r="I291" i="2"/>
  <c r="M291" i="2"/>
  <c r="H291" i="2"/>
  <c r="AD291" i="2"/>
  <c r="J291" i="2"/>
  <c r="AA291" i="2"/>
  <c r="F291" i="2"/>
  <c r="AC26" i="2"/>
  <c r="Z291" i="2"/>
  <c r="V291" i="2"/>
  <c r="X291" i="2"/>
  <c r="AA217" i="2"/>
  <c r="T26" i="2"/>
  <c r="AE26" i="2"/>
  <c r="S26" i="2"/>
  <c r="X26" i="2"/>
  <c r="AF26" i="2"/>
  <c r="P217" i="2"/>
  <c r="P253" i="2"/>
  <c r="AB26" i="2"/>
  <c r="L217" i="2"/>
  <c r="G63" i="2"/>
  <c r="K217" i="2"/>
  <c r="M26" i="2"/>
  <c r="AA26" i="2"/>
  <c r="K26" i="2"/>
  <c r="W63" i="2"/>
  <c r="G217" i="2"/>
  <c r="E65" i="2"/>
  <c r="Z63" i="2"/>
  <c r="O217" i="2"/>
  <c r="W217" i="2"/>
  <c r="H26" i="2"/>
  <c r="J26" i="2"/>
  <c r="AE217" i="2"/>
  <c r="Q217" i="2"/>
  <c r="AC253" i="2"/>
  <c r="Z217" i="2"/>
  <c r="N253" i="2"/>
  <c r="AD26" i="2"/>
  <c r="N217" i="2"/>
  <c r="Q26" i="2"/>
  <c r="V26" i="2"/>
  <c r="J217" i="2"/>
  <c r="H217" i="2"/>
  <c r="N26" i="2"/>
  <c r="U217" i="2"/>
  <c r="O26" i="2"/>
  <c r="AD217" i="2"/>
  <c r="X217" i="2"/>
  <c r="AB217" i="2"/>
  <c r="AC217" i="2"/>
  <c r="I217" i="2"/>
  <c r="Y26" i="2"/>
  <c r="K283" i="1"/>
  <c r="K285" i="1" s="1"/>
  <c r="K129" i="1" s="1"/>
  <c r="K133" i="1" s="1"/>
  <c r="K144" i="1" s="1"/>
  <c r="E90" i="2" s="1"/>
  <c r="E524" i="2" s="1"/>
  <c r="AH524" i="2" s="1"/>
  <c r="AG25" i="2"/>
  <c r="AH25" i="2" s="1"/>
  <c r="AG216" i="2"/>
  <c r="AH216" i="2" s="1"/>
  <c r="I26" i="2"/>
  <c r="M217" i="2"/>
  <c r="H253" i="2"/>
  <c r="V253" i="2"/>
  <c r="L26" i="2"/>
  <c r="P26" i="2"/>
  <c r="R217" i="2"/>
  <c r="L253" i="2"/>
  <c r="Z253" i="2"/>
  <c r="W26" i="2"/>
  <c r="AG35" i="2"/>
  <c r="AH35" i="2" s="1"/>
  <c r="V217" i="2"/>
  <c r="S217" i="2"/>
  <c r="Y217" i="2"/>
  <c r="M63" i="2"/>
  <c r="V63" i="2"/>
  <c r="AF63" i="2"/>
  <c r="X63" i="2"/>
  <c r="AE63" i="2"/>
  <c r="AG24" i="2"/>
  <c r="AH24" i="2" s="1"/>
  <c r="G291" i="2"/>
  <c r="AC291" i="2"/>
  <c r="K291" i="2"/>
  <c r="O291" i="2"/>
  <c r="W291" i="2"/>
  <c r="AE291" i="2"/>
  <c r="N291" i="2"/>
  <c r="G26" i="2"/>
  <c r="AD283" i="2"/>
  <c r="AD63" i="2"/>
  <c r="U26" i="2"/>
  <c r="J63" i="2"/>
  <c r="U63" i="2"/>
  <c r="T63" i="2"/>
  <c r="AB63" i="2"/>
  <c r="T291" i="2"/>
  <c r="Y291" i="2"/>
  <c r="Q291" i="2"/>
  <c r="P291" i="2"/>
  <c r="AF291" i="2"/>
  <c r="R296" i="2"/>
  <c r="N63" i="2"/>
  <c r="Q63" i="2"/>
  <c r="AA63" i="2"/>
  <c r="H63" i="2"/>
  <c r="O63" i="2"/>
  <c r="Y63" i="2"/>
  <c r="I63" i="2"/>
  <c r="R63" i="2"/>
  <c r="F63" i="2"/>
  <c r="AC63" i="2"/>
  <c r="P63" i="2"/>
  <c r="L63" i="2"/>
  <c r="S63" i="2"/>
  <c r="G296" i="2"/>
  <c r="F253" i="2"/>
  <c r="J253" i="2"/>
  <c r="I253" i="2"/>
  <c r="AF253" i="2"/>
  <c r="K253" i="2"/>
  <c r="AD253" i="2"/>
  <c r="U253" i="2"/>
  <c r="O253" i="2"/>
  <c r="T253" i="2"/>
  <c r="Y253" i="2"/>
  <c r="X253" i="2"/>
  <c r="AB253" i="2"/>
  <c r="G253" i="2"/>
  <c r="S253" i="2"/>
  <c r="AG32" i="2"/>
  <c r="AH32" i="2" s="1"/>
  <c r="W253" i="2"/>
  <c r="R253" i="2"/>
  <c r="AA253" i="2"/>
  <c r="Q253" i="2"/>
  <c r="AE253" i="2"/>
  <c r="R459" i="1"/>
  <c r="R461" i="1" s="1"/>
  <c r="R463" i="1" s="1"/>
  <c r="E177" i="2" s="1"/>
  <c r="W177" i="2" s="1"/>
  <c r="T283" i="2"/>
  <c r="AC296" i="2"/>
  <c r="R283" i="1"/>
  <c r="R285" i="1" s="1"/>
  <c r="R129" i="1" s="1"/>
  <c r="R133" i="1" s="1"/>
  <c r="R144" i="1" s="1"/>
  <c r="E101" i="2" s="1"/>
  <c r="V296" i="2"/>
  <c r="R326" i="1"/>
  <c r="U459" i="1"/>
  <c r="U461" i="1" s="1"/>
  <c r="U463" i="1" s="1"/>
  <c r="E182" i="2" s="1"/>
  <c r="W182" i="2" s="1"/>
  <c r="L68" i="2"/>
  <c r="G68" i="2"/>
  <c r="M68" i="2"/>
  <c r="U68" i="2"/>
  <c r="AF68" i="2"/>
  <c r="J68" i="2"/>
  <c r="J296" i="2"/>
  <c r="K296" i="2"/>
  <c r="K326" i="1"/>
  <c r="Y68" i="2"/>
  <c r="F68" i="2"/>
  <c r="I68" i="2"/>
  <c r="P296" i="2"/>
  <c r="N68" i="2"/>
  <c r="U296" i="2"/>
  <c r="W68" i="2"/>
  <c r="Z68" i="2"/>
  <c r="X68" i="2"/>
  <c r="S68" i="2"/>
  <c r="AA68" i="2"/>
  <c r="N296" i="2"/>
  <c r="AA296" i="2"/>
  <c r="T296" i="2"/>
  <c r="L296" i="2"/>
  <c r="AE68" i="2"/>
  <c r="I296" i="2"/>
  <c r="Q296" i="2"/>
  <c r="AE296" i="2"/>
  <c r="S296" i="2"/>
  <c r="O68" i="2"/>
  <c r="V68" i="2"/>
  <c r="AD296" i="2"/>
  <c r="M296" i="2"/>
  <c r="F296" i="2"/>
  <c r="U326" i="1"/>
  <c r="X296" i="2"/>
  <c r="AG229" i="2"/>
  <c r="AH229" i="2" s="1"/>
  <c r="AD68" i="2"/>
  <c r="P68" i="2"/>
  <c r="T68" i="2"/>
  <c r="AC68" i="2"/>
  <c r="W296" i="2"/>
  <c r="O296" i="2"/>
  <c r="AF296" i="2"/>
  <c r="Y296" i="2"/>
  <c r="Z296" i="2"/>
  <c r="H296" i="2"/>
  <c r="AA459" i="1"/>
  <c r="AA461" i="1" s="1"/>
  <c r="AA463" i="1" s="1"/>
  <c r="E191" i="2" s="1"/>
  <c r="AA191" i="2" s="1"/>
  <c r="M459" i="1"/>
  <c r="M461" i="1" s="1"/>
  <c r="M463" i="1" s="1"/>
  <c r="E169" i="2" s="1"/>
  <c r="G169" i="2" s="1"/>
  <c r="H283" i="1"/>
  <c r="H285" i="1" s="1"/>
  <c r="E123" i="2" s="1"/>
  <c r="AG38" i="2"/>
  <c r="AH38" i="2" s="1"/>
  <c r="H68" i="2"/>
  <c r="Q68" i="2"/>
  <c r="K68" i="2"/>
  <c r="R68" i="2"/>
  <c r="I77" i="2"/>
  <c r="Q77" i="2"/>
  <c r="AB77" i="2"/>
  <c r="Y77" i="2"/>
  <c r="AA77" i="2"/>
  <c r="L77" i="2"/>
  <c r="M77" i="2"/>
  <c r="AC77" i="2"/>
  <c r="T77" i="2"/>
  <c r="W77" i="2"/>
  <c r="F77" i="2"/>
  <c r="K77" i="2"/>
  <c r="O77" i="2"/>
  <c r="H77" i="2"/>
  <c r="G77" i="2"/>
  <c r="AD77" i="2"/>
  <c r="AF77" i="2"/>
  <c r="N77" i="2"/>
  <c r="V77" i="2"/>
  <c r="P77" i="2"/>
  <c r="S77" i="2"/>
  <c r="U77" i="2"/>
  <c r="Z77" i="2"/>
  <c r="AE77" i="2"/>
  <c r="X77" i="2"/>
  <c r="R77" i="2"/>
  <c r="J77" i="2"/>
  <c r="E267" i="2"/>
  <c r="AA326" i="1"/>
  <c r="O305" i="2"/>
  <c r="AE305" i="2"/>
  <c r="K305" i="2"/>
  <c r="N305" i="2"/>
  <c r="T305" i="2"/>
  <c r="Y305" i="2"/>
  <c r="I305" i="2"/>
  <c r="X305" i="2"/>
  <c r="V305" i="2"/>
  <c r="G305" i="2"/>
  <c r="AB305" i="2"/>
  <c r="AC305" i="2"/>
  <c r="R305" i="2"/>
  <c r="H305" i="2"/>
  <c r="L305" i="2"/>
  <c r="S305" i="2"/>
  <c r="U305" i="2"/>
  <c r="P305" i="2"/>
  <c r="W305" i="2"/>
  <c r="M305" i="2"/>
  <c r="F305" i="2"/>
  <c r="AF305" i="2"/>
  <c r="Q305" i="2"/>
  <c r="J305" i="2"/>
  <c r="AA305" i="2"/>
  <c r="Z305" i="2"/>
  <c r="AD305" i="2"/>
  <c r="U283" i="1"/>
  <c r="U285" i="1" s="1"/>
  <c r="E144" i="2" s="1"/>
  <c r="AA283" i="1"/>
  <c r="AA285" i="1" s="1"/>
  <c r="I101" i="1"/>
  <c r="I104" i="1" s="1"/>
  <c r="AG29" i="2"/>
  <c r="AH29" i="2" s="1"/>
  <c r="AG220" i="2"/>
  <c r="AH220" i="2" s="1"/>
  <c r="M283" i="1"/>
  <c r="M285" i="1" s="1"/>
  <c r="R283" i="2"/>
  <c r="X283" i="2"/>
  <c r="AC283" i="2"/>
  <c r="Z283" i="2"/>
  <c r="Y283" i="1"/>
  <c r="Y285" i="1" s="1"/>
  <c r="Y287" i="1" s="1"/>
  <c r="V283" i="2"/>
  <c r="O55" i="2"/>
  <c r="U55" i="2"/>
  <c r="Q55" i="2"/>
  <c r="S55" i="2"/>
  <c r="M55" i="2"/>
  <c r="R55" i="2"/>
  <c r="AC55" i="2"/>
  <c r="AD55" i="2"/>
  <c r="Z55" i="2"/>
  <c r="L55" i="2"/>
  <c r="AF55" i="2"/>
  <c r="G55" i="2"/>
  <c r="X55" i="2"/>
  <c r="V55" i="2"/>
  <c r="T55" i="2"/>
  <c r="Y55" i="2"/>
  <c r="AE55" i="2"/>
  <c r="AB55" i="2"/>
  <c r="W55" i="2"/>
  <c r="N55" i="2"/>
  <c r="P55" i="2"/>
  <c r="AA55" i="2"/>
  <c r="E237" i="2"/>
  <c r="H326" i="1"/>
  <c r="H459" i="1"/>
  <c r="H461" i="1" s="1"/>
  <c r="H463" i="1" s="1"/>
  <c r="E161" i="2" s="1"/>
  <c r="AE283" i="2"/>
  <c r="AB283" i="2"/>
  <c r="S283" i="2"/>
  <c r="M283" i="2"/>
  <c r="W283" i="2"/>
  <c r="AF283" i="2"/>
  <c r="Q283" i="2"/>
  <c r="N283" i="2"/>
  <c r="L283" i="2"/>
  <c r="U283" i="2"/>
  <c r="O283" i="2"/>
  <c r="G283" i="2"/>
  <c r="Y283" i="2"/>
  <c r="E245" i="2"/>
  <c r="K245" i="2" s="1"/>
  <c r="M326" i="1"/>
  <c r="AA283" i="2"/>
  <c r="P283" i="2"/>
  <c r="W278" i="1"/>
  <c r="W449" i="1"/>
  <c r="W314" i="1"/>
  <c r="W455" i="1"/>
  <c r="W281" i="1"/>
  <c r="W272" i="1"/>
  <c r="W320" i="1"/>
  <c r="W318" i="1"/>
  <c r="W322" i="1"/>
  <c r="E71" i="2"/>
  <c r="W324" i="1"/>
  <c r="W316" i="1"/>
  <c r="E299" i="2" s="1"/>
  <c r="F338" i="2"/>
  <c r="AG316" i="2"/>
  <c r="AH316" i="2" s="1"/>
  <c r="E264" i="2"/>
  <c r="Y326" i="1"/>
  <c r="F217" i="2"/>
  <c r="AG215" i="2"/>
  <c r="AH215" i="2" s="1"/>
  <c r="R592" i="2"/>
  <c r="R618" i="2"/>
  <c r="E254" i="2"/>
  <c r="S326" i="1"/>
  <c r="F64" i="2"/>
  <c r="AC64" i="2"/>
  <c r="P64" i="2"/>
  <c r="S64" i="2"/>
  <c r="AF64" i="2"/>
  <c r="Y64" i="2"/>
  <c r="T64" i="2"/>
  <c r="Z64" i="2"/>
  <c r="L64" i="2"/>
  <c r="W64" i="2"/>
  <c r="V64" i="2"/>
  <c r="M64" i="2"/>
  <c r="K64" i="2"/>
  <c r="K65" i="2" s="1"/>
  <c r="X64" i="2"/>
  <c r="AE64" i="2"/>
  <c r="O64" i="2"/>
  <c r="AB64" i="2"/>
  <c r="J64" i="2"/>
  <c r="U64" i="2"/>
  <c r="I64" i="2"/>
  <c r="Q64" i="2"/>
  <c r="AA64" i="2"/>
  <c r="R64" i="2"/>
  <c r="G64" i="2"/>
  <c r="AD64" i="2"/>
  <c r="H64" i="2"/>
  <c r="N64" i="2"/>
  <c r="AB258" i="2"/>
  <c r="AE258" i="2"/>
  <c r="O258" i="2"/>
  <c r="Q258" i="2"/>
  <c r="R258" i="2"/>
  <c r="AF258" i="2"/>
  <c r="X258" i="2"/>
  <c r="M258" i="2"/>
  <c r="Y258" i="2"/>
  <c r="L258" i="2"/>
  <c r="V258" i="2"/>
  <c r="AC258" i="2"/>
  <c r="I258" i="2"/>
  <c r="AA258" i="2"/>
  <c r="T258" i="2"/>
  <c r="Z258" i="2"/>
  <c r="W258" i="2"/>
  <c r="U258" i="2"/>
  <c r="P258" i="2"/>
  <c r="K258" i="2"/>
  <c r="F258" i="2"/>
  <c r="G258" i="2"/>
  <c r="H258" i="2"/>
  <c r="J258" i="2"/>
  <c r="N258" i="2"/>
  <c r="AD258" i="2"/>
  <c r="S258" i="2"/>
  <c r="H475" i="2"/>
  <c r="H478" i="2" s="1"/>
  <c r="H479" i="2" s="1"/>
  <c r="H480" i="2" s="1"/>
  <c r="H471" i="2"/>
  <c r="H472" i="2" s="1"/>
  <c r="H473" i="2" s="1"/>
  <c r="E201" i="2"/>
  <c r="AG226" i="2"/>
  <c r="AH226" i="2" s="1"/>
  <c r="K207" i="2"/>
  <c r="K16" i="2"/>
  <c r="K55" i="2"/>
  <c r="J433" i="2"/>
  <c r="AG433" i="2" s="1"/>
  <c r="J25" i="15"/>
  <c r="E433" i="2" s="1"/>
  <c r="I475" i="2"/>
  <c r="I478" i="2" s="1"/>
  <c r="I479" i="2" s="1"/>
  <c r="I480" i="2" s="1"/>
  <c r="I471" i="2"/>
  <c r="I472" i="2" s="1"/>
  <c r="I473" i="2" s="1"/>
  <c r="F451" i="2"/>
  <c r="AC292" i="2"/>
  <c r="I292" i="2"/>
  <c r="N292" i="2"/>
  <c r="T292" i="2"/>
  <c r="AB292" i="2"/>
  <c r="G292" i="2"/>
  <c r="AF292" i="2"/>
  <c r="M292" i="2"/>
  <c r="Q292" i="2"/>
  <c r="W292" i="2"/>
  <c r="K292" i="2"/>
  <c r="V292" i="2"/>
  <c r="J292" i="2"/>
  <c r="X292" i="2"/>
  <c r="Y292" i="2"/>
  <c r="AA292" i="2"/>
  <c r="H292" i="2"/>
  <c r="AD292" i="2"/>
  <c r="Z292" i="2"/>
  <c r="O292" i="2"/>
  <c r="AE292" i="2"/>
  <c r="R292" i="2"/>
  <c r="S292" i="2"/>
  <c r="U292" i="2"/>
  <c r="L292" i="2"/>
  <c r="L293" i="2" s="1"/>
  <c r="P292" i="2"/>
  <c r="F292" i="2"/>
  <c r="S459" i="1"/>
  <c r="S461" i="1" s="1"/>
  <c r="S463" i="1" s="1"/>
  <c r="E178" i="2" s="1"/>
  <c r="U302" i="2"/>
  <c r="X302" i="2"/>
  <c r="AD302" i="2"/>
  <c r="Y302" i="2"/>
  <c r="W302" i="2"/>
  <c r="AF302" i="2"/>
  <c r="S302" i="2"/>
  <c r="N302" i="2"/>
  <c r="AC302" i="2"/>
  <c r="AB302" i="2"/>
  <c r="P302" i="2"/>
  <c r="L302" i="2"/>
  <c r="AA302" i="2"/>
  <c r="K302" i="2"/>
  <c r="Z302" i="2"/>
  <c r="O302" i="2"/>
  <c r="V302" i="2"/>
  <c r="G302" i="2"/>
  <c r="AE302" i="2"/>
  <c r="F302" i="2"/>
  <c r="Q302" i="2"/>
  <c r="R302" i="2"/>
  <c r="T302" i="2"/>
  <c r="M302" i="2"/>
  <c r="H302" i="2"/>
  <c r="I302" i="2"/>
  <c r="J302" i="2"/>
  <c r="AA74" i="2"/>
  <c r="X74" i="2"/>
  <c r="AD74" i="2"/>
  <c r="U74" i="2"/>
  <c r="N74" i="2"/>
  <c r="Z74" i="2"/>
  <c r="S74" i="2"/>
  <c r="AB74" i="2"/>
  <c r="L74" i="2"/>
  <c r="Y74" i="2"/>
  <c r="AC74" i="2"/>
  <c r="AE74" i="2"/>
  <c r="W74" i="2"/>
  <c r="AF74" i="2"/>
  <c r="O74" i="2"/>
  <c r="K74" i="2"/>
  <c r="P74" i="2"/>
  <c r="V74" i="2"/>
  <c r="G74" i="2"/>
  <c r="F74" i="2"/>
  <c r="R74" i="2"/>
  <c r="Q74" i="2"/>
  <c r="M74" i="2"/>
  <c r="H74" i="2"/>
  <c r="T74" i="2"/>
  <c r="J74" i="2"/>
  <c r="I74" i="2"/>
  <c r="F475" i="2"/>
  <c r="F471" i="2"/>
  <c r="L202" i="15"/>
  <c r="L204" i="15" s="1"/>
  <c r="L34" i="15" s="1"/>
  <c r="K283" i="2"/>
  <c r="J204" i="15"/>
  <c r="J34" i="15" s="1"/>
  <c r="P592" i="2"/>
  <c r="P618" i="2"/>
  <c r="Q592" i="2"/>
  <c r="Q618" i="2"/>
  <c r="AG223" i="2"/>
  <c r="AH223" i="2" s="1"/>
  <c r="S283" i="1"/>
  <c r="S285" i="1" s="1"/>
  <c r="F592" i="2" l="1"/>
  <c r="P440" i="1"/>
  <c r="P273" i="1" s="1"/>
  <c r="I188" i="2"/>
  <c r="M188" i="2"/>
  <c r="AD188" i="2"/>
  <c r="U188" i="2"/>
  <c r="P188" i="2"/>
  <c r="P237" i="1"/>
  <c r="P233" i="1"/>
  <c r="P264" i="1" s="1"/>
  <c r="P452" i="1" s="1"/>
  <c r="AB188" i="2"/>
  <c r="AF188" i="2"/>
  <c r="Q188" i="2"/>
  <c r="Y188" i="2"/>
  <c r="Z188" i="2"/>
  <c r="R188" i="2"/>
  <c r="W188" i="2"/>
  <c r="O188" i="2"/>
  <c r="F188" i="2"/>
  <c r="S188" i="2"/>
  <c r="L188" i="2"/>
  <c r="AE188" i="2"/>
  <c r="J188" i="2"/>
  <c r="AA188" i="2"/>
  <c r="V188" i="2"/>
  <c r="N188" i="2"/>
  <c r="H188" i="2"/>
  <c r="K188" i="2"/>
  <c r="AC188" i="2"/>
  <c r="P82" i="1"/>
  <c r="P98" i="1" s="1"/>
  <c r="T188" i="2"/>
  <c r="G188" i="2"/>
  <c r="P457" i="1"/>
  <c r="P279" i="1"/>
  <c r="P121" i="1"/>
  <c r="P307" i="1"/>
  <c r="P122" i="1"/>
  <c r="P120" i="1"/>
  <c r="P88" i="1"/>
  <c r="P91" i="1" s="1"/>
  <c r="P99" i="1" s="1"/>
  <c r="P456" i="1"/>
  <c r="P308" i="1"/>
  <c r="AE177" i="2"/>
  <c r="P274" i="1"/>
  <c r="K459" i="2"/>
  <c r="E465" i="2"/>
  <c r="X464" i="2"/>
  <c r="X465" i="2" s="1"/>
  <c r="H464" i="2"/>
  <c r="H465" i="2" s="1"/>
  <c r="AD464" i="2"/>
  <c r="AD465" i="2" s="1"/>
  <c r="AB464" i="2"/>
  <c r="AB465" i="2" s="1"/>
  <c r="R464" i="2"/>
  <c r="R465" i="2" s="1"/>
  <c r="J464" i="2"/>
  <c r="J465" i="2" s="1"/>
  <c r="AC464" i="2"/>
  <c r="AC465" i="2" s="1"/>
  <c r="O464" i="2"/>
  <c r="O465" i="2" s="1"/>
  <c r="G464" i="2"/>
  <c r="G465" i="2" s="1"/>
  <c r="K464" i="2"/>
  <c r="K465" i="2" s="1"/>
  <c r="AE464" i="2"/>
  <c r="AE465" i="2" s="1"/>
  <c r="V464" i="2"/>
  <c r="V465" i="2" s="1"/>
  <c r="P464" i="2"/>
  <c r="P465" i="2" s="1"/>
  <c r="AA464" i="2"/>
  <c r="AA465" i="2" s="1"/>
  <c r="U464" i="2"/>
  <c r="U465" i="2" s="1"/>
  <c r="F464" i="2"/>
  <c r="M464" i="2"/>
  <c r="M465" i="2" s="1"/>
  <c r="Z464" i="2"/>
  <c r="Z465" i="2" s="1"/>
  <c r="S464" i="2"/>
  <c r="S465" i="2" s="1"/>
  <c r="L464" i="2"/>
  <c r="L465" i="2" s="1"/>
  <c r="Y464" i="2"/>
  <c r="Y465" i="2" s="1"/>
  <c r="AF464" i="2"/>
  <c r="AF465" i="2" s="1"/>
  <c r="I464" i="2"/>
  <c r="I465" i="2" s="1"/>
  <c r="N464" i="2"/>
  <c r="N465" i="2" s="1"/>
  <c r="T464" i="2"/>
  <c r="T465" i="2" s="1"/>
  <c r="W464" i="2"/>
  <c r="W465" i="2" s="1"/>
  <c r="Q464" i="2"/>
  <c r="Q465" i="2" s="1"/>
  <c r="AB12" i="1"/>
  <c r="AC12" i="1" s="1"/>
  <c r="O82" i="1"/>
  <c r="O235" i="1"/>
  <c r="AB235" i="1" s="1"/>
  <c r="AC235" i="1" s="1"/>
  <c r="AB231" i="1"/>
  <c r="AC231" i="1" s="1"/>
  <c r="O237" i="1"/>
  <c r="O233" i="1"/>
  <c r="F458" i="2"/>
  <c r="AG457" i="2"/>
  <c r="AH457" i="2" s="1"/>
  <c r="O459" i="2"/>
  <c r="AF459" i="2"/>
  <c r="AA459" i="2"/>
  <c r="T459" i="2"/>
  <c r="V459" i="2"/>
  <c r="Q459" i="2"/>
  <c r="M459" i="2"/>
  <c r="AE459" i="2"/>
  <c r="L459" i="2"/>
  <c r="S459" i="2"/>
  <c r="X459" i="2"/>
  <c r="Z459" i="2"/>
  <c r="R459" i="2"/>
  <c r="G459" i="2"/>
  <c r="P459" i="2"/>
  <c r="AD459" i="2"/>
  <c r="J459" i="2"/>
  <c r="AB459" i="2"/>
  <c r="AC459" i="2"/>
  <c r="U459" i="2"/>
  <c r="Y459" i="2"/>
  <c r="N459" i="2"/>
  <c r="I459" i="2"/>
  <c r="W459" i="2"/>
  <c r="H459" i="2"/>
  <c r="O412" i="1"/>
  <c r="AB410" i="1"/>
  <c r="AC410" i="1" s="1"/>
  <c r="O121" i="1"/>
  <c r="O280" i="1"/>
  <c r="AB280" i="1" s="1"/>
  <c r="AC280" i="1" s="1"/>
  <c r="O456" i="1"/>
  <c r="AB75" i="1"/>
  <c r="AC75" i="1" s="1"/>
  <c r="O279" i="1"/>
  <c r="O307" i="1"/>
  <c r="O122" i="1"/>
  <c r="O88" i="1"/>
  <c r="O457" i="1"/>
  <c r="O308" i="1"/>
  <c r="O120" i="1"/>
  <c r="K592" i="2"/>
  <c r="K618" i="2"/>
  <c r="J592" i="2"/>
  <c r="M293" i="2"/>
  <c r="AD293" i="2"/>
  <c r="R293" i="2"/>
  <c r="H293" i="2"/>
  <c r="S293" i="2"/>
  <c r="AH433" i="2"/>
  <c r="AB293" i="2"/>
  <c r="I293" i="2"/>
  <c r="U293" i="2"/>
  <c r="AA293" i="2"/>
  <c r="V293" i="2"/>
  <c r="F293" i="2"/>
  <c r="J293" i="2"/>
  <c r="Z293" i="2"/>
  <c r="X293" i="2"/>
  <c r="K328" i="1"/>
  <c r="G65" i="2"/>
  <c r="W65" i="2"/>
  <c r="Z65" i="2"/>
  <c r="K287" i="1"/>
  <c r="E128" i="2"/>
  <c r="E505" i="2" s="1"/>
  <c r="E514" i="2" s="1"/>
  <c r="AH514" i="2" s="1"/>
  <c r="E139" i="2"/>
  <c r="S139" i="2" s="1"/>
  <c r="AD65" i="2"/>
  <c r="AB65" i="2"/>
  <c r="AF65" i="2"/>
  <c r="AF293" i="2"/>
  <c r="L169" i="2"/>
  <c r="V169" i="2"/>
  <c r="AH90" i="2"/>
  <c r="N169" i="2"/>
  <c r="Y182" i="2"/>
  <c r="AA182" i="2"/>
  <c r="P169" i="2"/>
  <c r="Y293" i="2"/>
  <c r="K293" i="2"/>
  <c r="N293" i="2"/>
  <c r="I65" i="2"/>
  <c r="M65" i="2"/>
  <c r="O293" i="2"/>
  <c r="AC177" i="2"/>
  <c r="P293" i="2"/>
  <c r="W293" i="2"/>
  <c r="G293" i="2"/>
  <c r="U65" i="2"/>
  <c r="AE65" i="2"/>
  <c r="V65" i="2"/>
  <c r="T65" i="2"/>
  <c r="P65" i="2"/>
  <c r="AG217" i="2"/>
  <c r="AH217" i="2" s="1"/>
  <c r="Q293" i="2"/>
  <c r="AA65" i="2"/>
  <c r="AB182" i="2"/>
  <c r="K182" i="2"/>
  <c r="AB177" i="2"/>
  <c r="AG26" i="2"/>
  <c r="AH26" i="2" s="1"/>
  <c r="AG291" i="2"/>
  <c r="AH291" i="2" s="1"/>
  <c r="AE293" i="2"/>
  <c r="AC293" i="2"/>
  <c r="T293" i="2"/>
  <c r="J65" i="2"/>
  <c r="X65" i="2"/>
  <c r="Y65" i="2"/>
  <c r="AC65" i="2"/>
  <c r="O65" i="2"/>
  <c r="AG63" i="2"/>
  <c r="AH63" i="2" s="1"/>
  <c r="N65" i="2"/>
  <c r="AD177" i="2"/>
  <c r="U177" i="2"/>
  <c r="S65" i="2"/>
  <c r="H65" i="2"/>
  <c r="J177" i="2"/>
  <c r="Q65" i="2"/>
  <c r="L65" i="2"/>
  <c r="AB169" i="2"/>
  <c r="X169" i="2"/>
  <c r="U169" i="2"/>
  <c r="F177" i="2"/>
  <c r="Z177" i="2"/>
  <c r="L177" i="2"/>
  <c r="AG253" i="2"/>
  <c r="AH253" i="2" s="1"/>
  <c r="R65" i="2"/>
  <c r="Q169" i="2"/>
  <c r="S177" i="2"/>
  <c r="O177" i="2"/>
  <c r="R328" i="1"/>
  <c r="AF177" i="2"/>
  <c r="H177" i="2"/>
  <c r="I177" i="2"/>
  <c r="X177" i="2"/>
  <c r="K177" i="2"/>
  <c r="Y177" i="2"/>
  <c r="M177" i="2"/>
  <c r="G177" i="2"/>
  <c r="Q177" i="2"/>
  <c r="R177" i="2"/>
  <c r="P177" i="2"/>
  <c r="V177" i="2"/>
  <c r="AA177" i="2"/>
  <c r="N177" i="2"/>
  <c r="T177" i="2"/>
  <c r="R287" i="1"/>
  <c r="AD182" i="2"/>
  <c r="AC182" i="2"/>
  <c r="S182" i="2"/>
  <c r="P182" i="2"/>
  <c r="Q182" i="2"/>
  <c r="V182" i="2"/>
  <c r="H182" i="2"/>
  <c r="G182" i="2"/>
  <c r="U182" i="2"/>
  <c r="R182" i="2"/>
  <c r="M182" i="2"/>
  <c r="AE182" i="2"/>
  <c r="X182" i="2"/>
  <c r="I182" i="2"/>
  <c r="N182" i="2"/>
  <c r="Z182" i="2"/>
  <c r="AF182" i="2"/>
  <c r="J182" i="2"/>
  <c r="O182" i="2"/>
  <c r="L182" i="2"/>
  <c r="F182" i="2"/>
  <c r="T182" i="2"/>
  <c r="K191" i="2"/>
  <c r="H191" i="2"/>
  <c r="AB191" i="2"/>
  <c r="O191" i="2"/>
  <c r="F191" i="2"/>
  <c r="J191" i="2"/>
  <c r="AC191" i="2"/>
  <c r="AG296" i="2"/>
  <c r="AH296" i="2" s="1"/>
  <c r="AG68" i="2"/>
  <c r="AH68" i="2" s="1"/>
  <c r="H328" i="1"/>
  <c r="M191" i="2"/>
  <c r="T191" i="2"/>
  <c r="AE191" i="2"/>
  <c r="Z191" i="2"/>
  <c r="U287" i="1"/>
  <c r="K169" i="2"/>
  <c r="W459" i="1"/>
  <c r="W461" i="1" s="1"/>
  <c r="W463" i="1" s="1"/>
  <c r="E185" i="2" s="1"/>
  <c r="K185" i="2" s="1"/>
  <c r="Z169" i="2"/>
  <c r="R169" i="2"/>
  <c r="O169" i="2"/>
  <c r="M169" i="2"/>
  <c r="T169" i="2"/>
  <c r="AD169" i="2"/>
  <c r="AD191" i="2"/>
  <c r="G191" i="2"/>
  <c r="S191" i="2"/>
  <c r="H287" i="1"/>
  <c r="AC169" i="2"/>
  <c r="AE169" i="2"/>
  <c r="AA169" i="2"/>
  <c r="W169" i="2"/>
  <c r="AF169" i="2"/>
  <c r="S169" i="2"/>
  <c r="Y169" i="2"/>
  <c r="W191" i="2"/>
  <c r="AF191" i="2"/>
  <c r="X191" i="2"/>
  <c r="U191" i="2"/>
  <c r="I191" i="2"/>
  <c r="L191" i="2"/>
  <c r="P191" i="2"/>
  <c r="R191" i="2"/>
  <c r="Q191" i="2"/>
  <c r="N191" i="2"/>
  <c r="Y191" i="2"/>
  <c r="V191" i="2"/>
  <c r="U328" i="1"/>
  <c r="H129" i="1"/>
  <c r="H133" i="1" s="1"/>
  <c r="H144" i="1" s="1"/>
  <c r="E85" i="2" s="1"/>
  <c r="E522" i="2" s="1"/>
  <c r="AA287" i="1"/>
  <c r="E153" i="2"/>
  <c r="AA129" i="1"/>
  <c r="AA133" i="1" s="1"/>
  <c r="AA144" i="1" s="1"/>
  <c r="E115" i="2" s="1"/>
  <c r="U129" i="1"/>
  <c r="U133" i="1" s="1"/>
  <c r="U144" i="1" s="1"/>
  <c r="E106" i="2" s="1"/>
  <c r="AA106" i="2" s="1"/>
  <c r="AG305" i="2"/>
  <c r="AH305" i="2" s="1"/>
  <c r="I267" i="2"/>
  <c r="Q267" i="2"/>
  <c r="U267" i="2"/>
  <c r="T267" i="2"/>
  <c r="V267" i="2"/>
  <c r="G267" i="2"/>
  <c r="M267" i="2"/>
  <c r="AC267" i="2"/>
  <c r="F267" i="2"/>
  <c r="W267" i="2"/>
  <c r="H267" i="2"/>
  <c r="R267" i="2"/>
  <c r="Z267" i="2"/>
  <c r="AB267" i="2"/>
  <c r="P267" i="2"/>
  <c r="N267" i="2"/>
  <c r="AF267" i="2"/>
  <c r="AD267" i="2"/>
  <c r="AE267" i="2"/>
  <c r="K267" i="2"/>
  <c r="J267" i="2"/>
  <c r="O267" i="2"/>
  <c r="Y267" i="2"/>
  <c r="L267" i="2"/>
  <c r="X267" i="2"/>
  <c r="S267" i="2"/>
  <c r="AA267" i="2"/>
  <c r="AG77" i="2"/>
  <c r="AH77" i="2" s="1"/>
  <c r="AA328" i="1"/>
  <c r="E150" i="2"/>
  <c r="AF150" i="2" s="1"/>
  <c r="Y328" i="1"/>
  <c r="Y129" i="1"/>
  <c r="Y133" i="1" s="1"/>
  <c r="Y144" i="1" s="1"/>
  <c r="E112" i="2" s="1"/>
  <c r="N112" i="2" s="1"/>
  <c r="S245" i="2"/>
  <c r="U245" i="2"/>
  <c r="W245" i="2"/>
  <c r="N245" i="2"/>
  <c r="O245" i="2"/>
  <c r="M245" i="2"/>
  <c r="Q245" i="2"/>
  <c r="L245" i="2"/>
  <c r="AF245" i="2"/>
  <c r="T245" i="2"/>
  <c r="X245" i="2"/>
  <c r="V245" i="2"/>
  <c r="Z245" i="2"/>
  <c r="AC245" i="2"/>
  <c r="R245" i="2"/>
  <c r="P245" i="2"/>
  <c r="AA245" i="2"/>
  <c r="AD245" i="2"/>
  <c r="Y245" i="2"/>
  <c r="AB245" i="2"/>
  <c r="G245" i="2"/>
  <c r="AE245" i="2"/>
  <c r="E488" i="2"/>
  <c r="E503" i="2"/>
  <c r="E512" i="2" s="1"/>
  <c r="E131" i="2"/>
  <c r="I131" i="2" s="1"/>
  <c r="M129" i="1"/>
  <c r="M133" i="1" s="1"/>
  <c r="M144" i="1" s="1"/>
  <c r="E93" i="2" s="1"/>
  <c r="M287" i="1"/>
  <c r="M328" i="1"/>
  <c r="I55" i="2"/>
  <c r="I16" i="2"/>
  <c r="I207" i="2"/>
  <c r="AG258" i="2"/>
  <c r="AH258" i="2" s="1"/>
  <c r="F472" i="2"/>
  <c r="AG292" i="2"/>
  <c r="AH292" i="2" s="1"/>
  <c r="T144" i="2"/>
  <c r="W144" i="2"/>
  <c r="Y144" i="2"/>
  <c r="O144" i="2"/>
  <c r="AA144" i="2"/>
  <c r="P144" i="2"/>
  <c r="F144" i="2"/>
  <c r="Z144" i="2"/>
  <c r="AC144" i="2"/>
  <c r="X144" i="2"/>
  <c r="AE144" i="2"/>
  <c r="L144" i="2"/>
  <c r="Q144" i="2"/>
  <c r="I144" i="2"/>
  <c r="H144" i="2"/>
  <c r="R144" i="2"/>
  <c r="S144" i="2"/>
  <c r="V144" i="2"/>
  <c r="J144" i="2"/>
  <c r="AD144" i="2"/>
  <c r="AF144" i="2"/>
  <c r="N144" i="2"/>
  <c r="G144" i="2"/>
  <c r="K144" i="2"/>
  <c r="U144" i="2"/>
  <c r="M144" i="2"/>
  <c r="AB144" i="2"/>
  <c r="H169" i="2"/>
  <c r="H245" i="2"/>
  <c r="H283" i="2"/>
  <c r="AD254" i="2"/>
  <c r="AD255" i="2" s="1"/>
  <c r="AF254" i="2"/>
  <c r="AF255" i="2" s="1"/>
  <c r="AC254" i="2"/>
  <c r="AC255" i="2" s="1"/>
  <c r="Z254" i="2"/>
  <c r="Z255" i="2" s="1"/>
  <c r="Q254" i="2"/>
  <c r="Q255" i="2" s="1"/>
  <c r="K254" i="2"/>
  <c r="K255" i="2" s="1"/>
  <c r="AE254" i="2"/>
  <c r="AE255" i="2" s="1"/>
  <c r="T254" i="2"/>
  <c r="T255" i="2" s="1"/>
  <c r="R254" i="2"/>
  <c r="R255" i="2" s="1"/>
  <c r="H254" i="2"/>
  <c r="H255" i="2" s="1"/>
  <c r="U254" i="2"/>
  <c r="U255" i="2" s="1"/>
  <c r="P254" i="2"/>
  <c r="P255" i="2" s="1"/>
  <c r="L254" i="2"/>
  <c r="L255" i="2" s="1"/>
  <c r="F254" i="2"/>
  <c r="X254" i="2"/>
  <c r="X255" i="2" s="1"/>
  <c r="G254" i="2"/>
  <c r="G255" i="2" s="1"/>
  <c r="V254" i="2"/>
  <c r="V255" i="2" s="1"/>
  <c r="AA254" i="2"/>
  <c r="AA255" i="2" s="1"/>
  <c r="Y254" i="2"/>
  <c r="Y255" i="2" s="1"/>
  <c r="AB254" i="2"/>
  <c r="AB255" i="2" s="1"/>
  <c r="I254" i="2"/>
  <c r="I255" i="2" s="1"/>
  <c r="J254" i="2"/>
  <c r="J255" i="2" s="1"/>
  <c r="N254" i="2"/>
  <c r="N255" i="2" s="1"/>
  <c r="M254" i="2"/>
  <c r="M255" i="2" s="1"/>
  <c r="O254" i="2"/>
  <c r="O255" i="2" s="1"/>
  <c r="S254" i="2"/>
  <c r="S255" i="2" s="1"/>
  <c r="W254" i="2"/>
  <c r="W255" i="2" s="1"/>
  <c r="E255" i="2"/>
  <c r="I124" i="1"/>
  <c r="AD150" i="2"/>
  <c r="W283" i="1"/>
  <c r="W285" i="1" s="1"/>
  <c r="E261" i="2"/>
  <c r="W326" i="1"/>
  <c r="AG64" i="2"/>
  <c r="AH64" i="2" s="1"/>
  <c r="AG338" i="2"/>
  <c r="O299" i="2"/>
  <c r="K299" i="2"/>
  <c r="AE299" i="2"/>
  <c r="N299" i="2"/>
  <c r="T299" i="2"/>
  <c r="AC299" i="2"/>
  <c r="AD299" i="2"/>
  <c r="I299" i="2"/>
  <c r="G299" i="2"/>
  <c r="L299" i="2"/>
  <c r="U299" i="2"/>
  <c r="M299" i="2"/>
  <c r="H299" i="2"/>
  <c r="Q299" i="2"/>
  <c r="J299" i="2"/>
  <c r="X299" i="2"/>
  <c r="W299" i="2"/>
  <c r="AB299" i="2"/>
  <c r="R299" i="2"/>
  <c r="Z299" i="2"/>
  <c r="Y299" i="2"/>
  <c r="AA299" i="2"/>
  <c r="S299" i="2"/>
  <c r="V299" i="2"/>
  <c r="P299" i="2"/>
  <c r="F299" i="2"/>
  <c r="AF299" i="2"/>
  <c r="S129" i="1"/>
  <c r="S133" i="1" s="1"/>
  <c r="S144" i="1" s="1"/>
  <c r="E102" i="2" s="1"/>
  <c r="E103" i="2" s="1"/>
  <c r="E140" i="2"/>
  <c r="S287" i="1"/>
  <c r="S328" i="1"/>
  <c r="F478" i="2"/>
  <c r="AG74" i="2"/>
  <c r="AH74" i="2" s="1"/>
  <c r="AG302" i="2"/>
  <c r="AH302" i="2" s="1"/>
  <c r="I283" i="2"/>
  <c r="I245" i="2"/>
  <c r="I169" i="2"/>
  <c r="AB264" i="2"/>
  <c r="U264" i="2"/>
  <c r="AF264" i="2"/>
  <c r="X264" i="2"/>
  <c r="V264" i="2"/>
  <c r="AD264" i="2"/>
  <c r="Z264" i="2"/>
  <c r="W264" i="2"/>
  <c r="K264" i="2"/>
  <c r="AC264" i="2"/>
  <c r="N264" i="2"/>
  <c r="P264" i="2"/>
  <c r="L264" i="2"/>
  <c r="AE264" i="2"/>
  <c r="AA264" i="2"/>
  <c r="O264" i="2"/>
  <c r="G264" i="2"/>
  <c r="S264" i="2"/>
  <c r="Y264" i="2"/>
  <c r="F264" i="2"/>
  <c r="Q264" i="2"/>
  <c r="R264" i="2"/>
  <c r="T264" i="2"/>
  <c r="M264" i="2"/>
  <c r="H264" i="2"/>
  <c r="J264" i="2"/>
  <c r="I264" i="2"/>
  <c r="M202" i="15"/>
  <c r="Y101" i="2"/>
  <c r="AE101" i="2"/>
  <c r="L101" i="2"/>
  <c r="AB101" i="2"/>
  <c r="AF101" i="2"/>
  <c r="T101" i="2"/>
  <c r="X101" i="2"/>
  <c r="H101" i="2"/>
  <c r="V101" i="2"/>
  <c r="O101" i="2"/>
  <c r="AC101" i="2"/>
  <c r="P101" i="2"/>
  <c r="W101" i="2"/>
  <c r="AA101" i="2"/>
  <c r="G101" i="2"/>
  <c r="S101" i="2"/>
  <c r="U101" i="2"/>
  <c r="F101" i="2"/>
  <c r="AD101" i="2"/>
  <c r="J101" i="2"/>
  <c r="Z101" i="2"/>
  <c r="N101" i="2"/>
  <c r="M101" i="2"/>
  <c r="R101" i="2"/>
  <c r="Q101" i="2"/>
  <c r="I101" i="2"/>
  <c r="K101" i="2"/>
  <c r="Z178" i="2"/>
  <c r="AE178" i="2"/>
  <c r="AF178" i="2"/>
  <c r="V178" i="2"/>
  <c r="G178" i="2"/>
  <c r="Q178" i="2"/>
  <c r="F178" i="2"/>
  <c r="W178" i="2"/>
  <c r="W179" i="2" s="1"/>
  <c r="U178" i="2"/>
  <c r="R178" i="2"/>
  <c r="M178" i="2"/>
  <c r="Y178" i="2"/>
  <c r="N178" i="2"/>
  <c r="AC178" i="2"/>
  <c r="O178" i="2"/>
  <c r="J178" i="2"/>
  <c r="K178" i="2"/>
  <c r="AA178" i="2"/>
  <c r="AD178" i="2"/>
  <c r="X178" i="2"/>
  <c r="P178" i="2"/>
  <c r="T178" i="2"/>
  <c r="AB178" i="2"/>
  <c r="L178" i="2"/>
  <c r="S178" i="2"/>
  <c r="H178" i="2"/>
  <c r="I178" i="2"/>
  <c r="E179" i="2"/>
  <c r="F65" i="2"/>
  <c r="H16" i="2"/>
  <c r="H207" i="2"/>
  <c r="H55" i="2"/>
  <c r="X71" i="2"/>
  <c r="F71" i="2"/>
  <c r="V71" i="2"/>
  <c r="AE71" i="2"/>
  <c r="G71" i="2"/>
  <c r="L71" i="2"/>
  <c r="S71" i="2"/>
  <c r="AF71" i="2"/>
  <c r="N71" i="2"/>
  <c r="U71" i="2"/>
  <c r="K71" i="2"/>
  <c r="P71" i="2"/>
  <c r="AD71" i="2"/>
  <c r="T71" i="2"/>
  <c r="AC71" i="2"/>
  <c r="W71" i="2"/>
  <c r="H71" i="2"/>
  <c r="Z71" i="2"/>
  <c r="AB71" i="2"/>
  <c r="I71" i="2"/>
  <c r="J71" i="2"/>
  <c r="O71" i="2"/>
  <c r="Y71" i="2"/>
  <c r="AA71" i="2"/>
  <c r="Q71" i="2"/>
  <c r="M71" i="2"/>
  <c r="R71" i="2"/>
  <c r="P142" i="1" l="1"/>
  <c r="P450" i="1"/>
  <c r="P270" i="1"/>
  <c r="P447" i="1"/>
  <c r="AB237" i="1"/>
  <c r="AC237" i="1" s="1"/>
  <c r="P451" i="1"/>
  <c r="AB279" i="1"/>
  <c r="AC279" i="1" s="1"/>
  <c r="AB121" i="1"/>
  <c r="AC121" i="1" s="1"/>
  <c r="P271" i="1"/>
  <c r="P275" i="1"/>
  <c r="P453" i="1"/>
  <c r="P454" i="1"/>
  <c r="P277" i="1"/>
  <c r="P269" i="1"/>
  <c r="P446" i="1"/>
  <c r="P448" i="1"/>
  <c r="P276" i="1"/>
  <c r="AB457" i="1"/>
  <c r="AC457" i="1" s="1"/>
  <c r="AG188" i="2"/>
  <c r="AH188" i="2" s="1"/>
  <c r="E20" i="2"/>
  <c r="AD20" i="2" s="1"/>
  <c r="P131" i="1"/>
  <c r="P130" i="1"/>
  <c r="AB122" i="1"/>
  <c r="AC122" i="1" s="1"/>
  <c r="AB120" i="1"/>
  <c r="AC120" i="1" s="1"/>
  <c r="P312" i="1"/>
  <c r="E211" i="2" s="1"/>
  <c r="X211" i="2" s="1"/>
  <c r="P93" i="1"/>
  <c r="P101" i="1"/>
  <c r="P104" i="1" s="1"/>
  <c r="P124" i="1" s="1"/>
  <c r="P126" i="1" s="1"/>
  <c r="P318" i="1" s="1"/>
  <c r="AB308" i="1"/>
  <c r="AC308" i="1" s="1"/>
  <c r="AB456" i="1"/>
  <c r="AC456" i="1" s="1"/>
  <c r="AB139" i="2"/>
  <c r="AE179" i="2"/>
  <c r="AH505" i="2"/>
  <c r="F465" i="2"/>
  <c r="AG465" i="2" s="1"/>
  <c r="AH465" i="2" s="1"/>
  <c r="AG464" i="2"/>
  <c r="AH464" i="2" s="1"/>
  <c r="O91" i="1"/>
  <c r="AB88" i="1"/>
  <c r="AC88" i="1" s="1"/>
  <c r="O414" i="1"/>
  <c r="AB414" i="1" s="1"/>
  <c r="AC414" i="1" s="1"/>
  <c r="O440" i="1"/>
  <c r="AB412" i="1"/>
  <c r="AC412" i="1" s="1"/>
  <c r="AB307" i="1"/>
  <c r="AC307" i="1" s="1"/>
  <c r="O312" i="1"/>
  <c r="O264" i="1"/>
  <c r="AB233" i="1"/>
  <c r="AC233" i="1" s="1"/>
  <c r="O130" i="1"/>
  <c r="O131" i="1"/>
  <c r="O142" i="1"/>
  <c r="AB142" i="1" s="1"/>
  <c r="AC142" i="1" s="1"/>
  <c r="E19" i="2"/>
  <c r="O19" i="2" s="1"/>
  <c r="O98" i="1"/>
  <c r="AB82" i="1"/>
  <c r="AC82" i="1" s="1"/>
  <c r="M466" i="2"/>
  <c r="J466" i="2"/>
  <c r="AB466" i="2"/>
  <c r="R466" i="2"/>
  <c r="P466" i="2"/>
  <c r="X466" i="2"/>
  <c r="G466" i="2"/>
  <c r="Y466" i="2"/>
  <c r="Z466" i="2"/>
  <c r="AC466" i="2"/>
  <c r="O466" i="2"/>
  <c r="W466" i="2"/>
  <c r="Q466" i="2"/>
  <c r="K466" i="2"/>
  <c r="H466" i="2"/>
  <c r="U466" i="2"/>
  <c r="V466" i="2"/>
  <c r="AA466" i="2"/>
  <c r="AF466" i="2"/>
  <c r="AE466" i="2"/>
  <c r="S466" i="2"/>
  <c r="N466" i="2"/>
  <c r="T466" i="2"/>
  <c r="I466" i="2"/>
  <c r="AD466" i="2"/>
  <c r="L466" i="2"/>
  <c r="K20" i="2"/>
  <c r="F459" i="2"/>
  <c r="AG458" i="2"/>
  <c r="AH458" i="2" s="1"/>
  <c r="P139" i="2"/>
  <c r="X139" i="2"/>
  <c r="L139" i="2"/>
  <c r="I139" i="2"/>
  <c r="Q139" i="2"/>
  <c r="H131" i="2"/>
  <c r="U139" i="2"/>
  <c r="H106" i="2"/>
  <c r="H179" i="2"/>
  <c r="R179" i="2"/>
  <c r="O139" i="2"/>
  <c r="AF139" i="2"/>
  <c r="H139" i="2"/>
  <c r="E141" i="2"/>
  <c r="W139" i="2"/>
  <c r="G139" i="2"/>
  <c r="AA139" i="2"/>
  <c r="M139" i="2"/>
  <c r="O179" i="2"/>
  <c r="Z139" i="2"/>
  <c r="J139" i="2"/>
  <c r="R139" i="2"/>
  <c r="N139" i="2"/>
  <c r="AE139" i="2"/>
  <c r="AD139" i="2"/>
  <c r="AH128" i="2"/>
  <c r="F139" i="2"/>
  <c r="T139" i="2"/>
  <c r="AC139" i="2"/>
  <c r="K139" i="2"/>
  <c r="Y139" i="2"/>
  <c r="V139" i="2"/>
  <c r="AF106" i="2"/>
  <c r="I179" i="2"/>
  <c r="AB179" i="2"/>
  <c r="M179" i="2"/>
  <c r="P179" i="2"/>
  <c r="AC179" i="2"/>
  <c r="G179" i="2"/>
  <c r="AG293" i="2"/>
  <c r="AH293" i="2" s="1"/>
  <c r="L185" i="2"/>
  <c r="Z179" i="2"/>
  <c r="S179" i="2"/>
  <c r="K179" i="2"/>
  <c r="N179" i="2"/>
  <c r="U179" i="2"/>
  <c r="Y179" i="2"/>
  <c r="X179" i="2"/>
  <c r="J179" i="2"/>
  <c r="V179" i="2"/>
  <c r="AD179" i="2"/>
  <c r="AF179" i="2"/>
  <c r="AE106" i="2"/>
  <c r="L179" i="2"/>
  <c r="S112" i="2"/>
  <c r="AG177" i="2"/>
  <c r="AH177" i="2" s="1"/>
  <c r="Z106" i="2"/>
  <c r="AG65" i="2"/>
  <c r="AH65" i="2" s="1"/>
  <c r="W106" i="2"/>
  <c r="T179" i="2"/>
  <c r="AA179" i="2"/>
  <c r="Q179" i="2"/>
  <c r="AB112" i="2"/>
  <c r="F106" i="2"/>
  <c r="P106" i="2"/>
  <c r="R112" i="2"/>
  <c r="AC150" i="2"/>
  <c r="U185" i="2"/>
  <c r="AG182" i="2"/>
  <c r="AH182" i="2" s="1"/>
  <c r="Z185" i="2"/>
  <c r="S185" i="2"/>
  <c r="H185" i="2"/>
  <c r="V185" i="2"/>
  <c r="AE185" i="2"/>
  <c r="M150" i="2"/>
  <c r="P150" i="2"/>
  <c r="Z150" i="2"/>
  <c r="R150" i="2"/>
  <c r="N150" i="2"/>
  <c r="O185" i="2"/>
  <c r="W185" i="2"/>
  <c r="AF185" i="2"/>
  <c r="AG191" i="2"/>
  <c r="AH191" i="2" s="1"/>
  <c r="Q185" i="2"/>
  <c r="T185" i="2"/>
  <c r="X185" i="2"/>
  <c r="AA185" i="2"/>
  <c r="J185" i="2"/>
  <c r="R185" i="2"/>
  <c r="AC185" i="2"/>
  <c r="Y185" i="2"/>
  <c r="AD185" i="2"/>
  <c r="N185" i="2"/>
  <c r="F112" i="2"/>
  <c r="V112" i="2"/>
  <c r="AB185" i="2"/>
  <c r="G185" i="2"/>
  <c r="I185" i="2"/>
  <c r="M185" i="2"/>
  <c r="P185" i="2"/>
  <c r="F185" i="2"/>
  <c r="Z112" i="2"/>
  <c r="I112" i="2"/>
  <c r="L112" i="2"/>
  <c r="O112" i="2"/>
  <c r="AF112" i="2"/>
  <c r="T112" i="2"/>
  <c r="X112" i="2"/>
  <c r="AE112" i="2"/>
  <c r="AD106" i="2"/>
  <c r="S106" i="2"/>
  <c r="G106" i="2"/>
  <c r="H150" i="2"/>
  <c r="L150" i="2"/>
  <c r="S150" i="2"/>
  <c r="AG267" i="2"/>
  <c r="AH267" i="2" s="1"/>
  <c r="I115" i="2"/>
  <c r="AA115" i="2"/>
  <c r="AC115" i="2"/>
  <c r="K115" i="2"/>
  <c r="AB115" i="2"/>
  <c r="G115" i="2"/>
  <c r="M115" i="2"/>
  <c r="Q115" i="2"/>
  <c r="T115" i="2"/>
  <c r="S115" i="2"/>
  <c r="J115" i="2"/>
  <c r="L115" i="2"/>
  <c r="O115" i="2"/>
  <c r="V115" i="2"/>
  <c r="AE115" i="2"/>
  <c r="AF115" i="2"/>
  <c r="P115" i="2"/>
  <c r="X115" i="2"/>
  <c r="F115" i="2"/>
  <c r="U115" i="2"/>
  <c r="H115" i="2"/>
  <c r="Y115" i="2"/>
  <c r="W115" i="2"/>
  <c r="Z115" i="2"/>
  <c r="AD115" i="2"/>
  <c r="R115" i="2"/>
  <c r="N115" i="2"/>
  <c r="Q106" i="2"/>
  <c r="J106" i="2"/>
  <c r="U106" i="2"/>
  <c r="AB106" i="2"/>
  <c r="K106" i="2"/>
  <c r="M106" i="2"/>
  <c r="J150" i="2"/>
  <c r="T150" i="2"/>
  <c r="G150" i="2"/>
  <c r="AA150" i="2"/>
  <c r="K150" i="2"/>
  <c r="W150" i="2"/>
  <c r="V150" i="2"/>
  <c r="I153" i="2"/>
  <c r="S153" i="2"/>
  <c r="U153" i="2"/>
  <c r="F153" i="2"/>
  <c r="L153" i="2"/>
  <c r="G153" i="2"/>
  <c r="AB153" i="2"/>
  <c r="J153" i="2"/>
  <c r="Z153" i="2"/>
  <c r="P153" i="2"/>
  <c r="M153" i="2"/>
  <c r="R153" i="2"/>
  <c r="AD153" i="2"/>
  <c r="K153" i="2"/>
  <c r="N153" i="2"/>
  <c r="Y153" i="2"/>
  <c r="T153" i="2"/>
  <c r="AC153" i="2"/>
  <c r="AF153" i="2"/>
  <c r="AE153" i="2"/>
  <c r="W153" i="2"/>
  <c r="O153" i="2"/>
  <c r="AA153" i="2"/>
  <c r="X153" i="2"/>
  <c r="V153" i="2"/>
  <c r="Q153" i="2"/>
  <c r="H153" i="2"/>
  <c r="X106" i="2"/>
  <c r="AC106" i="2"/>
  <c r="O106" i="2"/>
  <c r="R106" i="2"/>
  <c r="AB150" i="2"/>
  <c r="U150" i="2"/>
  <c r="O150" i="2"/>
  <c r="L106" i="2"/>
  <c r="T106" i="2"/>
  <c r="Y106" i="2"/>
  <c r="N106" i="2"/>
  <c r="V106" i="2"/>
  <c r="I106" i="2"/>
  <c r="I150" i="2"/>
  <c r="Q150" i="2"/>
  <c r="F150" i="2"/>
  <c r="X150" i="2"/>
  <c r="AE150" i="2"/>
  <c r="Y150" i="2"/>
  <c r="J112" i="2"/>
  <c r="H112" i="2"/>
  <c r="W112" i="2"/>
  <c r="Y112" i="2"/>
  <c r="K112" i="2"/>
  <c r="P112" i="2"/>
  <c r="U112" i="2"/>
  <c r="M112" i="2"/>
  <c r="Q112" i="2"/>
  <c r="G112" i="2"/>
  <c r="AC112" i="2"/>
  <c r="AA112" i="2"/>
  <c r="AD112" i="2"/>
  <c r="O93" i="2"/>
  <c r="Q93" i="2"/>
  <c r="AE93" i="2"/>
  <c r="AA93" i="2"/>
  <c r="X93" i="2"/>
  <c r="R93" i="2"/>
  <c r="S93" i="2"/>
  <c r="AD93" i="2"/>
  <c r="W93" i="2"/>
  <c r="T93" i="2"/>
  <c r="U93" i="2"/>
  <c r="N93" i="2"/>
  <c r="V93" i="2"/>
  <c r="P93" i="2"/>
  <c r="AB93" i="2"/>
  <c r="AC93" i="2"/>
  <c r="Z93" i="2"/>
  <c r="M93" i="2"/>
  <c r="L93" i="2"/>
  <c r="G93" i="2"/>
  <c r="AF93" i="2"/>
  <c r="Y93" i="2"/>
  <c r="K93" i="2"/>
  <c r="I93" i="2"/>
  <c r="E490" i="2"/>
  <c r="E491" i="2" s="1"/>
  <c r="AG488" i="2"/>
  <c r="AH488" i="2" s="1"/>
  <c r="H93" i="2"/>
  <c r="Q131" i="2"/>
  <c r="S131" i="2"/>
  <c r="O131" i="2"/>
  <c r="W131" i="2"/>
  <c r="AE131" i="2"/>
  <c r="AD131" i="2"/>
  <c r="Y131" i="2"/>
  <c r="AA131" i="2"/>
  <c r="G131" i="2"/>
  <c r="P131" i="2"/>
  <c r="M131" i="2"/>
  <c r="U131" i="2"/>
  <c r="X131" i="2"/>
  <c r="N131" i="2"/>
  <c r="L131" i="2"/>
  <c r="AF131" i="2"/>
  <c r="V131" i="2"/>
  <c r="R131" i="2"/>
  <c r="T131" i="2"/>
  <c r="AB131" i="2"/>
  <c r="Z131" i="2"/>
  <c r="AC131" i="2"/>
  <c r="K131" i="2"/>
  <c r="M204" i="15"/>
  <c r="M34" i="15" s="1"/>
  <c r="AG264" i="2"/>
  <c r="AH264" i="2" s="1"/>
  <c r="R102" i="2"/>
  <c r="R103" i="2" s="1"/>
  <c r="F102" i="2"/>
  <c r="F103" i="2" s="1"/>
  <c r="AA102" i="2"/>
  <c r="AA103" i="2" s="1"/>
  <c r="Q102" i="2"/>
  <c r="Q103" i="2" s="1"/>
  <c r="AE102" i="2"/>
  <c r="AE103" i="2" s="1"/>
  <c r="S102" i="2"/>
  <c r="G102" i="2"/>
  <c r="G103" i="2" s="1"/>
  <c r="AC102" i="2"/>
  <c r="AC103" i="2" s="1"/>
  <c r="H102" i="2"/>
  <c r="H103" i="2" s="1"/>
  <c r="K102" i="2"/>
  <c r="Y102" i="2"/>
  <c r="Y103" i="2" s="1"/>
  <c r="O102" i="2"/>
  <c r="O103" i="2" s="1"/>
  <c r="L102" i="2"/>
  <c r="V102" i="2"/>
  <c r="AB102" i="2"/>
  <c r="AB103" i="2" s="1"/>
  <c r="M102" i="2"/>
  <c r="M103" i="2" s="1"/>
  <c r="AF102" i="2"/>
  <c r="AF103" i="2" s="1"/>
  <c r="AD102" i="2"/>
  <c r="X102" i="2"/>
  <c r="J102" i="2"/>
  <c r="J103" i="2" s="1"/>
  <c r="N102" i="2"/>
  <c r="Z102" i="2"/>
  <c r="I102" i="2"/>
  <c r="U102" i="2"/>
  <c r="U103" i="2" s="1"/>
  <c r="T102" i="2"/>
  <c r="T103" i="2" s="1"/>
  <c r="P102" i="2"/>
  <c r="W102" i="2"/>
  <c r="W103" i="2" s="1"/>
  <c r="I126" i="1"/>
  <c r="F473" i="2"/>
  <c r="AG101" i="2"/>
  <c r="AH101" i="2" s="1"/>
  <c r="N202" i="15"/>
  <c r="N204" i="15" s="1"/>
  <c r="N34" i="15" s="1"/>
  <c r="O83" i="15"/>
  <c r="R83" i="15" s="1"/>
  <c r="F479" i="2"/>
  <c r="AH338" i="2"/>
  <c r="AG71" i="2"/>
  <c r="AH71" i="2" s="1"/>
  <c r="AG299" i="2"/>
  <c r="AH299" i="2" s="1"/>
  <c r="Z261" i="2"/>
  <c r="U261" i="2"/>
  <c r="X261" i="2"/>
  <c r="K261" i="2"/>
  <c r="AD261" i="2"/>
  <c r="AF261" i="2"/>
  <c r="P261" i="2"/>
  <c r="L261" i="2"/>
  <c r="N261" i="2"/>
  <c r="AC261" i="2"/>
  <c r="M261" i="2"/>
  <c r="S261" i="2"/>
  <c r="I261" i="2"/>
  <c r="Y261" i="2"/>
  <c r="AA261" i="2"/>
  <c r="G261" i="2"/>
  <c r="T261" i="2"/>
  <c r="R261" i="2"/>
  <c r="Q261" i="2"/>
  <c r="F261" i="2"/>
  <c r="AE261" i="2"/>
  <c r="V261" i="2"/>
  <c r="J261" i="2"/>
  <c r="H261" i="2"/>
  <c r="AB261" i="2"/>
  <c r="O261" i="2"/>
  <c r="W261" i="2"/>
  <c r="AG144" i="2"/>
  <c r="AH144" i="2" s="1"/>
  <c r="AG178" i="2"/>
  <c r="AH178" i="2" s="1"/>
  <c r="F179" i="2"/>
  <c r="I140" i="2"/>
  <c r="Z140" i="2"/>
  <c r="AA140" i="2"/>
  <c r="AD140" i="2"/>
  <c r="H140" i="2"/>
  <c r="R140" i="2"/>
  <c r="N140" i="2"/>
  <c r="V140" i="2"/>
  <c r="T140" i="2"/>
  <c r="L140" i="2"/>
  <c r="O140" i="2"/>
  <c r="K140" i="2"/>
  <c r="J140" i="2"/>
  <c r="M140" i="2"/>
  <c r="F140" i="2"/>
  <c r="G140" i="2"/>
  <c r="AC140" i="2"/>
  <c r="W140" i="2"/>
  <c r="AE140" i="2"/>
  <c r="AF140" i="2"/>
  <c r="P140" i="2"/>
  <c r="U140" i="2"/>
  <c r="S140" i="2"/>
  <c r="S141" i="2" s="1"/>
  <c r="Y140" i="2"/>
  <c r="X140" i="2"/>
  <c r="Q140" i="2"/>
  <c r="AB140" i="2"/>
  <c r="W287" i="1"/>
  <c r="W129" i="1"/>
  <c r="W133" i="1" s="1"/>
  <c r="W144" i="1" s="1"/>
  <c r="E109" i="2" s="1"/>
  <c r="W328" i="1"/>
  <c r="E147" i="2"/>
  <c r="AG254" i="2"/>
  <c r="AH254" i="2" s="1"/>
  <c r="F255" i="2"/>
  <c r="AG255" i="2" s="1"/>
  <c r="AH255" i="2" s="1"/>
  <c r="X20" i="2" l="1"/>
  <c r="AB131" i="1"/>
  <c r="AC131" i="1" s="1"/>
  <c r="AB20" i="2"/>
  <c r="Z20" i="2"/>
  <c r="I20" i="2"/>
  <c r="T20" i="2"/>
  <c r="Q20" i="2"/>
  <c r="M20" i="2"/>
  <c r="S20" i="2"/>
  <c r="L20" i="2"/>
  <c r="H20" i="2"/>
  <c r="AA20" i="2"/>
  <c r="J20" i="2"/>
  <c r="W20" i="2"/>
  <c r="AF20" i="2"/>
  <c r="U20" i="2"/>
  <c r="AE20" i="2"/>
  <c r="V20" i="2"/>
  <c r="G20" i="2"/>
  <c r="P20" i="2"/>
  <c r="P324" i="1"/>
  <c r="AB130" i="1"/>
  <c r="AC130" i="1" s="1"/>
  <c r="O20" i="2"/>
  <c r="O21" i="2" s="1"/>
  <c r="R20" i="2"/>
  <c r="F20" i="2"/>
  <c r="Y20" i="2"/>
  <c r="N20" i="2"/>
  <c r="V211" i="2"/>
  <c r="AC20" i="2"/>
  <c r="AC211" i="2"/>
  <c r="AF211" i="2"/>
  <c r="G211" i="2"/>
  <c r="O211" i="2"/>
  <c r="T211" i="2"/>
  <c r="P455" i="1"/>
  <c r="P272" i="1"/>
  <c r="P316" i="1"/>
  <c r="E287" i="2" s="1"/>
  <c r="W287" i="2" s="1"/>
  <c r="P449" i="1"/>
  <c r="P278" i="1"/>
  <c r="P281" i="1"/>
  <c r="E59" i="2"/>
  <c r="L59" i="2" s="1"/>
  <c r="P314" i="1"/>
  <c r="E249" i="2" s="1"/>
  <c r="P320" i="1"/>
  <c r="P322" i="1"/>
  <c r="F211" i="2"/>
  <c r="AA211" i="2"/>
  <c r="W211" i="2"/>
  <c r="M211" i="2"/>
  <c r="N211" i="2"/>
  <c r="Z211" i="2"/>
  <c r="R211" i="2"/>
  <c r="AB211" i="2"/>
  <c r="AE211" i="2"/>
  <c r="S211" i="2"/>
  <c r="K211" i="2"/>
  <c r="U211" i="2"/>
  <c r="H211" i="2"/>
  <c r="AD211" i="2"/>
  <c r="L211" i="2"/>
  <c r="I211" i="2"/>
  <c r="P211" i="2"/>
  <c r="Q211" i="2"/>
  <c r="Y211" i="2"/>
  <c r="J211" i="2"/>
  <c r="F466" i="2"/>
  <c r="AG466" i="2" s="1"/>
  <c r="AH466" i="2" s="1"/>
  <c r="AD19" i="2"/>
  <c r="AD21" i="2" s="1"/>
  <c r="Y19" i="2"/>
  <c r="AA19" i="2"/>
  <c r="AA21" i="2" s="1"/>
  <c r="Q19" i="2"/>
  <c r="AC19" i="2"/>
  <c r="Z19" i="2"/>
  <c r="O99" i="1"/>
  <c r="AB99" i="1" s="1"/>
  <c r="AC99" i="1" s="1"/>
  <c r="AB91" i="1"/>
  <c r="AC91" i="1" s="1"/>
  <c r="P19" i="2"/>
  <c r="I19" i="2"/>
  <c r="O453" i="1"/>
  <c r="AB453" i="1" s="1"/>
  <c r="AC453" i="1" s="1"/>
  <c r="O448" i="1"/>
  <c r="AB448" i="1" s="1"/>
  <c r="AC448" i="1" s="1"/>
  <c r="O454" i="1"/>
  <c r="AB454" i="1" s="1"/>
  <c r="AC454" i="1" s="1"/>
  <c r="O277" i="1"/>
  <c r="AB277" i="1" s="1"/>
  <c r="AC277" i="1" s="1"/>
  <c r="O276" i="1"/>
  <c r="AB276" i="1" s="1"/>
  <c r="AC276" i="1" s="1"/>
  <c r="O269" i="1"/>
  <c r="O271" i="1"/>
  <c r="AB271" i="1" s="1"/>
  <c r="AC271" i="1" s="1"/>
  <c r="O275" i="1"/>
  <c r="AB275" i="1" s="1"/>
  <c r="AC275" i="1" s="1"/>
  <c r="O446" i="1"/>
  <c r="O452" i="1"/>
  <c r="AB452" i="1" s="1"/>
  <c r="AC452" i="1" s="1"/>
  <c r="AB264" i="1"/>
  <c r="AC264" i="1" s="1"/>
  <c r="G19" i="2"/>
  <c r="N19" i="2"/>
  <c r="O273" i="1"/>
  <c r="AB273" i="1" s="1"/>
  <c r="AC273" i="1" s="1"/>
  <c r="O447" i="1"/>
  <c r="AB447" i="1" s="1"/>
  <c r="AC447" i="1" s="1"/>
  <c r="O451" i="1"/>
  <c r="AB451" i="1" s="1"/>
  <c r="AC451" i="1" s="1"/>
  <c r="O274" i="1"/>
  <c r="AB274" i="1" s="1"/>
  <c r="AC274" i="1" s="1"/>
  <c r="O450" i="1"/>
  <c r="AB450" i="1" s="1"/>
  <c r="AC450" i="1" s="1"/>
  <c r="O270" i="1"/>
  <c r="AB270" i="1" s="1"/>
  <c r="AC270" i="1" s="1"/>
  <c r="AB440" i="1"/>
  <c r="AC440" i="1" s="1"/>
  <c r="H19" i="2"/>
  <c r="E21" i="2"/>
  <c r="E40" i="2" s="1"/>
  <c r="K19" i="2"/>
  <c r="K21" i="2" s="1"/>
  <c r="J19" i="2"/>
  <c r="M19" i="2"/>
  <c r="AE19" i="2"/>
  <c r="W19" i="2"/>
  <c r="W21" i="2" s="1"/>
  <c r="R19" i="2"/>
  <c r="O93" i="1"/>
  <c r="AB93" i="1" s="1"/>
  <c r="AC93" i="1" s="1"/>
  <c r="S19" i="2"/>
  <c r="S21" i="2" s="1"/>
  <c r="E210" i="2"/>
  <c r="F210" i="2" s="1"/>
  <c r="AB312" i="1"/>
  <c r="AC312" i="1" s="1"/>
  <c r="T19" i="2"/>
  <c r="U19" i="2"/>
  <c r="AG459" i="2"/>
  <c r="AH459" i="2" s="1"/>
  <c r="F19" i="2"/>
  <c r="X19" i="2"/>
  <c r="V19" i="2"/>
  <c r="AB98" i="1"/>
  <c r="AC98" i="1" s="1"/>
  <c r="AF19" i="2"/>
  <c r="AB19" i="2"/>
  <c r="L19" i="2"/>
  <c r="U141" i="2"/>
  <c r="G141" i="2"/>
  <c r="Q141" i="2"/>
  <c r="M141" i="2"/>
  <c r="R141" i="2"/>
  <c r="AG139" i="2"/>
  <c r="AH139" i="2" s="1"/>
  <c r="AE141" i="2"/>
  <c r="W141" i="2"/>
  <c r="F141" i="2"/>
  <c r="O141" i="2"/>
  <c r="N141" i="2"/>
  <c r="J141" i="2"/>
  <c r="H141" i="2"/>
  <c r="V141" i="2"/>
  <c r="Z141" i="2"/>
  <c r="AG179" i="2"/>
  <c r="AH179" i="2" s="1"/>
  <c r="AG185" i="2"/>
  <c r="AH185" i="2" s="1"/>
  <c r="AG150" i="2"/>
  <c r="AH150" i="2" s="1"/>
  <c r="AG106" i="2"/>
  <c r="AH106" i="2" s="1"/>
  <c r="AG112" i="2"/>
  <c r="AH112" i="2" s="1"/>
  <c r="AG153" i="2"/>
  <c r="AH153" i="2" s="1"/>
  <c r="AG115" i="2"/>
  <c r="AH115" i="2" s="1"/>
  <c r="I12" i="15"/>
  <c r="T83" i="15"/>
  <c r="K12" i="15" s="1"/>
  <c r="AD103" i="2"/>
  <c r="P141" i="2"/>
  <c r="X141" i="2"/>
  <c r="AC141" i="2"/>
  <c r="F480" i="2"/>
  <c r="F93" i="2"/>
  <c r="F16" i="2"/>
  <c r="F55" i="2"/>
  <c r="F207" i="2"/>
  <c r="O202" i="15"/>
  <c r="AG102" i="2"/>
  <c r="AH102" i="2" s="1"/>
  <c r="AG140" i="2"/>
  <c r="AH140" i="2" s="1"/>
  <c r="P103" i="2"/>
  <c r="K103" i="2"/>
  <c r="AG261" i="2"/>
  <c r="AH261" i="2" s="1"/>
  <c r="I141" i="2"/>
  <c r="I278" i="1"/>
  <c r="I449" i="1"/>
  <c r="I314" i="1"/>
  <c r="I272" i="1"/>
  <c r="I316" i="1"/>
  <c r="I324" i="1"/>
  <c r="I281" i="1"/>
  <c r="I320" i="1"/>
  <c r="I455" i="1"/>
  <c r="E48" i="2"/>
  <c r="I318" i="1"/>
  <c r="I322" i="1"/>
  <c r="AA141" i="2"/>
  <c r="L103" i="2"/>
  <c r="N103" i="2"/>
  <c r="K141" i="2"/>
  <c r="S109" i="2"/>
  <c r="N109" i="2"/>
  <c r="K109" i="2"/>
  <c r="T109" i="2"/>
  <c r="X109" i="2"/>
  <c r="L109" i="2"/>
  <c r="AF109" i="2"/>
  <c r="AD109" i="2"/>
  <c r="AE109" i="2"/>
  <c r="R109" i="2"/>
  <c r="AB109" i="2"/>
  <c r="O109" i="2"/>
  <c r="I109" i="2"/>
  <c r="M109" i="2"/>
  <c r="H109" i="2"/>
  <c r="AA109" i="2"/>
  <c r="U109" i="2"/>
  <c r="P109" i="2"/>
  <c r="AC109" i="2"/>
  <c r="J109" i="2"/>
  <c r="Y109" i="2"/>
  <c r="F109" i="2"/>
  <c r="G109" i="2"/>
  <c r="Z109" i="2"/>
  <c r="V109" i="2"/>
  <c r="W109" i="2"/>
  <c r="Q109" i="2"/>
  <c r="AB147" i="2"/>
  <c r="K147" i="2"/>
  <c r="U147" i="2"/>
  <c r="X147" i="2"/>
  <c r="I147" i="2"/>
  <c r="AD147" i="2"/>
  <c r="F147" i="2"/>
  <c r="N147" i="2"/>
  <c r="AF147" i="2"/>
  <c r="AC147" i="2"/>
  <c r="L147" i="2"/>
  <c r="AE147" i="2"/>
  <c r="J147" i="2"/>
  <c r="Q147" i="2"/>
  <c r="G147" i="2"/>
  <c r="W147" i="2"/>
  <c r="O147" i="2"/>
  <c r="AA147" i="2"/>
  <c r="Y147" i="2"/>
  <c r="T147" i="2"/>
  <c r="M147" i="2"/>
  <c r="V147" i="2"/>
  <c r="Z147" i="2"/>
  <c r="S147" i="2"/>
  <c r="R147" i="2"/>
  <c r="H147" i="2"/>
  <c r="P147" i="2"/>
  <c r="AD141" i="2"/>
  <c r="S103" i="2"/>
  <c r="T141" i="2"/>
  <c r="Z103" i="2"/>
  <c r="AB141" i="2"/>
  <c r="L141" i="2"/>
  <c r="V103" i="2"/>
  <c r="Y141" i="2"/>
  <c r="AF141" i="2"/>
  <c r="X103" i="2"/>
  <c r="I103" i="2"/>
  <c r="J21" i="2" l="1"/>
  <c r="I21" i="2"/>
  <c r="X21" i="2"/>
  <c r="AB21" i="2"/>
  <c r="Z21" i="2"/>
  <c r="P283" i="1"/>
  <c r="P285" i="1" s="1"/>
  <c r="P129" i="1" s="1"/>
  <c r="P133" i="1" s="1"/>
  <c r="P144" i="1" s="1"/>
  <c r="E97" i="2" s="1"/>
  <c r="R21" i="2"/>
  <c r="U21" i="2"/>
  <c r="M21" i="2"/>
  <c r="Q21" i="2"/>
  <c r="T21" i="2"/>
  <c r="AF21" i="2"/>
  <c r="H21" i="2"/>
  <c r="AE21" i="2"/>
  <c r="V21" i="2"/>
  <c r="L21" i="2"/>
  <c r="G21" i="2"/>
  <c r="P21" i="2"/>
  <c r="Y21" i="2"/>
  <c r="AG20" i="2"/>
  <c r="AH20" i="2" s="1"/>
  <c r="N287" i="2"/>
  <c r="AD287" i="2"/>
  <c r="L287" i="2"/>
  <c r="AC21" i="2"/>
  <c r="N21" i="2"/>
  <c r="AB59" i="2"/>
  <c r="J59" i="2"/>
  <c r="O59" i="2"/>
  <c r="R59" i="2"/>
  <c r="P459" i="1"/>
  <c r="P461" i="1" s="1"/>
  <c r="P463" i="1" s="1"/>
  <c r="E173" i="2" s="1"/>
  <c r="H173" i="2" s="1"/>
  <c r="AC287" i="2"/>
  <c r="R287" i="2"/>
  <c r="V287" i="2"/>
  <c r="AB287" i="2"/>
  <c r="AF287" i="2"/>
  <c r="Y287" i="2"/>
  <c r="X287" i="2"/>
  <c r="H287" i="2"/>
  <c r="F287" i="2"/>
  <c r="S287" i="2"/>
  <c r="P287" i="2"/>
  <c r="AA287" i="2"/>
  <c r="J287" i="2"/>
  <c r="T287" i="2"/>
  <c r="AE287" i="2"/>
  <c r="P326" i="1"/>
  <c r="P328" i="1" s="1"/>
  <c r="Q287" i="2"/>
  <c r="U287" i="2"/>
  <c r="M287" i="2"/>
  <c r="K287" i="2"/>
  <c r="I287" i="2"/>
  <c r="G287" i="2"/>
  <c r="Z287" i="2"/>
  <c r="O287" i="2"/>
  <c r="U59" i="2"/>
  <c r="Y59" i="2"/>
  <c r="K59" i="2"/>
  <c r="Z59" i="2"/>
  <c r="T59" i="2"/>
  <c r="S59" i="2"/>
  <c r="H59" i="2"/>
  <c r="N59" i="2"/>
  <c r="AC59" i="2"/>
  <c r="AD59" i="2"/>
  <c r="M59" i="2"/>
  <c r="V59" i="2"/>
  <c r="P59" i="2"/>
  <c r="AA59" i="2"/>
  <c r="F59" i="2"/>
  <c r="X59" i="2"/>
  <c r="AE59" i="2"/>
  <c r="Q59" i="2"/>
  <c r="G59" i="2"/>
  <c r="AF59" i="2"/>
  <c r="W59" i="2"/>
  <c r="I59" i="2"/>
  <c r="AG211" i="2"/>
  <c r="AH211" i="2" s="1"/>
  <c r="Z173" i="2"/>
  <c r="O101" i="1"/>
  <c r="AB101" i="1" s="1"/>
  <c r="AC101" i="1" s="1"/>
  <c r="AB446" i="1"/>
  <c r="AC446" i="1" s="1"/>
  <c r="F212" i="2"/>
  <c r="AA210" i="2"/>
  <c r="AA212" i="2" s="1"/>
  <c r="E212" i="2"/>
  <c r="E231" i="2" s="1"/>
  <c r="E320" i="2" s="1"/>
  <c r="K210" i="2"/>
  <c r="K212" i="2" s="1"/>
  <c r="U210" i="2"/>
  <c r="U212" i="2" s="1"/>
  <c r="T210" i="2"/>
  <c r="T212" i="2" s="1"/>
  <c r="S210" i="2"/>
  <c r="S212" i="2" s="1"/>
  <c r="Y210" i="2"/>
  <c r="Y212" i="2" s="1"/>
  <c r="AD210" i="2"/>
  <c r="AD212" i="2" s="1"/>
  <c r="AC210" i="2"/>
  <c r="AC212" i="2" s="1"/>
  <c r="O210" i="2"/>
  <c r="O212" i="2" s="1"/>
  <c r="V210" i="2"/>
  <c r="V212" i="2" s="1"/>
  <c r="X210" i="2"/>
  <c r="X212" i="2" s="1"/>
  <c r="H210" i="2"/>
  <c r="H212" i="2" s="1"/>
  <c r="L210" i="2"/>
  <c r="L212" i="2" s="1"/>
  <c r="AB210" i="2"/>
  <c r="AB212" i="2" s="1"/>
  <c r="AF210" i="2"/>
  <c r="AF212" i="2" s="1"/>
  <c r="I210" i="2"/>
  <c r="I212" i="2" s="1"/>
  <c r="P210" i="2"/>
  <c r="P212" i="2" s="1"/>
  <c r="N210" i="2"/>
  <c r="N212" i="2" s="1"/>
  <c r="J210" i="2"/>
  <c r="J212" i="2" s="1"/>
  <c r="Z210" i="2"/>
  <c r="Z212" i="2" s="1"/>
  <c r="Q210" i="2"/>
  <c r="Q212" i="2" s="1"/>
  <c r="R210" i="2"/>
  <c r="R212" i="2" s="1"/>
  <c r="W210" i="2"/>
  <c r="W212" i="2" s="1"/>
  <c r="AE210" i="2"/>
  <c r="AE212" i="2" s="1"/>
  <c r="M210" i="2"/>
  <c r="M212" i="2" s="1"/>
  <c r="G210" i="2"/>
  <c r="G212" i="2" s="1"/>
  <c r="F21" i="2"/>
  <c r="AG19" i="2"/>
  <c r="AH19" i="2" s="1"/>
  <c r="I249" i="2"/>
  <c r="R249" i="2"/>
  <c r="X249" i="2"/>
  <c r="H249" i="2"/>
  <c r="M249" i="2"/>
  <c r="Z249" i="2"/>
  <c r="AD249" i="2"/>
  <c r="AE249" i="2"/>
  <c r="G249" i="2"/>
  <c r="K249" i="2"/>
  <c r="P249" i="2"/>
  <c r="N249" i="2"/>
  <c r="Q249" i="2"/>
  <c r="S249" i="2"/>
  <c r="F249" i="2"/>
  <c r="L249" i="2"/>
  <c r="W249" i="2"/>
  <c r="Y249" i="2"/>
  <c r="U249" i="2"/>
  <c r="AA249" i="2"/>
  <c r="J249" i="2"/>
  <c r="AC249" i="2"/>
  <c r="O249" i="2"/>
  <c r="T249" i="2"/>
  <c r="AB249" i="2"/>
  <c r="AF249" i="2"/>
  <c r="V249" i="2"/>
  <c r="AB269" i="1"/>
  <c r="AC269" i="1" s="1"/>
  <c r="AG103" i="2"/>
  <c r="AH103" i="2" s="1"/>
  <c r="AG141" i="2"/>
  <c r="AH141" i="2" s="1"/>
  <c r="E49" i="2"/>
  <c r="E238" i="2"/>
  <c r="I326" i="1"/>
  <c r="F131" i="2"/>
  <c r="F169" i="2"/>
  <c r="F283" i="2"/>
  <c r="F245" i="2"/>
  <c r="AG147" i="2"/>
  <c r="AH147" i="2" s="1"/>
  <c r="AG109" i="2"/>
  <c r="AH109" i="2" s="1"/>
  <c r="E276" i="2"/>
  <c r="P202" i="15"/>
  <c r="O204" i="15"/>
  <c r="J432" i="2"/>
  <c r="AG432" i="2" s="1"/>
  <c r="K25" i="15"/>
  <c r="E432" i="2" s="1"/>
  <c r="I459" i="1"/>
  <c r="I283" i="1"/>
  <c r="J434" i="2"/>
  <c r="I25" i="15"/>
  <c r="E434" i="2" s="1"/>
  <c r="E135" i="2" l="1"/>
  <c r="P287" i="1"/>
  <c r="S173" i="2"/>
  <c r="Q173" i="2"/>
  <c r="AA173" i="2"/>
  <c r="X173" i="2"/>
  <c r="G173" i="2"/>
  <c r="U173" i="2"/>
  <c r="K173" i="2"/>
  <c r="Y173" i="2"/>
  <c r="AC173" i="2"/>
  <c r="W173" i="2"/>
  <c r="AD173" i="2"/>
  <c r="V173" i="2"/>
  <c r="F173" i="2"/>
  <c r="AG21" i="2"/>
  <c r="AH21" i="2" s="1"/>
  <c r="R173" i="2"/>
  <c r="O173" i="2"/>
  <c r="T173" i="2"/>
  <c r="AB173" i="2"/>
  <c r="AE173" i="2"/>
  <c r="M173" i="2"/>
  <c r="I173" i="2"/>
  <c r="J173" i="2"/>
  <c r="L173" i="2"/>
  <c r="P173" i="2"/>
  <c r="AF173" i="2"/>
  <c r="N173" i="2"/>
  <c r="AG287" i="2"/>
  <c r="AH287" i="2" s="1"/>
  <c r="AG59" i="2"/>
  <c r="AH59" i="2" s="1"/>
  <c r="O104" i="1"/>
  <c r="AB104" i="1" s="1"/>
  <c r="AC104" i="1" s="1"/>
  <c r="J97" i="2"/>
  <c r="J526" i="2" s="1"/>
  <c r="J555" i="2" s="1"/>
  <c r="K97" i="2"/>
  <c r="K526" i="2" s="1"/>
  <c r="K555" i="2" s="1"/>
  <c r="AA97" i="2"/>
  <c r="AA526" i="2" s="1"/>
  <c r="O97" i="2"/>
  <c r="O526" i="2" s="1"/>
  <c r="R97" i="2"/>
  <c r="R526" i="2" s="1"/>
  <c r="R555" i="2" s="1"/>
  <c r="N97" i="2"/>
  <c r="N526" i="2" s="1"/>
  <c r="N555" i="2" s="1"/>
  <c r="F97" i="2"/>
  <c r="AF97" i="2"/>
  <c r="AF526" i="2" s="1"/>
  <c r="AF629" i="2" s="1"/>
  <c r="AF630" i="2" s="1"/>
  <c r="M97" i="2"/>
  <c r="M526" i="2" s="1"/>
  <c r="M555" i="2" s="1"/>
  <c r="S97" i="2"/>
  <c r="S526" i="2" s="1"/>
  <c r="S555" i="2" s="1"/>
  <c r="Q97" i="2"/>
  <c r="Q526" i="2" s="1"/>
  <c r="Q555" i="2" s="1"/>
  <c r="Y97" i="2"/>
  <c r="Y526" i="2" s="1"/>
  <c r="T97" i="2"/>
  <c r="T526" i="2" s="1"/>
  <c r="AE97" i="2"/>
  <c r="H97" i="2"/>
  <c r="H526" i="2" s="1"/>
  <c r="H555" i="2" s="1"/>
  <c r="W97" i="2"/>
  <c r="W526" i="2" s="1"/>
  <c r="X97" i="2"/>
  <c r="X526" i="2" s="1"/>
  <c r="Z97" i="2"/>
  <c r="Z526" i="2" s="1"/>
  <c r="AC97" i="2"/>
  <c r="AC526" i="2" s="1"/>
  <c r="I97" i="2"/>
  <c r="I526" i="2" s="1"/>
  <c r="I555" i="2" s="1"/>
  <c r="L97" i="2"/>
  <c r="L526" i="2" s="1"/>
  <c r="L555" i="2" s="1"/>
  <c r="P97" i="2"/>
  <c r="P526" i="2" s="1"/>
  <c r="P555" i="2" s="1"/>
  <c r="G97" i="2"/>
  <c r="G526" i="2" s="1"/>
  <c r="G555" i="2" s="1"/>
  <c r="AB97" i="2"/>
  <c r="AB526" i="2" s="1"/>
  <c r="AD97" i="2"/>
  <c r="AD526" i="2" s="1"/>
  <c r="U97" i="2"/>
  <c r="U526" i="2" s="1"/>
  <c r="V97" i="2"/>
  <c r="V526" i="2" s="1"/>
  <c r="E526" i="2"/>
  <c r="AG210" i="2"/>
  <c r="AH210" i="2" s="1"/>
  <c r="AG249" i="2"/>
  <c r="AH249" i="2" s="1"/>
  <c r="V135" i="2"/>
  <c r="V507" i="2" s="1"/>
  <c r="N135" i="2"/>
  <c r="N507" i="2" s="1"/>
  <c r="F135" i="2"/>
  <c r="M135" i="2"/>
  <c r="M507" i="2" s="1"/>
  <c r="AE135" i="2"/>
  <c r="L135" i="2"/>
  <c r="L507" i="2" s="1"/>
  <c r="AB135" i="2"/>
  <c r="AB507" i="2" s="1"/>
  <c r="I135" i="2"/>
  <c r="I507" i="2" s="1"/>
  <c r="S135" i="2"/>
  <c r="S507" i="2" s="1"/>
  <c r="H135" i="2"/>
  <c r="H507" i="2" s="1"/>
  <c r="U135" i="2"/>
  <c r="U507" i="2" s="1"/>
  <c r="W135" i="2"/>
  <c r="W507" i="2" s="1"/>
  <c r="X135" i="2"/>
  <c r="X507" i="2" s="1"/>
  <c r="T135" i="2"/>
  <c r="T507" i="2" s="1"/>
  <c r="AD135" i="2"/>
  <c r="AD507" i="2" s="1"/>
  <c r="Z135" i="2"/>
  <c r="Z507" i="2" s="1"/>
  <c r="AA135" i="2"/>
  <c r="AA507" i="2" s="1"/>
  <c r="AF135" i="2"/>
  <c r="AF507" i="2" s="1"/>
  <c r="AC135" i="2"/>
  <c r="AC507" i="2" s="1"/>
  <c r="R135" i="2"/>
  <c r="R507" i="2" s="1"/>
  <c r="O135" i="2"/>
  <c r="O507" i="2" s="1"/>
  <c r="G135" i="2"/>
  <c r="G507" i="2" s="1"/>
  <c r="Y135" i="2"/>
  <c r="Y507" i="2" s="1"/>
  <c r="J135" i="2"/>
  <c r="J507" i="2" s="1"/>
  <c r="Q135" i="2"/>
  <c r="Q507" i="2" s="1"/>
  <c r="K135" i="2"/>
  <c r="K507" i="2" s="1"/>
  <c r="P135" i="2"/>
  <c r="P507" i="2" s="1"/>
  <c r="E507" i="2"/>
  <c r="AG212" i="2"/>
  <c r="AH212" i="2" s="1"/>
  <c r="F342" i="2"/>
  <c r="J342" i="2"/>
  <c r="N342" i="2"/>
  <c r="N349" i="2" s="1"/>
  <c r="N351" i="2" s="1"/>
  <c r="D18" i="4" s="1"/>
  <c r="R342" i="2"/>
  <c r="R349" i="2" s="1"/>
  <c r="R351" i="2" s="1"/>
  <c r="D22" i="4" s="1"/>
  <c r="V342" i="2"/>
  <c r="V349" i="2" s="1"/>
  <c r="V351" i="2" s="1"/>
  <c r="Z342" i="2"/>
  <c r="Z349" i="2" s="1"/>
  <c r="Z351" i="2" s="1"/>
  <c r="AD342" i="2"/>
  <c r="AD349" i="2" s="1"/>
  <c r="AD351" i="2" s="1"/>
  <c r="L342" i="2"/>
  <c r="L349" i="2" s="1"/>
  <c r="L351" i="2" s="1"/>
  <c r="D16" i="4" s="1"/>
  <c r="T342" i="2"/>
  <c r="T349" i="2" s="1"/>
  <c r="T351" i="2" s="1"/>
  <c r="AB342" i="2"/>
  <c r="AB349" i="2" s="1"/>
  <c r="AB351" i="2" s="1"/>
  <c r="I342" i="2"/>
  <c r="I349" i="2" s="1"/>
  <c r="I351" i="2" s="1"/>
  <c r="D13" i="4" s="1"/>
  <c r="Q342" i="2"/>
  <c r="Q349" i="2" s="1"/>
  <c r="Q351" i="2" s="1"/>
  <c r="D21" i="4" s="1"/>
  <c r="Y342" i="2"/>
  <c r="Y349" i="2" s="1"/>
  <c r="Y351" i="2" s="1"/>
  <c r="G342" i="2"/>
  <c r="G349" i="2" s="1"/>
  <c r="G351" i="2" s="1"/>
  <c r="D11" i="4" s="1"/>
  <c r="K342" i="2"/>
  <c r="K349" i="2" s="1"/>
  <c r="K351" i="2" s="1"/>
  <c r="D15" i="4" s="1"/>
  <c r="O342" i="2"/>
  <c r="O349" i="2" s="1"/>
  <c r="O351" i="2" s="1"/>
  <c r="D19" i="4" s="1"/>
  <c r="S342" i="2"/>
  <c r="S349" i="2" s="1"/>
  <c r="S351" i="2" s="1"/>
  <c r="W342" i="2"/>
  <c r="W349" i="2" s="1"/>
  <c r="W351" i="2" s="1"/>
  <c r="AA342" i="2"/>
  <c r="AA349" i="2" s="1"/>
  <c r="AA351" i="2" s="1"/>
  <c r="AE342" i="2"/>
  <c r="AE349" i="2" s="1"/>
  <c r="AE351" i="2" s="1"/>
  <c r="H342" i="2"/>
  <c r="H349" i="2" s="1"/>
  <c r="H351" i="2" s="1"/>
  <c r="D12" i="4" s="1"/>
  <c r="P342" i="2"/>
  <c r="P349" i="2" s="1"/>
  <c r="P351" i="2" s="1"/>
  <c r="D20" i="4" s="1"/>
  <c r="X342" i="2"/>
  <c r="X349" i="2" s="1"/>
  <c r="X351" i="2" s="1"/>
  <c r="AF342" i="2"/>
  <c r="AF349" i="2" s="1"/>
  <c r="AF351" i="2" s="1"/>
  <c r="M342" i="2"/>
  <c r="M349" i="2" s="1"/>
  <c r="M351" i="2" s="1"/>
  <c r="D17" i="4" s="1"/>
  <c r="U342" i="2"/>
  <c r="U349" i="2" s="1"/>
  <c r="U351" i="2" s="1"/>
  <c r="AC342" i="2"/>
  <c r="AC349" i="2" s="1"/>
  <c r="AC351" i="2" s="1"/>
  <c r="AC359" i="2"/>
  <c r="AF359" i="2"/>
  <c r="X359" i="2"/>
  <c r="S359" i="2"/>
  <c r="AE359" i="2"/>
  <c r="G359" i="2"/>
  <c r="K359" i="2"/>
  <c r="AD359" i="2"/>
  <c r="U359" i="2"/>
  <c r="J359" i="2"/>
  <c r="Z359" i="2"/>
  <c r="AA359" i="2"/>
  <c r="Y359" i="2"/>
  <c r="P359" i="2"/>
  <c r="H359" i="2"/>
  <c r="F359" i="2"/>
  <c r="W359" i="2"/>
  <c r="AB359" i="2"/>
  <c r="V359" i="2"/>
  <c r="R359" i="2"/>
  <c r="I359" i="2"/>
  <c r="T359" i="2"/>
  <c r="Q359" i="2"/>
  <c r="N359" i="2"/>
  <c r="O359" i="2"/>
  <c r="M359" i="2"/>
  <c r="L359" i="2"/>
  <c r="AH432" i="2"/>
  <c r="J440" i="2"/>
  <c r="J487" i="2"/>
  <c r="AG487" i="2" s="1"/>
  <c r="AG434" i="2"/>
  <c r="AH434" i="2" s="1"/>
  <c r="I285" i="1"/>
  <c r="E277" i="2"/>
  <c r="I461" i="1"/>
  <c r="AD404" i="2"/>
  <c r="U404" i="2"/>
  <c r="P404" i="2"/>
  <c r="V404" i="2"/>
  <c r="AC404" i="2"/>
  <c r="H404" i="2"/>
  <c r="T404" i="2"/>
  <c r="X404" i="2"/>
  <c r="J404" i="2"/>
  <c r="I404" i="2"/>
  <c r="L404" i="2"/>
  <c r="G404" i="2"/>
  <c r="Q404" i="2"/>
  <c r="M404" i="2"/>
  <c r="Y404" i="2"/>
  <c r="F404" i="2"/>
  <c r="K404" i="2"/>
  <c r="W404" i="2"/>
  <c r="AE404" i="2"/>
  <c r="R404" i="2"/>
  <c r="AB404" i="2"/>
  <c r="Z404" i="2"/>
  <c r="N404" i="2"/>
  <c r="AA404" i="2"/>
  <c r="AF404" i="2"/>
  <c r="O404" i="2"/>
  <c r="S404" i="2"/>
  <c r="E239" i="2"/>
  <c r="AG173" i="2" l="1"/>
  <c r="AH173" i="2" s="1"/>
  <c r="O124" i="1"/>
  <c r="O126" i="1" s="1"/>
  <c r="T546" i="2"/>
  <c r="Z629" i="2"/>
  <c r="Z630" i="2" s="1"/>
  <c r="Z555" i="2"/>
  <c r="T629" i="2"/>
  <c r="T630" i="2" s="1"/>
  <c r="T555" i="2"/>
  <c r="Y546" i="2"/>
  <c r="AC546" i="2"/>
  <c r="AD546" i="2"/>
  <c r="U546" i="2"/>
  <c r="AB546" i="2"/>
  <c r="AG135" i="2"/>
  <c r="AH135" i="2" s="1"/>
  <c r="F507" i="2"/>
  <c r="V555" i="2"/>
  <c r="V629" i="2"/>
  <c r="V630" i="2" s="1"/>
  <c r="AC629" i="2"/>
  <c r="AC630" i="2" s="1"/>
  <c r="AC555" i="2"/>
  <c r="AG97" i="2"/>
  <c r="AH97" i="2" s="1"/>
  <c r="F526" i="2"/>
  <c r="AA629" i="2"/>
  <c r="AA630" i="2" s="1"/>
  <c r="AA555" i="2"/>
  <c r="AA546" i="2"/>
  <c r="X546" i="2"/>
  <c r="V546" i="2"/>
  <c r="X555" i="2"/>
  <c r="X629" i="2"/>
  <c r="X630" i="2" s="1"/>
  <c r="U629" i="2"/>
  <c r="U630" i="2" s="1"/>
  <c r="U555" i="2"/>
  <c r="AD629" i="2"/>
  <c r="AD630" i="2" s="1"/>
  <c r="AD555" i="2"/>
  <c r="Z546" i="2"/>
  <c r="W546" i="2"/>
  <c r="AB629" i="2"/>
  <c r="AB630" i="2" s="1"/>
  <c r="AB555" i="2"/>
  <c r="W555" i="2"/>
  <c r="W629" i="2"/>
  <c r="W630" i="2" s="1"/>
  <c r="Y629" i="2"/>
  <c r="Y630" i="2" s="1"/>
  <c r="Y555" i="2"/>
  <c r="AG359" i="2"/>
  <c r="AH359" i="2" s="1"/>
  <c r="AG342" i="2"/>
  <c r="F349" i="2"/>
  <c r="F351" i="2" s="1"/>
  <c r="D10" i="4" s="1"/>
  <c r="AG404" i="2"/>
  <c r="AH404" i="2" s="1"/>
  <c r="AE490" i="2"/>
  <c r="AE491" i="2" s="1"/>
  <c r="AE492" i="2" s="1"/>
  <c r="M490" i="2"/>
  <c r="M491" i="2" s="1"/>
  <c r="M492" i="2" s="1"/>
  <c r="O490" i="2"/>
  <c r="O491" i="2" s="1"/>
  <c r="O492" i="2" s="1"/>
  <c r="Z490" i="2"/>
  <c r="Z491" i="2" s="1"/>
  <c r="Z492" i="2" s="1"/>
  <c r="AD490" i="2"/>
  <c r="AD491" i="2" s="1"/>
  <c r="AD492" i="2" s="1"/>
  <c r="V490" i="2"/>
  <c r="V491" i="2" s="1"/>
  <c r="V492" i="2" s="1"/>
  <c r="P490" i="2"/>
  <c r="P491" i="2" s="1"/>
  <c r="P492" i="2" s="1"/>
  <c r="W490" i="2"/>
  <c r="W491" i="2" s="1"/>
  <c r="W492" i="2" s="1"/>
  <c r="AC490" i="2"/>
  <c r="AC491" i="2" s="1"/>
  <c r="AC492" i="2" s="1"/>
  <c r="L490" i="2"/>
  <c r="L491" i="2" s="1"/>
  <c r="L492" i="2" s="1"/>
  <c r="N490" i="2"/>
  <c r="N491" i="2" s="1"/>
  <c r="N492" i="2" s="1"/>
  <c r="R490" i="2"/>
  <c r="R491" i="2" s="1"/>
  <c r="R492" i="2" s="1"/>
  <c r="Q490" i="2"/>
  <c r="Q491" i="2" s="1"/>
  <c r="Q492" i="2" s="1"/>
  <c r="T490" i="2"/>
  <c r="T491" i="2" s="1"/>
  <c r="T492" i="2" s="1"/>
  <c r="AF490" i="2"/>
  <c r="AF491" i="2" s="1"/>
  <c r="AF492" i="2" s="1"/>
  <c r="AB490" i="2"/>
  <c r="AB491" i="2" s="1"/>
  <c r="AB492" i="2" s="1"/>
  <c r="K490" i="2"/>
  <c r="K491" i="2" s="1"/>
  <c r="K492" i="2" s="1"/>
  <c r="J490" i="2"/>
  <c r="J491" i="2" s="1"/>
  <c r="J492" i="2" s="1"/>
  <c r="F490" i="2"/>
  <c r="H490" i="2"/>
  <c r="H491" i="2" s="1"/>
  <c r="H492" i="2" s="1"/>
  <c r="Y490" i="2"/>
  <c r="Y491" i="2" s="1"/>
  <c r="Y492" i="2" s="1"/>
  <c r="AH487" i="2"/>
  <c r="U490" i="2"/>
  <c r="U491" i="2" s="1"/>
  <c r="U492" i="2" s="1"/>
  <c r="AA490" i="2"/>
  <c r="AA491" i="2" s="1"/>
  <c r="AA492" i="2" s="1"/>
  <c r="S490" i="2"/>
  <c r="S491" i="2" s="1"/>
  <c r="S492" i="2" s="1"/>
  <c r="X490" i="2"/>
  <c r="X491" i="2" s="1"/>
  <c r="X492" i="2" s="1"/>
  <c r="I490" i="2"/>
  <c r="I491" i="2" s="1"/>
  <c r="I492" i="2" s="1"/>
  <c r="G490" i="2"/>
  <c r="G491" i="2" s="1"/>
  <c r="G492" i="2" s="1"/>
  <c r="I463" i="1"/>
  <c r="I328" i="1"/>
  <c r="I129" i="1"/>
  <c r="E124" i="2"/>
  <c r="E678" i="2" s="1"/>
  <c r="I287" i="1"/>
  <c r="J443" i="2"/>
  <c r="J447" i="2"/>
  <c r="AG440" i="2"/>
  <c r="AH440" i="2" s="1"/>
  <c r="F555" i="2" l="1"/>
  <c r="F629" i="2"/>
  <c r="AG343" i="2"/>
  <c r="AH343" i="2" s="1"/>
  <c r="J349" i="2"/>
  <c r="J351" i="2" s="1"/>
  <c r="D14" i="4" s="1"/>
  <c r="D26" i="4" s="1"/>
  <c r="AB124" i="1"/>
  <c r="AC124" i="1" s="1"/>
  <c r="AG507" i="2"/>
  <c r="AH507" i="2" s="1"/>
  <c r="O272" i="1"/>
  <c r="O322" i="1"/>
  <c r="AB322" i="1" s="1"/>
  <c r="AC322" i="1" s="1"/>
  <c r="O449" i="1"/>
  <c r="O324" i="1"/>
  <c r="AB324" i="1" s="1"/>
  <c r="AC324" i="1" s="1"/>
  <c r="O320" i="1"/>
  <c r="AB320" i="1" s="1"/>
  <c r="AC320" i="1" s="1"/>
  <c r="O316" i="1"/>
  <c r="O281" i="1"/>
  <c r="AB281" i="1" s="1"/>
  <c r="AC281" i="1" s="1"/>
  <c r="O455" i="1"/>
  <c r="AB455" i="1" s="1"/>
  <c r="AC455" i="1" s="1"/>
  <c r="E58" i="2"/>
  <c r="O318" i="1"/>
  <c r="AB318" i="1" s="1"/>
  <c r="AC318" i="1" s="1"/>
  <c r="O278" i="1"/>
  <c r="AB278" i="1" s="1"/>
  <c r="AC278" i="1" s="1"/>
  <c r="O314" i="1"/>
  <c r="AB126" i="1"/>
  <c r="AC126" i="1" s="1"/>
  <c r="AG526" i="2"/>
  <c r="AH526" i="2" s="1"/>
  <c r="AH342" i="2"/>
  <c r="S85" i="2"/>
  <c r="S8" i="2"/>
  <c r="S275" i="2"/>
  <c r="S161" i="2"/>
  <c r="S47" i="2"/>
  <c r="S123" i="2"/>
  <c r="S237" i="2"/>
  <c r="S199" i="2"/>
  <c r="Y123" i="2"/>
  <c r="Y8" i="2"/>
  <c r="Y275" i="2"/>
  <c r="Y237" i="2"/>
  <c r="Y85" i="2"/>
  <c r="Y47" i="2"/>
  <c r="Y161" i="2"/>
  <c r="Y199" i="2"/>
  <c r="K199" i="2"/>
  <c r="K237" i="2"/>
  <c r="K123" i="2"/>
  <c r="K47" i="2"/>
  <c r="K275" i="2"/>
  <c r="K85" i="2"/>
  <c r="K8" i="2"/>
  <c r="K161" i="2"/>
  <c r="Q199" i="2"/>
  <c r="Q123" i="2"/>
  <c r="Q237" i="2"/>
  <c r="Q8" i="2"/>
  <c r="Q275" i="2"/>
  <c r="Q85" i="2"/>
  <c r="Q161" i="2"/>
  <c r="Q47" i="2"/>
  <c r="AC237" i="2"/>
  <c r="AC123" i="2"/>
  <c r="AC47" i="2"/>
  <c r="AC8" i="2"/>
  <c r="AC161" i="2"/>
  <c r="AC275" i="2"/>
  <c r="AC85" i="2"/>
  <c r="AC199" i="2"/>
  <c r="AD275" i="2"/>
  <c r="AD161" i="2"/>
  <c r="AD47" i="2"/>
  <c r="AD8" i="2"/>
  <c r="AD199" i="2"/>
  <c r="AD123" i="2"/>
  <c r="AD85" i="2"/>
  <c r="AD237" i="2"/>
  <c r="AE275" i="2"/>
  <c r="AE199" i="2"/>
  <c r="AE123" i="2"/>
  <c r="AE237" i="2"/>
  <c r="AE85" i="2"/>
  <c r="AE47" i="2"/>
  <c r="AE161" i="2"/>
  <c r="AE8" i="2"/>
  <c r="G8" i="2"/>
  <c r="G85" i="2"/>
  <c r="G275" i="2"/>
  <c r="G47" i="2"/>
  <c r="G199" i="2"/>
  <c r="G237" i="2"/>
  <c r="G161" i="2"/>
  <c r="G123" i="2"/>
  <c r="AA199" i="2"/>
  <c r="AA275" i="2"/>
  <c r="AA161" i="2"/>
  <c r="AA237" i="2"/>
  <c r="AA85" i="2"/>
  <c r="AA47" i="2"/>
  <c r="AA123" i="2"/>
  <c r="AA8" i="2"/>
  <c r="H85" i="2"/>
  <c r="H237" i="2"/>
  <c r="H199" i="2"/>
  <c r="H47" i="2"/>
  <c r="H123" i="2"/>
  <c r="H8" i="2"/>
  <c r="H161" i="2"/>
  <c r="H275" i="2"/>
  <c r="AB161" i="2"/>
  <c r="AB85" i="2"/>
  <c r="AB47" i="2"/>
  <c r="AB123" i="2"/>
  <c r="AB237" i="2"/>
  <c r="AB275" i="2"/>
  <c r="AB8" i="2"/>
  <c r="AB199" i="2"/>
  <c r="R123" i="2"/>
  <c r="R85" i="2"/>
  <c r="R161" i="2"/>
  <c r="R8" i="2"/>
  <c r="R47" i="2"/>
  <c r="R199" i="2"/>
  <c r="R275" i="2"/>
  <c r="R237" i="2"/>
  <c r="W123" i="2"/>
  <c r="W47" i="2"/>
  <c r="W8" i="2"/>
  <c r="W237" i="2"/>
  <c r="W161" i="2"/>
  <c r="W275" i="2"/>
  <c r="W199" i="2"/>
  <c r="W85" i="2"/>
  <c r="Z85" i="2"/>
  <c r="Z8" i="2"/>
  <c r="Z161" i="2"/>
  <c r="Z199" i="2"/>
  <c r="Z237" i="2"/>
  <c r="Z275" i="2"/>
  <c r="Z123" i="2"/>
  <c r="Z47" i="2"/>
  <c r="I123" i="2"/>
  <c r="I275" i="2"/>
  <c r="I85" i="2"/>
  <c r="I161" i="2"/>
  <c r="I199" i="2"/>
  <c r="I237" i="2"/>
  <c r="I47" i="2"/>
  <c r="I8" i="2"/>
  <c r="U123" i="2"/>
  <c r="U8" i="2"/>
  <c r="U237" i="2"/>
  <c r="U85" i="2"/>
  <c r="U47" i="2"/>
  <c r="U275" i="2"/>
  <c r="U161" i="2"/>
  <c r="U199" i="2"/>
  <c r="F491" i="2"/>
  <c r="AG490" i="2"/>
  <c r="AH490" i="2" s="1"/>
  <c r="AF85" i="2"/>
  <c r="AF161" i="2"/>
  <c r="AF237" i="2"/>
  <c r="AF199" i="2"/>
  <c r="AF8" i="2"/>
  <c r="AF275" i="2"/>
  <c r="AF47" i="2"/>
  <c r="AF123" i="2"/>
  <c r="N237" i="2"/>
  <c r="N275" i="2"/>
  <c r="N123" i="2"/>
  <c r="N161" i="2"/>
  <c r="N199" i="2"/>
  <c r="N47" i="2"/>
  <c r="N8" i="2"/>
  <c r="N85" i="2"/>
  <c r="P275" i="2"/>
  <c r="P85" i="2"/>
  <c r="P47" i="2"/>
  <c r="P123" i="2"/>
  <c r="P199" i="2"/>
  <c r="P8" i="2"/>
  <c r="P161" i="2"/>
  <c r="P237" i="2"/>
  <c r="O47" i="2"/>
  <c r="O85" i="2"/>
  <c r="O199" i="2"/>
  <c r="O123" i="2"/>
  <c r="O161" i="2"/>
  <c r="O275" i="2"/>
  <c r="O8" i="2"/>
  <c r="O237" i="2"/>
  <c r="J444" i="2"/>
  <c r="AG444" i="2" s="1"/>
  <c r="AH444" i="2" s="1"/>
  <c r="AG443" i="2"/>
  <c r="AH443" i="2" s="1"/>
  <c r="E162" i="2"/>
  <c r="E495" i="2"/>
  <c r="E504" i="2"/>
  <c r="E513" i="2" s="1"/>
  <c r="E125" i="2"/>
  <c r="I133" i="1"/>
  <c r="J468" i="2"/>
  <c r="J450" i="2"/>
  <c r="AG447" i="2"/>
  <c r="AH447" i="2" s="1"/>
  <c r="X123" i="2"/>
  <c r="X161" i="2"/>
  <c r="X275" i="2"/>
  <c r="X199" i="2"/>
  <c r="X8" i="2"/>
  <c r="X237" i="2"/>
  <c r="X47" i="2"/>
  <c r="X85" i="2"/>
  <c r="J237" i="2"/>
  <c r="J123" i="2"/>
  <c r="J85" i="2"/>
  <c r="J8" i="2"/>
  <c r="J161" i="2"/>
  <c r="J275" i="2"/>
  <c r="J199" i="2"/>
  <c r="J47" i="2"/>
  <c r="T123" i="2"/>
  <c r="T237" i="2"/>
  <c r="T199" i="2"/>
  <c r="T47" i="2"/>
  <c r="T8" i="2"/>
  <c r="T275" i="2"/>
  <c r="T161" i="2"/>
  <c r="T85" i="2"/>
  <c r="L47" i="2"/>
  <c r="L123" i="2"/>
  <c r="L199" i="2"/>
  <c r="L275" i="2"/>
  <c r="L161" i="2"/>
  <c r="L237" i="2"/>
  <c r="L85" i="2"/>
  <c r="L8" i="2"/>
  <c r="V275" i="2"/>
  <c r="V199" i="2"/>
  <c r="V237" i="2"/>
  <c r="V8" i="2"/>
  <c r="V161" i="2"/>
  <c r="V85" i="2"/>
  <c r="V47" i="2"/>
  <c r="V123" i="2"/>
  <c r="M8" i="2"/>
  <c r="M275" i="2"/>
  <c r="M199" i="2"/>
  <c r="M161" i="2"/>
  <c r="M123" i="2"/>
  <c r="M237" i="2"/>
  <c r="M85" i="2"/>
  <c r="M47" i="2"/>
  <c r="AG349" i="2" l="1"/>
  <c r="AH349" i="2" s="1"/>
  <c r="D45" i="4"/>
  <c r="D47" i="4"/>
  <c r="D46" i="4"/>
  <c r="D48" i="4"/>
  <c r="D43" i="4"/>
  <c r="D42" i="4"/>
  <c r="D44" i="4"/>
  <c r="E248" i="2"/>
  <c r="O326" i="1"/>
  <c r="AB326" i="1" s="1"/>
  <c r="AC326" i="1" s="1"/>
  <c r="AB314" i="1"/>
  <c r="AC314" i="1" s="1"/>
  <c r="O283" i="1"/>
  <c r="AB272" i="1"/>
  <c r="AC272" i="1" s="1"/>
  <c r="O459" i="1"/>
  <c r="AB449" i="1"/>
  <c r="AC449" i="1" s="1"/>
  <c r="E60" i="2"/>
  <c r="E79" i="2" s="1"/>
  <c r="AA58" i="2"/>
  <c r="AA60" i="2" s="1"/>
  <c r="T58" i="2"/>
  <c r="T60" i="2" s="1"/>
  <c r="G58" i="2"/>
  <c r="G60" i="2" s="1"/>
  <c r="U58" i="2"/>
  <c r="U60" i="2" s="1"/>
  <c r="H58" i="2"/>
  <c r="H60" i="2" s="1"/>
  <c r="R58" i="2"/>
  <c r="R60" i="2" s="1"/>
  <c r="Q58" i="2"/>
  <c r="Q60" i="2" s="1"/>
  <c r="K58" i="2"/>
  <c r="K60" i="2" s="1"/>
  <c r="I58" i="2"/>
  <c r="I60" i="2" s="1"/>
  <c r="M58" i="2"/>
  <c r="M60" i="2" s="1"/>
  <c r="N58" i="2"/>
  <c r="N60" i="2" s="1"/>
  <c r="AF58" i="2"/>
  <c r="AF60" i="2" s="1"/>
  <c r="X58" i="2"/>
  <c r="X60" i="2" s="1"/>
  <c r="S58" i="2"/>
  <c r="S60" i="2" s="1"/>
  <c r="AD58" i="2"/>
  <c r="AD60" i="2" s="1"/>
  <c r="AB58" i="2"/>
  <c r="AB60" i="2" s="1"/>
  <c r="AC58" i="2"/>
  <c r="AC60" i="2" s="1"/>
  <c r="P58" i="2"/>
  <c r="P60" i="2" s="1"/>
  <c r="W58" i="2"/>
  <c r="W60" i="2" s="1"/>
  <c r="AE58" i="2"/>
  <c r="AE60" i="2" s="1"/>
  <c r="V58" i="2"/>
  <c r="V60" i="2" s="1"/>
  <c r="Y58" i="2"/>
  <c r="Y60" i="2" s="1"/>
  <c r="Z58" i="2"/>
  <c r="Z60" i="2" s="1"/>
  <c r="O58" i="2"/>
  <c r="O60" i="2" s="1"/>
  <c r="L58" i="2"/>
  <c r="L60" i="2" s="1"/>
  <c r="J58" i="2"/>
  <c r="J60" i="2" s="1"/>
  <c r="F58" i="2"/>
  <c r="E286" i="2"/>
  <c r="AB316" i="1"/>
  <c r="AC316" i="1" s="1"/>
  <c r="L503" i="2"/>
  <c r="J503" i="2"/>
  <c r="J512" i="2" s="1"/>
  <c r="J451" i="2"/>
  <c r="AG451" i="2" s="1"/>
  <c r="AH451" i="2" s="1"/>
  <c r="AG450" i="2"/>
  <c r="AH450" i="2" s="1"/>
  <c r="I144" i="1"/>
  <c r="O503" i="2"/>
  <c r="O512" i="2" s="1"/>
  <c r="P503" i="2"/>
  <c r="N522" i="2"/>
  <c r="AF503" i="2"/>
  <c r="AB503" i="2"/>
  <c r="G503" i="2"/>
  <c r="T503" i="2"/>
  <c r="X503" i="2"/>
  <c r="J475" i="2"/>
  <c r="J471" i="2"/>
  <c r="AG468" i="2"/>
  <c r="AH468" i="2" s="1"/>
  <c r="N503" i="2"/>
  <c r="AG491" i="2"/>
  <c r="AH491" i="2" s="1"/>
  <c r="F492" i="2"/>
  <c r="U503" i="2"/>
  <c r="I503" i="2"/>
  <c r="Z503" i="2"/>
  <c r="AA503" i="2"/>
  <c r="AE503" i="2"/>
  <c r="K503" i="2"/>
  <c r="M503" i="2"/>
  <c r="V503" i="2"/>
  <c r="E163" i="2"/>
  <c r="O522" i="2"/>
  <c r="P522" i="2"/>
  <c r="R522" i="2"/>
  <c r="G522" i="2"/>
  <c r="AD503" i="2"/>
  <c r="AC503" i="2"/>
  <c r="Q522" i="2"/>
  <c r="Q503" i="2"/>
  <c r="K522" i="2"/>
  <c r="S503" i="2"/>
  <c r="M522" i="2"/>
  <c r="L522" i="2"/>
  <c r="J522" i="2"/>
  <c r="J551" i="2" s="1"/>
  <c r="E497" i="2"/>
  <c r="AG495" i="2"/>
  <c r="AH495" i="2" s="1"/>
  <c r="I522" i="2"/>
  <c r="W503" i="2"/>
  <c r="R503" i="2"/>
  <c r="H503" i="2"/>
  <c r="H522" i="2"/>
  <c r="Y503" i="2"/>
  <c r="G512" i="2" l="1"/>
  <c r="G542" i="2" s="1"/>
  <c r="G561" i="2" s="1"/>
  <c r="K512" i="2"/>
  <c r="K542" i="2" s="1"/>
  <c r="K561" i="2" s="1"/>
  <c r="N512" i="2"/>
  <c r="N542" i="2" s="1"/>
  <c r="N561" i="2" s="1"/>
  <c r="L512" i="2"/>
  <c r="L542" i="2" s="1"/>
  <c r="L561" i="2" s="1"/>
  <c r="H512" i="2"/>
  <c r="H542" i="2" s="1"/>
  <c r="H561" i="2" s="1"/>
  <c r="I512" i="2"/>
  <c r="I542" i="2" s="1"/>
  <c r="I561" i="2" s="1"/>
  <c r="M512" i="2"/>
  <c r="M542" i="2" s="1"/>
  <c r="M561" i="2" s="1"/>
  <c r="AG351" i="2"/>
  <c r="AH351" i="2" s="1"/>
  <c r="E288" i="2"/>
  <c r="E307" i="2" s="1"/>
  <c r="E322" i="2" s="1"/>
  <c r="AB286" i="2"/>
  <c r="AB288" i="2" s="1"/>
  <c r="L286" i="2"/>
  <c r="L288" i="2" s="1"/>
  <c r="AC286" i="2"/>
  <c r="AC288" i="2" s="1"/>
  <c r="G286" i="2"/>
  <c r="G288" i="2" s="1"/>
  <c r="S286" i="2"/>
  <c r="S288" i="2" s="1"/>
  <c r="P286" i="2"/>
  <c r="P288" i="2" s="1"/>
  <c r="O286" i="2"/>
  <c r="O288" i="2" s="1"/>
  <c r="I286" i="2"/>
  <c r="I288" i="2" s="1"/>
  <c r="Y286" i="2"/>
  <c r="Y288" i="2" s="1"/>
  <c r="K286" i="2"/>
  <c r="K288" i="2" s="1"/>
  <c r="Z286" i="2"/>
  <c r="Z288" i="2" s="1"/>
  <c r="AF286" i="2"/>
  <c r="AF288" i="2" s="1"/>
  <c r="W286" i="2"/>
  <c r="W288" i="2" s="1"/>
  <c r="N286" i="2"/>
  <c r="N288" i="2" s="1"/>
  <c r="X286" i="2"/>
  <c r="X288" i="2" s="1"/>
  <c r="V286" i="2"/>
  <c r="V288" i="2" s="1"/>
  <c r="M286" i="2"/>
  <c r="M288" i="2" s="1"/>
  <c r="AE286" i="2"/>
  <c r="AE288" i="2" s="1"/>
  <c r="R286" i="2"/>
  <c r="R288" i="2" s="1"/>
  <c r="AA286" i="2"/>
  <c r="AA288" i="2" s="1"/>
  <c r="J286" i="2"/>
  <c r="J288" i="2" s="1"/>
  <c r="Q286" i="2"/>
  <c r="Q288" i="2" s="1"/>
  <c r="F286" i="2"/>
  <c r="U286" i="2"/>
  <c r="U288" i="2" s="1"/>
  <c r="H286" i="2"/>
  <c r="H288" i="2" s="1"/>
  <c r="T286" i="2"/>
  <c r="T288" i="2" s="1"/>
  <c r="AD286" i="2"/>
  <c r="AD288" i="2" s="1"/>
  <c r="F60" i="2"/>
  <c r="AG60" i="2" s="1"/>
  <c r="AH60" i="2" s="1"/>
  <c r="AG58" i="2"/>
  <c r="AH58" i="2" s="1"/>
  <c r="O461" i="1"/>
  <c r="AB459" i="1"/>
  <c r="AC459" i="1" s="1"/>
  <c r="O285" i="1"/>
  <c r="AB283" i="1"/>
  <c r="AC283" i="1" s="1"/>
  <c r="E250" i="2"/>
  <c r="E269" i="2" s="1"/>
  <c r="E321" i="2" s="1"/>
  <c r="S248" i="2"/>
  <c r="S250" i="2" s="1"/>
  <c r="M248" i="2"/>
  <c r="M250" i="2" s="1"/>
  <c r="K248" i="2"/>
  <c r="K250" i="2" s="1"/>
  <c r="L248" i="2"/>
  <c r="L250" i="2" s="1"/>
  <c r="V248" i="2"/>
  <c r="V250" i="2" s="1"/>
  <c r="N248" i="2"/>
  <c r="N250" i="2" s="1"/>
  <c r="W248" i="2"/>
  <c r="W250" i="2" s="1"/>
  <c r="AA248" i="2"/>
  <c r="AA250" i="2" s="1"/>
  <c r="Z248" i="2"/>
  <c r="Z250" i="2" s="1"/>
  <c r="Y248" i="2"/>
  <c r="Y250" i="2" s="1"/>
  <c r="O248" i="2"/>
  <c r="O250" i="2" s="1"/>
  <c r="H248" i="2"/>
  <c r="H250" i="2" s="1"/>
  <c r="J248" i="2"/>
  <c r="J250" i="2" s="1"/>
  <c r="AD248" i="2"/>
  <c r="AD250" i="2" s="1"/>
  <c r="Q248" i="2"/>
  <c r="Q250" i="2" s="1"/>
  <c r="U248" i="2"/>
  <c r="U250" i="2" s="1"/>
  <c r="P248" i="2"/>
  <c r="P250" i="2" s="1"/>
  <c r="R248" i="2"/>
  <c r="R250" i="2" s="1"/>
  <c r="AC248" i="2"/>
  <c r="AC250" i="2" s="1"/>
  <c r="I248" i="2"/>
  <c r="I250" i="2" s="1"/>
  <c r="X248" i="2"/>
  <c r="X250" i="2" s="1"/>
  <c r="AE248" i="2"/>
  <c r="AE250" i="2" s="1"/>
  <c r="AF248" i="2"/>
  <c r="AF250" i="2" s="1"/>
  <c r="F248" i="2"/>
  <c r="T248" i="2"/>
  <c r="T250" i="2" s="1"/>
  <c r="G248" i="2"/>
  <c r="G250" i="2" s="1"/>
  <c r="AB248" i="2"/>
  <c r="AB250" i="2" s="1"/>
  <c r="I551" i="2"/>
  <c r="M551" i="2"/>
  <c r="N551" i="2"/>
  <c r="H551" i="2"/>
  <c r="L551" i="2"/>
  <c r="G551" i="2"/>
  <c r="F161" i="2"/>
  <c r="F8" i="2"/>
  <c r="AG492" i="2"/>
  <c r="AH492" i="2" s="1"/>
  <c r="F199" i="2"/>
  <c r="F237" i="2"/>
  <c r="F123" i="2"/>
  <c r="F275" i="2"/>
  <c r="F85" i="2"/>
  <c r="F47" i="2"/>
  <c r="X512" i="2"/>
  <c r="X542" i="2"/>
  <c r="X586" i="2" s="1"/>
  <c r="X612" i="2" s="1"/>
  <c r="T542" i="2"/>
  <c r="T586" i="2" s="1"/>
  <c r="T612" i="2" s="1"/>
  <c r="T512" i="2"/>
  <c r="AF512" i="2"/>
  <c r="J472" i="2"/>
  <c r="AG471" i="2"/>
  <c r="AH471" i="2" s="1"/>
  <c r="AC512" i="2"/>
  <c r="AC542" i="2"/>
  <c r="AC586" i="2" s="1"/>
  <c r="AC612" i="2" s="1"/>
  <c r="R551" i="2"/>
  <c r="W512" i="2"/>
  <c r="W542" i="2"/>
  <c r="W586" i="2" s="1"/>
  <c r="W612" i="2" s="1"/>
  <c r="S512" i="2"/>
  <c r="K551" i="2"/>
  <c r="Q551" i="2"/>
  <c r="Z542" i="2"/>
  <c r="Z586" i="2" s="1"/>
  <c r="Z612" i="2" s="1"/>
  <c r="Z512" i="2"/>
  <c r="AA512" i="2"/>
  <c r="AA542" i="2"/>
  <c r="AA586" i="2" s="1"/>
  <c r="AA612" i="2" s="1"/>
  <c r="U542" i="2"/>
  <c r="U586" i="2" s="1"/>
  <c r="U612" i="2" s="1"/>
  <c r="U512" i="2"/>
  <c r="J478" i="2"/>
  <c r="AG475" i="2"/>
  <c r="AH475" i="2" s="1"/>
  <c r="E86" i="2"/>
  <c r="AD512" i="2"/>
  <c r="AD542" i="2"/>
  <c r="AD586" i="2" s="1"/>
  <c r="AD612" i="2" s="1"/>
  <c r="V542" i="2"/>
  <c r="V586" i="2" s="1"/>
  <c r="V612" i="2" s="1"/>
  <c r="V512" i="2"/>
  <c r="Y542" i="2"/>
  <c r="Y586" i="2" s="1"/>
  <c r="Y612" i="2" s="1"/>
  <c r="Y512" i="2"/>
  <c r="E498" i="2"/>
  <c r="G497" i="2"/>
  <c r="G498" i="2" s="1"/>
  <c r="F497" i="2"/>
  <c r="AD497" i="2"/>
  <c r="AD498" i="2" s="1"/>
  <c r="AB497" i="2"/>
  <c r="AB498" i="2" s="1"/>
  <c r="H497" i="2"/>
  <c r="H498" i="2" s="1"/>
  <c r="U497" i="2"/>
  <c r="U498" i="2" s="1"/>
  <c r="W497" i="2"/>
  <c r="W498" i="2" s="1"/>
  <c r="L497" i="2"/>
  <c r="L498" i="2" s="1"/>
  <c r="V497" i="2"/>
  <c r="V498" i="2" s="1"/>
  <c r="M497" i="2"/>
  <c r="M498" i="2" s="1"/>
  <c r="X497" i="2"/>
  <c r="X498" i="2" s="1"/>
  <c r="O497" i="2"/>
  <c r="O498" i="2" s="1"/>
  <c r="AA497" i="2"/>
  <c r="AA498" i="2" s="1"/>
  <c r="AC497" i="2"/>
  <c r="AC498" i="2" s="1"/>
  <c r="J497" i="2"/>
  <c r="J498" i="2" s="1"/>
  <c r="S497" i="2"/>
  <c r="S498" i="2" s="1"/>
  <c r="AE497" i="2"/>
  <c r="AE498" i="2" s="1"/>
  <c r="T497" i="2"/>
  <c r="T498" i="2" s="1"/>
  <c r="Q497" i="2"/>
  <c r="Q498" i="2" s="1"/>
  <c r="AF497" i="2"/>
  <c r="AF498" i="2" s="1"/>
  <c r="Z497" i="2"/>
  <c r="Z498" i="2" s="1"/>
  <c r="Y497" i="2"/>
  <c r="Y498" i="2" s="1"/>
  <c r="R497" i="2"/>
  <c r="R498" i="2" s="1"/>
  <c r="I497" i="2"/>
  <c r="I498" i="2" s="1"/>
  <c r="P497" i="2"/>
  <c r="P498" i="2" s="1"/>
  <c r="N497" i="2"/>
  <c r="N498" i="2" s="1"/>
  <c r="K497" i="2"/>
  <c r="K498" i="2" s="1"/>
  <c r="P551" i="2"/>
  <c r="AE512" i="2"/>
  <c r="AB542" i="2"/>
  <c r="AB586" i="2" s="1"/>
  <c r="AB612" i="2" s="1"/>
  <c r="AB512" i="2"/>
  <c r="M612" i="2" l="1"/>
  <c r="M586" i="2"/>
  <c r="N586" i="2"/>
  <c r="N612" i="2"/>
  <c r="G612" i="2"/>
  <c r="G586" i="2"/>
  <c r="H612" i="2"/>
  <c r="H586" i="2"/>
  <c r="I586" i="2"/>
  <c r="I612" i="2"/>
  <c r="L612" i="2"/>
  <c r="L586" i="2"/>
  <c r="K612" i="2"/>
  <c r="K586" i="2"/>
  <c r="F288" i="2"/>
  <c r="AG288" i="2" s="1"/>
  <c r="AH288" i="2" s="1"/>
  <c r="AG286" i="2"/>
  <c r="AH286" i="2" s="1"/>
  <c r="AG248" i="2"/>
  <c r="AH248" i="2" s="1"/>
  <c r="F250" i="2"/>
  <c r="AG250" i="2" s="1"/>
  <c r="AH250" i="2" s="1"/>
  <c r="O463" i="1"/>
  <c r="AB461" i="1"/>
  <c r="AC461" i="1" s="1"/>
  <c r="O129" i="1"/>
  <c r="E134" i="2"/>
  <c r="O328" i="1"/>
  <c r="AB328" i="1" s="1"/>
  <c r="AC328" i="1" s="1"/>
  <c r="O287" i="1"/>
  <c r="AB287" i="1" s="1"/>
  <c r="AC287" i="1" s="1"/>
  <c r="AB285" i="1"/>
  <c r="AC285" i="1" s="1"/>
  <c r="F522" i="2"/>
  <c r="AG85" i="2"/>
  <c r="AH85" i="2" s="1"/>
  <c r="AG199" i="2"/>
  <c r="AH199" i="2" s="1"/>
  <c r="AA499" i="2"/>
  <c r="AC499" i="2"/>
  <c r="J499" i="2"/>
  <c r="S499" i="2"/>
  <c r="AE499" i="2"/>
  <c r="T499" i="2"/>
  <c r="P499" i="2"/>
  <c r="Q499" i="2"/>
  <c r="AF499" i="2"/>
  <c r="Z499" i="2"/>
  <c r="Y499" i="2"/>
  <c r="R499" i="2"/>
  <c r="G499" i="2"/>
  <c r="I499" i="2"/>
  <c r="K499" i="2"/>
  <c r="AD499" i="2"/>
  <c r="AB499" i="2"/>
  <c r="N499" i="2"/>
  <c r="H499" i="2"/>
  <c r="U499" i="2"/>
  <c r="W499" i="2"/>
  <c r="L499" i="2"/>
  <c r="V499" i="2"/>
  <c r="M499" i="2"/>
  <c r="X499" i="2"/>
  <c r="O499" i="2"/>
  <c r="E523" i="2"/>
  <c r="E87" i="2"/>
  <c r="AG275" i="2"/>
  <c r="AH275" i="2" s="1"/>
  <c r="S542" i="2"/>
  <c r="S531" i="2"/>
  <c r="J542" i="2"/>
  <c r="J561" i="2" s="1"/>
  <c r="AG123" i="2"/>
  <c r="AH123" i="2" s="1"/>
  <c r="F503" i="2"/>
  <c r="AG8" i="2"/>
  <c r="AH8" i="2" s="1"/>
  <c r="F498" i="2"/>
  <c r="AG498" i="2" s="1"/>
  <c r="AH498" i="2" s="1"/>
  <c r="AG497" i="2"/>
  <c r="AH497" i="2" s="1"/>
  <c r="J479" i="2"/>
  <c r="AG478" i="2"/>
  <c r="AH478" i="2" s="1"/>
  <c r="J473" i="2"/>
  <c r="AG472" i="2"/>
  <c r="AH472" i="2" s="1"/>
  <c r="AG47" i="2"/>
  <c r="AH47" i="2" s="1"/>
  <c r="AG237" i="2"/>
  <c r="AH237" i="2" s="1"/>
  <c r="AG161" i="2"/>
  <c r="AH161" i="2" s="1"/>
  <c r="F512" i="2" l="1"/>
  <c r="F542" i="2" s="1"/>
  <c r="F561" i="2" s="1"/>
  <c r="F613" i="2"/>
  <c r="F551" i="2"/>
  <c r="E136" i="2"/>
  <c r="E155" i="2" s="1"/>
  <c r="E319" i="2" s="1"/>
  <c r="E324" i="2" s="1"/>
  <c r="E355" i="2" s="1"/>
  <c r="T134" i="2"/>
  <c r="K134" i="2"/>
  <c r="U134" i="2"/>
  <c r="L134" i="2"/>
  <c r="Q134" i="2"/>
  <c r="I134" i="2"/>
  <c r="S134" i="2"/>
  <c r="AC134" i="2"/>
  <c r="O134" i="2"/>
  <c r="AD134" i="2"/>
  <c r="E506" i="2"/>
  <c r="E509" i="2" s="1"/>
  <c r="AE134" i="2"/>
  <c r="G134" i="2"/>
  <c r="H134" i="2"/>
  <c r="Z134" i="2"/>
  <c r="AA134" i="2"/>
  <c r="X134" i="2"/>
  <c r="N134" i="2"/>
  <c r="J134" i="2"/>
  <c r="J136" i="2" s="1"/>
  <c r="AF134" i="2"/>
  <c r="V134" i="2"/>
  <c r="M134" i="2"/>
  <c r="W134" i="2"/>
  <c r="Y134" i="2"/>
  <c r="F134" i="2"/>
  <c r="R134" i="2"/>
  <c r="P134" i="2"/>
  <c r="AB134" i="2"/>
  <c r="O133" i="1"/>
  <c r="AB129" i="1"/>
  <c r="AC129" i="1" s="1"/>
  <c r="E172" i="2"/>
  <c r="AB463" i="1"/>
  <c r="AC463" i="1" s="1"/>
  <c r="AG503" i="2"/>
  <c r="F499" i="2"/>
  <c r="V162" i="2"/>
  <c r="V163" i="2" s="1"/>
  <c r="V200" i="2"/>
  <c r="V201" i="2" s="1"/>
  <c r="V231" i="2" s="1"/>
  <c r="V48" i="2"/>
  <c r="V49" i="2" s="1"/>
  <c r="V79" i="2" s="1"/>
  <c r="V86" i="2"/>
  <c r="V87" i="2" s="1"/>
  <c r="V9" i="2"/>
  <c r="V10" i="2" s="1"/>
  <c r="V40" i="2" s="1"/>
  <c r="V276" i="2"/>
  <c r="V277" i="2" s="1"/>
  <c r="V307" i="2" s="1"/>
  <c r="V322" i="2" s="1"/>
  <c r="V124" i="2"/>
  <c r="V238" i="2"/>
  <c r="V239" i="2" s="1"/>
  <c r="V269" i="2" s="1"/>
  <c r="V321" i="2" s="1"/>
  <c r="H124" i="2"/>
  <c r="H678" i="2" s="1"/>
  <c r="H162" i="2"/>
  <c r="H163" i="2" s="1"/>
  <c r="H9" i="2"/>
  <c r="H10" i="2" s="1"/>
  <c r="H40" i="2" s="1"/>
  <c r="H276" i="2"/>
  <c r="H277" i="2" s="1"/>
  <c r="H307" i="2" s="1"/>
  <c r="H322" i="2" s="1"/>
  <c r="H200" i="2"/>
  <c r="H201" i="2" s="1"/>
  <c r="H231" i="2" s="1"/>
  <c r="H86" i="2"/>
  <c r="H48" i="2"/>
  <c r="H49" i="2" s="1"/>
  <c r="H79" i="2" s="1"/>
  <c r="H238" i="2"/>
  <c r="H239" i="2" s="1"/>
  <c r="H269" i="2" s="1"/>
  <c r="H321" i="2" s="1"/>
  <c r="K276" i="2"/>
  <c r="K277" i="2" s="1"/>
  <c r="K307" i="2" s="1"/>
  <c r="K322" i="2" s="1"/>
  <c r="K238" i="2"/>
  <c r="K239" i="2" s="1"/>
  <c r="K269" i="2" s="1"/>
  <c r="K321" i="2" s="1"/>
  <c r="K124" i="2"/>
  <c r="K678" i="2" s="1"/>
  <c r="K48" i="2"/>
  <c r="K49" i="2" s="1"/>
  <c r="K79" i="2" s="1"/>
  <c r="K200" i="2"/>
  <c r="K201" i="2" s="1"/>
  <c r="K231" i="2" s="1"/>
  <c r="K9" i="2"/>
  <c r="K10" i="2" s="1"/>
  <c r="K40" i="2" s="1"/>
  <c r="K86" i="2"/>
  <c r="K162" i="2"/>
  <c r="K163" i="2" s="1"/>
  <c r="Y48" i="2"/>
  <c r="Y49" i="2" s="1"/>
  <c r="Y79" i="2" s="1"/>
  <c r="Y238" i="2"/>
  <c r="Y239" i="2" s="1"/>
  <c r="Y269" i="2" s="1"/>
  <c r="Y321" i="2" s="1"/>
  <c r="Y200" i="2"/>
  <c r="Y201" i="2" s="1"/>
  <c r="Y231" i="2" s="1"/>
  <c r="Y9" i="2"/>
  <c r="Y10" i="2" s="1"/>
  <c r="Y40" i="2" s="1"/>
  <c r="Y86" i="2"/>
  <c r="Y87" i="2" s="1"/>
  <c r="Y124" i="2"/>
  <c r="Y276" i="2"/>
  <c r="Y277" i="2" s="1"/>
  <c r="Y307" i="2" s="1"/>
  <c r="Y322" i="2" s="1"/>
  <c r="Y162" i="2"/>
  <c r="Y163" i="2" s="1"/>
  <c r="P200" i="2"/>
  <c r="P201" i="2" s="1"/>
  <c r="P231" i="2" s="1"/>
  <c r="P48" i="2"/>
  <c r="P49" i="2" s="1"/>
  <c r="P79" i="2" s="1"/>
  <c r="P162" i="2"/>
  <c r="P163" i="2" s="1"/>
  <c r="P276" i="2"/>
  <c r="P277" i="2" s="1"/>
  <c r="P307" i="2" s="1"/>
  <c r="P322" i="2" s="1"/>
  <c r="P238" i="2"/>
  <c r="P239" i="2" s="1"/>
  <c r="P269" i="2" s="1"/>
  <c r="P321" i="2" s="1"/>
  <c r="P86" i="2"/>
  <c r="P124" i="2"/>
  <c r="P9" i="2"/>
  <c r="P10" i="2" s="1"/>
  <c r="P40" i="2" s="1"/>
  <c r="J124" i="2"/>
  <c r="J678" i="2" s="1"/>
  <c r="J200" i="2"/>
  <c r="J201" i="2" s="1"/>
  <c r="J162" i="2"/>
  <c r="J163" i="2" s="1"/>
  <c r="J276" i="2"/>
  <c r="J277" i="2" s="1"/>
  <c r="J9" i="2"/>
  <c r="J10" i="2" s="1"/>
  <c r="J48" i="2"/>
  <c r="J49" i="2" s="1"/>
  <c r="J86" i="2"/>
  <c r="J238" i="2"/>
  <c r="J239" i="2" s="1"/>
  <c r="J480" i="2"/>
  <c r="AG479" i="2"/>
  <c r="AH479" i="2" s="1"/>
  <c r="S586" i="2"/>
  <c r="S561" i="2"/>
  <c r="O86" i="2"/>
  <c r="O238" i="2"/>
  <c r="O239" i="2" s="1"/>
  <c r="O269" i="2" s="1"/>
  <c r="O321" i="2" s="1"/>
  <c r="O9" i="2"/>
  <c r="O10" i="2" s="1"/>
  <c r="O40" i="2" s="1"/>
  <c r="O162" i="2"/>
  <c r="O163" i="2" s="1"/>
  <c r="O124" i="2"/>
  <c r="O276" i="2"/>
  <c r="O277" i="2" s="1"/>
  <c r="O307" i="2" s="1"/>
  <c r="O322" i="2" s="1"/>
  <c r="O200" i="2"/>
  <c r="O201" i="2" s="1"/>
  <c r="O231" i="2" s="1"/>
  <c r="O48" i="2"/>
  <c r="O49" i="2" s="1"/>
  <c r="O79" i="2" s="1"/>
  <c r="L9" i="2"/>
  <c r="L10" i="2" s="1"/>
  <c r="L40" i="2" s="1"/>
  <c r="L124" i="2"/>
  <c r="L678" i="2" s="1"/>
  <c r="L200" i="2"/>
  <c r="L201" i="2" s="1"/>
  <c r="L231" i="2" s="1"/>
  <c r="L48" i="2"/>
  <c r="L49" i="2" s="1"/>
  <c r="L79" i="2" s="1"/>
  <c r="L276" i="2"/>
  <c r="L277" i="2" s="1"/>
  <c r="L307" i="2" s="1"/>
  <c r="L322" i="2" s="1"/>
  <c r="L162" i="2"/>
  <c r="L163" i="2" s="1"/>
  <c r="L86" i="2"/>
  <c r="L238" i="2"/>
  <c r="L239" i="2" s="1"/>
  <c r="L269" i="2" s="1"/>
  <c r="L321" i="2" s="1"/>
  <c r="N200" i="2"/>
  <c r="N201" i="2" s="1"/>
  <c r="N231" i="2" s="1"/>
  <c r="N86" i="2"/>
  <c r="N276" i="2"/>
  <c r="N277" i="2" s="1"/>
  <c r="N307" i="2" s="1"/>
  <c r="N322" i="2" s="1"/>
  <c r="N124" i="2"/>
  <c r="N678" i="2" s="1"/>
  <c r="N48" i="2"/>
  <c r="N49" i="2" s="1"/>
  <c r="N79" i="2" s="1"/>
  <c r="N162" i="2"/>
  <c r="N163" i="2" s="1"/>
  <c r="N9" i="2"/>
  <c r="N10" i="2" s="1"/>
  <c r="N40" i="2" s="1"/>
  <c r="N238" i="2"/>
  <c r="N239" i="2" s="1"/>
  <c r="N269" i="2" s="1"/>
  <c r="N321" i="2" s="1"/>
  <c r="I86" i="2"/>
  <c r="I9" i="2"/>
  <c r="I10" i="2" s="1"/>
  <c r="I40" i="2" s="1"/>
  <c r="I238" i="2"/>
  <c r="I239" i="2" s="1"/>
  <c r="I269" i="2" s="1"/>
  <c r="I321" i="2" s="1"/>
  <c r="I162" i="2"/>
  <c r="I163" i="2" s="1"/>
  <c r="I124" i="2"/>
  <c r="I678" i="2" s="1"/>
  <c r="I200" i="2"/>
  <c r="I201" i="2" s="1"/>
  <c r="I231" i="2" s="1"/>
  <c r="I48" i="2"/>
  <c r="I49" i="2" s="1"/>
  <c r="I79" i="2" s="1"/>
  <c r="I276" i="2"/>
  <c r="I277" i="2" s="1"/>
  <c r="I307" i="2" s="1"/>
  <c r="I322" i="2" s="1"/>
  <c r="Z48" i="2"/>
  <c r="Z49" i="2" s="1"/>
  <c r="Z79" i="2" s="1"/>
  <c r="Z200" i="2"/>
  <c r="Z201" i="2" s="1"/>
  <c r="Z231" i="2" s="1"/>
  <c r="Z276" i="2"/>
  <c r="Z277" i="2" s="1"/>
  <c r="Z307" i="2" s="1"/>
  <c r="Z322" i="2" s="1"/>
  <c r="Z9" i="2"/>
  <c r="Z10" i="2" s="1"/>
  <c r="Z40" i="2" s="1"/>
  <c r="Z86" i="2"/>
  <c r="Z87" i="2" s="1"/>
  <c r="Z238" i="2"/>
  <c r="Z239" i="2" s="1"/>
  <c r="Z269" i="2" s="1"/>
  <c r="Z321" i="2" s="1"/>
  <c r="Z124" i="2"/>
  <c r="Z162" i="2"/>
  <c r="Z163" i="2" s="1"/>
  <c r="T200" i="2"/>
  <c r="T201" i="2" s="1"/>
  <c r="T231" i="2" s="1"/>
  <c r="T238" i="2"/>
  <c r="T239" i="2" s="1"/>
  <c r="T269" i="2" s="1"/>
  <c r="T321" i="2" s="1"/>
  <c r="T48" i="2"/>
  <c r="T49" i="2" s="1"/>
  <c r="T79" i="2" s="1"/>
  <c r="T124" i="2"/>
  <c r="T9" i="2"/>
  <c r="T10" i="2" s="1"/>
  <c r="T40" i="2" s="1"/>
  <c r="T162" i="2"/>
  <c r="T163" i="2" s="1"/>
  <c r="T86" i="2"/>
  <c r="T87" i="2" s="1"/>
  <c r="T276" i="2"/>
  <c r="T277" i="2" s="1"/>
  <c r="T307" i="2" s="1"/>
  <c r="T322" i="2" s="1"/>
  <c r="AC48" i="2"/>
  <c r="AC49" i="2" s="1"/>
  <c r="AC79" i="2" s="1"/>
  <c r="AC200" i="2"/>
  <c r="AC201" i="2" s="1"/>
  <c r="AC231" i="2" s="1"/>
  <c r="AC9" i="2"/>
  <c r="AC10" i="2" s="1"/>
  <c r="AC40" i="2" s="1"/>
  <c r="AC276" i="2"/>
  <c r="AC277" i="2" s="1"/>
  <c r="AC307" i="2" s="1"/>
  <c r="AC322" i="2" s="1"/>
  <c r="AC86" i="2"/>
  <c r="AC87" i="2" s="1"/>
  <c r="AC238" i="2"/>
  <c r="AC239" i="2" s="1"/>
  <c r="AC269" i="2" s="1"/>
  <c r="AC321" i="2" s="1"/>
  <c r="AC124" i="2"/>
  <c r="AC162" i="2"/>
  <c r="AC163" i="2" s="1"/>
  <c r="J93" i="2"/>
  <c r="J16" i="2"/>
  <c r="AG16" i="2" s="1"/>
  <c r="AH16" i="2" s="1"/>
  <c r="J207" i="2"/>
  <c r="AG207" i="2" s="1"/>
  <c r="AH207" i="2" s="1"/>
  <c r="J55" i="2"/>
  <c r="AG55" i="2" s="1"/>
  <c r="AH55" i="2" s="1"/>
  <c r="AG473" i="2"/>
  <c r="AH473" i="2" s="1"/>
  <c r="X238" i="2"/>
  <c r="X239" i="2" s="1"/>
  <c r="X269" i="2" s="1"/>
  <c r="X321" i="2" s="1"/>
  <c r="X86" i="2"/>
  <c r="X87" i="2" s="1"/>
  <c r="X276" i="2"/>
  <c r="X277" i="2" s="1"/>
  <c r="X307" i="2" s="1"/>
  <c r="X322" i="2" s="1"/>
  <c r="X48" i="2"/>
  <c r="X49" i="2" s="1"/>
  <c r="X79" i="2" s="1"/>
  <c r="X9" i="2"/>
  <c r="X10" i="2" s="1"/>
  <c r="X40" i="2" s="1"/>
  <c r="X200" i="2"/>
  <c r="X201" i="2" s="1"/>
  <c r="X231" i="2" s="1"/>
  <c r="X124" i="2"/>
  <c r="X162" i="2"/>
  <c r="X163" i="2" s="1"/>
  <c r="W200" i="2"/>
  <c r="W201" i="2" s="1"/>
  <c r="W231" i="2" s="1"/>
  <c r="W9" i="2"/>
  <c r="W10" i="2" s="1"/>
  <c r="W40" i="2" s="1"/>
  <c r="W86" i="2"/>
  <c r="W87" i="2" s="1"/>
  <c r="W162" i="2"/>
  <c r="W163" i="2" s="1"/>
  <c r="W48" i="2"/>
  <c r="W49" i="2" s="1"/>
  <c r="W79" i="2" s="1"/>
  <c r="W276" i="2"/>
  <c r="W277" i="2" s="1"/>
  <c r="W307" i="2" s="1"/>
  <c r="W322" i="2" s="1"/>
  <c r="W238" i="2"/>
  <c r="W239" i="2" s="1"/>
  <c r="W269" i="2" s="1"/>
  <c r="W321" i="2" s="1"/>
  <c r="W124" i="2"/>
  <c r="AB124" i="2"/>
  <c r="AB200" i="2"/>
  <c r="AB201" i="2" s="1"/>
  <c r="AB231" i="2" s="1"/>
  <c r="AB48" i="2"/>
  <c r="AB49" i="2" s="1"/>
  <c r="AB79" i="2" s="1"/>
  <c r="AB162" i="2"/>
  <c r="AB163" i="2" s="1"/>
  <c r="AB86" i="2"/>
  <c r="AB87" i="2" s="1"/>
  <c r="AB9" i="2"/>
  <c r="AB10" i="2" s="1"/>
  <c r="AB40" i="2" s="1"/>
  <c r="AB238" i="2"/>
  <c r="AB239" i="2" s="1"/>
  <c r="AB269" i="2" s="1"/>
  <c r="AB321" i="2" s="1"/>
  <c r="AB276" i="2"/>
  <c r="AB277" i="2" s="1"/>
  <c r="AB307" i="2" s="1"/>
  <c r="AB322" i="2" s="1"/>
  <c r="G48" i="2"/>
  <c r="G49" i="2" s="1"/>
  <c r="G79" i="2" s="1"/>
  <c r="G124" i="2"/>
  <c r="G678" i="2" s="1"/>
  <c r="G200" i="2"/>
  <c r="G201" i="2" s="1"/>
  <c r="G231" i="2" s="1"/>
  <c r="G86" i="2"/>
  <c r="G238" i="2"/>
  <c r="G239" i="2" s="1"/>
  <c r="G269" i="2" s="1"/>
  <c r="G321" i="2" s="1"/>
  <c r="G276" i="2"/>
  <c r="G277" i="2" s="1"/>
  <c r="G307" i="2" s="1"/>
  <c r="G322" i="2" s="1"/>
  <c r="G162" i="2"/>
  <c r="G163" i="2" s="1"/>
  <c r="G9" i="2"/>
  <c r="G10" i="2" s="1"/>
  <c r="G40" i="2" s="1"/>
  <c r="AF124" i="2"/>
  <c r="AF9" i="2"/>
  <c r="AF10" i="2" s="1"/>
  <c r="AF40" i="2" s="1"/>
  <c r="AF276" i="2"/>
  <c r="AF277" i="2" s="1"/>
  <c r="AF307" i="2" s="1"/>
  <c r="AF322" i="2" s="1"/>
  <c r="AF238" i="2"/>
  <c r="AF239" i="2" s="1"/>
  <c r="AF269" i="2" s="1"/>
  <c r="AF321" i="2" s="1"/>
  <c r="AF162" i="2"/>
  <c r="AF163" i="2" s="1"/>
  <c r="AF86" i="2"/>
  <c r="AF87" i="2" s="1"/>
  <c r="AF48" i="2"/>
  <c r="AF49" i="2" s="1"/>
  <c r="AF79" i="2" s="1"/>
  <c r="AF200" i="2"/>
  <c r="AF201" i="2" s="1"/>
  <c r="AF231" i="2" s="1"/>
  <c r="AE124" i="2"/>
  <c r="AE162" i="2"/>
  <c r="AE163" i="2" s="1"/>
  <c r="AE200" i="2"/>
  <c r="AE201" i="2" s="1"/>
  <c r="AE231" i="2" s="1"/>
  <c r="AE9" i="2"/>
  <c r="AE10" i="2" s="1"/>
  <c r="AE40" i="2" s="1"/>
  <c r="AE238" i="2"/>
  <c r="AE239" i="2" s="1"/>
  <c r="AE269" i="2" s="1"/>
  <c r="AE321" i="2" s="1"/>
  <c r="AE86" i="2"/>
  <c r="AE87" i="2" s="1"/>
  <c r="AE276" i="2"/>
  <c r="AE277" i="2" s="1"/>
  <c r="AE307" i="2" s="1"/>
  <c r="AE322" i="2" s="1"/>
  <c r="AE48" i="2"/>
  <c r="AE49" i="2" s="1"/>
  <c r="AE79" i="2" s="1"/>
  <c r="AA238" i="2"/>
  <c r="AA239" i="2" s="1"/>
  <c r="AA269" i="2" s="1"/>
  <c r="AA321" i="2" s="1"/>
  <c r="AA86" i="2"/>
  <c r="AA87" i="2" s="1"/>
  <c r="AA162" i="2"/>
  <c r="AA163" i="2" s="1"/>
  <c r="AA9" i="2"/>
  <c r="AA10" i="2" s="1"/>
  <c r="AA40" i="2" s="1"/>
  <c r="AA276" i="2"/>
  <c r="AA277" i="2" s="1"/>
  <c r="AA307" i="2" s="1"/>
  <c r="AA322" i="2" s="1"/>
  <c r="AA48" i="2"/>
  <c r="AA49" i="2" s="1"/>
  <c r="AA79" i="2" s="1"/>
  <c r="AA200" i="2"/>
  <c r="AA201" i="2" s="1"/>
  <c r="AA231" i="2" s="1"/>
  <c r="AA124" i="2"/>
  <c r="AG522" i="2"/>
  <c r="AH522" i="2" s="1"/>
  <c r="J612" i="2"/>
  <c r="J586" i="2"/>
  <c r="M48" i="2"/>
  <c r="M49" i="2" s="1"/>
  <c r="M79" i="2" s="1"/>
  <c r="M162" i="2"/>
  <c r="M163" i="2" s="1"/>
  <c r="M276" i="2"/>
  <c r="M277" i="2" s="1"/>
  <c r="M307" i="2" s="1"/>
  <c r="M322" i="2" s="1"/>
  <c r="M124" i="2"/>
  <c r="M678" i="2" s="1"/>
  <c r="M200" i="2"/>
  <c r="M201" i="2" s="1"/>
  <c r="M231" i="2" s="1"/>
  <c r="M86" i="2"/>
  <c r="M9" i="2"/>
  <c r="M10" i="2" s="1"/>
  <c r="M40" i="2" s="1"/>
  <c r="M238" i="2"/>
  <c r="M239" i="2" s="1"/>
  <c r="M269" i="2" s="1"/>
  <c r="M321" i="2" s="1"/>
  <c r="U9" i="2"/>
  <c r="U10" i="2" s="1"/>
  <c r="U40" i="2" s="1"/>
  <c r="U238" i="2"/>
  <c r="U239" i="2" s="1"/>
  <c r="U269" i="2" s="1"/>
  <c r="U321" i="2" s="1"/>
  <c r="U276" i="2"/>
  <c r="U277" i="2" s="1"/>
  <c r="U307" i="2" s="1"/>
  <c r="U322" i="2" s="1"/>
  <c r="U124" i="2"/>
  <c r="U162" i="2"/>
  <c r="U163" i="2" s="1"/>
  <c r="U48" i="2"/>
  <c r="U49" i="2" s="1"/>
  <c r="U79" i="2" s="1"/>
  <c r="U86" i="2"/>
  <c r="U87" i="2" s="1"/>
  <c r="U200" i="2"/>
  <c r="U201" i="2" s="1"/>
  <c r="U231" i="2" s="1"/>
  <c r="AD124" i="2"/>
  <c r="AD276" i="2"/>
  <c r="AD277" i="2" s="1"/>
  <c r="AD307" i="2" s="1"/>
  <c r="AD322" i="2" s="1"/>
  <c r="AD162" i="2"/>
  <c r="AD163" i="2" s="1"/>
  <c r="AD9" i="2"/>
  <c r="AD10" i="2" s="1"/>
  <c r="AD40" i="2" s="1"/>
  <c r="AD200" i="2"/>
  <c r="AD201" i="2" s="1"/>
  <c r="AD231" i="2" s="1"/>
  <c r="AD48" i="2"/>
  <c r="AD49" i="2" s="1"/>
  <c r="AD79" i="2" s="1"/>
  <c r="AD238" i="2"/>
  <c r="AD239" i="2" s="1"/>
  <c r="AD269" i="2" s="1"/>
  <c r="AD321" i="2" s="1"/>
  <c r="AD86" i="2"/>
  <c r="AD87" i="2" s="1"/>
  <c r="R124" i="2"/>
  <c r="R48" i="2"/>
  <c r="R49" i="2" s="1"/>
  <c r="R79" i="2" s="1"/>
  <c r="R276" i="2"/>
  <c r="R277" i="2" s="1"/>
  <c r="R307" i="2" s="1"/>
  <c r="R322" i="2" s="1"/>
  <c r="R238" i="2"/>
  <c r="R239" i="2" s="1"/>
  <c r="R269" i="2" s="1"/>
  <c r="R321" i="2" s="1"/>
  <c r="R162" i="2"/>
  <c r="R163" i="2" s="1"/>
  <c r="R86" i="2"/>
  <c r="R200" i="2"/>
  <c r="R201" i="2" s="1"/>
  <c r="R231" i="2" s="1"/>
  <c r="R9" i="2"/>
  <c r="R10" i="2" s="1"/>
  <c r="R40" i="2" s="1"/>
  <c r="Q48" i="2"/>
  <c r="Q49" i="2" s="1"/>
  <c r="Q79" i="2" s="1"/>
  <c r="Q162" i="2"/>
  <c r="Q163" i="2" s="1"/>
  <c r="Q238" i="2"/>
  <c r="Q239" i="2" s="1"/>
  <c r="Q269" i="2" s="1"/>
  <c r="Q321" i="2" s="1"/>
  <c r="Q86" i="2"/>
  <c r="Q9" i="2"/>
  <c r="Q10" i="2" s="1"/>
  <c r="Q40" i="2" s="1"/>
  <c r="Q276" i="2"/>
  <c r="Q277" i="2" s="1"/>
  <c r="Q307" i="2" s="1"/>
  <c r="Q322" i="2" s="1"/>
  <c r="Q124" i="2"/>
  <c r="Q200" i="2"/>
  <c r="Q201" i="2" s="1"/>
  <c r="Q231" i="2" s="1"/>
  <c r="S48" i="2"/>
  <c r="S49" i="2" s="1"/>
  <c r="S79" i="2" s="1"/>
  <c r="S162" i="2"/>
  <c r="S163" i="2" s="1"/>
  <c r="S124" i="2"/>
  <c r="S238" i="2"/>
  <c r="S239" i="2" s="1"/>
  <c r="S269" i="2" s="1"/>
  <c r="S321" i="2" s="1"/>
  <c r="S276" i="2"/>
  <c r="S277" i="2" s="1"/>
  <c r="S307" i="2" s="1"/>
  <c r="S322" i="2" s="1"/>
  <c r="S86" i="2"/>
  <c r="S87" i="2" s="1"/>
  <c r="S200" i="2"/>
  <c r="S201" i="2" s="1"/>
  <c r="S231" i="2" s="1"/>
  <c r="S9" i="2"/>
  <c r="S10" i="2" s="1"/>
  <c r="S40" i="2" s="1"/>
  <c r="F586" i="2" l="1"/>
  <c r="F612" i="2"/>
  <c r="E326" i="2"/>
  <c r="W136" i="2"/>
  <c r="W506" i="2"/>
  <c r="S136" i="2"/>
  <c r="S506" i="2"/>
  <c r="S545" i="2" s="1"/>
  <c r="R506" i="2"/>
  <c r="R545" i="2" s="1"/>
  <c r="R136" i="2"/>
  <c r="M506" i="2"/>
  <c r="M136" i="2"/>
  <c r="N136" i="2"/>
  <c r="N506" i="2"/>
  <c r="H136" i="2"/>
  <c r="H506" i="2"/>
  <c r="AD136" i="2"/>
  <c r="AD506" i="2"/>
  <c r="I136" i="2"/>
  <c r="I506" i="2"/>
  <c r="K136" i="2"/>
  <c r="K506" i="2"/>
  <c r="U136" i="2"/>
  <c r="U506" i="2"/>
  <c r="O144" i="1"/>
  <c r="AB133" i="1"/>
  <c r="AC133" i="1" s="1"/>
  <c r="F136" i="2"/>
  <c r="AG134" i="2"/>
  <c r="AH134" i="2" s="1"/>
  <c r="F506" i="2"/>
  <c r="V136" i="2"/>
  <c r="V506" i="2"/>
  <c r="X136" i="2"/>
  <c r="X506" i="2"/>
  <c r="G506" i="2"/>
  <c r="G136" i="2"/>
  <c r="O136" i="2"/>
  <c r="O506" i="2"/>
  <c r="Q136" i="2"/>
  <c r="Q506" i="2"/>
  <c r="Q545" i="2" s="1"/>
  <c r="T136" i="2"/>
  <c r="T506" i="2"/>
  <c r="W172" i="2"/>
  <c r="W174" i="2" s="1"/>
  <c r="W193" i="2" s="1"/>
  <c r="K172" i="2"/>
  <c r="K174" i="2" s="1"/>
  <c r="K193" i="2" s="1"/>
  <c r="AC172" i="2"/>
  <c r="AC174" i="2" s="1"/>
  <c r="AC193" i="2" s="1"/>
  <c r="V172" i="2"/>
  <c r="V174" i="2" s="1"/>
  <c r="V193" i="2" s="1"/>
  <c r="P172" i="2"/>
  <c r="P174" i="2" s="1"/>
  <c r="P193" i="2" s="1"/>
  <c r="E174" i="2"/>
  <c r="E193" i="2" s="1"/>
  <c r="L172" i="2"/>
  <c r="L174" i="2" s="1"/>
  <c r="L193" i="2" s="1"/>
  <c r="S172" i="2"/>
  <c r="S174" i="2" s="1"/>
  <c r="S193" i="2" s="1"/>
  <c r="X172" i="2"/>
  <c r="X174" i="2" s="1"/>
  <c r="X193" i="2" s="1"/>
  <c r="J172" i="2"/>
  <c r="J174" i="2" s="1"/>
  <c r="U172" i="2"/>
  <c r="U174" i="2" s="1"/>
  <c r="U193" i="2" s="1"/>
  <c r="N172" i="2"/>
  <c r="N174" i="2" s="1"/>
  <c r="N193" i="2" s="1"/>
  <c r="Z172" i="2"/>
  <c r="Z174" i="2" s="1"/>
  <c r="Z193" i="2" s="1"/>
  <c r="AD172" i="2"/>
  <c r="AD174" i="2" s="1"/>
  <c r="AD193" i="2" s="1"/>
  <c r="AD362" i="2" s="1"/>
  <c r="R172" i="2"/>
  <c r="R174" i="2" s="1"/>
  <c r="R193" i="2" s="1"/>
  <c r="G172" i="2"/>
  <c r="G174" i="2" s="1"/>
  <c r="G193" i="2" s="1"/>
  <c r="Y172" i="2"/>
  <c r="Y174" i="2" s="1"/>
  <c r="Y193" i="2" s="1"/>
  <c r="I172" i="2"/>
  <c r="I174" i="2" s="1"/>
  <c r="I193" i="2" s="1"/>
  <c r="AA172" i="2"/>
  <c r="AA174" i="2" s="1"/>
  <c r="AA193" i="2" s="1"/>
  <c r="AE172" i="2"/>
  <c r="AE174" i="2" s="1"/>
  <c r="AE193" i="2" s="1"/>
  <c r="M172" i="2"/>
  <c r="M174" i="2" s="1"/>
  <c r="M193" i="2" s="1"/>
  <c r="Q172" i="2"/>
  <c r="Q174" i="2" s="1"/>
  <c r="Q193" i="2" s="1"/>
  <c r="Q362" i="2" s="1"/>
  <c r="F172" i="2"/>
  <c r="H172" i="2"/>
  <c r="H174" i="2" s="1"/>
  <c r="H193" i="2" s="1"/>
  <c r="O172" i="2"/>
  <c r="O174" i="2" s="1"/>
  <c r="O193" i="2" s="1"/>
  <c r="AF172" i="2"/>
  <c r="AF174" i="2" s="1"/>
  <c r="AF193" i="2" s="1"/>
  <c r="AF362" i="2" s="1"/>
  <c r="T172" i="2"/>
  <c r="T174" i="2" s="1"/>
  <c r="T193" i="2" s="1"/>
  <c r="AB172" i="2"/>
  <c r="AB174" i="2" s="1"/>
  <c r="AB193" i="2" s="1"/>
  <c r="P136" i="2"/>
  <c r="P506" i="2"/>
  <c r="P545" i="2" s="1"/>
  <c r="Z136" i="2"/>
  <c r="Z506" i="2"/>
  <c r="E517" i="2"/>
  <c r="R546" i="2"/>
  <c r="S546" i="2"/>
  <c r="Q546" i="2"/>
  <c r="P546" i="2"/>
  <c r="E508" i="2"/>
  <c r="AB506" i="2"/>
  <c r="AB136" i="2"/>
  <c r="Y506" i="2"/>
  <c r="Y136" i="2"/>
  <c r="AF506" i="2"/>
  <c r="AF136" i="2"/>
  <c r="AA136" i="2"/>
  <c r="AA506" i="2"/>
  <c r="AE136" i="2"/>
  <c r="AE506" i="2"/>
  <c r="AC136" i="2"/>
  <c r="AC506" i="2"/>
  <c r="L136" i="2"/>
  <c r="L506" i="2"/>
  <c r="AH503" i="2"/>
  <c r="S320" i="2"/>
  <c r="S504" i="2"/>
  <c r="S125" i="2"/>
  <c r="Q504" i="2"/>
  <c r="Q125" i="2"/>
  <c r="R320" i="2"/>
  <c r="AE504" i="2"/>
  <c r="AE125" i="2"/>
  <c r="AF504" i="2"/>
  <c r="AF125" i="2"/>
  <c r="AB504" i="2"/>
  <c r="AB125" i="2"/>
  <c r="W320" i="2"/>
  <c r="AG93" i="2"/>
  <c r="AH93" i="2" s="1"/>
  <c r="T320" i="2"/>
  <c r="I504" i="2"/>
  <c r="I125" i="2"/>
  <c r="I523" i="2"/>
  <c r="I87" i="2"/>
  <c r="N320" i="2"/>
  <c r="O504" i="2"/>
  <c r="O513" i="2" s="1"/>
  <c r="O125" i="2"/>
  <c r="O523" i="2"/>
  <c r="O87" i="2"/>
  <c r="S612" i="2"/>
  <c r="J79" i="2"/>
  <c r="J231" i="2"/>
  <c r="P523" i="2"/>
  <c r="P87" i="2"/>
  <c r="Y504" i="2"/>
  <c r="Y125" i="2"/>
  <c r="H523" i="2"/>
  <c r="H87" i="2"/>
  <c r="V320" i="2"/>
  <c r="M523" i="2"/>
  <c r="M87" i="2"/>
  <c r="AA504" i="2"/>
  <c r="AA125" i="2"/>
  <c r="AF320" i="2"/>
  <c r="G523" i="2"/>
  <c r="G87" i="2"/>
  <c r="W504" i="2"/>
  <c r="W125" i="2"/>
  <c r="T504" i="2"/>
  <c r="T125" i="2"/>
  <c r="N504" i="2"/>
  <c r="N125" i="2"/>
  <c r="J40" i="2"/>
  <c r="J504" i="2"/>
  <c r="J125" i="2"/>
  <c r="P320" i="2"/>
  <c r="K320" i="2"/>
  <c r="H320" i="2"/>
  <c r="H504" i="2"/>
  <c r="H125" i="2"/>
  <c r="E384" i="2"/>
  <c r="R523" i="2"/>
  <c r="R87" i="2"/>
  <c r="R504" i="2"/>
  <c r="R125" i="2"/>
  <c r="AD320" i="2"/>
  <c r="AD504" i="2"/>
  <c r="AD125" i="2"/>
  <c r="M320" i="2"/>
  <c r="AA320" i="2"/>
  <c r="AE320" i="2"/>
  <c r="G320" i="2"/>
  <c r="X504" i="2"/>
  <c r="X125" i="2"/>
  <c r="AC504" i="2"/>
  <c r="AC125" i="2"/>
  <c r="Z504" i="2"/>
  <c r="Z125" i="2"/>
  <c r="L523" i="2"/>
  <c r="L87" i="2"/>
  <c r="L320" i="2"/>
  <c r="O320" i="2"/>
  <c r="F48" i="2"/>
  <c r="F200" i="2"/>
  <c r="AG499" i="2"/>
  <c r="AH499" i="2" s="1"/>
  <c r="F276" i="2"/>
  <c r="F86" i="2"/>
  <c r="F238" i="2"/>
  <c r="F162" i="2"/>
  <c r="F9" i="2"/>
  <c r="F124" i="2"/>
  <c r="F678" i="2" s="1"/>
  <c r="Q320" i="2"/>
  <c r="Q523" i="2"/>
  <c r="Q87" i="2"/>
  <c r="U320" i="2"/>
  <c r="U504" i="2"/>
  <c r="U125" i="2"/>
  <c r="M504" i="2"/>
  <c r="M125" i="2"/>
  <c r="G504" i="2"/>
  <c r="G125" i="2"/>
  <c r="AB320" i="2"/>
  <c r="X320" i="2"/>
  <c r="AC320" i="2"/>
  <c r="Z320" i="2"/>
  <c r="I320" i="2"/>
  <c r="N523" i="2"/>
  <c r="N87" i="2"/>
  <c r="L504" i="2"/>
  <c r="L125" i="2"/>
  <c r="J245" i="2"/>
  <c r="AG245" i="2" s="1"/>
  <c r="AH245" i="2" s="1"/>
  <c r="J283" i="2"/>
  <c r="AG283" i="2" s="1"/>
  <c r="AH283" i="2" s="1"/>
  <c r="J131" i="2"/>
  <c r="J169" i="2"/>
  <c r="AG169" i="2" s="1"/>
  <c r="AH169" i="2" s="1"/>
  <c r="AG480" i="2"/>
  <c r="AH480" i="2" s="1"/>
  <c r="J523" i="2"/>
  <c r="J552" i="2" s="1"/>
  <c r="J87" i="2"/>
  <c r="P504" i="2"/>
  <c r="P125" i="2"/>
  <c r="Y320" i="2"/>
  <c r="K523" i="2"/>
  <c r="K87" i="2"/>
  <c r="K504" i="2"/>
  <c r="K125" i="2"/>
  <c r="V504" i="2"/>
  <c r="V125" i="2"/>
  <c r="H509" i="2" l="1"/>
  <c r="K509" i="2"/>
  <c r="N509" i="2"/>
  <c r="O509" i="2"/>
  <c r="F509" i="2"/>
  <c r="I509" i="2"/>
  <c r="M509" i="2"/>
  <c r="L509" i="2"/>
  <c r="G509" i="2"/>
  <c r="H513" i="2"/>
  <c r="H543" i="2" s="1"/>
  <c r="H563" i="2" s="1"/>
  <c r="H588" i="2" s="1"/>
  <c r="N513" i="2"/>
  <c r="N543" i="2" s="1"/>
  <c r="N563" i="2" s="1"/>
  <c r="M513" i="2"/>
  <c r="M543" i="2" s="1"/>
  <c r="M563" i="2" s="1"/>
  <c r="K513" i="2"/>
  <c r="K543" i="2" s="1"/>
  <c r="K563" i="2" s="1"/>
  <c r="J513" i="2"/>
  <c r="J543" i="2" s="1"/>
  <c r="L513" i="2"/>
  <c r="L543" i="2" s="1"/>
  <c r="L563" i="2" s="1"/>
  <c r="I513" i="2"/>
  <c r="I543" i="2" s="1"/>
  <c r="I563" i="2" s="1"/>
  <c r="G513" i="2"/>
  <c r="G543" i="2" s="1"/>
  <c r="G563" i="2" s="1"/>
  <c r="E518" i="2"/>
  <c r="E519" i="2" s="1"/>
  <c r="I362" i="2"/>
  <c r="AA155" i="2"/>
  <c r="AA319" i="2" s="1"/>
  <c r="AA324" i="2" s="1"/>
  <c r="N155" i="2"/>
  <c r="N319" i="2" s="1"/>
  <c r="N324" i="2" s="1"/>
  <c r="N355" i="2" s="1"/>
  <c r="W155" i="2"/>
  <c r="W319" i="2" s="1"/>
  <c r="W324" i="2" s="1"/>
  <c r="W326" i="2" s="1"/>
  <c r="G155" i="2"/>
  <c r="G319" i="2" s="1"/>
  <c r="G324" i="2" s="1"/>
  <c r="G326" i="2" s="1"/>
  <c r="U155" i="2"/>
  <c r="U319" i="2" s="1"/>
  <c r="U324" i="2" s="1"/>
  <c r="S155" i="2"/>
  <c r="S319" i="2" s="1"/>
  <c r="S324" i="2" s="1"/>
  <c r="S355" i="2" s="1"/>
  <c r="H155" i="2"/>
  <c r="H319" i="2" s="1"/>
  <c r="H324" i="2" s="1"/>
  <c r="H326" i="2" s="1"/>
  <c r="I155" i="2"/>
  <c r="I319" i="2" s="1"/>
  <c r="I324" i="2" s="1"/>
  <c r="AC155" i="2"/>
  <c r="AC319" i="2" s="1"/>
  <c r="AC324" i="2" s="1"/>
  <c r="AD155" i="2"/>
  <c r="AD319" i="2" s="1"/>
  <c r="AD324" i="2" s="1"/>
  <c r="P155" i="2"/>
  <c r="P319" i="2" s="1"/>
  <c r="P324" i="2" s="1"/>
  <c r="P355" i="2" s="1"/>
  <c r="R155" i="2"/>
  <c r="R319" i="2" s="1"/>
  <c r="R324" i="2" s="1"/>
  <c r="R355" i="2" s="1"/>
  <c r="Z155" i="2"/>
  <c r="Z319" i="2" s="1"/>
  <c r="Z324" i="2" s="1"/>
  <c r="X155" i="2"/>
  <c r="X319" i="2" s="1"/>
  <c r="X324" i="2" s="1"/>
  <c r="T155" i="2"/>
  <c r="T319" i="2" s="1"/>
  <c r="T324" i="2" s="1"/>
  <c r="T355" i="2" s="1"/>
  <c r="Y155" i="2"/>
  <c r="Y319" i="2" s="1"/>
  <c r="Y324" i="2" s="1"/>
  <c r="AB155" i="2"/>
  <c r="AB319" i="2" s="1"/>
  <c r="AB324" i="2" s="1"/>
  <c r="K362" i="2"/>
  <c r="O155" i="2"/>
  <c r="O319" i="2" s="1"/>
  <c r="O324" i="2" s="1"/>
  <c r="AF155" i="2"/>
  <c r="AF319" i="2" s="1"/>
  <c r="AF324" i="2" s="1"/>
  <c r="Q155" i="2"/>
  <c r="Q319" i="2" s="1"/>
  <c r="Q324" i="2" s="1"/>
  <c r="AA362" i="2"/>
  <c r="Z362" i="2"/>
  <c r="X362" i="2"/>
  <c r="P362" i="2"/>
  <c r="W362" i="2"/>
  <c r="AB362" i="2"/>
  <c r="H362" i="2"/>
  <c r="G362" i="2"/>
  <c r="N362" i="2"/>
  <c r="S362" i="2"/>
  <c r="V362" i="2"/>
  <c r="T362" i="2"/>
  <c r="L362" i="2"/>
  <c r="AC362" i="2"/>
  <c r="O362" i="2"/>
  <c r="U545" i="2"/>
  <c r="AD545" i="2"/>
  <c r="W545" i="2"/>
  <c r="AC545" i="2"/>
  <c r="AA545" i="2"/>
  <c r="M362" i="2"/>
  <c r="R602" i="2"/>
  <c r="R628" i="2" s="1"/>
  <c r="R577" i="2"/>
  <c r="T545" i="2"/>
  <c r="X545" i="2"/>
  <c r="E96" i="2"/>
  <c r="AB144" i="1"/>
  <c r="AC144" i="1" s="1"/>
  <c r="AC1" i="1" s="1"/>
  <c r="R572" i="2"/>
  <c r="R597" i="2"/>
  <c r="R623" i="2" s="1"/>
  <c r="AB545" i="2"/>
  <c r="V155" i="2"/>
  <c r="V319" i="2" s="1"/>
  <c r="V324" i="2" s="1"/>
  <c r="V355" i="2" s="1"/>
  <c r="Y545" i="2"/>
  <c r="U362" i="2"/>
  <c r="P602" i="2"/>
  <c r="P628" i="2" s="1"/>
  <c r="P577" i="2"/>
  <c r="Z545" i="2"/>
  <c r="S572" i="2"/>
  <c r="S597" i="2"/>
  <c r="S623" i="2" s="1"/>
  <c r="S577" i="2"/>
  <c r="S602" i="2"/>
  <c r="S628" i="2" s="1"/>
  <c r="P597" i="2"/>
  <c r="P623" i="2" s="1"/>
  <c r="P572" i="2"/>
  <c r="AE155" i="2"/>
  <c r="AE319" i="2" s="1"/>
  <c r="AE324" i="2" s="1"/>
  <c r="Y362" i="2"/>
  <c r="AE362" i="2"/>
  <c r="R362" i="2"/>
  <c r="Q577" i="2"/>
  <c r="Q602" i="2"/>
  <c r="Q628" i="2" s="1"/>
  <c r="AG172" i="2"/>
  <c r="AH172" i="2" s="1"/>
  <c r="F174" i="2"/>
  <c r="AG174" i="2" s="1"/>
  <c r="AH174" i="2" s="1"/>
  <c r="Q597" i="2"/>
  <c r="Q623" i="2" s="1"/>
  <c r="Q572" i="2"/>
  <c r="V545" i="2"/>
  <c r="AG136" i="2"/>
  <c r="AH136" i="2" s="1"/>
  <c r="H552" i="2"/>
  <c r="L552" i="2"/>
  <c r="G552" i="2"/>
  <c r="M552" i="2"/>
  <c r="I552" i="2"/>
  <c r="N552" i="2"/>
  <c r="K155" i="2"/>
  <c r="K319" i="2" s="1"/>
  <c r="K324" i="2" s="1"/>
  <c r="K355" i="2" s="1"/>
  <c r="M155" i="2"/>
  <c r="M319" i="2" s="1"/>
  <c r="M324" i="2" s="1"/>
  <c r="M326" i="2" s="1"/>
  <c r="L155" i="2"/>
  <c r="L319" i="2" s="1"/>
  <c r="L324" i="2" s="1"/>
  <c r="L355" i="2" s="1"/>
  <c r="U513" i="2"/>
  <c r="U543" i="2"/>
  <c r="U587" i="2" s="1"/>
  <c r="U613" i="2" s="1"/>
  <c r="U508" i="2"/>
  <c r="AG238" i="2"/>
  <c r="AH238" i="2" s="1"/>
  <c r="F239" i="2"/>
  <c r="AG200" i="2"/>
  <c r="AH200" i="2" s="1"/>
  <c r="F201" i="2"/>
  <c r="X513" i="2"/>
  <c r="X543" i="2"/>
  <c r="X587" i="2" s="1"/>
  <c r="X613" i="2" s="1"/>
  <c r="X508" i="2"/>
  <c r="AD543" i="2"/>
  <c r="AD587" i="2" s="1"/>
  <c r="AD613" i="2" s="1"/>
  <c r="AD513" i="2"/>
  <c r="AD508" i="2"/>
  <c r="E386" i="2"/>
  <c r="W543" i="2"/>
  <c r="W587" i="2" s="1"/>
  <c r="W613" i="2" s="1"/>
  <c r="W513" i="2"/>
  <c r="W508" i="2"/>
  <c r="AA513" i="2"/>
  <c r="AA543" i="2"/>
  <c r="AA587" i="2" s="1"/>
  <c r="AA613" i="2" s="1"/>
  <c r="AA508" i="2"/>
  <c r="F504" i="2"/>
  <c r="AG124" i="2"/>
  <c r="AH124" i="2" s="1"/>
  <c r="F125" i="2"/>
  <c r="AG86" i="2"/>
  <c r="AH86" i="2" s="1"/>
  <c r="F523" i="2"/>
  <c r="F87" i="2"/>
  <c r="AG48" i="2"/>
  <c r="AH48" i="2" s="1"/>
  <c r="F49" i="2"/>
  <c r="J307" i="2"/>
  <c r="J322" i="2" s="1"/>
  <c r="N508" i="2"/>
  <c r="P552" i="2"/>
  <c r="O508" i="2"/>
  <c r="I508" i="2"/>
  <c r="AB513" i="2"/>
  <c r="AB543" i="2"/>
  <c r="AB587" i="2" s="1"/>
  <c r="AB613" i="2" s="1"/>
  <c r="AB508" i="2"/>
  <c r="AE513" i="2"/>
  <c r="AE517" i="2" s="1"/>
  <c r="AE508" i="2"/>
  <c r="Q508" i="2"/>
  <c r="V543" i="2"/>
  <c r="V587" i="2" s="1"/>
  <c r="V613" i="2" s="1"/>
  <c r="V513" i="2"/>
  <c r="V508" i="2"/>
  <c r="K552" i="2"/>
  <c r="P508" i="2"/>
  <c r="J193" i="2"/>
  <c r="J362" i="2" s="1"/>
  <c r="M508" i="2"/>
  <c r="Q552" i="2"/>
  <c r="AG9" i="2"/>
  <c r="AH9" i="2" s="1"/>
  <c r="F10" i="2"/>
  <c r="AG276" i="2"/>
  <c r="AH276" i="2" s="1"/>
  <c r="F277" i="2"/>
  <c r="J269" i="2"/>
  <c r="J321" i="2" s="1"/>
  <c r="AC513" i="2"/>
  <c r="AC543" i="2"/>
  <c r="AC587" i="2" s="1"/>
  <c r="AC613" i="2" s="1"/>
  <c r="AC508" i="2"/>
  <c r="R508" i="2"/>
  <c r="R552" i="2"/>
  <c r="H508" i="2"/>
  <c r="T513" i="2"/>
  <c r="T543" i="2"/>
  <c r="T587" i="2" s="1"/>
  <c r="T613" i="2" s="1"/>
  <c r="T508" i="2"/>
  <c r="J320" i="2"/>
  <c r="K508" i="2"/>
  <c r="J506" i="2"/>
  <c r="AG131" i="2"/>
  <c r="L508" i="2"/>
  <c r="G508" i="2"/>
  <c r="AG162" i="2"/>
  <c r="AH162" i="2" s="1"/>
  <c r="F163" i="2"/>
  <c r="Z513" i="2"/>
  <c r="Z543" i="2"/>
  <c r="Z587" i="2" s="1"/>
  <c r="Z613" i="2" s="1"/>
  <c r="Z508" i="2"/>
  <c r="J155" i="2"/>
  <c r="J319" i="2" s="1"/>
  <c r="Y513" i="2"/>
  <c r="Y543" i="2"/>
  <c r="Y587" i="2" s="1"/>
  <c r="Y613" i="2" s="1"/>
  <c r="Y508" i="2"/>
  <c r="AF513" i="2"/>
  <c r="AF517" i="2" s="1"/>
  <c r="AF508" i="2"/>
  <c r="S513" i="2"/>
  <c r="S508" i="2"/>
  <c r="J509" i="2" l="1"/>
  <c r="L614" i="2"/>
  <c r="L588" i="2"/>
  <c r="M588" i="2"/>
  <c r="M614" i="2"/>
  <c r="I614" i="2"/>
  <c r="I588" i="2"/>
  <c r="N614" i="2"/>
  <c r="N588" i="2"/>
  <c r="K588" i="2"/>
  <c r="K614" i="2"/>
  <c r="G588" i="2"/>
  <c r="G614" i="2"/>
  <c r="H614" i="2"/>
  <c r="F513" i="2"/>
  <c r="F543" i="2" s="1"/>
  <c r="F563" i="2" s="1"/>
  <c r="F614" i="2" s="1"/>
  <c r="F552" i="2"/>
  <c r="F615" i="2"/>
  <c r="T517" i="2"/>
  <c r="AC517" i="2"/>
  <c r="Y517" i="2"/>
  <c r="AD517" i="2"/>
  <c r="AB517" i="2"/>
  <c r="AA517" i="2"/>
  <c r="V517" i="2"/>
  <c r="U517" i="2"/>
  <c r="W517" i="2"/>
  <c r="X517" i="2"/>
  <c r="Z517" i="2"/>
  <c r="H96" i="2"/>
  <c r="I96" i="2"/>
  <c r="AD96" i="2"/>
  <c r="Y96" i="2"/>
  <c r="W96" i="2"/>
  <c r="K96" i="2"/>
  <c r="R96" i="2"/>
  <c r="N96" i="2"/>
  <c r="AE96" i="2"/>
  <c r="S96" i="2"/>
  <c r="AB96" i="2"/>
  <c r="AC96" i="2"/>
  <c r="F96" i="2"/>
  <c r="U96" i="2"/>
  <c r="G96" i="2"/>
  <c r="AA96" i="2"/>
  <c r="X96" i="2"/>
  <c r="P96" i="2"/>
  <c r="E525" i="2"/>
  <c r="E527" i="2" s="1"/>
  <c r="J96" i="2"/>
  <c r="M96" i="2"/>
  <c r="V96" i="2"/>
  <c r="Q96" i="2"/>
  <c r="Z96" i="2"/>
  <c r="E98" i="2"/>
  <c r="E117" i="2" s="1"/>
  <c r="E118" i="2" s="1"/>
  <c r="L96" i="2"/>
  <c r="AF96" i="2"/>
  <c r="T96" i="2"/>
  <c r="O96" i="2"/>
  <c r="L326" i="2"/>
  <c r="T326" i="2"/>
  <c r="M355" i="2"/>
  <c r="J508" i="2"/>
  <c r="W355" i="2"/>
  <c r="V326" i="2"/>
  <c r="S326" i="2"/>
  <c r="H355" i="2"/>
  <c r="N326" i="2"/>
  <c r="P326" i="2"/>
  <c r="G355" i="2"/>
  <c r="K326" i="2"/>
  <c r="R326" i="2"/>
  <c r="J324" i="2"/>
  <c r="J326" i="2" s="1"/>
  <c r="U355" i="2"/>
  <c r="U326" i="2"/>
  <c r="AF355" i="2"/>
  <c r="AF326" i="2"/>
  <c r="Z326" i="2"/>
  <c r="Z355" i="2"/>
  <c r="AG10" i="2"/>
  <c r="AH10" i="2" s="1"/>
  <c r="F40" i="2"/>
  <c r="AG40" i="2" s="1"/>
  <c r="AH40" i="2" s="1"/>
  <c r="AG87" i="2"/>
  <c r="AH87" i="2" s="1"/>
  <c r="I355" i="2"/>
  <c r="I326" i="2"/>
  <c r="S543" i="2"/>
  <c r="S532" i="2"/>
  <c r="S517" i="2"/>
  <c r="AD326" i="2"/>
  <c r="AD355" i="2"/>
  <c r="AG504" i="2"/>
  <c r="F508" i="2"/>
  <c r="Q355" i="2"/>
  <c r="Q326" i="2"/>
  <c r="O355" i="2"/>
  <c r="O326" i="2"/>
  <c r="AG201" i="2"/>
  <c r="AH201" i="2" s="1"/>
  <c r="F231" i="2"/>
  <c r="AA355" i="2"/>
  <c r="AA326" i="2"/>
  <c r="X355" i="2"/>
  <c r="X326" i="2"/>
  <c r="AG163" i="2"/>
  <c r="AH163" i="2" s="1"/>
  <c r="F193" i="2"/>
  <c r="AG506" i="2"/>
  <c r="AH506" i="2" s="1"/>
  <c r="AH131" i="2"/>
  <c r="F307" i="2"/>
  <c r="AG277" i="2"/>
  <c r="AH277" i="2" s="1"/>
  <c r="F79" i="2"/>
  <c r="AG49" i="2"/>
  <c r="AH49" i="2" s="1"/>
  <c r="AE326" i="2"/>
  <c r="AE355" i="2"/>
  <c r="Y355" i="2"/>
  <c r="Y326" i="2"/>
  <c r="AC355" i="2"/>
  <c r="AC326" i="2"/>
  <c r="AG125" i="2"/>
  <c r="AH125" i="2" s="1"/>
  <c r="F155" i="2"/>
  <c r="AB355" i="2"/>
  <c r="AB326" i="2"/>
  <c r="J563" i="2"/>
  <c r="AG239" i="2"/>
  <c r="AH239" i="2" s="1"/>
  <c r="F269" i="2"/>
  <c r="F588" i="2" l="1"/>
  <c r="M525" i="2"/>
  <c r="M98" i="2"/>
  <c r="M117" i="2" s="1"/>
  <c r="M371" i="2" s="1"/>
  <c r="W98" i="2"/>
  <c r="W117" i="2" s="1"/>
  <c r="W371" i="2" s="1"/>
  <c r="W525" i="2"/>
  <c r="Z98" i="2"/>
  <c r="Z117" i="2" s="1"/>
  <c r="Z371" i="2" s="1"/>
  <c r="Z525" i="2"/>
  <c r="J98" i="2"/>
  <c r="J117" i="2" s="1"/>
  <c r="J371" i="2" s="1"/>
  <c r="J525" i="2"/>
  <c r="AA98" i="2"/>
  <c r="AA117" i="2" s="1"/>
  <c r="AA371" i="2" s="1"/>
  <c r="AA525" i="2"/>
  <c r="AC525" i="2"/>
  <c r="AC98" i="2"/>
  <c r="AC117" i="2" s="1"/>
  <c r="AC371" i="2" s="1"/>
  <c r="N98" i="2"/>
  <c r="N117" i="2" s="1"/>
  <c r="N371" i="2" s="1"/>
  <c r="N525" i="2"/>
  <c r="Y98" i="2"/>
  <c r="Y117" i="2" s="1"/>
  <c r="Y371" i="2" s="1"/>
  <c r="Y525" i="2"/>
  <c r="X98" i="2"/>
  <c r="X117" i="2" s="1"/>
  <c r="X371" i="2" s="1"/>
  <c r="X525" i="2"/>
  <c r="H98" i="2"/>
  <c r="H117" i="2" s="1"/>
  <c r="H371" i="2" s="1"/>
  <c r="H525" i="2"/>
  <c r="AF98" i="2"/>
  <c r="AF117" i="2" s="1"/>
  <c r="AF371" i="2" s="1"/>
  <c r="AF525" i="2"/>
  <c r="AF624" i="2" s="1"/>
  <c r="AF625" i="2" s="1"/>
  <c r="Q98" i="2"/>
  <c r="Q117" i="2" s="1"/>
  <c r="Q371" i="2" s="1"/>
  <c r="Q525" i="2"/>
  <c r="G98" i="2"/>
  <c r="G117" i="2" s="1"/>
  <c r="G371" i="2" s="1"/>
  <c r="G525" i="2"/>
  <c r="AB98" i="2"/>
  <c r="AB117" i="2" s="1"/>
  <c r="AB371" i="2" s="1"/>
  <c r="AB525" i="2"/>
  <c r="R98" i="2"/>
  <c r="R117" i="2" s="1"/>
  <c r="R371" i="2" s="1"/>
  <c r="R525" i="2"/>
  <c r="AD98" i="2"/>
  <c r="AD117" i="2" s="1"/>
  <c r="AD371" i="2" s="1"/>
  <c r="AD525" i="2"/>
  <c r="O98" i="2"/>
  <c r="O117" i="2" s="1"/>
  <c r="O371" i="2" s="1"/>
  <c r="O525" i="2"/>
  <c r="E328" i="2"/>
  <c r="F525" i="2"/>
  <c r="AG96" i="2"/>
  <c r="AH96" i="2" s="1"/>
  <c r="F98" i="2"/>
  <c r="AE525" i="2"/>
  <c r="AE624" i="2" s="1"/>
  <c r="AE625" i="2" s="1"/>
  <c r="AE98" i="2"/>
  <c r="AE117" i="2" s="1"/>
  <c r="AE371" i="2" s="1"/>
  <c r="T98" i="2"/>
  <c r="T117" i="2" s="1"/>
  <c r="T371" i="2" s="1"/>
  <c r="T525" i="2"/>
  <c r="L525" i="2"/>
  <c r="L98" i="2"/>
  <c r="L117" i="2" s="1"/>
  <c r="L371" i="2" s="1"/>
  <c r="V525" i="2"/>
  <c r="V98" i="2"/>
  <c r="V117" i="2" s="1"/>
  <c r="V371" i="2" s="1"/>
  <c r="P98" i="2"/>
  <c r="P117" i="2" s="1"/>
  <c r="P371" i="2" s="1"/>
  <c r="P525" i="2"/>
  <c r="U98" i="2"/>
  <c r="U117" i="2" s="1"/>
  <c r="U371" i="2" s="1"/>
  <c r="U525" i="2"/>
  <c r="S98" i="2"/>
  <c r="S117" i="2" s="1"/>
  <c r="S371" i="2" s="1"/>
  <c r="S525" i="2"/>
  <c r="K98" i="2"/>
  <c r="K117" i="2" s="1"/>
  <c r="K371" i="2" s="1"/>
  <c r="K525" i="2"/>
  <c r="I98" i="2"/>
  <c r="I117" i="2" s="1"/>
  <c r="I371" i="2" s="1"/>
  <c r="I525" i="2"/>
  <c r="J355" i="2"/>
  <c r="F321" i="2"/>
  <c r="AG321" i="2" s="1"/>
  <c r="AH321" i="2" s="1"/>
  <c r="AG269" i="2"/>
  <c r="AH269" i="2" s="1"/>
  <c r="J614" i="2"/>
  <c r="J588" i="2"/>
  <c r="F80" i="2"/>
  <c r="AG79" i="2"/>
  <c r="AH79" i="2" s="1"/>
  <c r="AG307" i="2"/>
  <c r="AH307" i="2" s="1"/>
  <c r="F322" i="2"/>
  <c r="AG322" i="2" s="1"/>
  <c r="AH322" i="2" s="1"/>
  <c r="AH504" i="2"/>
  <c r="AG508" i="2"/>
  <c r="AH508" i="2" s="1"/>
  <c r="AG231" i="2"/>
  <c r="AH231" i="2" s="1"/>
  <c r="F320" i="2"/>
  <c r="AG320" i="2" s="1"/>
  <c r="AH320" i="2" s="1"/>
  <c r="AG155" i="2"/>
  <c r="AH155" i="2" s="1"/>
  <c r="F319" i="2"/>
  <c r="AG193" i="2"/>
  <c r="AH193" i="2" s="1"/>
  <c r="F362" i="2"/>
  <c r="S587" i="2"/>
  <c r="S563" i="2"/>
  <c r="F554" i="2" l="1"/>
  <c r="F624" i="2"/>
  <c r="L364" i="2"/>
  <c r="L370" i="2"/>
  <c r="AE364" i="2"/>
  <c r="AE370" i="2"/>
  <c r="AC364" i="2"/>
  <c r="AC370" i="2"/>
  <c r="V364" i="2"/>
  <c r="V370" i="2"/>
  <c r="M364" i="2"/>
  <c r="M370" i="2"/>
  <c r="I364" i="2"/>
  <c r="I370" i="2"/>
  <c r="S364" i="2"/>
  <c r="S370" i="2"/>
  <c r="P364" i="2"/>
  <c r="P370" i="2"/>
  <c r="AD364" i="2"/>
  <c r="AD370" i="2"/>
  <c r="AB364" i="2"/>
  <c r="AB370" i="2"/>
  <c r="Q364" i="2"/>
  <c r="Q370" i="2"/>
  <c r="H364" i="2"/>
  <c r="H370" i="2"/>
  <c r="Y364" i="2"/>
  <c r="Y370" i="2"/>
  <c r="J364" i="2"/>
  <c r="J370" i="2"/>
  <c r="W364" i="2"/>
  <c r="W370" i="2"/>
  <c r="K364" i="2"/>
  <c r="K370" i="2"/>
  <c r="U364" i="2"/>
  <c r="U370" i="2"/>
  <c r="T364" i="2"/>
  <c r="T370" i="2"/>
  <c r="O364" i="2"/>
  <c r="O370" i="2"/>
  <c r="R364" i="2"/>
  <c r="R370" i="2"/>
  <c r="G364" i="2"/>
  <c r="G370" i="2"/>
  <c r="AF364" i="2"/>
  <c r="AF370" i="2"/>
  <c r="X364" i="2"/>
  <c r="X370" i="2"/>
  <c r="N364" i="2"/>
  <c r="N370" i="2"/>
  <c r="AA364" i="2"/>
  <c r="AA370" i="2"/>
  <c r="Z364" i="2"/>
  <c r="Z370" i="2"/>
  <c r="L118" i="2"/>
  <c r="L373" i="2"/>
  <c r="AE328" i="2"/>
  <c r="AE388" i="2" s="1"/>
  <c r="AE373" i="2"/>
  <c r="AC328" i="2"/>
  <c r="AC388" i="2" s="1"/>
  <c r="AC373" i="2"/>
  <c r="V328" i="2"/>
  <c r="V388" i="2" s="1"/>
  <c r="V373" i="2"/>
  <c r="M118" i="2"/>
  <c r="M373" i="2"/>
  <c r="I118" i="2"/>
  <c r="I373" i="2"/>
  <c r="S378" i="2"/>
  <c r="S373" i="2"/>
  <c r="P365" i="2"/>
  <c r="P373" i="2"/>
  <c r="AD372" i="2"/>
  <c r="AD373" i="2"/>
  <c r="AB367" i="2"/>
  <c r="AB373" i="2"/>
  <c r="Q379" i="2"/>
  <c r="Q373" i="2"/>
  <c r="H118" i="2"/>
  <c r="H373" i="2"/>
  <c r="Y328" i="2"/>
  <c r="Y388" i="2" s="1"/>
  <c r="Y373" i="2"/>
  <c r="J118" i="2"/>
  <c r="J373" i="2"/>
  <c r="W328" i="2"/>
  <c r="W388" i="2" s="1"/>
  <c r="W373" i="2"/>
  <c r="K118" i="2"/>
  <c r="K373" i="2"/>
  <c r="U328" i="2"/>
  <c r="U388" i="2" s="1"/>
  <c r="U373" i="2"/>
  <c r="T328" i="2"/>
  <c r="T388" i="2" s="1"/>
  <c r="T373" i="2"/>
  <c r="O118" i="2"/>
  <c r="O373" i="2"/>
  <c r="R328" i="2"/>
  <c r="R388" i="2" s="1"/>
  <c r="R373" i="2"/>
  <c r="G118" i="2"/>
  <c r="G373" i="2"/>
  <c r="AF328" i="2"/>
  <c r="AF388" i="2" s="1"/>
  <c r="AF373" i="2"/>
  <c r="X328" i="2"/>
  <c r="X388" i="2" s="1"/>
  <c r="X373" i="2"/>
  <c r="N118" i="2"/>
  <c r="N373" i="2"/>
  <c r="AA377" i="2"/>
  <c r="AA373" i="2"/>
  <c r="Z376" i="2"/>
  <c r="Z373" i="2"/>
  <c r="L328" i="2"/>
  <c r="L388" i="2" s="1"/>
  <c r="J328" i="2"/>
  <c r="J388" i="2" s="1"/>
  <c r="M328" i="2"/>
  <c r="M330" i="2" s="1"/>
  <c r="K328" i="2"/>
  <c r="K388" i="2" s="1"/>
  <c r="O328" i="2"/>
  <c r="O388" i="2" s="1"/>
  <c r="N372" i="2"/>
  <c r="I363" i="2"/>
  <c r="H328" i="2"/>
  <c r="H388" i="2" s="1"/>
  <c r="G328" i="2"/>
  <c r="G388" i="2" s="1"/>
  <c r="Y372" i="2"/>
  <c r="AF381" i="2"/>
  <c r="M377" i="2"/>
  <c r="X378" i="2"/>
  <c r="X367" i="2"/>
  <c r="X390" i="2"/>
  <c r="X369" i="2"/>
  <c r="X380" i="2"/>
  <c r="N368" i="2"/>
  <c r="X377" i="2"/>
  <c r="X374" i="2"/>
  <c r="X379" i="2"/>
  <c r="X365" i="2"/>
  <c r="Z377" i="2"/>
  <c r="N367" i="2"/>
  <c r="X372" i="2"/>
  <c r="N363" i="2"/>
  <c r="AA372" i="2"/>
  <c r="AA378" i="2"/>
  <c r="X366" i="2"/>
  <c r="X381" i="2"/>
  <c r="X363" i="2"/>
  <c r="X376" i="2"/>
  <c r="J375" i="2"/>
  <c r="J367" i="2"/>
  <c r="W366" i="2"/>
  <c r="H375" i="2"/>
  <c r="J380" i="2"/>
  <c r="J369" i="2"/>
  <c r="Y374" i="2"/>
  <c r="Y380" i="2"/>
  <c r="Y367" i="2"/>
  <c r="Y366" i="2"/>
  <c r="J381" i="2"/>
  <c r="H365" i="2"/>
  <c r="Y368" i="2"/>
  <c r="W372" i="2"/>
  <c r="M374" i="2"/>
  <c r="M376" i="2"/>
  <c r="O369" i="2"/>
  <c r="R379" i="2"/>
  <c r="R366" i="2"/>
  <c r="M365" i="2"/>
  <c r="J366" i="2"/>
  <c r="J376" i="2"/>
  <c r="W390" i="2"/>
  <c r="W369" i="2"/>
  <c r="W378" i="2"/>
  <c r="Y365" i="2"/>
  <c r="H381" i="2"/>
  <c r="J372" i="2"/>
  <c r="J368" i="2"/>
  <c r="Y381" i="2"/>
  <c r="Y376" i="2"/>
  <c r="M379" i="2"/>
  <c r="M375" i="2"/>
  <c r="M368" i="2"/>
  <c r="M372" i="2"/>
  <c r="G375" i="2"/>
  <c r="M369" i="2"/>
  <c r="AF378" i="2"/>
  <c r="J363" i="2"/>
  <c r="J374" i="2"/>
  <c r="J378" i="2"/>
  <c r="J365" i="2"/>
  <c r="J377" i="2"/>
  <c r="J390" i="2"/>
  <c r="W363" i="2"/>
  <c r="W379" i="2"/>
  <c r="W377" i="2"/>
  <c r="Y363" i="2"/>
  <c r="W367" i="2"/>
  <c r="J379" i="2"/>
  <c r="H379" i="2"/>
  <c r="Y377" i="2"/>
  <c r="W380" i="2"/>
  <c r="Y390" i="2"/>
  <c r="W365" i="2"/>
  <c r="W368" i="2"/>
  <c r="W381" i="2"/>
  <c r="Y375" i="2"/>
  <c r="Y369" i="2"/>
  <c r="Y379" i="2"/>
  <c r="Y378" i="2"/>
  <c r="M381" i="2"/>
  <c r="O380" i="2"/>
  <c r="R369" i="2"/>
  <c r="R365" i="2"/>
  <c r="M366" i="2"/>
  <c r="AF367" i="2"/>
  <c r="AF363" i="2"/>
  <c r="AB381" i="2"/>
  <c r="O390" i="2"/>
  <c r="M390" i="2"/>
  <c r="M378" i="2"/>
  <c r="M367" i="2"/>
  <c r="O366" i="2"/>
  <c r="M363" i="2"/>
  <c r="M380" i="2"/>
  <c r="AF369" i="2"/>
  <c r="AF376" i="2"/>
  <c r="AD363" i="2"/>
  <c r="Q377" i="2"/>
  <c r="AB379" i="2"/>
  <c r="AC390" i="2"/>
  <c r="AB374" i="2"/>
  <c r="AB366" i="2"/>
  <c r="AD379" i="2"/>
  <c r="AC376" i="2"/>
  <c r="Q365" i="2"/>
  <c r="K366" i="2"/>
  <c r="Q378" i="2"/>
  <c r="K379" i="2"/>
  <c r="AC368" i="2"/>
  <c r="AD377" i="2"/>
  <c r="AD381" i="2"/>
  <c r="L380" i="2"/>
  <c r="H390" i="2"/>
  <c r="H376" i="2"/>
  <c r="G379" i="2"/>
  <c r="L363" i="2"/>
  <c r="G366" i="2"/>
  <c r="G390" i="2"/>
  <c r="L381" i="2"/>
  <c r="O375" i="2"/>
  <c r="L376" i="2"/>
  <c r="O368" i="2"/>
  <c r="R372" i="2"/>
  <c r="O365" i="2"/>
  <c r="L368" i="2"/>
  <c r="L369" i="2"/>
  <c r="H363" i="2"/>
  <c r="G377" i="2"/>
  <c r="AF372" i="2"/>
  <c r="AF365" i="2"/>
  <c r="AC367" i="2"/>
  <c r="AE380" i="2"/>
  <c r="AF375" i="2"/>
  <c r="AC365" i="2"/>
  <c r="AC363" i="2"/>
  <c r="AC381" i="2"/>
  <c r="AF380" i="2"/>
  <c r="T375" i="2"/>
  <c r="U375" i="2"/>
  <c r="AE369" i="2"/>
  <c r="AF390" i="2"/>
  <c r="AF374" i="2"/>
  <c r="AF377" i="2"/>
  <c r="AC378" i="2"/>
  <c r="L365" i="2"/>
  <c r="O372" i="2"/>
  <c r="R378" i="2"/>
  <c r="O363" i="2"/>
  <c r="H378" i="2"/>
  <c r="H367" i="2"/>
  <c r="H366" i="2"/>
  <c r="G380" i="2"/>
  <c r="O378" i="2"/>
  <c r="G378" i="2"/>
  <c r="O381" i="2"/>
  <c r="G369" i="2"/>
  <c r="G368" i="2"/>
  <c r="G374" i="2"/>
  <c r="L367" i="2"/>
  <c r="G367" i="2"/>
  <c r="L372" i="2"/>
  <c r="H369" i="2"/>
  <c r="G363" i="2"/>
  <c r="L377" i="2"/>
  <c r="T365" i="2"/>
  <c r="T368" i="2"/>
  <c r="AE366" i="2"/>
  <c r="AE376" i="2"/>
  <c r="T366" i="2"/>
  <c r="AE367" i="2"/>
  <c r="AE379" i="2"/>
  <c r="V390" i="2"/>
  <c r="AF379" i="2"/>
  <c r="U377" i="2"/>
  <c r="V378" i="2"/>
  <c r="H377" i="2"/>
  <c r="R390" i="2"/>
  <c r="O376" i="2"/>
  <c r="L379" i="2"/>
  <c r="R380" i="2"/>
  <c r="R367" i="2"/>
  <c r="O379" i="2"/>
  <c r="H368" i="2"/>
  <c r="R375" i="2"/>
  <c r="O367" i="2"/>
  <c r="R368" i="2"/>
  <c r="H372" i="2"/>
  <c r="R376" i="2"/>
  <c r="R381" i="2"/>
  <c r="K374" i="2"/>
  <c r="O374" i="2"/>
  <c r="H380" i="2"/>
  <c r="K376" i="2"/>
  <c r="R377" i="2"/>
  <c r="R374" i="2"/>
  <c r="G372" i="2"/>
  <c r="H374" i="2"/>
  <c r="R363" i="2"/>
  <c r="R512" i="2" s="1"/>
  <c r="G365" i="2"/>
  <c r="G381" i="2"/>
  <c r="G376" i="2"/>
  <c r="O377" i="2"/>
  <c r="T377" i="2"/>
  <c r="AC366" i="2"/>
  <c r="AC369" i="2"/>
  <c r="AF368" i="2"/>
  <c r="T369" i="2"/>
  <c r="AC374" i="2"/>
  <c r="T372" i="2"/>
  <c r="U376" i="2"/>
  <c r="AC377" i="2"/>
  <c r="AC375" i="2"/>
  <c r="AF366" i="2"/>
  <c r="AC379" i="2"/>
  <c r="S366" i="2"/>
  <c r="P374" i="2"/>
  <c r="S365" i="2"/>
  <c r="AD328" i="2"/>
  <c r="AD380" i="2"/>
  <c r="AD365" i="2"/>
  <c r="AD376" i="2"/>
  <c r="AD369" i="2"/>
  <c r="AD368" i="2"/>
  <c r="AD366" i="2"/>
  <c r="AD375" i="2"/>
  <c r="AD367" i="2"/>
  <c r="AD378" i="2"/>
  <c r="AD374" i="2"/>
  <c r="AD390" i="2"/>
  <c r="AB328" i="2"/>
  <c r="AB363" i="2"/>
  <c r="AB375" i="2"/>
  <c r="AB377" i="2"/>
  <c r="AB369" i="2"/>
  <c r="AB376" i="2"/>
  <c r="AB378" i="2"/>
  <c r="AB390" i="2"/>
  <c r="AB380" i="2"/>
  <c r="AB368" i="2"/>
  <c r="AB372" i="2"/>
  <c r="AB365" i="2"/>
  <c r="Q328" i="2"/>
  <c r="Q369" i="2"/>
  <c r="Q363" i="2"/>
  <c r="Q374" i="2"/>
  <c r="Q380" i="2"/>
  <c r="Q375" i="2"/>
  <c r="Q368" i="2"/>
  <c r="Q376" i="2"/>
  <c r="Q390" i="2"/>
  <c r="Q372" i="2"/>
  <c r="Q367" i="2"/>
  <c r="Q366" i="2"/>
  <c r="Q381" i="2"/>
  <c r="P381" i="2"/>
  <c r="E330" i="2"/>
  <c r="E388" i="2"/>
  <c r="E392" i="2" s="1"/>
  <c r="N328" i="2"/>
  <c r="N381" i="2"/>
  <c r="N365" i="2"/>
  <c r="N376" i="2"/>
  <c r="N374" i="2"/>
  <c r="N375" i="2"/>
  <c r="N378" i="2"/>
  <c r="N380" i="2"/>
  <c r="N390" i="2"/>
  <c r="N366" i="2"/>
  <c r="N379" i="2"/>
  <c r="N369" i="2"/>
  <c r="N377" i="2"/>
  <c r="AA328" i="2"/>
  <c r="AA369" i="2"/>
  <c r="AA381" i="2"/>
  <c r="AA368" i="2"/>
  <c r="AA365" i="2"/>
  <c r="AA376" i="2"/>
  <c r="AA379" i="2"/>
  <c r="AA374" i="2"/>
  <c r="AA366" i="2"/>
  <c r="AA375" i="2"/>
  <c r="AA367" i="2"/>
  <c r="AA380" i="2"/>
  <c r="AA363" i="2"/>
  <c r="AA390" i="2"/>
  <c r="Z328" i="2"/>
  <c r="Z375" i="2"/>
  <c r="Z363" i="2"/>
  <c r="Z390" i="2"/>
  <c r="Z378" i="2"/>
  <c r="Z372" i="2"/>
  <c r="Z374" i="2"/>
  <c r="Z368" i="2"/>
  <c r="Z379" i="2"/>
  <c r="Z369" i="2"/>
  <c r="Z365" i="2"/>
  <c r="Z366" i="2"/>
  <c r="Z367" i="2"/>
  <c r="Z380" i="2"/>
  <c r="Z381" i="2"/>
  <c r="I328" i="2"/>
  <c r="I378" i="2"/>
  <c r="I375" i="2"/>
  <c r="I390" i="2"/>
  <c r="I379" i="2"/>
  <c r="I365" i="2"/>
  <c r="I377" i="2"/>
  <c r="I368" i="2"/>
  <c r="I372" i="2"/>
  <c r="I369" i="2"/>
  <c r="I374" i="2"/>
  <c r="I376" i="2"/>
  <c r="I380" i="2"/>
  <c r="I367" i="2"/>
  <c r="S328" i="2"/>
  <c r="S377" i="2"/>
  <c r="S374" i="2"/>
  <c r="S363" i="2"/>
  <c r="S369" i="2"/>
  <c r="S368" i="2"/>
  <c r="S375" i="2"/>
  <c r="S372" i="2"/>
  <c r="S380" i="2"/>
  <c r="S379" i="2"/>
  <c r="S376" i="2"/>
  <c r="S390" i="2"/>
  <c r="S381" i="2"/>
  <c r="P328" i="2"/>
  <c r="P375" i="2"/>
  <c r="P376" i="2"/>
  <c r="P379" i="2"/>
  <c r="P363" i="2"/>
  <c r="P372" i="2"/>
  <c r="P390" i="2"/>
  <c r="P369" i="2"/>
  <c r="P377" i="2"/>
  <c r="P380" i="2"/>
  <c r="L554" i="2"/>
  <c r="L527" i="2"/>
  <c r="P368" i="2"/>
  <c r="X624" i="2"/>
  <c r="X625" i="2" s="1"/>
  <c r="X554" i="2"/>
  <c r="W554" i="2"/>
  <c r="W624" i="2"/>
  <c r="W625" i="2" s="1"/>
  <c r="P366" i="2"/>
  <c r="I381" i="2"/>
  <c r="I366" i="2"/>
  <c r="P367" i="2"/>
  <c r="P378" i="2"/>
  <c r="S367" i="2"/>
  <c r="K554" i="2"/>
  <c r="K527" i="2"/>
  <c r="U554" i="2"/>
  <c r="U624" i="2"/>
  <c r="U625" i="2" s="1"/>
  <c r="T624" i="2"/>
  <c r="T625" i="2" s="1"/>
  <c r="T554" i="2"/>
  <c r="AG98" i="2"/>
  <c r="AH98" i="2" s="1"/>
  <c r="F117" i="2"/>
  <c r="F371" i="2" s="1"/>
  <c r="AG371" i="2" s="1"/>
  <c r="AH371" i="2" s="1"/>
  <c r="K367" i="2"/>
  <c r="K368" i="2"/>
  <c r="K381" i="2"/>
  <c r="K380" i="2"/>
  <c r="K378" i="2"/>
  <c r="V369" i="2"/>
  <c r="AE363" i="2"/>
  <c r="U365" i="2"/>
  <c r="U378" i="2"/>
  <c r="V374" i="2"/>
  <c r="V375" i="2"/>
  <c r="V365" i="2"/>
  <c r="U390" i="2"/>
  <c r="V366" i="2"/>
  <c r="T367" i="2"/>
  <c r="AE390" i="2"/>
  <c r="AE381" i="2"/>
  <c r="O527" i="2"/>
  <c r="R554" i="2"/>
  <c r="R527" i="2"/>
  <c r="G554" i="2"/>
  <c r="G527" i="2"/>
  <c r="Y624" i="2"/>
  <c r="Y625" i="2" s="1"/>
  <c r="Y554" i="2"/>
  <c r="J554" i="2"/>
  <c r="J527" i="2"/>
  <c r="AE365" i="2"/>
  <c r="AE368" i="2"/>
  <c r="V379" i="2"/>
  <c r="V372" i="2"/>
  <c r="V368" i="2"/>
  <c r="T374" i="2"/>
  <c r="T379" i="2"/>
  <c r="U379" i="2"/>
  <c r="V377" i="2"/>
  <c r="AE377" i="2"/>
  <c r="U374" i="2"/>
  <c r="X368" i="2"/>
  <c r="AC372" i="2"/>
  <c r="U369" i="2"/>
  <c r="W374" i="2"/>
  <c r="U380" i="2"/>
  <c r="V380" i="2"/>
  <c r="AE378" i="2"/>
  <c r="X375" i="2"/>
  <c r="T376" i="2"/>
  <c r="H554" i="2"/>
  <c r="H527" i="2"/>
  <c r="AC554" i="2"/>
  <c r="AC624" i="2"/>
  <c r="AC625" i="2" s="1"/>
  <c r="V554" i="2"/>
  <c r="V624" i="2"/>
  <c r="V625" i="2" s="1"/>
  <c r="K377" i="2"/>
  <c r="K363" i="2"/>
  <c r="K369" i="2"/>
  <c r="I554" i="2"/>
  <c r="I527" i="2"/>
  <c r="S554" i="2"/>
  <c r="P554" i="2"/>
  <c r="P527" i="2"/>
  <c r="AG525" i="2"/>
  <c r="AH525" i="2" s="1"/>
  <c r="F527" i="2"/>
  <c r="K372" i="2"/>
  <c r="K390" i="2"/>
  <c r="L378" i="2"/>
  <c r="L375" i="2"/>
  <c r="K365" i="2"/>
  <c r="L366" i="2"/>
  <c r="L390" i="2"/>
  <c r="L374" i="2"/>
  <c r="K375" i="2"/>
  <c r="T380" i="2"/>
  <c r="V376" i="2"/>
  <c r="T381" i="2"/>
  <c r="U372" i="2"/>
  <c r="U367" i="2"/>
  <c r="U366" i="2"/>
  <c r="U381" i="2"/>
  <c r="U363" i="2"/>
  <c r="V363" i="2"/>
  <c r="AC380" i="2"/>
  <c r="W375" i="2"/>
  <c r="U368" i="2"/>
  <c r="V367" i="2"/>
  <c r="T363" i="2"/>
  <c r="AE374" i="2"/>
  <c r="T378" i="2"/>
  <c r="AE372" i="2"/>
  <c r="T390" i="2"/>
  <c r="V381" i="2"/>
  <c r="AE375" i="2"/>
  <c r="W376" i="2"/>
  <c r="AD554" i="2"/>
  <c r="AD624" i="2"/>
  <c r="AD625" i="2" s="1"/>
  <c r="AB624" i="2"/>
  <c r="AB625" i="2" s="1"/>
  <c r="AB554" i="2"/>
  <c r="Q554" i="2"/>
  <c r="Q527" i="2"/>
  <c r="N554" i="2"/>
  <c r="N527" i="2"/>
  <c r="AA624" i="2"/>
  <c r="AA625" i="2" s="1"/>
  <c r="AA554" i="2"/>
  <c r="Z554" i="2"/>
  <c r="Z624" i="2"/>
  <c r="Z625" i="2" s="1"/>
  <c r="M554" i="2"/>
  <c r="M527" i="2"/>
  <c r="AG362" i="2"/>
  <c r="AH362" i="2" s="1"/>
  <c r="S613" i="2"/>
  <c r="AG319" i="2"/>
  <c r="AH319" i="2" s="1"/>
  <c r="F324" i="2"/>
  <c r="H516" i="2" l="1"/>
  <c r="H546" i="2" s="1"/>
  <c r="H515" i="2"/>
  <c r="H545" i="2" s="1"/>
  <c r="J515" i="2"/>
  <c r="J545" i="2" s="1"/>
  <c r="J516" i="2"/>
  <c r="J546" i="2" s="1"/>
  <c r="J602" i="2" s="1"/>
  <c r="N515" i="2"/>
  <c r="N545" i="2" s="1"/>
  <c r="N516" i="2"/>
  <c r="N546" i="2" s="1"/>
  <c r="O516" i="2"/>
  <c r="O515" i="2"/>
  <c r="K516" i="2"/>
  <c r="K546" i="2" s="1"/>
  <c r="K515" i="2"/>
  <c r="G515" i="2"/>
  <c r="G516" i="2"/>
  <c r="G546" i="2" s="1"/>
  <c r="L516" i="2"/>
  <c r="L546" i="2" s="1"/>
  <c r="L515" i="2"/>
  <c r="L545" i="2" s="1"/>
  <c r="M515" i="2"/>
  <c r="M545" i="2" s="1"/>
  <c r="M516" i="2"/>
  <c r="M546" i="2" s="1"/>
  <c r="I516" i="2"/>
  <c r="I546" i="2" s="1"/>
  <c r="I515" i="2"/>
  <c r="Q513" i="2"/>
  <c r="Q543" i="2" s="1"/>
  <c r="Q563" i="2" s="1"/>
  <c r="Q614" i="2" s="1"/>
  <c r="L392" i="2"/>
  <c r="G16" i="4" s="1"/>
  <c r="U330" i="2"/>
  <c r="U573" i="2" s="1"/>
  <c r="U574" i="2" s="1"/>
  <c r="U392" i="2"/>
  <c r="P513" i="2"/>
  <c r="P543" i="2" s="1"/>
  <c r="P563" i="2" s="1"/>
  <c r="AC330" i="2"/>
  <c r="AC573" i="2" s="1"/>
  <c r="AC574" i="2" s="1"/>
  <c r="W330" i="2"/>
  <c r="W331" i="2" s="1"/>
  <c r="Y330" i="2"/>
  <c r="Y578" i="2" s="1"/>
  <c r="Y579" i="2" s="1"/>
  <c r="T392" i="2"/>
  <c r="V330" i="2"/>
  <c r="V573" i="2" s="1"/>
  <c r="V574" i="2" s="1"/>
  <c r="X330" i="2"/>
  <c r="X578" i="2" s="1"/>
  <c r="X579" i="2" s="1"/>
  <c r="R513" i="2"/>
  <c r="R543" i="2" s="1"/>
  <c r="R563" i="2" s="1"/>
  <c r="R614" i="2" s="1"/>
  <c r="F364" i="2"/>
  <c r="AG364" i="2" s="1"/>
  <c r="AH364" i="2" s="1"/>
  <c r="F370" i="2"/>
  <c r="AG370" i="2" s="1"/>
  <c r="AH370" i="2" s="1"/>
  <c r="R392" i="2"/>
  <c r="G22" i="4" s="1"/>
  <c r="T330" i="2"/>
  <c r="T578" i="2" s="1"/>
  <c r="T579" i="2" s="1"/>
  <c r="F118" i="2"/>
  <c r="AG118" i="2" s="1"/>
  <c r="AH118" i="2" s="1"/>
  <c r="F373" i="2"/>
  <c r="AG373" i="2" s="1"/>
  <c r="AH373" i="2" s="1"/>
  <c r="AE330" i="2"/>
  <c r="AE573" i="2" s="1"/>
  <c r="AE574" i="2" s="1"/>
  <c r="AF330" i="2"/>
  <c r="AF331" i="2" s="1"/>
  <c r="R330" i="2"/>
  <c r="I22" i="4" s="1"/>
  <c r="K330" i="2"/>
  <c r="K636" i="2" s="1"/>
  <c r="L330" i="2"/>
  <c r="L331" i="2" s="1"/>
  <c r="O392" i="2"/>
  <c r="G19" i="4" s="1"/>
  <c r="O330" i="2"/>
  <c r="M388" i="2"/>
  <c r="M392" i="2" s="1"/>
  <c r="G17" i="4" s="1"/>
  <c r="H330" i="2"/>
  <c r="H636" i="2" s="1"/>
  <c r="G330" i="2"/>
  <c r="G636" i="2" s="1"/>
  <c r="J330" i="2"/>
  <c r="J331" i="2" s="1"/>
  <c r="J392" i="2"/>
  <c r="G14" i="4" s="1"/>
  <c r="K392" i="2"/>
  <c r="G15" i="4" s="1"/>
  <c r="Y384" i="2"/>
  <c r="Y386" i="2" s="1"/>
  <c r="Y394" i="2" s="1"/>
  <c r="J382" i="2"/>
  <c r="J384" i="2" s="1"/>
  <c r="J386" i="2" s="1"/>
  <c r="M382" i="2"/>
  <c r="M384" i="2" s="1"/>
  <c r="M386" i="2" s="1"/>
  <c r="X384" i="2"/>
  <c r="X386" i="2" s="1"/>
  <c r="X394" i="2" s="1"/>
  <c r="G392" i="2"/>
  <c r="G11" i="4" s="1"/>
  <c r="H392" i="2"/>
  <c r="G12" i="4" s="1"/>
  <c r="AF384" i="2"/>
  <c r="AF386" i="2" s="1"/>
  <c r="AF394" i="2" s="1"/>
  <c r="G382" i="2"/>
  <c r="G384" i="2" s="1"/>
  <c r="E11" i="4" s="1"/>
  <c r="F11" i="4" s="1"/>
  <c r="R382" i="2"/>
  <c r="R384" i="2" s="1"/>
  <c r="E22" i="4" s="1"/>
  <c r="F22" i="4" s="1"/>
  <c r="O382" i="2"/>
  <c r="O384" i="2" s="1"/>
  <c r="E19" i="4" s="1"/>
  <c r="F19" i="4" s="1"/>
  <c r="AD384" i="2"/>
  <c r="AD386" i="2" s="1"/>
  <c r="L382" i="2"/>
  <c r="L384" i="2" s="1"/>
  <c r="E16" i="4" s="1"/>
  <c r="F16" i="4" s="1"/>
  <c r="N382" i="2"/>
  <c r="N384" i="2" s="1"/>
  <c r="N386" i="2" s="1"/>
  <c r="H382" i="2"/>
  <c r="H384" i="2" s="1"/>
  <c r="I382" i="2"/>
  <c r="I384" i="2" s="1"/>
  <c r="E13" i="4" s="1"/>
  <c r="F13" i="4" s="1"/>
  <c r="I388" i="2"/>
  <c r="I392" i="2" s="1"/>
  <c r="G13" i="4" s="1"/>
  <c r="I330" i="2"/>
  <c r="T598" i="2"/>
  <c r="T599" i="2" s="1"/>
  <c r="V598" i="2"/>
  <c r="V599" i="2" s="1"/>
  <c r="X598" i="2"/>
  <c r="X599" i="2" s="1"/>
  <c r="AF598" i="2"/>
  <c r="AF599" i="2" s="1"/>
  <c r="E636" i="2"/>
  <c r="AB598" i="2"/>
  <c r="AB599" i="2" s="1"/>
  <c r="Y598" i="2"/>
  <c r="Y599" i="2" s="1"/>
  <c r="Z598" i="2"/>
  <c r="Z599" i="2" s="1"/>
  <c r="AD598" i="2"/>
  <c r="AD599" i="2" s="1"/>
  <c r="AC598" i="2"/>
  <c r="AC599" i="2" s="1"/>
  <c r="U598" i="2"/>
  <c r="U599" i="2" s="1"/>
  <c r="W598" i="2"/>
  <c r="W599" i="2" s="1"/>
  <c r="AE598" i="2"/>
  <c r="AE599" i="2" s="1"/>
  <c r="E331" i="2"/>
  <c r="AA598" i="2"/>
  <c r="AA599" i="2" s="1"/>
  <c r="R542" i="2"/>
  <c r="R561" i="2" s="1"/>
  <c r="M636" i="2"/>
  <c r="M331" i="2"/>
  <c r="AC384" i="2"/>
  <c r="AC386" i="2" s="1"/>
  <c r="AC394" i="2" s="1"/>
  <c r="Z388" i="2"/>
  <c r="Z330" i="2"/>
  <c r="AA388" i="2"/>
  <c r="AA330" i="2"/>
  <c r="Q388" i="2"/>
  <c r="Q392" i="2" s="1"/>
  <c r="G21" i="4" s="1"/>
  <c r="Q330" i="2"/>
  <c r="AB384" i="2"/>
  <c r="AB386" i="2" s="1"/>
  <c r="T384" i="2"/>
  <c r="T386" i="2" s="1"/>
  <c r="T394" i="2" s="1"/>
  <c r="AE384" i="2"/>
  <c r="AE386" i="2" s="1"/>
  <c r="AE394" i="2" s="1"/>
  <c r="S388" i="2"/>
  <c r="S392" i="2" s="1"/>
  <c r="S330" i="2"/>
  <c r="S331" i="2" s="1"/>
  <c r="Z384" i="2"/>
  <c r="Z386" i="2" s="1"/>
  <c r="AB388" i="2"/>
  <c r="AB330" i="2"/>
  <c r="K382" i="2"/>
  <c r="K384" i="2" s="1"/>
  <c r="W384" i="2"/>
  <c r="W386" i="2" s="1"/>
  <c r="W394" i="2" s="1"/>
  <c r="P388" i="2"/>
  <c r="P392" i="2" s="1"/>
  <c r="G20" i="4" s="1"/>
  <c r="P330" i="2"/>
  <c r="P331" i="2" s="1"/>
  <c r="N388" i="2"/>
  <c r="N392" i="2" s="1"/>
  <c r="G18" i="4" s="1"/>
  <c r="N330" i="2"/>
  <c r="V384" i="2"/>
  <c r="V386" i="2" s="1"/>
  <c r="V394" i="2" s="1"/>
  <c r="U384" i="2"/>
  <c r="U386" i="2" s="1"/>
  <c r="U394" i="2" s="1"/>
  <c r="AG527" i="2"/>
  <c r="AH527" i="2" s="1"/>
  <c r="F375" i="2"/>
  <c r="AG375" i="2" s="1"/>
  <c r="AH375" i="2" s="1"/>
  <c r="F365" i="2"/>
  <c r="AG365" i="2" s="1"/>
  <c r="AH365" i="2" s="1"/>
  <c r="F367" i="2"/>
  <c r="AG367" i="2" s="1"/>
  <c r="AH367" i="2" s="1"/>
  <c r="F368" i="2"/>
  <c r="AG368" i="2" s="1"/>
  <c r="AH368" i="2" s="1"/>
  <c r="F378" i="2"/>
  <c r="AG378" i="2" s="1"/>
  <c r="AH378" i="2" s="1"/>
  <c r="F328" i="2"/>
  <c r="F369" i="2"/>
  <c r="AG369" i="2" s="1"/>
  <c r="AH369" i="2" s="1"/>
  <c r="F363" i="2"/>
  <c r="F379" i="2"/>
  <c r="AG379" i="2" s="1"/>
  <c r="AH379" i="2" s="1"/>
  <c r="F381" i="2"/>
  <c r="AG381" i="2" s="1"/>
  <c r="AH381" i="2" s="1"/>
  <c r="F390" i="2"/>
  <c r="AG390" i="2" s="1"/>
  <c r="AH390" i="2" s="1"/>
  <c r="F377" i="2"/>
  <c r="AG377" i="2" s="1"/>
  <c r="AH377" i="2" s="1"/>
  <c r="AG117" i="2"/>
  <c r="AH117" i="2" s="1"/>
  <c r="F374" i="2"/>
  <c r="AG374" i="2" s="1"/>
  <c r="AH374" i="2" s="1"/>
  <c r="F372" i="2"/>
  <c r="F376" i="2"/>
  <c r="AG376" i="2" s="1"/>
  <c r="AH376" i="2" s="1"/>
  <c r="F380" i="2"/>
  <c r="AG380" i="2" s="1"/>
  <c r="AH380" i="2" s="1"/>
  <c r="F366" i="2"/>
  <c r="AG366" i="2" s="1"/>
  <c r="AH366" i="2" s="1"/>
  <c r="P382" i="2"/>
  <c r="P384" i="2" s="1"/>
  <c r="P512" i="2"/>
  <c r="S384" i="2"/>
  <c r="S386" i="2" s="1"/>
  <c r="AA384" i="2"/>
  <c r="AA386" i="2" s="1"/>
  <c r="S642" i="2"/>
  <c r="E394" i="2"/>
  <c r="Q512" i="2"/>
  <c r="Q382" i="2"/>
  <c r="Q384" i="2" s="1"/>
  <c r="AD388" i="2"/>
  <c r="AD330" i="2"/>
  <c r="F355" i="2"/>
  <c r="AG324" i="2"/>
  <c r="AH324" i="2" s="1"/>
  <c r="F326" i="2"/>
  <c r="G517" i="2" l="1"/>
  <c r="F516" i="2"/>
  <c r="AG516" i="2" s="1"/>
  <c r="AH516" i="2" s="1"/>
  <c r="F515" i="2"/>
  <c r="J577" i="2"/>
  <c r="J628" i="2"/>
  <c r="M602" i="2"/>
  <c r="M628" i="2" s="1"/>
  <c r="M577" i="2"/>
  <c r="L602" i="2"/>
  <c r="L628" i="2" s="1"/>
  <c r="L577" i="2"/>
  <c r="G602" i="2"/>
  <c r="G628" i="2" s="1"/>
  <c r="G577" i="2"/>
  <c r="N602" i="2"/>
  <c r="N628" i="2" s="1"/>
  <c r="N577" i="2"/>
  <c r="I577" i="2"/>
  <c r="I602" i="2"/>
  <c r="I628" i="2" s="1"/>
  <c r="K602" i="2"/>
  <c r="K628" i="2" s="1"/>
  <c r="K577" i="2"/>
  <c r="H577" i="2"/>
  <c r="H602" i="2"/>
  <c r="H628" i="2" s="1"/>
  <c r="F593" i="2"/>
  <c r="F594" i="2" s="1"/>
  <c r="F603" i="2"/>
  <c r="F587" i="2"/>
  <c r="F589" i="2"/>
  <c r="F598" i="2"/>
  <c r="R517" i="2"/>
  <c r="Q588" i="2"/>
  <c r="T573" i="2"/>
  <c r="T574" i="2" s="1"/>
  <c r="W578" i="2"/>
  <c r="W579" i="2" s="1"/>
  <c r="AG513" i="2"/>
  <c r="AH513" i="2" s="1"/>
  <c r="R588" i="2"/>
  <c r="H16" i="4"/>
  <c r="U578" i="2"/>
  <c r="U579" i="2" s="1"/>
  <c r="V578" i="2"/>
  <c r="V579" i="2" s="1"/>
  <c r="U331" i="2"/>
  <c r="W573" i="2"/>
  <c r="W574" i="2" s="1"/>
  <c r="AC331" i="2"/>
  <c r="AC578" i="2"/>
  <c r="AC579" i="2" s="1"/>
  <c r="V331" i="2"/>
  <c r="Y573" i="2"/>
  <c r="Y574" i="2" s="1"/>
  <c r="T331" i="2"/>
  <c r="Y331" i="2"/>
  <c r="X331" i="2"/>
  <c r="X573" i="2"/>
  <c r="X574" i="2" s="1"/>
  <c r="O331" i="2"/>
  <c r="R331" i="2"/>
  <c r="AE331" i="2"/>
  <c r="AE578" i="2"/>
  <c r="AE579" i="2" s="1"/>
  <c r="L636" i="2"/>
  <c r="K331" i="2"/>
  <c r="H331" i="2"/>
  <c r="G331" i="2"/>
  <c r="J636" i="2"/>
  <c r="J394" i="2"/>
  <c r="J578" i="2" s="1"/>
  <c r="L517" i="2"/>
  <c r="J517" i="2"/>
  <c r="E17" i="4"/>
  <c r="F17" i="4" s="1"/>
  <c r="H17" i="4" s="1"/>
  <c r="H19" i="4"/>
  <c r="H22" i="4"/>
  <c r="M394" i="2"/>
  <c r="M395" i="2" s="1"/>
  <c r="E14" i="4"/>
  <c r="F14" i="4" s="1"/>
  <c r="H14" i="4" s="1"/>
  <c r="M517" i="2"/>
  <c r="L386" i="2"/>
  <c r="L394" i="2" s="1"/>
  <c r="L562" i="2" s="1"/>
  <c r="N517" i="2"/>
  <c r="G386" i="2"/>
  <c r="G394" i="2" s="1"/>
  <c r="AA394" i="2"/>
  <c r="AA395" i="2" s="1"/>
  <c r="M572" i="2"/>
  <c r="M623" i="2" s="1"/>
  <c r="M597" i="2"/>
  <c r="H517" i="2"/>
  <c r="S394" i="2"/>
  <c r="S573" i="2" s="1"/>
  <c r="E18" i="4"/>
  <c r="F18" i="4" s="1"/>
  <c r="H18" i="4" s="1"/>
  <c r="O517" i="2"/>
  <c r="H11" i="4"/>
  <c r="O386" i="2"/>
  <c r="O394" i="2" s="1"/>
  <c r="H13" i="4"/>
  <c r="I386" i="2"/>
  <c r="I394" i="2" s="1"/>
  <c r="AD394" i="2"/>
  <c r="AD395" i="2" s="1"/>
  <c r="G545" i="2"/>
  <c r="G597" i="2" s="1"/>
  <c r="R386" i="2"/>
  <c r="R394" i="2" s="1"/>
  <c r="R578" i="2" s="1"/>
  <c r="R579" i="2" s="1"/>
  <c r="R638" i="2" s="1"/>
  <c r="N394" i="2"/>
  <c r="N568" i="2" s="1"/>
  <c r="N569" i="2" s="1"/>
  <c r="AB394" i="2"/>
  <c r="AB395" i="2" s="1"/>
  <c r="H386" i="2"/>
  <c r="H394" i="2" s="1"/>
  <c r="H564" i="2" s="1"/>
  <c r="E12" i="4"/>
  <c r="F12" i="4" s="1"/>
  <c r="H12" i="4" s="1"/>
  <c r="W395" i="2"/>
  <c r="AG372" i="2"/>
  <c r="AH372" i="2" s="1"/>
  <c r="AG363" i="2"/>
  <c r="AH363" i="2" s="1"/>
  <c r="F382" i="2"/>
  <c r="AG382" i="2" s="1"/>
  <c r="AH382" i="2" s="1"/>
  <c r="AB573" i="2"/>
  <c r="AB574" i="2" s="1"/>
  <c r="AB331" i="2"/>
  <c r="AB578" i="2"/>
  <c r="AB579" i="2" s="1"/>
  <c r="T395" i="2"/>
  <c r="I545" i="2"/>
  <c r="I517" i="2"/>
  <c r="I21" i="4"/>
  <c r="Q331" i="2"/>
  <c r="AA331" i="2"/>
  <c r="AA573" i="2"/>
  <c r="AA574" i="2" s="1"/>
  <c r="AA578" i="2"/>
  <c r="AA579" i="2" s="1"/>
  <c r="H572" i="2"/>
  <c r="H623" i="2" s="1"/>
  <c r="H597" i="2"/>
  <c r="I636" i="2"/>
  <c r="I331" i="2"/>
  <c r="AD331" i="2"/>
  <c r="AD578" i="2"/>
  <c r="AD579" i="2" s="1"/>
  <c r="AD573" i="2"/>
  <c r="AD574" i="2" s="1"/>
  <c r="H593" i="2"/>
  <c r="H594" i="2" s="1"/>
  <c r="I593" i="2"/>
  <c r="I594" i="2" s="1"/>
  <c r="H603" i="2"/>
  <c r="H604" i="2" s="1"/>
  <c r="H644" i="2" s="1"/>
  <c r="L598" i="2"/>
  <c r="M598" i="2"/>
  <c r="N587" i="2"/>
  <c r="G587" i="2"/>
  <c r="I589" i="2"/>
  <c r="H589" i="2"/>
  <c r="Y395" i="2"/>
  <c r="C583" i="2"/>
  <c r="F583" i="2" s="1"/>
  <c r="R593" i="2"/>
  <c r="R594" i="2" s="1"/>
  <c r="Z603" i="2"/>
  <c r="Z604" i="2" s="1"/>
  <c r="AF603" i="2"/>
  <c r="AF604" i="2" s="1"/>
  <c r="AD603" i="2"/>
  <c r="AD604" i="2" s="1"/>
  <c r="W603" i="2"/>
  <c r="W604" i="2" s="1"/>
  <c r="R598" i="2"/>
  <c r="R599" i="2" s="1"/>
  <c r="Q587" i="2"/>
  <c r="J598" i="2"/>
  <c r="L593" i="2"/>
  <c r="L594" i="2" s="1"/>
  <c r="M603" i="2"/>
  <c r="N603" i="2"/>
  <c r="G598" i="2"/>
  <c r="I598" i="2"/>
  <c r="I587" i="2"/>
  <c r="M587" i="2"/>
  <c r="L589" i="2"/>
  <c r="L645" i="2" s="1"/>
  <c r="N589" i="2"/>
  <c r="E642" i="2"/>
  <c r="F642" i="2" s="1"/>
  <c r="P593" i="2"/>
  <c r="P594" i="2" s="1"/>
  <c r="Y603" i="2"/>
  <c r="Y604" i="2" s="1"/>
  <c r="S603" i="2"/>
  <c r="S604" i="2" s="1"/>
  <c r="S644" i="2" s="1"/>
  <c r="R603" i="2"/>
  <c r="R604" i="2" s="1"/>
  <c r="R644" i="2" s="1"/>
  <c r="Q603" i="2"/>
  <c r="Q604" i="2" s="1"/>
  <c r="Q644" i="2" s="1"/>
  <c r="S598" i="2"/>
  <c r="J587" i="2"/>
  <c r="J589" i="2"/>
  <c r="J645" i="2" s="1"/>
  <c r="Q589" i="2"/>
  <c r="G593" i="2"/>
  <c r="G594" i="2" s="1"/>
  <c r="I603" i="2"/>
  <c r="N598" i="2"/>
  <c r="K587" i="2"/>
  <c r="G589" i="2"/>
  <c r="E395" i="2"/>
  <c r="Q593" i="2"/>
  <c r="Q594" i="2" s="1"/>
  <c r="V603" i="2"/>
  <c r="V604" i="2" s="1"/>
  <c r="U603" i="2"/>
  <c r="U604" i="2" s="1"/>
  <c r="X603" i="2"/>
  <c r="X604" i="2" s="1"/>
  <c r="Q598" i="2"/>
  <c r="Q599" i="2" s="1"/>
  <c r="R587" i="2"/>
  <c r="L587" i="2"/>
  <c r="M589" i="2"/>
  <c r="AE603" i="2"/>
  <c r="AE604" i="2" s="1"/>
  <c r="AB603" i="2"/>
  <c r="AB604" i="2" s="1"/>
  <c r="T603" i="2"/>
  <c r="T604" i="2" s="1"/>
  <c r="AA603" i="2"/>
  <c r="AA604" i="2" s="1"/>
  <c r="P587" i="2"/>
  <c r="R589" i="2"/>
  <c r="N593" i="2"/>
  <c r="N594" i="2" s="1"/>
  <c r="L603" i="2"/>
  <c r="H587" i="2"/>
  <c r="K589" i="2"/>
  <c r="K645" i="2" s="1"/>
  <c r="P603" i="2"/>
  <c r="P604" i="2" s="1"/>
  <c r="P644" i="2" s="1"/>
  <c r="AC603" i="2"/>
  <c r="AC604" i="2" s="1"/>
  <c r="P589" i="2"/>
  <c r="K593" i="2"/>
  <c r="K594" i="2" s="1"/>
  <c r="M593" i="2"/>
  <c r="M594" i="2" s="1"/>
  <c r="G603" i="2"/>
  <c r="K603" i="2"/>
  <c r="K598" i="2"/>
  <c r="H598" i="2"/>
  <c r="J593" i="2"/>
  <c r="J594" i="2" s="1"/>
  <c r="J603" i="2"/>
  <c r="J604" i="2" s="1"/>
  <c r="J644" i="2" s="1"/>
  <c r="P598" i="2"/>
  <c r="P599" i="2" s="1"/>
  <c r="P588" i="2"/>
  <c r="P614" i="2"/>
  <c r="X395" i="2"/>
  <c r="J572" i="2"/>
  <c r="J597" i="2"/>
  <c r="U395" i="2"/>
  <c r="N636" i="2"/>
  <c r="N331" i="2"/>
  <c r="E15" i="4"/>
  <c r="F15" i="4" s="1"/>
  <c r="H15" i="4" s="1"/>
  <c r="K386" i="2"/>
  <c r="K394" i="2" s="1"/>
  <c r="AE395" i="2"/>
  <c r="K545" i="2"/>
  <c r="K517" i="2"/>
  <c r="AF395" i="2"/>
  <c r="E21" i="4"/>
  <c r="F21" i="4" s="1"/>
  <c r="Q386" i="2"/>
  <c r="Q394" i="2" s="1"/>
  <c r="P542" i="2"/>
  <c r="P561" i="2" s="1"/>
  <c r="P517" i="2"/>
  <c r="AG512" i="2"/>
  <c r="AH512" i="2" s="1"/>
  <c r="Q517" i="2"/>
  <c r="Q542" i="2"/>
  <c r="Q561" i="2" s="1"/>
  <c r="P386" i="2"/>
  <c r="P394" i="2" s="1"/>
  <c r="E20" i="4"/>
  <c r="F20" i="4" s="1"/>
  <c r="AG328" i="2"/>
  <c r="AH328" i="2" s="1"/>
  <c r="F388" i="2"/>
  <c r="V395" i="2"/>
  <c r="Z394" i="2"/>
  <c r="Z395" i="2" s="1"/>
  <c r="L572" i="2"/>
  <c r="L597" i="2"/>
  <c r="L623" i="2" s="1"/>
  <c r="Z331" i="2"/>
  <c r="Z573" i="2"/>
  <c r="Z574" i="2" s="1"/>
  <c r="Z578" i="2"/>
  <c r="Z579" i="2" s="1"/>
  <c r="AC395" i="2"/>
  <c r="R586" i="2"/>
  <c r="R612" i="2"/>
  <c r="N597" i="2"/>
  <c r="N572" i="2"/>
  <c r="N623" i="2" s="1"/>
  <c r="AG355" i="2"/>
  <c r="AH355" i="2" s="1"/>
  <c r="F330" i="2"/>
  <c r="F636" i="2" s="1"/>
  <c r="AG326" i="2"/>
  <c r="F545" i="2" l="1"/>
  <c r="F572" i="2" s="1"/>
  <c r="AG515" i="2"/>
  <c r="AH515" i="2" s="1"/>
  <c r="M604" i="2"/>
  <c r="M644" i="2" s="1"/>
  <c r="L604" i="2"/>
  <c r="L644" i="2" s="1"/>
  <c r="N604" i="2"/>
  <c r="N644" i="2" s="1"/>
  <c r="J579" i="2"/>
  <c r="J638" i="2" s="1"/>
  <c r="I604" i="2"/>
  <c r="I644" i="2" s="1"/>
  <c r="K604" i="2"/>
  <c r="K644" i="2" s="1"/>
  <c r="F546" i="2"/>
  <c r="G604" i="2"/>
  <c r="G644" i="2" s="1"/>
  <c r="R645" i="2"/>
  <c r="J568" i="2"/>
  <c r="J569" i="2" s="1"/>
  <c r="J562" i="2"/>
  <c r="J564" i="2"/>
  <c r="J639" i="2" s="1"/>
  <c r="J558" i="2"/>
  <c r="J395" i="2"/>
  <c r="J573" i="2"/>
  <c r="J574" i="2" s="1"/>
  <c r="M564" i="2"/>
  <c r="H20" i="4"/>
  <c r="H21" i="4"/>
  <c r="M558" i="2"/>
  <c r="L573" i="2"/>
  <c r="L574" i="2" s="1"/>
  <c r="M568" i="2"/>
  <c r="M569" i="2" s="1"/>
  <c r="M578" i="2"/>
  <c r="M579" i="2" s="1"/>
  <c r="M638" i="2" s="1"/>
  <c r="R395" i="2"/>
  <c r="M573" i="2"/>
  <c r="M574" i="2" s="1"/>
  <c r="L564" i="2"/>
  <c r="L639" i="2" s="1"/>
  <c r="L558" i="2"/>
  <c r="M562" i="2"/>
  <c r="R636" i="2"/>
  <c r="S395" i="2"/>
  <c r="H573" i="2"/>
  <c r="H574" i="2" s="1"/>
  <c r="N564" i="2"/>
  <c r="M599" i="2"/>
  <c r="M645" i="2" s="1"/>
  <c r="N573" i="2"/>
  <c r="N574" i="2" s="1"/>
  <c r="L395" i="2"/>
  <c r="L568" i="2"/>
  <c r="L569" i="2" s="1"/>
  <c r="R558" i="2"/>
  <c r="L578" i="2"/>
  <c r="L579" i="2" s="1"/>
  <c r="L638" i="2" s="1"/>
  <c r="R562" i="2"/>
  <c r="G562" i="2"/>
  <c r="G568" i="2"/>
  <c r="G569" i="2" s="1"/>
  <c r="G558" i="2"/>
  <c r="H578" i="2"/>
  <c r="H579" i="2" s="1"/>
  <c r="H638" i="2" s="1"/>
  <c r="G572" i="2"/>
  <c r="G623" i="2" s="1"/>
  <c r="H558" i="2"/>
  <c r="S578" i="2"/>
  <c r="S579" i="2" s="1"/>
  <c r="R568" i="2"/>
  <c r="R569" i="2" s="1"/>
  <c r="R573" i="2"/>
  <c r="R574" i="2" s="1"/>
  <c r="H568" i="2"/>
  <c r="H569" i="2" s="1"/>
  <c r="G564" i="2"/>
  <c r="G578" i="2"/>
  <c r="G579" i="2" s="1"/>
  <c r="G638" i="2" s="1"/>
  <c r="G573" i="2"/>
  <c r="R564" i="2"/>
  <c r="R639" i="2" s="1"/>
  <c r="G395" i="2"/>
  <c r="H395" i="2"/>
  <c r="N562" i="2"/>
  <c r="O395" i="2"/>
  <c r="N395" i="2"/>
  <c r="N578" i="2"/>
  <c r="N579" i="2" s="1"/>
  <c r="N638" i="2" s="1"/>
  <c r="N558" i="2"/>
  <c r="F384" i="2"/>
  <c r="E10" i="4" s="1"/>
  <c r="H599" i="2"/>
  <c r="H645" i="2" s="1"/>
  <c r="H562" i="2"/>
  <c r="R646" i="2"/>
  <c r="S599" i="2"/>
  <c r="S645" i="2"/>
  <c r="K583" i="2"/>
  <c r="N583" i="2"/>
  <c r="R583" i="2"/>
  <c r="L583" i="2"/>
  <c r="P583" i="2"/>
  <c r="I583" i="2"/>
  <c r="J583" i="2"/>
  <c r="G583" i="2"/>
  <c r="Q583" i="2"/>
  <c r="H583" i="2"/>
  <c r="M583" i="2"/>
  <c r="L609" i="2"/>
  <c r="C609" i="2"/>
  <c r="J609" i="2"/>
  <c r="G609" i="2"/>
  <c r="N619" i="2"/>
  <c r="N620" i="2" s="1"/>
  <c r="G619" i="2"/>
  <c r="G620" i="2" s="1"/>
  <c r="L533" i="2"/>
  <c r="L657" i="2" s="1"/>
  <c r="P533" i="2"/>
  <c r="F533" i="2"/>
  <c r="F657" i="2" s="1"/>
  <c r="G533" i="2"/>
  <c r="G657" i="2" s="1"/>
  <c r="E535" i="2"/>
  <c r="Q535" i="2"/>
  <c r="S534" i="2"/>
  <c r="R613" i="2"/>
  <c r="N613" i="2"/>
  <c r="K613" i="2"/>
  <c r="G531" i="2"/>
  <c r="G655" i="2" s="1"/>
  <c r="F531" i="2"/>
  <c r="F655" i="2" s="1"/>
  <c r="L615" i="2"/>
  <c r="L651" i="2" s="1"/>
  <c r="F15" i="17" s="1"/>
  <c r="J615" i="2"/>
  <c r="J651" i="2" s="1"/>
  <c r="F13" i="17" s="1"/>
  <c r="I615" i="2"/>
  <c r="K532" i="2"/>
  <c r="K656" i="2" s="1"/>
  <c r="K673" i="2" s="1"/>
  <c r="R532" i="2"/>
  <c r="H532" i="2"/>
  <c r="H656" i="2" s="1"/>
  <c r="H673" i="2" s="1"/>
  <c r="Q532" i="2"/>
  <c r="H534" i="2"/>
  <c r="H658" i="2" s="1"/>
  <c r="O531" i="2"/>
  <c r="L534" i="2"/>
  <c r="L658" i="2" s="1"/>
  <c r="O535" i="2"/>
  <c r="I535" i="2"/>
  <c r="I659" i="2" s="1"/>
  <c r="P609" i="2"/>
  <c r="I609" i="2"/>
  <c r="I619" i="2"/>
  <c r="I620" i="2" s="1"/>
  <c r="Q619" i="2"/>
  <c r="Q620" i="2" s="1"/>
  <c r="M619" i="2"/>
  <c r="M620" i="2" s="1"/>
  <c r="J533" i="2"/>
  <c r="J657" i="2" s="1"/>
  <c r="N533" i="2"/>
  <c r="N657" i="2" s="1"/>
  <c r="E533" i="2"/>
  <c r="S535" i="2"/>
  <c r="M613" i="2"/>
  <c r="L613" i="2"/>
  <c r="H531" i="2"/>
  <c r="H655" i="2" s="1"/>
  <c r="H615" i="2"/>
  <c r="G615" i="2"/>
  <c r="I532" i="2"/>
  <c r="I656" i="2" s="1"/>
  <c r="I673" i="2" s="1"/>
  <c r="G532" i="2"/>
  <c r="G656" i="2" s="1"/>
  <c r="G673" i="2" s="1"/>
  <c r="I534" i="2"/>
  <c r="I658" i="2" s="1"/>
  <c r="J534" i="2"/>
  <c r="J658" i="2" s="1"/>
  <c r="P531" i="2"/>
  <c r="G534" i="2"/>
  <c r="G658" i="2" s="1"/>
  <c r="K535" i="2"/>
  <c r="K659" i="2" s="1"/>
  <c r="N609" i="2"/>
  <c r="H533" i="2"/>
  <c r="H657" i="2" s="1"/>
  <c r="P534" i="2"/>
  <c r="J531" i="2"/>
  <c r="J655" i="2" s="1"/>
  <c r="M534" i="2"/>
  <c r="M658" i="2" s="1"/>
  <c r="M535" i="2"/>
  <c r="M659" i="2" s="1"/>
  <c r="N535" i="2"/>
  <c r="N659" i="2" s="1"/>
  <c r="R609" i="2"/>
  <c r="H619" i="2"/>
  <c r="H620" i="2" s="1"/>
  <c r="R533" i="2"/>
  <c r="E531" i="2"/>
  <c r="R534" i="2"/>
  <c r="G613" i="2"/>
  <c r="I531" i="2"/>
  <c r="I655" i="2" s="1"/>
  <c r="N615" i="2"/>
  <c r="P615" i="2"/>
  <c r="J532" i="2"/>
  <c r="J656" i="2" s="1"/>
  <c r="J673" i="2" s="1"/>
  <c r="N534" i="2"/>
  <c r="N658" i="2" s="1"/>
  <c r="Q531" i="2"/>
  <c r="J535" i="2"/>
  <c r="J659" i="2" s="1"/>
  <c r="K534" i="2"/>
  <c r="K658" i="2" s="1"/>
  <c r="H609" i="2"/>
  <c r="Q609" i="2"/>
  <c r="P619" i="2"/>
  <c r="P620" i="2" s="1"/>
  <c r="K619" i="2"/>
  <c r="K620" i="2" s="1"/>
  <c r="Q533" i="2"/>
  <c r="M533" i="2"/>
  <c r="M657" i="2" s="1"/>
  <c r="P535" i="2"/>
  <c r="J613" i="2"/>
  <c r="H613" i="2"/>
  <c r="R615" i="2"/>
  <c r="R651" i="2" s="1"/>
  <c r="L532" i="2"/>
  <c r="L656" i="2" s="1"/>
  <c r="L673" i="2" s="1"/>
  <c r="O532" i="2"/>
  <c r="G535" i="2"/>
  <c r="G659" i="2" s="1"/>
  <c r="R531" i="2"/>
  <c r="L531" i="2"/>
  <c r="L655" i="2" s="1"/>
  <c r="F535" i="2"/>
  <c r="F659" i="2" s="1"/>
  <c r="M609" i="2"/>
  <c r="S609" i="2"/>
  <c r="J619" i="2"/>
  <c r="J620" i="2" s="1"/>
  <c r="K533" i="2"/>
  <c r="K657" i="2" s="1"/>
  <c r="O533" i="2"/>
  <c r="Q534" i="2"/>
  <c r="Q613" i="2"/>
  <c r="P613" i="2"/>
  <c r="E532" i="2"/>
  <c r="Q615" i="2"/>
  <c r="M532" i="2"/>
  <c r="M656" i="2" s="1"/>
  <c r="M673" i="2" s="1"/>
  <c r="O534" i="2"/>
  <c r="L535" i="2"/>
  <c r="L659" i="2" s="1"/>
  <c r="H535" i="2"/>
  <c r="H659" i="2" s="1"/>
  <c r="F532" i="2"/>
  <c r="F656" i="2" s="1"/>
  <c r="F673" i="2" s="1"/>
  <c r="K609" i="2"/>
  <c r="E648" i="2"/>
  <c r="R619" i="2"/>
  <c r="R620" i="2" s="1"/>
  <c r="L619" i="2"/>
  <c r="L620" i="2" s="1"/>
  <c r="I533" i="2"/>
  <c r="I657" i="2" s="1"/>
  <c r="E534" i="2"/>
  <c r="R535" i="2"/>
  <c r="I613" i="2"/>
  <c r="K531" i="2"/>
  <c r="K655" i="2" s="1"/>
  <c r="K615" i="2"/>
  <c r="K651" i="2" s="1"/>
  <c r="F14" i="17" s="1"/>
  <c r="M615" i="2"/>
  <c r="N532" i="2"/>
  <c r="N656" i="2" s="1"/>
  <c r="N673" i="2" s="1"/>
  <c r="P532" i="2"/>
  <c r="N531" i="2"/>
  <c r="N655" i="2" s="1"/>
  <c r="M531" i="2"/>
  <c r="M655" i="2" s="1"/>
  <c r="Q636" i="2"/>
  <c r="Q562" i="2"/>
  <c r="Q568" i="2"/>
  <c r="Q569" i="2" s="1"/>
  <c r="Q564" i="2"/>
  <c r="Q573" i="2"/>
  <c r="Q574" i="2" s="1"/>
  <c r="Q395" i="2"/>
  <c r="Q558" i="2"/>
  <c r="Q578" i="2"/>
  <c r="Q579" i="2" s="1"/>
  <c r="Q638" i="2" s="1"/>
  <c r="N599" i="2"/>
  <c r="N645" i="2" s="1"/>
  <c r="G599" i="2"/>
  <c r="G645" i="2" s="1"/>
  <c r="F517" i="2"/>
  <c r="AG517" i="2" s="1"/>
  <c r="AH517" i="2" s="1"/>
  <c r="F534" i="2"/>
  <c r="F658" i="2" s="1"/>
  <c r="S574" i="2"/>
  <c r="S639" i="2" s="1"/>
  <c r="P586" i="2"/>
  <c r="P645" i="2" s="1"/>
  <c r="P612" i="2"/>
  <c r="K597" i="2"/>
  <c r="K572" i="2"/>
  <c r="P636" i="2"/>
  <c r="P573" i="2"/>
  <c r="P574" i="2" s="1"/>
  <c r="P564" i="2"/>
  <c r="P562" i="2"/>
  <c r="P395" i="2"/>
  <c r="P558" i="2"/>
  <c r="P578" i="2"/>
  <c r="P579" i="2" s="1"/>
  <c r="P638" i="2" s="1"/>
  <c r="P568" i="2"/>
  <c r="P569" i="2" s="1"/>
  <c r="K578" i="2"/>
  <c r="K579" i="2" s="1"/>
  <c r="K638" i="2" s="1"/>
  <c r="K573" i="2"/>
  <c r="K558" i="2"/>
  <c r="K562" i="2"/>
  <c r="K395" i="2"/>
  <c r="K564" i="2"/>
  <c r="K639" i="2" s="1"/>
  <c r="K568" i="2"/>
  <c r="K569" i="2" s="1"/>
  <c r="I597" i="2"/>
  <c r="I599" i="2" s="1"/>
  <c r="I645" i="2" s="1"/>
  <c r="I572" i="2"/>
  <c r="I623" i="2" s="1"/>
  <c r="Q612" i="2"/>
  <c r="Q586" i="2"/>
  <c r="Q645" i="2" s="1"/>
  <c r="I573" i="2"/>
  <c r="I395" i="2"/>
  <c r="I562" i="2"/>
  <c r="I558" i="2"/>
  <c r="I568" i="2"/>
  <c r="I569" i="2" s="1"/>
  <c r="I578" i="2"/>
  <c r="I579" i="2" s="1"/>
  <c r="I638" i="2" s="1"/>
  <c r="I564" i="2"/>
  <c r="AG388" i="2"/>
  <c r="AH388" i="2" s="1"/>
  <c r="F392" i="2"/>
  <c r="J623" i="2"/>
  <c r="J599" i="2"/>
  <c r="J646" i="2" s="1"/>
  <c r="J642" i="2"/>
  <c r="M642" i="2"/>
  <c r="H642" i="2"/>
  <c r="L642" i="2"/>
  <c r="I642" i="2"/>
  <c r="K642" i="2"/>
  <c r="N642" i="2"/>
  <c r="G642" i="2"/>
  <c r="L599" i="2"/>
  <c r="L646" i="2" s="1"/>
  <c r="F331" i="2"/>
  <c r="AG330" i="2"/>
  <c r="AH330" i="2" s="1"/>
  <c r="AH326" i="2"/>
  <c r="F597" i="2" l="1"/>
  <c r="F599" i="2" s="1"/>
  <c r="F645" i="2" s="1"/>
  <c r="J668" i="2"/>
  <c r="J672" i="2"/>
  <c r="H668" i="2"/>
  <c r="H672" i="2"/>
  <c r="K669" i="2"/>
  <c r="K674" i="2"/>
  <c r="G668" i="2"/>
  <c r="G672" i="2"/>
  <c r="K668" i="2"/>
  <c r="K672" i="2"/>
  <c r="L669" i="2"/>
  <c r="L674" i="2"/>
  <c r="M669" i="2"/>
  <c r="M674" i="2"/>
  <c r="L668" i="2"/>
  <c r="L672" i="2"/>
  <c r="N668" i="2"/>
  <c r="N672" i="2"/>
  <c r="H669" i="2"/>
  <c r="H674" i="2"/>
  <c r="F674" i="2"/>
  <c r="F669" i="2"/>
  <c r="F672" i="2"/>
  <c r="F668" i="2"/>
  <c r="J674" i="2"/>
  <c r="J669" i="2"/>
  <c r="I668" i="2"/>
  <c r="I672" i="2"/>
  <c r="N669" i="2"/>
  <c r="N674" i="2"/>
  <c r="I669" i="2"/>
  <c r="I674" i="2"/>
  <c r="M668" i="2"/>
  <c r="M672" i="2"/>
  <c r="G669" i="2"/>
  <c r="G674" i="2"/>
  <c r="F648" i="2"/>
  <c r="G648" i="2" s="1"/>
  <c r="H648" i="2" s="1"/>
  <c r="I648" i="2" s="1"/>
  <c r="J648" i="2" s="1"/>
  <c r="K648" i="2" s="1"/>
  <c r="L648" i="2" s="1"/>
  <c r="M648" i="2" s="1"/>
  <c r="N648" i="2" s="1"/>
  <c r="P648" i="2" s="1"/>
  <c r="Q648" i="2" s="1"/>
  <c r="R648" i="2" s="1"/>
  <c r="F577" i="2"/>
  <c r="F602" i="2"/>
  <c r="F623" i="2"/>
  <c r="F625" i="2" s="1"/>
  <c r="F651" i="2" s="1"/>
  <c r="J640" i="2"/>
  <c r="M639" i="2"/>
  <c r="G574" i="2"/>
  <c r="G639" i="2" s="1"/>
  <c r="R640" i="2"/>
  <c r="AG384" i="2"/>
  <c r="AH384" i="2" s="1"/>
  <c r="K536" i="2"/>
  <c r="K660" i="2" s="1"/>
  <c r="L640" i="2"/>
  <c r="N639" i="2"/>
  <c r="F386" i="2"/>
  <c r="F394" i="2" s="1"/>
  <c r="H639" i="2"/>
  <c r="J536" i="2"/>
  <c r="J660" i="2" s="1"/>
  <c r="M536" i="2"/>
  <c r="M660" i="2" s="1"/>
  <c r="P639" i="2"/>
  <c r="I574" i="2"/>
  <c r="I639" i="2" s="1"/>
  <c r="K629" i="2"/>
  <c r="K630" i="2" s="1"/>
  <c r="K650" i="2" s="1"/>
  <c r="E14" i="17" s="1"/>
  <c r="K624" i="2"/>
  <c r="H624" i="2"/>
  <c r="H625" i="2" s="1"/>
  <c r="H651" i="2" s="1"/>
  <c r="F11" i="17" s="1"/>
  <c r="H629" i="2"/>
  <c r="H630" i="2" s="1"/>
  <c r="H650" i="2" s="1"/>
  <c r="E11" i="17" s="1"/>
  <c r="O536" i="2"/>
  <c r="K599" i="2"/>
  <c r="K646" i="2" s="1"/>
  <c r="K623" i="2"/>
  <c r="L536" i="2"/>
  <c r="L660" i="2" s="1"/>
  <c r="F536" i="2"/>
  <c r="F660" i="2" s="1"/>
  <c r="J629" i="2"/>
  <c r="J630" i="2" s="1"/>
  <c r="J650" i="2" s="1"/>
  <c r="E13" i="17" s="1"/>
  <c r="J624" i="2"/>
  <c r="J625" i="2" s="1"/>
  <c r="J652" i="2" s="1"/>
  <c r="G13" i="17" s="1"/>
  <c r="G629" i="2"/>
  <c r="G630" i="2" s="1"/>
  <c r="G650" i="2" s="1"/>
  <c r="E10" i="17" s="1"/>
  <c r="G624" i="2"/>
  <c r="G625" i="2" s="1"/>
  <c r="G651" i="2" s="1"/>
  <c r="F10" i="17" s="1"/>
  <c r="Q639" i="2"/>
  <c r="S624" i="2"/>
  <c r="S629" i="2"/>
  <c r="S630" i="2" s="1"/>
  <c r="S650" i="2" s="1"/>
  <c r="R536" i="2"/>
  <c r="P536" i="2"/>
  <c r="G536" i="2"/>
  <c r="G660" i="2" s="1"/>
  <c r="S536" i="2"/>
  <c r="K574" i="2"/>
  <c r="K640" i="2" s="1"/>
  <c r="I536" i="2"/>
  <c r="I660" i="2" s="1"/>
  <c r="P629" i="2"/>
  <c r="P630" i="2" s="1"/>
  <c r="P650" i="2" s="1"/>
  <c r="P624" i="2"/>
  <c r="P625" i="2" s="1"/>
  <c r="P651" i="2" s="1"/>
  <c r="G10" i="4"/>
  <c r="AG392" i="2"/>
  <c r="AH392" i="2" s="1"/>
  <c r="N536" i="2"/>
  <c r="N660" i="2" s="1"/>
  <c r="M629" i="2"/>
  <c r="M630" i="2" s="1"/>
  <c r="M650" i="2" s="1"/>
  <c r="E16" i="17" s="1"/>
  <c r="M624" i="2"/>
  <c r="M625" i="2" s="1"/>
  <c r="M651" i="2" s="1"/>
  <c r="F16" i="17" s="1"/>
  <c r="Q624" i="2"/>
  <c r="Q625" i="2" s="1"/>
  <c r="Q651" i="2" s="1"/>
  <c r="Q629" i="2"/>
  <c r="Q630" i="2" s="1"/>
  <c r="Q650" i="2" s="1"/>
  <c r="Q536" i="2"/>
  <c r="E536" i="2"/>
  <c r="E538" i="2" s="1"/>
  <c r="R629" i="2"/>
  <c r="R630" i="2" s="1"/>
  <c r="R650" i="2" s="1"/>
  <c r="R624" i="2"/>
  <c r="R625" i="2" s="1"/>
  <c r="R652" i="2" s="1"/>
  <c r="N629" i="2"/>
  <c r="N630" i="2" s="1"/>
  <c r="N650" i="2" s="1"/>
  <c r="E17" i="17" s="1"/>
  <c r="N624" i="2"/>
  <c r="N625" i="2" s="1"/>
  <c r="N651" i="2" s="1"/>
  <c r="F17" i="17" s="1"/>
  <c r="H536" i="2"/>
  <c r="H660" i="2" s="1"/>
  <c r="I624" i="2"/>
  <c r="I625" i="2" s="1"/>
  <c r="I651" i="2" s="1"/>
  <c r="F12" i="17" s="1"/>
  <c r="I629" i="2"/>
  <c r="I630" i="2" s="1"/>
  <c r="I650" i="2" s="1"/>
  <c r="E12" i="17" s="1"/>
  <c r="L629" i="2"/>
  <c r="L630" i="2" s="1"/>
  <c r="L650" i="2" s="1"/>
  <c r="E15" i="17" s="1"/>
  <c r="L624" i="2"/>
  <c r="L625" i="2" s="1"/>
  <c r="L652" i="2" s="1"/>
  <c r="G15" i="17" s="1"/>
  <c r="E26" i="4"/>
  <c r="F26" i="4" s="1"/>
  <c r="F10" i="4"/>
  <c r="G26" i="4" l="1"/>
  <c r="H26" i="4" s="1"/>
  <c r="I18" i="4" s="1"/>
  <c r="F628" i="2"/>
  <c r="F630" i="2" s="1"/>
  <c r="F650" i="2" s="1"/>
  <c r="E9" i="17" s="1"/>
  <c r="F604" i="2"/>
  <c r="F644" i="2" s="1"/>
  <c r="P642" i="2"/>
  <c r="Q642" i="2" s="1"/>
  <c r="R642" i="2" s="1"/>
  <c r="F558" i="2"/>
  <c r="F568" i="2"/>
  <c r="F569" i="2" s="1"/>
  <c r="F578" i="2"/>
  <c r="F579" i="2" s="1"/>
  <c r="F638" i="2" s="1"/>
  <c r="F562" i="2"/>
  <c r="F564" i="2"/>
  <c r="F573" i="2"/>
  <c r="F574" i="2" s="1"/>
  <c r="AG386" i="2"/>
  <c r="AH386" i="2" s="1"/>
  <c r="AH1" i="2"/>
  <c r="K625" i="2"/>
  <c r="K652" i="2" s="1"/>
  <c r="G14" i="17" s="1"/>
  <c r="S651" i="2"/>
  <c r="S625" i="2"/>
  <c r="F9" i="17"/>
  <c r="H10" i="4"/>
  <c r="F395" i="2"/>
  <c r="F639" i="2" l="1"/>
  <c r="I13" i="4"/>
  <c r="I17" i="4"/>
  <c r="I20" i="4"/>
  <c r="I14" i="4"/>
  <c r="I11" i="4"/>
  <c r="I10" i="4"/>
  <c r="I15" i="4"/>
  <c r="I26" i="4"/>
  <c r="I19" i="4"/>
  <c r="I16" i="4"/>
  <c r="I12" i="4"/>
</calcChain>
</file>

<file path=xl/sharedStrings.xml><?xml version="1.0" encoding="utf-8"?>
<sst xmlns="http://schemas.openxmlformats.org/spreadsheetml/2006/main" count="2508" uniqueCount="1215">
  <si>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</si>
  <si>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</si>
  <si>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</si>
  <si>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</si>
  <si>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</si>
  <si>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</si>
  <si>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</si>
  <si>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</si>
  <si>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</si>
  <si>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</si>
  <si>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</si>
  <si>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</si>
  <si>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</si>
  <si>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</si>
  <si>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</si>
  <si>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</si>
  <si>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</si>
  <si>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</si>
  <si>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</si>
  <si>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</si>
  <si>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</si>
  <si>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</si>
  <si>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</si>
  <si>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</si>
  <si>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</si>
  <si>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</si>
  <si>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</si>
  <si>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</si>
  <si>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</si>
  <si>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</si>
  <si>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</si>
  <si>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</si>
  <si>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</si>
  <si>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</si>
  <si>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</si>
  <si>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</si>
  <si>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</si>
  <si>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</si>
  <si>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</si>
  <si>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</si>
  <si>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</si>
  <si>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</si>
  <si>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</si>
  <si>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</si>
  <si>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</si>
  <si>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</si>
  <si>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</si>
  <si>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</si>
  <si>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</si>
  <si>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</si>
  <si>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</si>
  <si>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</si>
  <si>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</si>
  <si>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</si>
  <si>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</si>
  <si>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</si>
  <si>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</si>
  <si>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</si>
  <si>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</si>
  <si>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</si>
  <si>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</si>
  <si>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</si>
  <si>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</si>
  <si>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</si>
  <si>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</si>
  <si>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</si>
  <si>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</si>
  <si>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</si>
  <si>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</si>
  <si>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</si>
  <si>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</si>
  <si>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</si>
  <si>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</si>
  <si>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</si>
  <si>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</si>
  <si>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</si>
  <si>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</si>
  <si>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</si>
  <si>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</si>
  <si>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</si>
  <si>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</si>
  <si>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</si>
  <si>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</si>
  <si>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</si>
  <si>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</si>
  <si>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</si>
  <si>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</si>
  <si>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</si>
  <si>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</si>
  <si>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</si>
  <si>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</si>
  <si>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</si>
  <si>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Less: Customer Deposits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</si>
  <si>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</si>
  <si>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</si>
  <si>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</si>
  <si>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</si>
  <si>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</si>
  <si>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</si>
  <si>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</si>
  <si>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</si>
  <si>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</si>
  <si>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</si>
  <si>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</si>
  <si>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</si>
  <si>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</si>
  <si>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</si>
  <si>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</si>
  <si>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</si>
  <si>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</si>
  <si>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</si>
  <si>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</si>
  <si>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</si>
  <si>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</si>
  <si>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</si>
  <si>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</si>
  <si>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</si>
  <si>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</si>
  <si>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</si>
  <si>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</si>
  <si>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</si>
  <si>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</si>
  <si>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</si>
  <si>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</si>
  <si>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</si>
  <si>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</si>
  <si>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</si>
  <si>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</si>
  <si>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</si>
  <si>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</si>
  <si>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</si>
  <si>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</si>
  <si>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</si>
  <si>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</si>
  <si>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</si>
  <si>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</si>
  <si>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</si>
  <si>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</si>
  <si>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</si>
  <si>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</si>
  <si>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</si>
  <si>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</si>
  <si>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</si>
  <si>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</si>
  <si>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</si>
  <si>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</si>
  <si>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</si>
  <si>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</si>
  <si>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</si>
  <si>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</si>
  <si>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</si>
  <si>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</si>
  <si>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</si>
  <si>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</si>
  <si>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</si>
  <si>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</si>
  <si>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</si>
  <si>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</si>
  <si>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</si>
  <si>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</si>
  <si>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</si>
  <si>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</si>
  <si>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</si>
  <si>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</si>
  <si>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</si>
  <si>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</si>
  <si>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</si>
  <si>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</si>
  <si>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</si>
  <si>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</si>
  <si>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</si>
  <si>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</si>
  <si>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</si>
  <si>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</si>
  <si>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</si>
  <si>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</si>
  <si>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</si>
  <si>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</si>
  <si>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</si>
  <si>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</si>
  <si>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</si>
  <si>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</si>
  <si>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</si>
  <si>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</si>
  <si>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</si>
  <si>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</si>
  <si>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</si>
  <si>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</si>
  <si>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</si>
  <si>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</si>
  <si>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</si>
  <si>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</si>
  <si>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</si>
  <si>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</si>
  <si>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</si>
  <si>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</si>
  <si>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</si>
  <si>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</si>
  <si>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</si>
  <si>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</si>
  <si>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</si>
  <si>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</si>
  <si>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</si>
  <si>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</si>
  <si>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</si>
  <si>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</si>
  <si>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</si>
  <si>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</si>
  <si>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</si>
  <si>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</si>
  <si>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</si>
  <si>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</si>
  <si>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</si>
  <si>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</si>
  <si>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</si>
  <si>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</si>
  <si>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</si>
  <si>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</si>
  <si>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</si>
  <si>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</si>
  <si>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</si>
  <si>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</si>
  <si>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</si>
  <si>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</si>
  <si>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</si>
  <si>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</si>
  <si>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</si>
  <si>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</si>
  <si>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</si>
  <si>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</si>
  <si>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</si>
  <si>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</si>
  <si>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</si>
  <si>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</si>
  <si>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</si>
  <si>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</si>
  <si>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</si>
  <si>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</si>
  <si>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</si>
  <si>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</si>
  <si>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</si>
  <si>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</si>
  <si>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</si>
  <si>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</si>
  <si>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</si>
  <si>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</si>
  <si>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</si>
  <si>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</si>
  <si>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</si>
  <si>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</si>
  <si>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</si>
  <si>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</si>
  <si>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</si>
  <si>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</si>
  <si>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</si>
  <si>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</si>
  <si>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</si>
  <si>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</si>
  <si>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</si>
  <si>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</si>
  <si>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</si>
  <si>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</si>
  <si>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</si>
  <si>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</si>
  <si>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</si>
  <si>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</si>
  <si>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</si>
  <si>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</si>
  <si>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</si>
  <si>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</si>
  <si>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</si>
  <si>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</si>
  <si>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</si>
  <si>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</si>
  <si>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</si>
  <si>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</si>
  <si>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</si>
  <si>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</si>
  <si>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</si>
  <si>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</si>
  <si>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</si>
  <si>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</si>
  <si>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</si>
  <si>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</si>
  <si>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</si>
  <si>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</si>
  <si>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</si>
  <si>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</si>
  <si>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</si>
  <si>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</si>
  <si>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</si>
  <si>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</si>
  <si>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</si>
  <si>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</si>
  <si>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</si>
  <si>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</si>
  <si>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</si>
  <si>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</si>
  <si>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</si>
  <si>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</si>
  <si>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</si>
  <si>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</si>
  <si>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</si>
  <si>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</si>
  <si>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</si>
  <si>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</si>
  <si>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</si>
  <si>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</si>
  <si>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</si>
  <si>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</si>
  <si>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</si>
  <si>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</si>
  <si>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</si>
  <si>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</si>
  <si>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</si>
  <si>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</si>
  <si>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</si>
  <si>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</si>
  <si>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</si>
  <si>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</si>
  <si>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</si>
  <si>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</si>
  <si>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</si>
  <si>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</si>
  <si>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</si>
  <si>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</si>
  <si>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</si>
  <si>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</si>
  <si>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</si>
  <si>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</si>
  <si>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</si>
  <si>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</si>
  <si>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</si>
  <si>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</si>
  <si>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</si>
  <si>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</si>
  <si>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</si>
  <si>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</si>
  <si>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</si>
  <si>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</si>
  <si>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</si>
  <si>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</si>
  <si>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</si>
  <si>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</si>
  <si>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</si>
  <si>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</si>
  <si>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</si>
  <si>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</si>
  <si>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</si>
  <si>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</si>
  <si>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</si>
  <si>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</si>
  <si>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</si>
  <si>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</si>
  <si>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</si>
  <si>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</si>
  <si>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</si>
  <si>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</si>
  <si>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</si>
  <si>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</si>
  <si>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</si>
  <si>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</si>
  <si>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</si>
  <si>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</si>
  <si>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</si>
  <si>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</si>
  <si>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</si>
  <si>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</si>
  <si>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</si>
  <si>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</si>
  <si>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</si>
  <si>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</si>
  <si>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</si>
  <si>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</si>
  <si>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</si>
  <si>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</si>
  <si>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</si>
  <si>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</si>
  <si>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</si>
  <si>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</si>
  <si>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</si>
  <si>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</si>
  <si>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</si>
  <si>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</si>
  <si>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</si>
  <si>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</si>
  <si>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</si>
  <si>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</si>
  <si>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</si>
  <si>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</si>
  <si>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</si>
  <si>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</si>
  <si>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</si>
  <si>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</si>
  <si>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</si>
  <si>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</si>
  <si>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</si>
  <si>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</si>
  <si>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</si>
  <si>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</si>
  <si>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</si>
  <si>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</si>
  <si>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</si>
  <si>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</si>
  <si>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</si>
  <si>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</si>
  <si>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</si>
  <si>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</si>
  <si>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</si>
  <si>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</si>
  <si>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</si>
  <si>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</si>
  <si>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</si>
  <si>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</si>
  <si>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</si>
  <si>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</si>
  <si>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</si>
  <si>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</si>
  <si>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</si>
  <si>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</si>
  <si>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</si>
  <si>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</si>
  <si>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</si>
  <si>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</si>
  <si>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</si>
  <si>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</si>
  <si>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</si>
  <si>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</si>
  <si>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</si>
  <si>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</si>
  <si>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</si>
  <si>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</si>
  <si>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</si>
  <si>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</si>
  <si>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</si>
  <si>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</si>
  <si>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</si>
  <si>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</si>
  <si>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</si>
  <si>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</si>
  <si>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</si>
  <si>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</si>
  <si>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</si>
  <si>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</si>
  <si>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</si>
  <si>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</si>
  <si>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</si>
  <si>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</si>
  <si>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</si>
  <si>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</si>
  <si>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</si>
  <si>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</si>
  <si>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</si>
  <si>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</si>
  <si>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</si>
  <si>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</si>
  <si>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</si>
  <si>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</si>
  <si>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</si>
  <si>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</si>
  <si>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</si>
  <si>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</si>
  <si>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</si>
  <si>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</si>
  <si>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</si>
  <si>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</si>
  <si>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</si>
  <si>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</si>
  <si>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</si>
  <si>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</si>
  <si>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</si>
  <si>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</si>
  <si>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</si>
  <si>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</si>
  <si>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</si>
  <si>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</si>
  <si>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</si>
  <si>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</si>
  <si>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</si>
  <si>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</si>
  <si>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</si>
  <si>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</si>
  <si>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</si>
  <si>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</si>
  <si>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</si>
  <si>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</si>
  <si>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</si>
  <si>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</si>
  <si>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</si>
  <si>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</si>
  <si>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</si>
  <si>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</si>
  <si>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</si>
  <si>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</si>
  <si>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</si>
  <si>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</si>
  <si>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</si>
  <si>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</si>
  <si>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</si>
  <si>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</si>
  <si>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</si>
  <si>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</si>
  <si>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</si>
  <si>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</si>
  <si>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</si>
  <si>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</si>
  <si>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</si>
  <si>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</si>
  <si>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</si>
  <si>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</si>
  <si>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</si>
  <si>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</si>
  <si>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</si>
  <si>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</si>
  <si>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</si>
  <si>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</si>
  <si>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</si>
  <si>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</si>
  <si>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</si>
  <si>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</si>
  <si>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</si>
  <si>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</si>
  <si>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</si>
  <si>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</si>
  <si>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</si>
  <si>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</si>
  <si>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</si>
  <si>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</si>
  <si>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</si>
  <si>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</si>
  <si>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</si>
  <si>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</si>
  <si>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</si>
  <si>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</si>
  <si>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</si>
  <si>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</si>
  <si>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</si>
  <si>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</si>
  <si>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</si>
  <si>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</si>
  <si>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</si>
  <si>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</si>
  <si>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</si>
  <si>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</si>
  <si>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</si>
  <si>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</si>
  <si>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</si>
  <si>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</si>
  <si>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</si>
  <si>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</si>
  <si>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</si>
  <si>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</si>
  <si>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</si>
  <si>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</si>
  <si>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</si>
  <si>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</si>
  <si>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</si>
  <si>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</si>
  <si>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</si>
  <si>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</si>
  <si>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</si>
  <si>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</si>
  <si>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</si>
  <si>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</si>
  <si>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</si>
  <si>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</si>
  <si>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</si>
  <si>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</si>
  <si>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</si>
  <si>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</si>
  <si>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</si>
  <si>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</si>
  <si>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</si>
  <si>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</si>
  <si>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</si>
  <si>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</si>
  <si>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</si>
  <si>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</si>
  <si>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</si>
  <si>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</si>
  <si>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</si>
  <si>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</si>
  <si>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</si>
  <si>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</si>
  <si>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</si>
  <si>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</si>
  <si>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</si>
  <si>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</si>
  <si>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</si>
  <si>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</si>
  <si>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</si>
  <si>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</si>
  <si>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PAYROLL GENERAL LEDGER DEFAULT</t>
  </si>
  <si>
    <t>LB950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</si>
  <si>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</si>
  <si>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</si>
  <si>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</si>
  <si>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</si>
  <si>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</si>
  <si>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</si>
  <si>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</si>
  <si>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</si>
  <si>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</si>
  <si>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</si>
  <si>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</si>
  <si>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</si>
  <si>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</si>
  <si>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</si>
  <si>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</si>
  <si>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</si>
  <si>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</si>
  <si>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</si>
  <si>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</si>
  <si>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</si>
  <si>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</si>
  <si>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</si>
  <si>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 xml:space="preserve">Average Customers 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</si>
  <si>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</si>
  <si>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</si>
  <si>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</si>
  <si>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</si>
  <si>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</si>
  <si>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</si>
  <si>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</si>
  <si>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</si>
  <si>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</si>
  <si>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</si>
  <si>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</si>
  <si>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</si>
  <si>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</si>
  <si>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</si>
  <si>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</si>
  <si>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</si>
  <si>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</si>
  <si>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</si>
  <si>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</si>
  <si>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</si>
  <si>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</si>
  <si>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</si>
  <si>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</si>
  <si>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</si>
  <si>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</si>
  <si>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</si>
  <si>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</si>
  <si>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</si>
  <si>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</si>
  <si>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</si>
  <si>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</si>
  <si>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</si>
  <si>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</si>
  <si>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</si>
  <si>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</si>
  <si>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</si>
  <si>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</si>
  <si>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</si>
  <si>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</si>
  <si>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</si>
  <si>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</si>
  <si>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</si>
  <si>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</si>
  <si>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</si>
  <si>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</si>
  <si>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</si>
  <si>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</si>
  <si>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</si>
  <si>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</si>
  <si>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</si>
  <si>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</si>
  <si>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</si>
  <si>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</si>
  <si>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</si>
  <si>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</si>
  <si>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</si>
  <si>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</si>
  <si>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</si>
  <si>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</si>
  <si>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</si>
  <si>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</si>
  <si>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</si>
  <si>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</si>
  <si>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</si>
  <si>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</si>
  <si>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</si>
  <si>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</si>
  <si>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</si>
  <si>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</si>
  <si>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</si>
  <si>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</si>
  <si>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</si>
  <si>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</si>
  <si>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</si>
  <si>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</si>
  <si>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</si>
  <si>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</si>
  <si>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</si>
  <si>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</si>
  <si>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</si>
  <si>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</si>
  <si>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</si>
  <si>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</si>
  <si>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</si>
  <si>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</si>
  <si>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</si>
  <si>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</si>
  <si>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</si>
  <si>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</si>
  <si>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</si>
  <si>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</si>
  <si>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</si>
  <si>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</si>
  <si>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</si>
  <si>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</si>
  <si>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LB935</t>
  </si>
  <si>
    <t>Residential Service</t>
  </si>
  <si>
    <t>Rate 30</t>
  </si>
  <si>
    <t>Metered CP</t>
  </si>
  <si>
    <t>Calculated CP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</si>
  <si>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</si>
  <si>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</si>
  <si>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</si>
  <si>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</si>
  <si>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</si>
  <si>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</si>
  <si>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</si>
  <si>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</si>
  <si>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</si>
  <si>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</si>
  <si>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</si>
  <si>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</si>
  <si>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</si>
  <si>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</si>
  <si>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</si>
  <si>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</si>
  <si>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</si>
  <si>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</si>
  <si>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</si>
  <si>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</si>
  <si>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</si>
  <si>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</si>
  <si>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</si>
  <si>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</si>
  <si>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</si>
  <si>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</si>
  <si>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</si>
  <si>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</si>
  <si>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</si>
  <si>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</si>
  <si>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</si>
  <si>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</si>
  <si>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</si>
  <si>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</si>
  <si>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</si>
  <si>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</si>
  <si>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</si>
  <si>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</si>
  <si>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</si>
  <si>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</si>
  <si>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</si>
  <si>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</si>
  <si>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</si>
  <si>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</si>
  <si>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</si>
  <si>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</si>
  <si>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</si>
  <si>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</si>
  <si>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</si>
  <si>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</si>
  <si>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</si>
  <si>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</si>
  <si>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</si>
  <si>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</si>
  <si>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</si>
  <si>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</si>
  <si>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</si>
  <si>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</si>
  <si>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</si>
  <si>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</si>
  <si>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</si>
  <si>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</si>
  <si>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</si>
  <si>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</si>
  <si>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</si>
  <si>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</si>
  <si>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</si>
  <si>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</si>
  <si>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</si>
  <si>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</si>
  <si>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</si>
  <si>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</si>
  <si>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</si>
  <si>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</si>
  <si>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</si>
  <si>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</si>
  <si>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</si>
  <si>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</si>
  <si>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</si>
  <si>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</si>
  <si>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</si>
  <si>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</si>
  <si>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</si>
  <si>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</si>
  <si>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</si>
  <si>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</si>
  <si>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</si>
  <si>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</si>
  <si>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</si>
  <si>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</si>
  <si>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</si>
  <si>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</si>
  <si>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</si>
  <si>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</si>
  <si>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</si>
  <si>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</si>
  <si>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</si>
  <si>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</si>
  <si>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</si>
  <si>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</si>
  <si>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</si>
  <si>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</si>
  <si>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</si>
  <si>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</si>
  <si>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</si>
  <si>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</si>
  <si>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</si>
  <si>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</si>
  <si>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</si>
  <si>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</si>
  <si>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</si>
  <si>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</si>
  <si>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</si>
  <si>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</si>
  <si>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</si>
  <si>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</si>
  <si>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</si>
  <si>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</si>
  <si>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</si>
  <si>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</si>
  <si>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</si>
  <si>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</si>
  <si>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</si>
  <si>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</si>
  <si>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</si>
  <si>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</si>
  <si>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</si>
  <si>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</si>
  <si>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</si>
  <si>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</si>
  <si>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</si>
  <si>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</si>
  <si>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</si>
  <si>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</si>
  <si>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</si>
  <si>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</si>
  <si>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</si>
  <si>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</si>
  <si>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</si>
  <si>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</si>
  <si>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</si>
  <si>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Regulatory Liabilities</t>
  </si>
  <si>
    <t>REGLIAB</t>
  </si>
  <si>
    <t>TOTAL</t>
  </si>
  <si>
    <t>Rate Class</t>
  </si>
  <si>
    <t>Total                         Cost</t>
  </si>
  <si>
    <t>Total             Cost</t>
  </si>
  <si>
    <t>KWH</t>
  </si>
  <si>
    <t>Purchases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</si>
  <si>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</si>
  <si>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</si>
  <si>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</si>
  <si>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</si>
  <si>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</si>
  <si>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</si>
  <si>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</si>
  <si>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</si>
  <si>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</si>
  <si>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</si>
  <si>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</si>
  <si>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</si>
  <si>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</si>
  <si>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</si>
  <si>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</si>
  <si>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</si>
  <si>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</si>
  <si>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</si>
  <si>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</si>
  <si>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</si>
  <si>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</si>
  <si>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</si>
  <si>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</si>
  <si>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</si>
  <si>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</si>
  <si>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</si>
  <si>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</si>
  <si>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</si>
  <si>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</si>
  <si>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</si>
  <si>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</si>
  <si>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</si>
  <si>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</si>
  <si>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</si>
  <si>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</si>
  <si>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</si>
  <si>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</si>
  <si>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</si>
  <si>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</si>
  <si>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</si>
  <si>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</si>
  <si>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</si>
  <si>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</si>
  <si>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</si>
  <si>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</si>
  <si>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</si>
  <si>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</si>
  <si>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</si>
  <si>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</si>
  <si>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</si>
  <si>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</si>
  <si>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</si>
  <si>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</si>
  <si>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</si>
  <si>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</si>
  <si>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</si>
  <si>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</si>
  <si>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</si>
  <si>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</si>
  <si>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</si>
  <si>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</si>
  <si>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</si>
  <si>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>Variance $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</si>
  <si>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</si>
  <si>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</si>
  <si>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</si>
  <si>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</si>
  <si>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</si>
  <si>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</si>
  <si>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</si>
  <si>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</si>
  <si>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</si>
  <si>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</si>
  <si>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Demand Charge</t>
  </si>
  <si>
    <t>Energy Charge</t>
  </si>
  <si>
    <t>Metering Point</t>
  </si>
  <si>
    <t>Sub/Wheeling Charge</t>
  </si>
  <si>
    <t>Acct 555</t>
  </si>
  <si>
    <t>Environmental Surcharge</t>
  </si>
  <si>
    <t>Fuel Adjustment Clause</t>
  </si>
  <si>
    <t>kWh</t>
  </si>
  <si>
    <t>To Remove Fuel Adjustment Clause  Revenue</t>
  </si>
  <si>
    <t xml:space="preserve">To Remove Environmental Surcharge Revenue </t>
  </si>
  <si>
    <t>To Normalize Year-End Customers</t>
  </si>
  <si>
    <t>To Remove Fuel Expense Recoverable through the FAC</t>
  </si>
  <si>
    <t>Rate Case Expenses</t>
  </si>
  <si>
    <t>Unitized Rate of Return</t>
  </si>
  <si>
    <t>beretta12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</si>
  <si>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</si>
  <si>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</si>
  <si>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</si>
  <si>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</si>
  <si>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</si>
  <si>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</si>
  <si>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</si>
  <si>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</si>
  <si>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Energy (kWh)</t>
  </si>
  <si>
    <t>Billing Demand (kW)</t>
  </si>
  <si>
    <t>Materials and Supplies (13-Month Avg)</t>
  </si>
  <si>
    <t>Prepayments (13-Month Average)</t>
  </si>
  <si>
    <t>FAC</t>
  </si>
  <si>
    <t>ES</t>
  </si>
  <si>
    <t>$/Month</t>
  </si>
  <si>
    <t>$/KWH</t>
  </si>
  <si>
    <t>$/KW</t>
  </si>
  <si>
    <t>Summary of Cost-Based Rates</t>
  </si>
  <si>
    <t>Employee Healthcare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</si>
  <si>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</si>
  <si>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</si>
  <si>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</si>
  <si>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</si>
  <si>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</si>
  <si>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</si>
  <si>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</si>
  <si>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</si>
  <si>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</si>
  <si>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</si>
  <si>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</si>
  <si>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</si>
  <si>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</si>
  <si>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</si>
  <si>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</si>
  <si>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</si>
  <si>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</si>
  <si>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</si>
  <si>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</si>
  <si>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</si>
  <si>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</si>
  <si>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</si>
  <si>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</si>
  <si>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</si>
  <si>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</si>
  <si>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</si>
  <si>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336.4 ACSR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</si>
  <si>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</si>
  <si>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</si>
  <si>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</si>
  <si>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</si>
  <si>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</si>
  <si>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</si>
  <si>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</si>
  <si>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</si>
  <si>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</si>
  <si>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</si>
  <si>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</si>
  <si>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</si>
  <si>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</si>
  <si>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</si>
  <si>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</si>
  <si>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</si>
  <si>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</si>
  <si>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</si>
  <si>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</si>
  <si>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</si>
  <si>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</si>
  <si>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</si>
  <si>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</si>
  <si>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</si>
  <si>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JACKSON ENERGY COOPERATIVE</t>
  </si>
  <si>
    <t>Estimated ES Demand Share</t>
  </si>
  <si>
    <t>Estimated ES Energy Share</t>
  </si>
  <si>
    <t>SubTotal Demand $</t>
  </si>
  <si>
    <t>SubTotal Energy $</t>
  </si>
  <si>
    <t>SubTotal $</t>
  </si>
  <si>
    <t>SubTotal Demand %</t>
  </si>
  <si>
    <t>SubTotal Energy %</t>
  </si>
  <si>
    <t>AMORT Property Losses &amp; Unrecover</t>
  </si>
  <si>
    <t>2ACSR</t>
  </si>
  <si>
    <t>4ACSR</t>
  </si>
  <si>
    <t>4/0 ACSR</t>
  </si>
  <si>
    <t>3/0 ACSR</t>
  </si>
  <si>
    <t>1/0 ACSR</t>
  </si>
  <si>
    <t>477 ACSR</t>
  </si>
  <si>
    <t>4ACWC</t>
  </si>
  <si>
    <t>6ACWC</t>
  </si>
  <si>
    <t>8ACWC</t>
  </si>
  <si>
    <t>6 BARE COPPER</t>
  </si>
  <si>
    <t>350 MCM URD PRIMARY</t>
  </si>
  <si>
    <t>500 MCM URD PRIMARY</t>
  </si>
  <si>
    <t>2 AL CONCENTRIC URD</t>
  </si>
  <si>
    <t>1/0 7 STRAND COPPER</t>
  </si>
  <si>
    <t>1/0 15KV URD PRIMARY</t>
  </si>
  <si>
    <t>WIRE, 2/0 15KV URD PRIMARY</t>
  </si>
  <si>
    <t>TRANSFORMERS· 1.5 KVA CONV.</t>
  </si>
  <si>
    <t>TRANSFORMERS· 3 KVA CONV.</t>
  </si>
  <si>
    <t>TRANSFORMERS· 5 KVA CONV.</t>
  </si>
  <si>
    <t>TRANSFORMERS· 10 KVA CONV.</t>
  </si>
  <si>
    <t>TRANSFORMERS· 15 KVA CONV.</t>
  </si>
  <si>
    <t>TRANSFORMERS· 25 KVA CONV.</t>
  </si>
  <si>
    <t>TRANSFORMERS· 37.5 KVA CONY.</t>
  </si>
  <si>
    <t>TRANSFORMERS· 50 KVA CONV.</t>
  </si>
  <si>
    <t>TRANSFORMERS· 75 KVA CONV.</t>
  </si>
  <si>
    <t>TRANSFORMERS -167 KVA CONV.</t>
  </si>
  <si>
    <t>TRANSFORMERS· 333 KVA CONV.</t>
  </si>
  <si>
    <t>TRANSFORMERS -15 KVA CSP</t>
  </si>
  <si>
    <t>TRANSFORMERS-167 KVA PAD.</t>
  </si>
  <si>
    <t>TRANSFORMERS· 225 KVA PAD.</t>
  </si>
  <si>
    <t>TRANSFORMERS· 500 KVA PAD.</t>
  </si>
  <si>
    <t>TRANSFORMERS· 750 KVA PAD.</t>
  </si>
  <si>
    <t>TRANSFORMERS· 1500 KVA PAD.</t>
  </si>
  <si>
    <t>TRANSFORMER· 2000 KVA CONV</t>
  </si>
  <si>
    <t>TRANSFORMERS· 2,500 KVA PADMO</t>
  </si>
  <si>
    <t>TRANSFORMERS -112.5 KVA PADMOUN</t>
  </si>
  <si>
    <t>TRANSFOMERS • 300 KVA PADMOUNT</t>
  </si>
  <si>
    <t>TRANSFORMERS· 45 KVA PADMOUNT</t>
  </si>
  <si>
    <t>TRANSFORMERS-1,000 KVA PADMOUN</t>
  </si>
  <si>
    <t>TRANSFORMERS· 1 KVA CONV</t>
  </si>
  <si>
    <t>TRANSFORMERS - 75 KVA CSP</t>
  </si>
  <si>
    <t>TRANSFORMERS -15 KVA PAD</t>
  </si>
  <si>
    <t>112 KVA CONVENTIONAL TRANSFORM</t>
  </si>
  <si>
    <t>TRANSFORMER -15 KVA CONV. I B</t>
  </si>
  <si>
    <t>TRANSFORMER· 25 KVA CONV. I B</t>
  </si>
  <si>
    <t>TRANSFORMER· 37.5 KVA CONV. I</t>
  </si>
  <si>
    <t>TRANSFORMER - 50 KVA CONV. 1 B</t>
  </si>
  <si>
    <t>DOE Transf.-15 KVA PADMOUNT</t>
  </si>
  <si>
    <t>DOE Transf.-50 KVA PADMOUNT</t>
  </si>
  <si>
    <t>DOE Transf.• 75 KVA PADMOUNT</t>
  </si>
  <si>
    <t>DOE Transf.-100 KVA PADMOUNT</t>
  </si>
  <si>
    <t>DOE Transf.-167 KVA PADMOUNT</t>
  </si>
  <si>
    <t>DOE Transf.• 25 KVA PADMOUNT</t>
  </si>
  <si>
    <t>DOE TRANSF. -1000 KVA PADMOUNT</t>
  </si>
  <si>
    <t>DOE TRANSFORMER-1500 KVAPADMO</t>
  </si>
  <si>
    <t>DOE TRANSFORMER-300 KVA PADMOUN</t>
  </si>
  <si>
    <t>DOE TRANSFORMER-500 KVA PADMOUN</t>
  </si>
  <si>
    <t>DOE TRANSFORMER - 2500 KVA PADMO</t>
  </si>
  <si>
    <t>DOE TRANSFORMER-112.5 KVA PADMO</t>
  </si>
  <si>
    <t>TRANSFORMERS· 25 KVA CSP</t>
  </si>
  <si>
    <t>TRANSFORMERS· 37.5 KVA CSP</t>
  </si>
  <si>
    <t>TRANSFORMERS· 50 KVA CSP</t>
  </si>
  <si>
    <t>TRANSFORMERS· 25 KVA PADMOUNT</t>
  </si>
  <si>
    <t>TRANSFORMERS· 50 KVA PADMOUNT</t>
  </si>
  <si>
    <t>TRANSFORMERS· 75 KVA PADMOUNT</t>
  </si>
  <si>
    <t>TRANSFORMERS· 37.5 KVA PAD.</t>
  </si>
  <si>
    <t xml:space="preserve">TRANSFORMERS· 100 KVA PAD. </t>
  </si>
  <si>
    <t xml:space="preserve">TRANSFORMERS· 150 KVA PAD. </t>
  </si>
  <si>
    <t>TRANSFORMERS- 100 KVA CONV.</t>
  </si>
  <si>
    <t>TRANSFORMERS-  10 KVA CSP</t>
  </si>
  <si>
    <t>TRANSFORMERS 2500 KVA CONV.</t>
  </si>
  <si>
    <t>TRANSFORMERS 1.5 KVA CSP</t>
  </si>
  <si>
    <t>OL</t>
  </si>
  <si>
    <t>Outdoor Lighting</t>
  </si>
  <si>
    <t>Residential Off Peak ETS</t>
  </si>
  <si>
    <t>Commercial Service &lt; 50 KW</t>
  </si>
  <si>
    <t>Commercial Off Peak ETS</t>
  </si>
  <si>
    <t>Large Power Loads 50 KW and Over</t>
  </si>
  <si>
    <t>Large Power Rate 500 KW and Over</t>
  </si>
  <si>
    <t>Large Power Rate 500 kW and Over</t>
  </si>
  <si>
    <t>All Electric Schools AES</t>
  </si>
  <si>
    <t>Total Excluding ETS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</si>
  <si>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</si>
  <si>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</si>
  <si>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</si>
  <si>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</si>
  <si>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</si>
  <si>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</si>
  <si>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</si>
  <si>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</si>
  <si>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</si>
  <si>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</si>
  <si>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</si>
  <si>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</si>
  <si>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Schools, Churches, Halls &amp; Parks</t>
  </si>
  <si>
    <t>Fed Correctional In</t>
  </si>
  <si>
    <t>Manchester Memorial Hospital</t>
  </si>
  <si>
    <t>Walmart Dist. Ctr.</t>
  </si>
  <si>
    <t>B</t>
  </si>
  <si>
    <t>C</t>
  </si>
  <si>
    <t>ABC Automotive</t>
  </si>
  <si>
    <t>BPM Lumber</t>
  </si>
  <si>
    <t>Laurel Grocery Co</t>
  </si>
  <si>
    <t>Saint Joseph - London</t>
  </si>
  <si>
    <t>EKPC Rate B / JEC Rate 47</t>
  </si>
  <si>
    <t>EKPC Rate C / JEC Rate 46</t>
  </si>
  <si>
    <t>Total Demand</t>
  </si>
  <si>
    <t>Total Energy</t>
  </si>
  <si>
    <t>Subtotal Rate C</t>
  </si>
  <si>
    <t>Subtotal Rate B</t>
  </si>
  <si>
    <t>.</t>
  </si>
  <si>
    <t>To Remove Expenses Recoverable through the ES (Energy)</t>
  </si>
  <si>
    <t>Share of</t>
  </si>
  <si>
    <t>Analysis of EKPC Bills Other Than E-2</t>
  </si>
  <si>
    <t>&lt;reserved&gt;</t>
  </si>
  <si>
    <t>Year End Customers</t>
  </si>
  <si>
    <t>Retirement Plan &amp; 401(k)</t>
  </si>
  <si>
    <t>Board of Directors Fees</t>
  </si>
  <si>
    <t>Employee Life Insurance Premiums</t>
  </si>
  <si>
    <t>Wages &amp; Salaries</t>
  </si>
  <si>
    <t>Depreciation Expense</t>
  </si>
  <si>
    <t>Cost-Based Rates</t>
  </si>
  <si>
    <t>Reported</t>
  </si>
  <si>
    <t>Variance</t>
  </si>
  <si>
    <t xml:space="preserve">  Distribution</t>
  </si>
  <si>
    <t>WIRE, 556.5 ACSR</t>
  </si>
  <si>
    <t>TRANSFORMER -10 KVA CONV. I B</t>
  </si>
  <si>
    <t>20KVA PORTABLE TRANSFORMER</t>
  </si>
  <si>
    <t>DOE TRANSFORMER-25 KVA CONV-1B</t>
  </si>
  <si>
    <t>DOE Transf.-37.5KVA CONV 2 BUSH</t>
  </si>
  <si>
    <t>DOE Transf.-750KVA PADMOUNT</t>
  </si>
  <si>
    <t>DOE Transf.•10 KVA CONV 1B</t>
  </si>
  <si>
    <t>DOE Transf.•15 KVA CONV 1B</t>
  </si>
  <si>
    <t>DOE Transf.•50 KVA CONV 1B</t>
  </si>
  <si>
    <t>DOE Transf.•10 KVA CONV 2B</t>
  </si>
  <si>
    <t>DOE Transf.•15 KVA CONV 2B</t>
  </si>
  <si>
    <t>DOE Transf.•50 KVA CONV 2B</t>
  </si>
  <si>
    <t>DOE Transf.•75 KVA CONV 2B</t>
  </si>
  <si>
    <t>DOE Transf.•100 KVA CONV 2B</t>
  </si>
  <si>
    <t>DOE Transf.•167 KVA CONV 2B</t>
  </si>
  <si>
    <t>DOE Transf.• 250 KVA CONV 2B</t>
  </si>
  <si>
    <t>DOE Transf.-25 KVA CONV 2B</t>
  </si>
  <si>
    <t>Fresh Start Homes LLC</t>
  </si>
  <si>
    <t>Chapin International, Inc.</t>
  </si>
  <si>
    <t>CD</t>
  </si>
  <si>
    <t>Umine - Clover Bottom</t>
  </si>
  <si>
    <t>Subtotal Rate CD</t>
  </si>
  <si>
    <t>Interruptible Credit</t>
  </si>
  <si>
    <t>Total B</t>
  </si>
  <si>
    <t>Total C</t>
  </si>
  <si>
    <t>Total CD</t>
  </si>
  <si>
    <t>Total 47</t>
  </si>
  <si>
    <t>Total 46</t>
  </si>
  <si>
    <t>Total C plus CD</t>
  </si>
  <si>
    <t>Check</t>
  </si>
  <si>
    <t>Cumberland Cooperage LLC</t>
  </si>
  <si>
    <t>DAC LLC</t>
  </si>
  <si>
    <t>Demand Charge Contract</t>
  </si>
  <si>
    <t>EDR Credit</t>
  </si>
  <si>
    <t>ExoticRidge Crypto Company LLC</t>
  </si>
  <si>
    <t>BlockZ Holdings, LLC - Green Hall</t>
  </si>
  <si>
    <t>BlockZ Holdings, LLC</t>
  </si>
  <si>
    <t>Umine, LLC / BlockZ Holdings LLC</t>
  </si>
  <si>
    <t>Umine - McCammon Ridge / Big Sur Group, Inc.</t>
  </si>
  <si>
    <t>Total PFAs</t>
  </si>
  <si>
    <t>Target</t>
  </si>
  <si>
    <t>Donations, Promotional Advertising, &amp; Dues</t>
  </si>
  <si>
    <t>Interest</t>
  </si>
  <si>
    <t>GTCC</t>
  </si>
  <si>
    <t>reserved</t>
  </si>
  <si>
    <t>Reserved</t>
  </si>
  <si>
    <t>Proposed Increase</t>
  </si>
  <si>
    <t>Rev Req</t>
  </si>
  <si>
    <t>Divisors</t>
  </si>
  <si>
    <t>Two Part Rate</t>
  </si>
  <si>
    <t>Customer Charge</t>
  </si>
  <si>
    <t>Three Part Rate</t>
  </si>
  <si>
    <t>Purchased Power Energy Cost $/KWH</t>
  </si>
  <si>
    <t>After Proposed Rates</t>
  </si>
  <si>
    <t xml:space="preserve">Rate of Return </t>
  </si>
  <si>
    <t>Unitized Return</t>
  </si>
  <si>
    <t xml:space="preserve">Share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</si>
</sst>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0.0%"/>
    <numFmt numFmtId="182" formatCode="0.00000"/>
  </numFmts>
  <fonts count="15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8"/>
      <name val="Times New Roman"/>
      <family val="1"/>
    </font>
    <font>
      <sz val="10"/>
      <color rgb="FF7030A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u val="singleAccounting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/>
    <xf numFmtId="167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77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77" fontId="4" fillId="0" borderId="2" xfId="1" applyNumberFormat="1" applyFont="1" applyBorder="1" applyAlignment="1">
      <alignment horizontal="left"/>
    </xf>
    <xf numFmtId="177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166" fontId="5" fillId="0" borderId="0" xfId="1" applyNumberFormat="1" applyFont="1"/>
    <xf numFmtId="43" fontId="5" fillId="0" borderId="0" xfId="1" applyFont="1"/>
    <xf numFmtId="44" fontId="5" fillId="0" borderId="0" xfId="2" applyFont="1"/>
    <xf numFmtId="0" fontId="5" fillId="0" borderId="3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6" fontId="4" fillId="0" borderId="2" xfId="1" applyNumberFormat="1" applyFont="1" applyBorder="1" applyAlignment="1">
      <alignment horizontal="right"/>
    </xf>
    <xf numFmtId="177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6" fontId="5" fillId="0" borderId="0" xfId="0" applyNumberFormat="1" applyFont="1"/>
    <xf numFmtId="44" fontId="5" fillId="0" borderId="3" xfId="0" applyNumberFormat="1" applyFont="1" applyBorder="1"/>
    <xf numFmtId="166" fontId="5" fillId="0" borderId="3" xfId="1" applyNumberFormat="1" applyFont="1" applyBorder="1"/>
    <xf numFmtId="171" fontId="5" fillId="0" borderId="0" xfId="1" applyNumberFormat="1" applyFont="1"/>
    <xf numFmtId="170" fontId="5" fillId="0" borderId="0" xfId="1" applyNumberFormat="1" applyFont="1"/>
    <xf numFmtId="177" fontId="5" fillId="0" borderId="0" xfId="1" applyNumberFormat="1" applyFont="1"/>
    <xf numFmtId="165" fontId="5" fillId="0" borderId="0" xfId="2" applyNumberFormat="1" applyFont="1"/>
    <xf numFmtId="168" fontId="5" fillId="0" borderId="0" xfId="0" applyNumberFormat="1" applyFont="1"/>
    <xf numFmtId="10" fontId="5" fillId="0" borderId="4" xfId="3" applyNumberFormat="1" applyFont="1" applyBorder="1"/>
    <xf numFmtId="10" fontId="5" fillId="0" borderId="5" xfId="0" applyNumberFormat="1" applyFont="1" applyBorder="1"/>
    <xf numFmtId="10" fontId="5" fillId="0" borderId="0" xfId="0" applyNumberFormat="1" applyFont="1"/>
    <xf numFmtId="43" fontId="5" fillId="0" borderId="0" xfId="1" applyFont="1" applyFill="1"/>
    <xf numFmtId="172" fontId="5" fillId="0" borderId="0" xfId="1" applyNumberFormat="1" applyFont="1" applyFill="1"/>
    <xf numFmtId="166" fontId="5" fillId="0" borderId="0" xfId="1" applyNumberFormat="1" applyFont="1" applyFill="1"/>
    <xf numFmtId="43" fontId="4" fillId="0" borderId="0" xfId="1" applyFont="1" applyFill="1" applyBorder="1" applyAlignment="1">
      <alignment horizontal="center"/>
    </xf>
    <xf numFmtId="166" fontId="4" fillId="0" borderId="0" xfId="1" applyNumberFormat="1" applyFont="1" applyFill="1" applyBorder="1" applyAlignment="1"/>
    <xf numFmtId="43" fontId="4" fillId="0" borderId="0" xfId="1" applyFont="1" applyFill="1" applyBorder="1" applyAlignment="1">
      <alignment horizontal="right"/>
    </xf>
    <xf numFmtId="172" fontId="5" fillId="0" borderId="0" xfId="1" applyNumberFormat="1" applyFont="1" applyFill="1" applyBorder="1" applyAlignment="1">
      <alignment horizontal="center" wrapText="1"/>
    </xf>
    <xf numFmtId="166" fontId="4" fillId="0" borderId="0" xfId="1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 wrapText="1"/>
    </xf>
    <xf numFmtId="172" fontId="5" fillId="0" borderId="0" xfId="1" applyNumberFormat="1" applyFont="1" applyFill="1" applyAlignment="1">
      <alignment horizontal="center"/>
    </xf>
    <xf numFmtId="43" fontId="4" fillId="0" borderId="0" xfId="1" applyFont="1" applyFill="1" applyAlignment="1">
      <alignment horizontal="right"/>
    </xf>
    <xf numFmtId="166" fontId="4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172" fontId="4" fillId="0" borderId="1" xfId="1" applyNumberFormat="1" applyFont="1" applyFill="1" applyBorder="1" applyAlignment="1">
      <alignment horizontal="right"/>
    </xf>
    <xf numFmtId="165" fontId="5" fillId="0" borderId="0" xfId="2" applyNumberFormat="1" applyFont="1" applyFill="1"/>
    <xf numFmtId="10" fontId="5" fillId="0" borderId="0" xfId="3" applyNumberFormat="1" applyFont="1" applyFill="1"/>
    <xf numFmtId="165" fontId="5" fillId="0" borderId="0" xfId="2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5" fontId="5" fillId="0" borderId="6" xfId="2" applyNumberFormat="1" applyFont="1" applyFill="1" applyBorder="1" applyAlignment="1">
      <alignment vertical="center"/>
    </xf>
    <xf numFmtId="10" fontId="5" fillId="0" borderId="6" xfId="3" applyNumberFormat="1" applyFont="1" applyFill="1" applyBorder="1" applyAlignment="1">
      <alignment vertical="center"/>
    </xf>
    <xf numFmtId="43" fontId="5" fillId="0" borderId="6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2" applyFont="1" applyFill="1" applyBorder="1"/>
    <xf numFmtId="10" fontId="5" fillId="0" borderId="0" xfId="3" applyNumberFormat="1" applyFont="1" applyFill="1" applyBorder="1"/>
    <xf numFmtId="43" fontId="5" fillId="0" borderId="0" xfId="1" applyFont="1" applyFill="1" applyBorder="1" applyAlignment="1">
      <alignment horizontal="right"/>
    </xf>
    <xf numFmtId="43" fontId="5" fillId="0" borderId="0" xfId="1" applyFont="1" applyFill="1" applyAlignment="1">
      <alignment horizontal="right"/>
    </xf>
    <xf numFmtId="172" fontId="5" fillId="0" borderId="0" xfId="1" applyNumberFormat="1" applyFont="1" applyFill="1" applyBorder="1" applyAlignment="1">
      <alignment horizontal="right"/>
    </xf>
    <xf numFmtId="43" fontId="5" fillId="0" borderId="0" xfId="0" applyNumberFormat="1" applyFont="1"/>
    <xf numFmtId="166" fontId="5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2" fontId="5" fillId="0" borderId="0" xfId="0" applyNumberFormat="1" applyFont="1"/>
    <xf numFmtId="165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169" fontId="5" fillId="0" borderId="0" xfId="0" applyNumberFormat="1" applyFont="1"/>
    <xf numFmtId="169" fontId="5" fillId="0" borderId="0" xfId="1" applyNumberFormat="1" applyFont="1" applyFill="1"/>
    <xf numFmtId="169" fontId="5" fillId="0" borderId="0" xfId="0" applyNumberFormat="1" applyFont="1" applyAlignment="1">
      <alignment horizontal="centerContinuous"/>
    </xf>
    <xf numFmtId="166" fontId="5" fillId="0" borderId="0" xfId="1" applyNumberFormat="1" applyFont="1" applyFill="1" applyAlignment="1">
      <alignment horizontal="centerContinuous"/>
    </xf>
    <xf numFmtId="171" fontId="5" fillId="0" borderId="0" xfId="1" applyNumberFormat="1" applyFont="1" applyFill="1"/>
    <xf numFmtId="165" fontId="5" fillId="0" borderId="3" xfId="2" applyNumberFormat="1" applyFont="1" applyFill="1" applyBorder="1"/>
    <xf numFmtId="165" fontId="5" fillId="0" borderId="3" xfId="2" applyNumberFormat="1" applyFont="1" applyBorder="1"/>
    <xf numFmtId="10" fontId="4" fillId="0" borderId="9" xfId="3" applyNumberFormat="1" applyFont="1" applyFill="1" applyBorder="1"/>
    <xf numFmtId="165" fontId="5" fillId="0" borderId="3" xfId="0" applyNumberFormat="1" applyFont="1" applyBorder="1"/>
    <xf numFmtId="172" fontId="5" fillId="0" borderId="0" xfId="0" applyNumberFormat="1" applyFont="1"/>
    <xf numFmtId="167" fontId="5" fillId="0" borderId="0" xfId="0" applyNumberFormat="1" applyFont="1"/>
    <xf numFmtId="164" fontId="5" fillId="0" borderId="0" xfId="2" applyNumberFormat="1" applyFont="1" applyFill="1"/>
    <xf numFmtId="164" fontId="5" fillId="0" borderId="0" xfId="0" applyNumberFormat="1" applyFont="1"/>
    <xf numFmtId="0" fontId="7" fillId="0" borderId="0" xfId="0" applyFont="1"/>
    <xf numFmtId="172" fontId="8" fillId="0" borderId="0" xfId="0" applyNumberFormat="1" applyFont="1" applyAlignment="1">
      <alignment vertical="center"/>
    </xf>
    <xf numFmtId="176" fontId="5" fillId="0" borderId="0" xfId="0" applyNumberFormat="1" applyFont="1"/>
    <xf numFmtId="172" fontId="8" fillId="0" borderId="0" xfId="0" applyNumberFormat="1" applyFont="1"/>
    <xf numFmtId="43" fontId="8" fillId="0" borderId="0" xfId="1" applyFont="1" applyFill="1"/>
    <xf numFmtId="172" fontId="5" fillId="0" borderId="0" xfId="0" applyNumberFormat="1" applyFont="1" applyAlignment="1">
      <alignment vertical="center"/>
    </xf>
    <xf numFmtId="178" fontId="5" fillId="0" borderId="0" xfId="0" applyNumberFormat="1" applyFont="1"/>
    <xf numFmtId="171" fontId="5" fillId="0" borderId="0" xfId="0" applyNumberFormat="1" applyFont="1"/>
    <xf numFmtId="10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166" fontId="5" fillId="0" borderId="0" xfId="1" applyNumberFormat="1" applyFont="1" applyFill="1" applyAlignment="1">
      <alignment horizontal="right"/>
    </xf>
    <xf numFmtId="1" fontId="5" fillId="0" borderId="0" xfId="0" applyNumberFormat="1" applyFont="1"/>
    <xf numFmtId="166" fontId="5" fillId="0" borderId="0" xfId="1" applyNumberFormat="1" applyFont="1" applyFill="1" applyAlignment="1"/>
    <xf numFmtId="166" fontId="5" fillId="0" borderId="0" xfId="3" applyNumberFormat="1" applyFont="1" applyFill="1" applyAlignment="1"/>
    <xf numFmtId="165" fontId="5" fillId="0" borderId="0" xfId="2" applyNumberFormat="1" applyFont="1" applyFill="1" applyAlignment="1"/>
    <xf numFmtId="9" fontId="5" fillId="0" borderId="0" xfId="3" applyFont="1" applyFill="1"/>
    <xf numFmtId="166" fontId="5" fillId="0" borderId="3" xfId="1" applyNumberFormat="1" applyFont="1" applyFill="1" applyBorder="1" applyAlignment="1"/>
    <xf numFmtId="165" fontId="5" fillId="0" borderId="3" xfId="2" applyNumberFormat="1" applyFont="1" applyFill="1" applyBorder="1" applyAlignment="1"/>
    <xf numFmtId="10" fontId="5" fillId="0" borderId="3" xfId="3" applyNumberFormat="1" applyFont="1" applyFill="1" applyBorder="1"/>
    <xf numFmtId="44" fontId="5" fillId="0" borderId="0" xfId="2" applyFont="1" applyFill="1"/>
    <xf numFmtId="166" fontId="4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left"/>
    </xf>
    <xf numFmtId="166" fontId="9" fillId="0" borderId="0" xfId="1" applyNumberFormat="1" applyFont="1" applyFill="1" applyAlignment="1">
      <alignment horizontal="center"/>
    </xf>
    <xf numFmtId="180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right"/>
    </xf>
    <xf numFmtId="166" fontId="5" fillId="0" borderId="0" xfId="0" applyNumberFormat="1" applyFont="1" applyAlignment="1">
      <alignment horizontal="center"/>
    </xf>
    <xf numFmtId="166" fontId="5" fillId="0" borderId="0" xfId="3" applyNumberFormat="1" applyFont="1" applyFill="1" applyAlignment="1">
      <alignment horizontal="right"/>
    </xf>
    <xf numFmtId="179" fontId="6" fillId="0" borderId="0" xfId="0" applyNumberFormat="1" applyFont="1" applyAlignment="1">
      <alignment horizontal="center"/>
    </xf>
    <xf numFmtId="179" fontId="4" fillId="0" borderId="0" xfId="0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0" fontId="5" fillId="0" borderId="10" xfId="0" applyFont="1" applyBorder="1" applyAlignment="1">
      <alignment horizontal="right"/>
    </xf>
    <xf numFmtId="165" fontId="5" fillId="0" borderId="0" xfId="3" applyNumberFormat="1" applyFont="1"/>
    <xf numFmtId="43" fontId="4" fillId="0" borderId="0" xfId="1" applyFont="1"/>
    <xf numFmtId="9" fontId="5" fillId="0" borderId="0" xfId="3" applyFont="1"/>
    <xf numFmtId="0" fontId="4" fillId="0" borderId="1" xfId="0" applyFont="1" applyBorder="1" applyAlignment="1">
      <alignment horizontal="center" wrapText="1"/>
    </xf>
    <xf numFmtId="0" fontId="5" fillId="0" borderId="0" xfId="1" applyNumberFormat="1" applyFont="1" applyFill="1" applyAlignment="1">
      <alignment horizontal="center"/>
    </xf>
    <xf numFmtId="165" fontId="5" fillId="0" borderId="0" xfId="2" applyNumberFormat="1" applyFont="1" applyFill="1" applyAlignment="1">
      <alignment horizontal="right"/>
    </xf>
    <xf numFmtId="10" fontId="5" fillId="0" borderId="0" xfId="3" applyNumberFormat="1" applyFont="1" applyFill="1" applyAlignment="1">
      <alignment horizontal="right"/>
    </xf>
    <xf numFmtId="0" fontId="5" fillId="0" borderId="6" xfId="0" applyFont="1" applyBorder="1"/>
    <xf numFmtId="166" fontId="5" fillId="0" borderId="6" xfId="1" applyNumberFormat="1" applyFont="1" applyFill="1" applyBorder="1" applyAlignment="1">
      <alignment horizontal="center"/>
    </xf>
    <xf numFmtId="166" fontId="5" fillId="0" borderId="6" xfId="1" applyNumberFormat="1" applyFont="1" applyFill="1" applyBorder="1"/>
    <xf numFmtId="44" fontId="5" fillId="0" borderId="6" xfId="2" applyFont="1" applyFill="1" applyBorder="1"/>
    <xf numFmtId="165" fontId="5" fillId="0" borderId="6" xfId="0" applyNumberFormat="1" applyFont="1" applyBorder="1"/>
    <xf numFmtId="10" fontId="5" fillId="0" borderId="6" xfId="0" applyNumberFormat="1" applyFont="1" applyBorder="1"/>
    <xf numFmtId="166" fontId="5" fillId="0" borderId="0" xfId="1" applyNumberFormat="1" applyFont="1" applyFill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/>
    <xf numFmtId="165" fontId="5" fillId="0" borderId="0" xfId="2" applyNumberFormat="1" applyFont="1" applyFill="1" applyAlignment="1">
      <alignment horizontal="center"/>
    </xf>
    <xf numFmtId="166" fontId="5" fillId="0" borderId="6" xfId="1" applyNumberFormat="1" applyFont="1" applyFill="1" applyBorder="1" applyAlignment="1">
      <alignment horizontal="right"/>
    </xf>
    <xf numFmtId="44" fontId="5" fillId="0" borderId="6" xfId="2" applyFont="1" applyFill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0" fontId="5" fillId="0" borderId="6" xfId="0" applyNumberFormat="1" applyFont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70" fontId="5" fillId="0" borderId="0" xfId="1" applyNumberFormat="1" applyFont="1" applyFill="1"/>
    <xf numFmtId="166" fontId="5" fillId="0" borderId="3" xfId="1" applyNumberFormat="1" applyFont="1" applyFill="1" applyBorder="1"/>
    <xf numFmtId="10" fontId="4" fillId="0" borderId="4" xfId="3" applyNumberFormat="1" applyFont="1" applyFill="1" applyBorder="1"/>
    <xf numFmtId="43" fontId="8" fillId="0" borderId="0" xfId="1" applyFont="1" applyFill="1" applyAlignment="1">
      <alignment vertical="center"/>
    </xf>
    <xf numFmtId="9" fontId="5" fillId="0" borderId="0" xfId="0" applyNumberFormat="1" applyFont="1"/>
    <xf numFmtId="0" fontId="5" fillId="0" borderId="3" xfId="0" applyFont="1" applyBorder="1"/>
    <xf numFmtId="44" fontId="5" fillId="0" borderId="0" xfId="0" applyNumberFormat="1" applyFont="1"/>
    <xf numFmtId="172" fontId="4" fillId="0" borderId="0" xfId="1" applyNumberFormat="1" applyFont="1" applyFill="1" applyBorder="1" applyAlignment="1">
      <alignment horizontal="center"/>
    </xf>
    <xf numFmtId="43" fontId="5" fillId="0" borderId="0" xfId="1" applyFont="1" applyFill="1" applyBorder="1"/>
    <xf numFmtId="166" fontId="5" fillId="0" borderId="0" xfId="1" applyNumberFormat="1" applyFont="1" applyBorder="1"/>
    <xf numFmtId="165" fontId="5" fillId="0" borderId="0" xfId="2" applyNumberFormat="1" applyFont="1" applyAlignment="1">
      <alignment horizontal="center"/>
    </xf>
    <xf numFmtId="165" fontId="5" fillId="0" borderId="0" xfId="2" applyNumberFormat="1" applyFont="1" applyBorder="1"/>
    <xf numFmtId="9" fontId="4" fillId="0" borderId="0" xfId="3" applyFont="1"/>
    <xf numFmtId="171" fontId="5" fillId="0" borderId="0" xfId="1" applyNumberFormat="1" applyFont="1" applyFill="1" applyBorder="1"/>
    <xf numFmtId="171" fontId="5" fillId="0" borderId="0" xfId="1" applyNumberFormat="1" applyFont="1" applyFill="1" applyBorder="1" applyAlignment="1">
      <alignment horizontal="right"/>
    </xf>
    <xf numFmtId="0" fontId="5" fillId="3" borderId="0" xfId="0" applyFont="1" applyFill="1"/>
    <xf numFmtId="166" fontId="5" fillId="3" borderId="0" xfId="1" applyNumberFormat="1" applyFont="1" applyFill="1" applyBorder="1"/>
    <xf numFmtId="43" fontId="5" fillId="0" borderId="1" xfId="1" applyFont="1" applyFill="1" applyBorder="1" applyAlignment="1">
      <alignment horizontal="center"/>
    </xf>
    <xf numFmtId="43" fontId="5" fillId="0" borderId="1" xfId="1" applyFont="1" applyFill="1" applyBorder="1" applyAlignment="1">
      <alignment horizontal="right"/>
    </xf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66" fontId="5" fillId="0" borderId="0" xfId="1" applyNumberFormat="1" applyFont="1" applyFill="1" applyAlignment="1">
      <alignment wrapText="1"/>
    </xf>
    <xf numFmtId="166" fontId="7" fillId="0" borderId="0" xfId="1" applyNumberFormat="1" applyFont="1" applyFill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166" fontId="4" fillId="0" borderId="0" xfId="1" applyNumberFormat="1" applyFont="1" applyFill="1"/>
    <xf numFmtId="43" fontId="4" fillId="0" borderId="0" xfId="1" applyFont="1" applyFill="1" applyBorder="1"/>
    <xf numFmtId="10" fontId="4" fillId="0" borderId="0" xfId="3" applyNumberFormat="1" applyFont="1" applyFill="1" applyBorder="1"/>
    <xf numFmtId="175" fontId="5" fillId="0" borderId="0" xfId="0" applyNumberFormat="1" applyFont="1"/>
    <xf numFmtId="174" fontId="5" fillId="0" borderId="0" xfId="0" applyNumberFormat="1" applyFont="1"/>
    <xf numFmtId="173" fontId="5" fillId="0" borderId="0" xfId="0" applyNumberFormat="1" applyFont="1"/>
    <xf numFmtId="10" fontId="5" fillId="0" borderId="0" xfId="0" applyNumberFormat="1" applyFont="1" applyAlignment="1">
      <alignment horizontal="left"/>
    </xf>
    <xf numFmtId="44" fontId="5" fillId="0" borderId="0" xfId="2" applyFont="1" applyAlignment="1">
      <alignment horizontal="right"/>
    </xf>
    <xf numFmtId="181" fontId="5" fillId="0" borderId="0" xfId="3" applyNumberFormat="1" applyFont="1" applyFill="1"/>
    <xf numFmtId="165" fontId="4" fillId="0" borderId="10" xfId="2" applyNumberFormat="1" applyFont="1" applyBorder="1" applyAlignment="1">
      <alignment horizontal="center"/>
    </xf>
    <xf numFmtId="43" fontId="4" fillId="0" borderId="0" xfId="1" applyFont="1" applyFill="1" applyAlignment="1">
      <alignment horizontal="center"/>
    </xf>
    <xf numFmtId="0" fontId="11" fillId="0" borderId="0" xfId="0" applyFont="1"/>
    <xf numFmtId="165" fontId="5" fillId="4" borderId="0" xfId="2" applyNumberFormat="1" applyFont="1" applyFill="1"/>
    <xf numFmtId="165" fontId="5" fillId="4" borderId="0" xfId="0" applyNumberFormat="1" applyFont="1" applyFill="1"/>
    <xf numFmtId="10" fontId="5" fillId="0" borderId="0" xfId="3" applyNumberFormat="1" applyFont="1"/>
    <xf numFmtId="182" fontId="5" fillId="0" borderId="0" xfId="0" applyNumberFormat="1" applyFont="1"/>
    <xf numFmtId="43" fontId="5" fillId="0" borderId="0" xfId="1" applyFont="1" applyFill="1" applyAlignment="1">
      <alignment horizontal="center"/>
    </xf>
    <xf numFmtId="181" fontId="5" fillId="0" borderId="0" xfId="1" applyNumberFormat="1" applyFont="1" applyFill="1"/>
    <xf numFmtId="181" fontId="5" fillId="0" borderId="0" xfId="3" applyNumberFormat="1" applyFont="1" applyFill="1" applyAlignment="1">
      <alignment horizontal="right"/>
    </xf>
    <xf numFmtId="181" fontId="5" fillId="0" borderId="6" xfId="3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43" fontId="12" fillId="0" borderId="1" xfId="1" applyFont="1" applyFill="1" applyBorder="1" applyAlignment="1">
      <alignment horizontal="right"/>
    </xf>
    <xf numFmtId="0" fontId="13" fillId="0" borderId="0" xfId="0" applyFont="1"/>
    <xf numFmtId="166" fontId="13" fillId="0" borderId="0" xfId="1" applyNumberFormat="1" applyFont="1" applyFill="1"/>
    <xf numFmtId="10" fontId="13" fillId="0" borderId="0" xfId="3" applyNumberFormat="1" applyFont="1" applyFill="1"/>
    <xf numFmtId="43" fontId="13" fillId="0" borderId="0" xfId="1" applyFont="1" applyFill="1"/>
    <xf numFmtId="10" fontId="13" fillId="0" borderId="6" xfId="3" applyNumberFormat="1" applyFont="1" applyFill="1" applyBorder="1" applyAlignment="1">
      <alignment vertical="center"/>
    </xf>
    <xf numFmtId="43" fontId="13" fillId="0" borderId="6" xfId="1" applyFont="1" applyFill="1" applyBorder="1" applyAlignment="1">
      <alignment vertical="center"/>
    </xf>
    <xf numFmtId="166" fontId="14" fillId="0" borderId="0" xfId="1" applyNumberFormat="1" applyFont="1" applyFill="1" applyAlignment="1">
      <alignment horizontal="right"/>
    </xf>
    <xf numFmtId="43" fontId="5" fillId="0" borderId="0" xfId="0" applyNumberFormat="1" applyFont="1" applyAlignment="1">
      <alignment vertical="center"/>
    </xf>
    <xf numFmtId="43" fontId="5" fillId="0" borderId="0" xfId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166" fontId="5" fillId="0" borderId="3" xfId="0" applyNumberFormat="1" applyFont="1" applyBorder="1"/>
    <xf numFmtId="0" fontId="8" fillId="0" borderId="0" xfId="0" applyFont="1"/>
    <xf numFmtId="4" fontId="5" fillId="0" borderId="0" xfId="0" applyNumberFormat="1" applyFont="1"/>
    <xf numFmtId="1" fontId="4" fillId="0" borderId="0" xfId="0" applyNumberFormat="1" applyFont="1" applyAlignment="1">
      <alignment horizontal="center"/>
    </xf>
    <xf numFmtId="43" fontId="5" fillId="0" borderId="0" xfId="1" applyFont="1" applyBorder="1"/>
    <xf numFmtId="43" fontId="12" fillId="0" borderId="1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horizontal="center" vertical="center"/>
    </xf>
    <xf numFmtId="43" fontId="5" fillId="0" borderId="1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77" fontId="5" fillId="0" borderId="0" xfId="1" applyNumberFormat="1" applyFont="1" applyFill="1" applyBorder="1"/>
  </cellXfs>
  <cellStyles count="6">
    <cellStyle name="Comma" xfId="1" builtinId="3"/>
    <cellStyle name="Comma 2" xfId="5" xr:uid="{260835F3-8734-43D5-A0E1-F0FEBFDFFFCA}"/>
    <cellStyle name="Currency" xfId="2" builtinId="4"/>
    <cellStyle name="Normal" xfId="0" builtinId="0"/>
    <cellStyle name="Normal 2" xfId="4" xr:uid="{87EF33A2-A890-4895-98EA-14F50D517B36}"/>
    <cellStyle name="Percent" xfId="3" builtinId="5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ndense val="0"/>
        <extend val="0"/>
        <color rgb="FF9C0006"/>
      </font>
    </dxf>
    <dxf>
      <font>
        <color theme="6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1"/>
  <sheetViews>
    <sheetView tabSelected="1" view="pageBreakPreview" zoomScaleNormal="120" zoomScaleSheetLayoutView="100" workbookViewId="0">
      <selection activeCell="L9" sqref="L9"/>
    </sheetView>
  </sheetViews>
  <sheetFormatPr defaultColWidth="9.140625" defaultRowHeight="12.75" x14ac:dyDescent="0.2"/>
  <cols>
    <col min="1" max="1" width="4.42578125" style="14" customWidth="1"/>
    <col min="2" max="2" width="31.7109375" style="31" bestFit="1" customWidth="1"/>
    <col min="3" max="3" width="6.85546875" style="48" bestFit="1" customWidth="1"/>
    <col min="4" max="4" width="14.140625" style="48" customWidth="1"/>
    <col min="5" max="5" width="15.28515625" style="48" customWidth="1"/>
    <col min="6" max="6" width="13.7109375" style="49" customWidth="1"/>
    <col min="7" max="7" width="14.85546875" style="14" customWidth="1"/>
    <col min="8" max="8" width="14.28515625" style="50" bestFit="1" customWidth="1"/>
    <col min="9" max="9" width="15.28515625" style="50" customWidth="1"/>
    <col min="10" max="10" width="25.28515625" style="14" customWidth="1"/>
    <col min="11" max="11" width="18.5703125" style="50" customWidth="1"/>
    <col min="12" max="12" width="16.28515625" style="50" customWidth="1"/>
    <col min="13" max="13" width="15.7109375" style="14" customWidth="1"/>
    <col min="14" max="14" width="14" style="14" bestFit="1" customWidth="1"/>
    <col min="15" max="16" width="9.28515625" style="14" bestFit="1" customWidth="1"/>
    <col min="17" max="16384" width="9.140625" style="14"/>
  </cols>
  <sheetData>
    <row r="1" spans="1:16" x14ac:dyDescent="0.2">
      <c r="A1" s="13" t="s">
        <v>1024</v>
      </c>
    </row>
    <row r="2" spans="1:16" x14ac:dyDescent="0.2">
      <c r="A2" s="13" t="s">
        <v>676</v>
      </c>
      <c r="C2" s="51"/>
      <c r="D2" s="51"/>
      <c r="E2" s="51"/>
      <c r="F2" s="51"/>
      <c r="H2" s="52"/>
      <c r="I2" s="52"/>
      <c r="K2" s="52"/>
      <c r="L2" s="52"/>
      <c r="M2" s="52"/>
    </row>
    <row r="3" spans="1:16" x14ac:dyDescent="0.2">
      <c r="A3" s="13"/>
      <c r="C3" s="13"/>
      <c r="D3" s="53"/>
      <c r="E3" s="53"/>
      <c r="F3" s="54"/>
      <c r="H3" s="55"/>
      <c r="I3" s="56"/>
      <c r="K3" s="52"/>
      <c r="L3" s="52"/>
      <c r="M3" s="52"/>
    </row>
    <row r="4" spans="1:16" x14ac:dyDescent="0.2">
      <c r="F4" s="57"/>
      <c r="K4" s="52"/>
      <c r="L4" s="52"/>
      <c r="M4" s="52"/>
    </row>
    <row r="5" spans="1:16" x14ac:dyDescent="0.2">
      <c r="A5" s="13"/>
      <c r="B5" s="16"/>
      <c r="C5" s="58"/>
      <c r="D5" s="58"/>
      <c r="E5" s="58"/>
      <c r="F5" s="58"/>
      <c r="G5" s="58"/>
      <c r="I5" s="49"/>
      <c r="K5" s="52"/>
      <c r="L5" s="52"/>
      <c r="M5" s="52"/>
    </row>
    <row r="6" spans="1:16" s="16" customFormat="1" x14ac:dyDescent="0.2">
      <c r="C6" s="58"/>
      <c r="D6" s="58" t="s">
        <v>907</v>
      </c>
      <c r="E6" s="58" t="s">
        <v>907</v>
      </c>
      <c r="F6" s="58"/>
      <c r="H6" s="58" t="s">
        <v>907</v>
      </c>
      <c r="I6" s="58" t="s">
        <v>954</v>
      </c>
      <c r="K6" s="52"/>
      <c r="L6" s="52"/>
      <c r="M6" s="52"/>
    </row>
    <row r="7" spans="1:16" s="16" customFormat="1" x14ac:dyDescent="0.2">
      <c r="C7" s="58"/>
      <c r="D7" s="58" t="s">
        <v>675</v>
      </c>
      <c r="E7" s="58" t="s">
        <v>675</v>
      </c>
      <c r="F7" s="61"/>
      <c r="G7" s="24"/>
      <c r="H7" s="24" t="s">
        <v>334</v>
      </c>
      <c r="I7" s="24" t="s">
        <v>334</v>
      </c>
      <c r="K7" s="52"/>
      <c r="L7" s="52"/>
      <c r="M7" s="52"/>
    </row>
    <row r="8" spans="1:16" s="16" customFormat="1" ht="13.5" thickBot="1" x14ac:dyDescent="0.25">
      <c r="A8" s="62" t="s">
        <v>960</v>
      </c>
      <c r="B8" s="63" t="s">
        <v>753</v>
      </c>
      <c r="C8" s="63" t="s">
        <v>870</v>
      </c>
      <c r="D8" s="64" t="s">
        <v>348</v>
      </c>
      <c r="E8" s="64" t="s">
        <v>674</v>
      </c>
      <c r="F8" s="64" t="s">
        <v>347</v>
      </c>
      <c r="G8" s="65" t="s">
        <v>76</v>
      </c>
      <c r="H8" s="64" t="s">
        <v>868</v>
      </c>
      <c r="I8" s="64" t="s">
        <v>868</v>
      </c>
      <c r="J8" s="60"/>
      <c r="K8" s="52"/>
      <c r="L8" s="52"/>
      <c r="M8" s="52"/>
    </row>
    <row r="9" spans="1:16" x14ac:dyDescent="0.2">
      <c r="A9" s="31"/>
      <c r="B9" s="13"/>
      <c r="C9" s="16"/>
      <c r="F9" s="48"/>
      <c r="G9" s="49"/>
      <c r="H9" s="14"/>
      <c r="I9" s="59"/>
      <c r="J9" s="60"/>
      <c r="K9" s="52"/>
      <c r="L9" s="52"/>
      <c r="M9" s="52"/>
      <c r="N9" s="16"/>
      <c r="O9" s="16"/>
      <c r="P9" s="16"/>
    </row>
    <row r="10" spans="1:16" x14ac:dyDescent="0.2">
      <c r="A10" s="31">
        <v>1</v>
      </c>
      <c r="B10" s="14" t="s">
        <v>713</v>
      </c>
      <c r="C10" s="31">
        <v>10</v>
      </c>
      <c r="D10" s="66">
        <f>'Alloc &amp; Returns'!F$351</f>
        <v>67490461.86089699</v>
      </c>
      <c r="E10" s="66">
        <f>'Alloc &amp; Returns'!F$384</f>
        <v>73425598.264985025</v>
      </c>
      <c r="F10" s="66">
        <f>D10-E10</f>
        <v>-5935136.4040880352</v>
      </c>
      <c r="G10" s="66">
        <f>'Alloc &amp; Returns'!F$392</f>
        <v>153206022.970658</v>
      </c>
      <c r="H10" s="67">
        <f>IF(G10=0,0,F10/G10)</f>
        <v>-3.8739576219041547E-2</v>
      </c>
      <c r="I10" s="48">
        <f t="shared" ref="I10:I20" si="0">H10/H$26</f>
        <v>5.5771357085339428</v>
      </c>
      <c r="J10" s="60"/>
      <c r="K10" s="52"/>
      <c r="L10" s="52"/>
      <c r="M10" s="52"/>
      <c r="N10" s="16"/>
      <c r="O10" s="16"/>
      <c r="P10" s="16"/>
    </row>
    <row r="11" spans="1:16" x14ac:dyDescent="0.2">
      <c r="A11" s="31">
        <v>2</v>
      </c>
      <c r="B11" s="14" t="s">
        <v>1107</v>
      </c>
      <c r="C11" s="31">
        <v>11</v>
      </c>
      <c r="D11" s="66">
        <f>'Alloc &amp; Returns'!G$351</f>
        <v>218967.51912720592</v>
      </c>
      <c r="E11" s="66">
        <f>'Alloc &amp; Returns'!G$384</f>
        <v>204609.16713894278</v>
      </c>
      <c r="F11" s="66">
        <f t="shared" ref="F11:F26" si="1">D11-E11</f>
        <v>14358.351988263137</v>
      </c>
      <c r="G11" s="66">
        <f>'Alloc &amp; Returns'!G$392</f>
        <v>84456.434304683382</v>
      </c>
      <c r="H11" s="67">
        <f t="shared" ref="H11:H19" si="2">IF(G11=0,0,F11/G11)</f>
        <v>0.17000897689410172</v>
      </c>
      <c r="I11" s="48">
        <f t="shared" si="0"/>
        <v>-24.475309963286819</v>
      </c>
      <c r="J11" s="60"/>
      <c r="K11" s="52"/>
      <c r="L11" s="52"/>
      <c r="M11" s="52"/>
      <c r="N11" s="16"/>
      <c r="O11" s="16"/>
      <c r="P11" s="16"/>
    </row>
    <row r="12" spans="1:16" x14ac:dyDescent="0.2">
      <c r="A12" s="31">
        <v>3</v>
      </c>
      <c r="B12" s="14" t="s">
        <v>1108</v>
      </c>
      <c r="C12" s="31">
        <v>20</v>
      </c>
      <c r="D12" s="66">
        <f>'Alloc &amp; Returns'!H$351</f>
        <v>7518734.9026715849</v>
      </c>
      <c r="E12" s="66">
        <f>'Alloc &amp; Returns'!H$384</f>
        <v>5913914.0951083153</v>
      </c>
      <c r="F12" s="66">
        <f t="shared" si="1"/>
        <v>1604820.8075632695</v>
      </c>
      <c r="G12" s="66">
        <f>'Alloc &amp; Returns'!H$392</f>
        <v>9965998.5881617591</v>
      </c>
      <c r="H12" s="67">
        <f t="shared" si="2"/>
        <v>0.16102960414519593</v>
      </c>
      <c r="I12" s="48">
        <f t="shared" si="0"/>
        <v>-23.182596276513348</v>
      </c>
      <c r="J12" s="60"/>
      <c r="K12" s="52"/>
      <c r="L12" s="52"/>
      <c r="M12" s="52"/>
      <c r="N12" s="16"/>
      <c r="O12" s="16"/>
      <c r="P12" s="16"/>
    </row>
    <row r="13" spans="1:16" x14ac:dyDescent="0.2">
      <c r="A13" s="31">
        <v>4</v>
      </c>
      <c r="B13" s="14" t="s">
        <v>1109</v>
      </c>
      <c r="C13" s="31">
        <v>22</v>
      </c>
      <c r="D13" s="66">
        <f>'Alloc &amp; Returns'!I$351</f>
        <v>1312.7968590986429</v>
      </c>
      <c r="E13" s="66">
        <f>'Alloc &amp; Returns'!I$384</f>
        <v>1566.2359782094211</v>
      </c>
      <c r="F13" s="66">
        <f t="shared" si="1"/>
        <v>-253.43911911077817</v>
      </c>
      <c r="G13" s="66">
        <f>'Alloc &amp; Returns'!I$392</f>
        <v>1109.7989676717832</v>
      </c>
      <c r="H13" s="67">
        <f t="shared" si="2"/>
        <v>-0.22836488994260026</v>
      </c>
      <c r="I13" s="48">
        <f t="shared" si="0"/>
        <v>32.876507865573402</v>
      </c>
      <c r="J13" s="60"/>
      <c r="K13" s="52"/>
      <c r="L13" s="52"/>
      <c r="M13" s="52"/>
      <c r="N13" s="16"/>
      <c r="O13" s="16"/>
      <c r="P13" s="16"/>
    </row>
    <row r="14" spans="1:16" x14ac:dyDescent="0.2">
      <c r="A14" s="31">
        <v>5</v>
      </c>
      <c r="B14" s="14" t="s">
        <v>1110</v>
      </c>
      <c r="C14" s="31">
        <v>40</v>
      </c>
      <c r="D14" s="66">
        <f>'Alloc &amp; Returns'!J$351</f>
        <v>6190557.2139651943</v>
      </c>
      <c r="E14" s="66">
        <f>'Alloc &amp; Returns'!J$384</f>
        <v>5522709.1457180586</v>
      </c>
      <c r="F14" s="66">
        <f t="shared" si="1"/>
        <v>667848.06824713573</v>
      </c>
      <c r="G14" s="66">
        <f>'Alloc &amp; Returns'!J$392</f>
        <v>4037543.2430580161</v>
      </c>
      <c r="H14" s="67">
        <f t="shared" si="2"/>
        <v>0.16540951465855033</v>
      </c>
      <c r="I14" s="48">
        <f t="shared" si="0"/>
        <v>-23.813149258974871</v>
      </c>
      <c r="J14" s="60"/>
      <c r="K14" s="52"/>
      <c r="L14" s="52"/>
      <c r="M14" s="52"/>
      <c r="N14" s="16"/>
      <c r="O14" s="16"/>
      <c r="P14" s="16"/>
    </row>
    <row r="15" spans="1:16" x14ac:dyDescent="0.2">
      <c r="A15" s="31">
        <v>6</v>
      </c>
      <c r="B15" s="14" t="s">
        <v>1111</v>
      </c>
      <c r="C15" s="31">
        <v>46</v>
      </c>
      <c r="D15" s="66">
        <f>'Alloc &amp; Returns'!K$351</f>
        <v>5662531.1706548017</v>
      </c>
      <c r="E15" s="66">
        <f>'Alloc &amp; Returns'!K$384</f>
        <v>5042116.415034798</v>
      </c>
      <c r="F15" s="66">
        <f t="shared" si="1"/>
        <v>620414.75562000368</v>
      </c>
      <c r="G15" s="66">
        <f>'Alloc &amp; Returns'!K$392</f>
        <v>2708759.8924277038</v>
      </c>
      <c r="H15" s="67">
        <f t="shared" si="2"/>
        <v>0.22904014392503502</v>
      </c>
      <c r="I15" s="48">
        <f t="shared" si="0"/>
        <v>-32.973720676484731</v>
      </c>
      <c r="J15" s="60"/>
      <c r="K15" s="52"/>
      <c r="L15" s="52"/>
      <c r="M15" s="52"/>
      <c r="N15" s="16"/>
      <c r="O15" s="16"/>
      <c r="P15" s="16"/>
    </row>
    <row r="16" spans="1:16" x14ac:dyDescent="0.2">
      <c r="A16" s="31">
        <v>7</v>
      </c>
      <c r="B16" s="14" t="s">
        <v>1112</v>
      </c>
      <c r="C16" s="31">
        <v>47</v>
      </c>
      <c r="D16" s="66">
        <f>'Alloc &amp; Returns'!L$351</f>
        <v>4369483.869839157</v>
      </c>
      <c r="E16" s="66">
        <f>'Alloc &amp; Returns'!L$384</f>
        <v>3930319.4438327006</v>
      </c>
      <c r="F16" s="66">
        <f t="shared" si="1"/>
        <v>439164.42600645637</v>
      </c>
      <c r="G16" s="66">
        <f>'Alloc &amp; Returns'!L$392</f>
        <v>2104929.1924457625</v>
      </c>
      <c r="H16" s="67">
        <f t="shared" si="2"/>
        <v>0.20863619906196548</v>
      </c>
      <c r="I16" s="48">
        <f t="shared" si="0"/>
        <v>-30.036270642252056</v>
      </c>
      <c r="J16" s="60"/>
      <c r="K16" s="52"/>
      <c r="L16" s="52"/>
      <c r="M16" s="52"/>
      <c r="N16" s="16"/>
      <c r="O16" s="16"/>
      <c r="P16" s="16"/>
    </row>
    <row r="17" spans="1:16" x14ac:dyDescent="0.2">
      <c r="A17" s="31">
        <v>8</v>
      </c>
      <c r="B17" s="14" t="s">
        <v>1127</v>
      </c>
      <c r="C17" s="31">
        <v>50</v>
      </c>
      <c r="D17" s="66">
        <f>'Alloc &amp; Returns'!M$351</f>
        <v>2632680.5578424376</v>
      </c>
      <c r="E17" s="66">
        <f>'Alloc &amp; Returns'!M$384</f>
        <v>2391708.6158075863</v>
      </c>
      <c r="F17" s="66">
        <f t="shared" si="1"/>
        <v>240971.94203485129</v>
      </c>
      <c r="G17" s="66">
        <f>'Alloc &amp; Returns'!M$392</f>
        <v>5076075.7818866875</v>
      </c>
      <c r="H17" s="67">
        <f t="shared" si="2"/>
        <v>4.7472093087090654E-2</v>
      </c>
      <c r="I17" s="48">
        <f t="shared" si="0"/>
        <v>-6.8343108354583588</v>
      </c>
      <c r="J17" s="60"/>
      <c r="K17" s="52"/>
      <c r="L17" s="52"/>
      <c r="M17" s="52"/>
      <c r="N17" s="16"/>
      <c r="O17" s="16"/>
      <c r="P17" s="16"/>
    </row>
    <row r="18" spans="1:16" x14ac:dyDescent="0.2">
      <c r="A18" s="31">
        <v>9</v>
      </c>
      <c r="B18" s="14" t="s">
        <v>1113</v>
      </c>
      <c r="C18" s="31">
        <v>52</v>
      </c>
      <c r="D18" s="66">
        <f>'Alloc &amp; Returns'!N$351</f>
        <v>752971.99763552868</v>
      </c>
      <c r="E18" s="66">
        <f>'Alloc &amp; Returns'!N$384</f>
        <v>781184.17903247289</v>
      </c>
      <c r="F18" s="66">
        <f t="shared" si="1"/>
        <v>-28212.181396944216</v>
      </c>
      <c r="G18" s="66">
        <f>'Alloc &amp; Returns'!N$392</f>
        <v>974679.1995038836</v>
      </c>
      <c r="H18" s="67">
        <f t="shared" si="2"/>
        <v>-2.8945094356486064E-2</v>
      </c>
      <c r="I18" s="48">
        <f t="shared" si="0"/>
        <v>4.167074993533233</v>
      </c>
      <c r="J18" s="60"/>
      <c r="K18" s="52"/>
      <c r="L18" s="52"/>
      <c r="M18" s="52"/>
      <c r="N18" s="16"/>
      <c r="O18" s="16"/>
      <c r="P18" s="16"/>
    </row>
    <row r="19" spans="1:16" x14ac:dyDescent="0.2">
      <c r="A19" s="31">
        <v>10</v>
      </c>
      <c r="B19" s="14" t="s">
        <v>1106</v>
      </c>
      <c r="C19" s="31" t="s">
        <v>1105</v>
      </c>
      <c r="D19" s="66">
        <f>'Alloc &amp; Returns'!O$351</f>
        <v>2825379.2241692911</v>
      </c>
      <c r="E19" s="66">
        <f>'Alloc &amp; Returns'!O$384</f>
        <v>1773109.7159044044</v>
      </c>
      <c r="F19" s="66">
        <f t="shared" si="1"/>
        <v>1052269.5082648867</v>
      </c>
      <c r="G19" s="66">
        <f>'Alloc &amp; Returns'!O$392</f>
        <v>12414441.003585782</v>
      </c>
      <c r="H19" s="67">
        <f t="shared" si="2"/>
        <v>8.4761730951957451E-2</v>
      </c>
      <c r="I19" s="48">
        <f t="shared" si="0"/>
        <v>-12.202706445119816</v>
      </c>
      <c r="J19" s="60"/>
      <c r="K19" s="52"/>
      <c r="L19" s="52"/>
      <c r="M19" s="52"/>
      <c r="N19" s="16"/>
      <c r="O19" s="16"/>
      <c r="P19" s="16"/>
    </row>
    <row r="20" spans="1:16" hidden="1" x14ac:dyDescent="0.2">
      <c r="A20" s="31"/>
      <c r="B20" s="14"/>
      <c r="C20" s="31"/>
      <c r="D20" s="66">
        <f>'Alloc &amp; Returns'!P$351</f>
        <v>0</v>
      </c>
      <c r="E20" s="66">
        <f>'Alloc &amp; Returns'!P$384</f>
        <v>0</v>
      </c>
      <c r="F20" s="66">
        <f t="shared" si="1"/>
        <v>0</v>
      </c>
      <c r="G20" s="66">
        <f>'Alloc &amp; Returns'!P$392</f>
        <v>0</v>
      </c>
      <c r="H20" s="67" t="e">
        <f t="shared" ref="H20:H22" si="3">F20/G20</f>
        <v>#DIV/0!</v>
      </c>
      <c r="I20" s="48" t="e">
        <f t="shared" si="0"/>
        <v>#DIV/0!</v>
      </c>
      <c r="J20" s="60"/>
      <c r="K20" s="52"/>
      <c r="L20" s="52"/>
      <c r="M20" s="52"/>
      <c r="N20" s="16"/>
      <c r="O20" s="16"/>
      <c r="P20" s="16"/>
    </row>
    <row r="21" spans="1:16" hidden="1" x14ac:dyDescent="0.2">
      <c r="A21" s="31"/>
      <c r="B21" s="14"/>
      <c r="C21" s="31"/>
      <c r="D21" s="68">
        <f>'Alloc &amp; Returns'!Q$351</f>
        <v>0</v>
      </c>
      <c r="E21" s="66">
        <f>'Alloc &amp; Returns'!Q$384</f>
        <v>0</v>
      </c>
      <c r="F21" s="68">
        <f t="shared" si="1"/>
        <v>0</v>
      </c>
      <c r="G21" s="66">
        <f>'Alloc &amp; Returns'!Q$392</f>
        <v>0</v>
      </c>
      <c r="H21" s="67" t="e">
        <f t="shared" si="3"/>
        <v>#DIV/0!</v>
      </c>
      <c r="I21" s="67" t="e">
        <f>'Alloc &amp; Returns'!Q330</f>
        <v>#DIV/0!</v>
      </c>
      <c r="J21" s="60"/>
      <c r="K21" s="52"/>
      <c r="L21" s="52"/>
      <c r="M21" s="52"/>
      <c r="N21" s="16"/>
      <c r="O21" s="16"/>
      <c r="P21" s="16"/>
    </row>
    <row r="22" spans="1:16" hidden="1" x14ac:dyDescent="0.2">
      <c r="A22" s="31"/>
      <c r="B22" s="14"/>
      <c r="C22" s="31"/>
      <c r="D22" s="68">
        <f>'Alloc &amp; Returns'!R$351</f>
        <v>0</v>
      </c>
      <c r="E22" s="66">
        <f>'Alloc &amp; Returns'!R$384</f>
        <v>0</v>
      </c>
      <c r="F22" s="68">
        <f t="shared" si="1"/>
        <v>0</v>
      </c>
      <c r="G22" s="68">
        <f>'Alloc &amp; Returns'!R$392</f>
        <v>0</v>
      </c>
      <c r="H22" s="67" t="e">
        <f t="shared" si="3"/>
        <v>#DIV/0!</v>
      </c>
      <c r="I22" s="67" t="e">
        <f>'Alloc &amp; Returns'!R330</f>
        <v>#DIV/0!</v>
      </c>
      <c r="J22" s="60"/>
      <c r="K22" s="52"/>
      <c r="L22" s="52"/>
      <c r="M22" s="52"/>
      <c r="N22" s="16"/>
      <c r="O22" s="16"/>
      <c r="P22" s="16"/>
    </row>
    <row r="23" spans="1:16" hidden="1" x14ac:dyDescent="0.2">
      <c r="A23" s="31"/>
      <c r="B23" s="14"/>
      <c r="C23" s="31"/>
      <c r="D23" s="68"/>
      <c r="E23" s="66"/>
      <c r="F23" s="68"/>
      <c r="G23" s="68"/>
      <c r="H23" s="67"/>
      <c r="I23" s="67"/>
      <c r="J23" s="60"/>
      <c r="K23" s="52"/>
      <c r="L23" s="52"/>
      <c r="M23" s="52"/>
      <c r="N23" s="16"/>
      <c r="O23" s="16"/>
      <c r="P23" s="16"/>
    </row>
    <row r="24" spans="1:16" hidden="1" x14ac:dyDescent="0.2">
      <c r="A24" s="31"/>
      <c r="B24" s="14"/>
      <c r="C24" s="31"/>
      <c r="D24" s="68"/>
      <c r="E24" s="66"/>
      <c r="F24" s="68"/>
      <c r="G24" s="68"/>
      <c r="H24" s="67"/>
      <c r="I24" s="67"/>
      <c r="J24" s="60"/>
      <c r="K24" s="52"/>
      <c r="L24" s="52"/>
      <c r="M24" s="52"/>
      <c r="N24" s="16"/>
      <c r="O24" s="16"/>
      <c r="P24" s="16"/>
    </row>
    <row r="25" spans="1:16" hidden="1" x14ac:dyDescent="0.2">
      <c r="A25" s="31"/>
      <c r="B25" s="14"/>
      <c r="C25" s="31"/>
      <c r="D25" s="68"/>
      <c r="E25" s="66"/>
      <c r="F25" s="68"/>
      <c r="G25" s="68"/>
      <c r="H25" s="67"/>
      <c r="I25" s="67"/>
      <c r="J25" s="60"/>
      <c r="K25" s="52"/>
      <c r="L25" s="52"/>
      <c r="M25" s="52"/>
      <c r="N25" s="16"/>
      <c r="O25" s="16"/>
      <c r="P25" s="16"/>
    </row>
    <row r="26" spans="1:16" s="75" customFormat="1" ht="26.25" customHeight="1" thickBot="1" x14ac:dyDescent="0.25">
      <c r="A26" s="69">
        <v>11</v>
      </c>
      <c r="B26" s="70" t="s">
        <v>0</v>
      </c>
      <c r="C26" s="71"/>
      <c r="D26" s="72">
        <f>SUM(D10:D25)</f>
        <v>97663081.113661289</v>
      </c>
      <c r="E26" s="72">
        <f>SUM(E10:E25)</f>
        <v>98986835.278540522</v>
      </c>
      <c r="F26" s="72">
        <f t="shared" si="1"/>
        <v>-1323754.1648792326</v>
      </c>
      <c r="G26" s="72">
        <f>SUM(G10:G25)</f>
        <v>190574016.10499996</v>
      </c>
      <c r="H26" s="73">
        <f>F26/G26</f>
        <v>-6.9461419344276614E-3</v>
      </c>
      <c r="I26" s="74">
        <f>H26/H$26</f>
        <v>1</v>
      </c>
      <c r="J26" s="60"/>
      <c r="K26" s="52"/>
      <c r="L26" s="52"/>
      <c r="M26" s="52"/>
      <c r="N26" s="16"/>
      <c r="O26" s="16"/>
      <c r="P26" s="16"/>
    </row>
    <row r="27" spans="1:16" ht="13.5" thickTop="1" x14ac:dyDescent="0.2">
      <c r="A27" s="31"/>
      <c r="B27" s="14"/>
      <c r="C27" s="31"/>
      <c r="D27" s="76"/>
      <c r="E27" s="76"/>
      <c r="F27" s="68"/>
      <c r="G27" s="76"/>
      <c r="H27" s="77"/>
      <c r="I27" s="59"/>
      <c r="J27" s="60"/>
      <c r="K27" s="52"/>
      <c r="L27" s="52"/>
      <c r="M27" s="52"/>
      <c r="N27" s="16"/>
      <c r="O27" s="16"/>
      <c r="P27" s="16"/>
    </row>
    <row r="28" spans="1:16" ht="18.600000000000001" customHeight="1" x14ac:dyDescent="0.2">
      <c r="A28" s="31"/>
      <c r="B28" s="14"/>
      <c r="C28" s="31"/>
      <c r="F28" s="48"/>
      <c r="G28" s="49"/>
      <c r="H28" s="234" t="s">
        <v>1211</v>
      </c>
      <c r="I28" s="234"/>
      <c r="J28" s="50"/>
      <c r="K28" s="52"/>
      <c r="L28" s="52"/>
      <c r="M28" s="52"/>
      <c r="N28" s="16"/>
      <c r="O28" s="16"/>
      <c r="P28" s="16"/>
    </row>
    <row r="29" spans="1:16" x14ac:dyDescent="0.2">
      <c r="A29" s="16"/>
      <c r="B29" s="16"/>
      <c r="C29" s="31"/>
      <c r="D29" s="58" t="s">
        <v>1145</v>
      </c>
      <c r="E29" s="58" t="s">
        <v>1214</v>
      </c>
      <c r="F29" s="14"/>
      <c r="G29" s="49"/>
      <c r="H29" s="215" t="s">
        <v>1212</v>
      </c>
      <c r="I29" s="215" t="s">
        <v>1213</v>
      </c>
      <c r="J29" s="50"/>
      <c r="K29" s="52"/>
      <c r="L29" s="52"/>
      <c r="M29" s="52"/>
    </row>
    <row r="30" spans="1:16" ht="13.5" thickBot="1" x14ac:dyDescent="0.25">
      <c r="A30" s="62" t="s">
        <v>960</v>
      </c>
      <c r="B30" s="63" t="s">
        <v>753</v>
      </c>
      <c r="C30" s="63" t="s">
        <v>870</v>
      </c>
      <c r="D30" s="64" t="s">
        <v>348</v>
      </c>
      <c r="E30" s="64" t="s">
        <v>11</v>
      </c>
      <c r="F30" s="14"/>
      <c r="G30" s="49"/>
      <c r="H30" s="216" t="s">
        <v>868</v>
      </c>
      <c r="I30" s="216" t="s">
        <v>868</v>
      </c>
      <c r="J30" s="50"/>
      <c r="K30" s="52"/>
      <c r="L30" s="52"/>
      <c r="M30" s="52"/>
    </row>
    <row r="31" spans="1:16" x14ac:dyDescent="0.2">
      <c r="A31" s="31"/>
      <c r="B31" s="14"/>
      <c r="C31" s="16"/>
      <c r="D31" s="133"/>
      <c r="E31" s="58"/>
      <c r="F31" s="14"/>
      <c r="G31" s="49"/>
      <c r="H31" s="217"/>
      <c r="I31" s="218"/>
      <c r="J31" s="50"/>
      <c r="K31" s="52"/>
      <c r="L31" s="52"/>
      <c r="M31" s="52"/>
    </row>
    <row r="32" spans="1:16" x14ac:dyDescent="0.2">
      <c r="A32" s="31">
        <f>A26+1</f>
        <v>12</v>
      </c>
      <c r="B32" s="14" t="s">
        <v>713</v>
      </c>
      <c r="C32" s="31">
        <v>10</v>
      </c>
      <c r="D32" s="213">
        <f>'Billing Det'!Q8</f>
        <v>0.68484146961168679</v>
      </c>
      <c r="E32" s="212">
        <f>'Billing Det'!P8</f>
        <v>0.62290163304282808</v>
      </c>
      <c r="F32" s="14"/>
      <c r="G32" s="49"/>
      <c r="H32" s="219">
        <v>-2.1364738802240914E-3</v>
      </c>
      <c r="I32" s="220">
        <v>-6.8042314667849088E-2</v>
      </c>
      <c r="J32" s="50"/>
      <c r="K32" s="52"/>
      <c r="L32" s="52"/>
      <c r="M32" s="52"/>
    </row>
    <row r="33" spans="1:13" x14ac:dyDescent="0.2">
      <c r="A33" s="31">
        <f>A32+1</f>
        <v>13</v>
      </c>
      <c r="B33" s="14" t="s">
        <v>1107</v>
      </c>
      <c r="C33" s="31">
        <v>11</v>
      </c>
      <c r="D33" s="213">
        <f>'Billing Det'!Q9</f>
        <v>2.1882696711778182E-3</v>
      </c>
      <c r="E33" s="212">
        <f>'Billing Det'!P9</f>
        <v>3.5810274615345936E-3</v>
      </c>
      <c r="F33" s="14"/>
      <c r="G33" s="49"/>
      <c r="H33" s="219">
        <v>0.19471458722921992</v>
      </c>
      <c r="I33" s="220">
        <v>6.2012605617632373</v>
      </c>
      <c r="J33" s="50"/>
      <c r="M33" s="50"/>
    </row>
    <row r="34" spans="1:13" x14ac:dyDescent="0.2">
      <c r="A34" s="31">
        <f t="shared" ref="A34:A41" si="4">A33+1</f>
        <v>14</v>
      </c>
      <c r="B34" s="14" t="s">
        <v>1108</v>
      </c>
      <c r="C34" s="31">
        <v>20</v>
      </c>
      <c r="D34" s="213">
        <f>'Billing Det'!Q10</f>
        <v>7.0815399897437556E-2</v>
      </c>
      <c r="E34" s="212">
        <f>'Billing Det'!P10</f>
        <v>6.4104713183634768E-2</v>
      </c>
      <c r="F34" s="14"/>
      <c r="G34" s="49"/>
      <c r="H34" s="219">
        <v>0.16679374862186902</v>
      </c>
      <c r="I34" s="220">
        <v>5.3120390721411255</v>
      </c>
      <c r="J34" s="50"/>
      <c r="M34" s="50"/>
    </row>
    <row r="35" spans="1:13" x14ac:dyDescent="0.2">
      <c r="A35" s="31">
        <f t="shared" si="4"/>
        <v>15</v>
      </c>
      <c r="B35" s="14" t="s">
        <v>1109</v>
      </c>
      <c r="C35" s="31">
        <v>22</v>
      </c>
      <c r="D35" s="213">
        <f>'Billing Det'!Q11</f>
        <v>1.3389463817924875E-5</v>
      </c>
      <c r="E35" s="212">
        <f>'Billing Det'!P11</f>
        <v>2.4995141441167555E-5</v>
      </c>
      <c r="F35" s="14"/>
      <c r="H35" s="219">
        <v>-0.1933556729568246</v>
      </c>
      <c r="I35" s="220">
        <v>-6.1579819271003808</v>
      </c>
    </row>
    <row r="36" spans="1:13" x14ac:dyDescent="0.2">
      <c r="A36" s="31">
        <f t="shared" si="4"/>
        <v>16</v>
      </c>
      <c r="B36" s="14" t="s">
        <v>1110</v>
      </c>
      <c r="C36" s="31">
        <v>40</v>
      </c>
      <c r="D36" s="213">
        <f>'Billing Det'!Q12</f>
        <v>6.8159438867396047E-2</v>
      </c>
      <c r="E36" s="212">
        <f>'Billing Det'!P12</f>
        <v>8.0871601981781518E-2</v>
      </c>
      <c r="F36" s="14"/>
      <c r="H36" s="219">
        <v>0.20436266892966659</v>
      </c>
      <c r="I36" s="220">
        <v>6.5085321914702439</v>
      </c>
    </row>
    <row r="37" spans="1:13" x14ac:dyDescent="0.2">
      <c r="A37" s="31">
        <f t="shared" si="4"/>
        <v>17</v>
      </c>
      <c r="B37" s="14" t="s">
        <v>1111</v>
      </c>
      <c r="C37" s="31">
        <v>46</v>
      </c>
      <c r="D37" s="213">
        <f>'Billing Det'!Q13</f>
        <v>6.5675722953595764E-2</v>
      </c>
      <c r="E37" s="212">
        <f>'Billing Det'!P13</f>
        <v>0.10557403142185766</v>
      </c>
      <c r="F37" s="14"/>
      <c r="H37" s="219">
        <v>0.25785185203131111</v>
      </c>
      <c r="I37" s="220">
        <v>8.2120530543354384</v>
      </c>
    </row>
    <row r="38" spans="1:13" x14ac:dyDescent="0.2">
      <c r="A38" s="31">
        <f t="shared" si="4"/>
        <v>18</v>
      </c>
      <c r="B38" s="14" t="s">
        <v>1112</v>
      </c>
      <c r="C38" s="31">
        <v>47</v>
      </c>
      <c r="D38" s="213">
        <f>'Billing Det'!Q14</f>
        <v>4.8586010482841516E-2</v>
      </c>
      <c r="E38" s="212">
        <f>'Billing Det'!P14</f>
        <v>6.8349703376664156E-2</v>
      </c>
      <c r="F38" s="14"/>
      <c r="H38" s="219">
        <v>0.23342561417719038</v>
      </c>
      <c r="I38" s="220">
        <v>7.4341274369871542</v>
      </c>
    </row>
    <row r="39" spans="1:13" x14ac:dyDescent="0.2">
      <c r="A39" s="31">
        <f t="shared" si="4"/>
        <v>19</v>
      </c>
      <c r="B39" s="14" t="s">
        <v>1127</v>
      </c>
      <c r="C39" s="31">
        <v>50</v>
      </c>
      <c r="D39" s="213">
        <f>'Billing Det'!Q15</f>
        <v>2.5176393126475037E-2</v>
      </c>
      <c r="E39" s="212">
        <f>'Billing Det'!P15</f>
        <v>2.4490395061393659E-2</v>
      </c>
      <c r="F39" s="14"/>
      <c r="H39" s="219">
        <v>5.3348879118078944E-2</v>
      </c>
      <c r="I39" s="220">
        <v>1.6990524685228674</v>
      </c>
    </row>
    <row r="40" spans="1:13" x14ac:dyDescent="0.2">
      <c r="A40" s="31">
        <f t="shared" si="4"/>
        <v>20</v>
      </c>
      <c r="B40" s="14" t="s">
        <v>1113</v>
      </c>
      <c r="C40" s="31">
        <v>52</v>
      </c>
      <c r="D40" s="213">
        <f>'Billing Det'!Q16</f>
        <v>8.3635448377509438E-3</v>
      </c>
      <c r="E40" s="212">
        <f>'Billing Det'!P16</f>
        <v>1.0731198085604085E-2</v>
      </c>
      <c r="F40" s="14"/>
      <c r="H40" s="219">
        <v>-5.7556634351457487E-3</v>
      </c>
      <c r="I40" s="220">
        <v>-0.18330608494747569</v>
      </c>
    </row>
    <row r="41" spans="1:13" x14ac:dyDescent="0.2">
      <c r="A41" s="31">
        <f t="shared" si="4"/>
        <v>21</v>
      </c>
      <c r="B41" s="14" t="s">
        <v>1106</v>
      </c>
      <c r="C41" s="31" t="s">
        <v>1105</v>
      </c>
      <c r="D41" s="213">
        <f>'Billing Det'!Q17</f>
        <v>2.6180361087820559E-2</v>
      </c>
      <c r="E41" s="212">
        <f>'Billing Det'!P17</f>
        <v>1.9370701243260277E-2</v>
      </c>
      <c r="F41" s="14"/>
      <c r="H41" s="219">
        <v>0.20830395007821903</v>
      </c>
      <c r="I41" s="220">
        <v>6.6340539189233967</v>
      </c>
    </row>
    <row r="42" spans="1:13" hidden="1" x14ac:dyDescent="0.2">
      <c r="A42" s="31"/>
      <c r="B42" s="14"/>
      <c r="D42" s="213">
        <f t="shared" ref="D42:D48" si="5">D20/D$26</f>
        <v>0</v>
      </c>
      <c r="E42" s="212">
        <f>'Billing Det'!P18</f>
        <v>0</v>
      </c>
      <c r="F42" s="14"/>
      <c r="H42" s="219" t="e">
        <v>#DIV/0!</v>
      </c>
      <c r="I42" s="220" t="e">
        <v>#DIV/0!</v>
      </c>
    </row>
    <row r="43" spans="1:13" hidden="1" x14ac:dyDescent="0.2">
      <c r="A43" s="31"/>
      <c r="B43" s="14"/>
      <c r="D43" s="213">
        <f t="shared" si="5"/>
        <v>0</v>
      </c>
      <c r="E43" s="212">
        <f>'Billing Det'!P19</f>
        <v>0</v>
      </c>
      <c r="F43" s="14"/>
      <c r="H43" s="219" t="e">
        <v>#DIV/0!</v>
      </c>
      <c r="I43" s="219" t="e">
        <v>#DIV/0!</v>
      </c>
    </row>
    <row r="44" spans="1:13" hidden="1" x14ac:dyDescent="0.2">
      <c r="A44" s="31"/>
      <c r="B44" s="14"/>
      <c r="D44" s="213">
        <f t="shared" si="5"/>
        <v>0</v>
      </c>
      <c r="E44" s="212">
        <f>'Billing Det'!P20</f>
        <v>0</v>
      </c>
      <c r="F44" s="14"/>
      <c r="H44" s="219" t="e">
        <v>#DIV/0!</v>
      </c>
      <c r="I44" s="219" t="e">
        <v>#DIV/0!</v>
      </c>
    </row>
    <row r="45" spans="1:13" hidden="1" x14ac:dyDescent="0.2">
      <c r="A45" s="31"/>
      <c r="B45" s="14"/>
      <c r="D45" s="213">
        <f t="shared" si="5"/>
        <v>0</v>
      </c>
      <c r="E45" s="212">
        <f>'Billing Det'!P21</f>
        <v>0</v>
      </c>
      <c r="F45" s="14"/>
      <c r="H45" s="219"/>
      <c r="I45" s="219"/>
    </row>
    <row r="46" spans="1:13" hidden="1" x14ac:dyDescent="0.2">
      <c r="A46" s="31"/>
      <c r="B46" s="14"/>
      <c r="D46" s="213">
        <f t="shared" si="5"/>
        <v>0</v>
      </c>
      <c r="E46" s="212">
        <f>'Billing Det'!P22</f>
        <v>0</v>
      </c>
      <c r="F46" s="14"/>
      <c r="H46" s="219"/>
      <c r="I46" s="219"/>
    </row>
    <row r="47" spans="1:13" hidden="1" x14ac:dyDescent="0.2">
      <c r="A47" s="31"/>
      <c r="B47" s="14"/>
      <c r="D47" s="213">
        <f t="shared" si="5"/>
        <v>0</v>
      </c>
      <c r="E47" s="212">
        <f>'Billing Det'!P23</f>
        <v>0</v>
      </c>
      <c r="F47" s="14"/>
      <c r="H47" s="219"/>
      <c r="I47" s="219"/>
    </row>
    <row r="48" spans="1:13" ht="13.5" thickBot="1" x14ac:dyDescent="0.25">
      <c r="A48" s="69">
        <f>A41+1</f>
        <v>22</v>
      </c>
      <c r="B48" s="70" t="s">
        <v>0</v>
      </c>
      <c r="C48" s="70"/>
      <c r="D48" s="214">
        <f t="shared" si="5"/>
        <v>1</v>
      </c>
      <c r="E48" s="214">
        <f>'Billing Det'!P25</f>
        <v>1</v>
      </c>
      <c r="F48" s="14"/>
      <c r="H48" s="221">
        <v>3.1399194613724743E-2</v>
      </c>
      <c r="I48" s="222">
        <v>1</v>
      </c>
    </row>
    <row r="49" spans="6:6" ht="13.5" thickTop="1" x14ac:dyDescent="0.2">
      <c r="F49" s="14"/>
    </row>
    <row r="50" spans="6:6" x14ac:dyDescent="0.2">
      <c r="F50" s="14"/>
    </row>
    <row r="51" spans="6:6" x14ac:dyDescent="0.2">
      <c r="F51" s="14"/>
    </row>
  </sheetData>
  <mergeCells count="1">
    <mergeCell ref="H28:I28"/>
  </mergeCells>
  <phoneticPr fontId="0" type="noConversion"/>
  <conditionalFormatting sqref="H21:H22">
    <cfRule type="cellIs" dxfId="13" priority="34" stopIfTrue="1" operator="lessThan">
      <formula>$H$26</formula>
    </cfRule>
    <cfRule type="cellIs" dxfId="12" priority="35" stopIfTrue="1" operator="greaterThan">
      <formula>$H$26</formula>
    </cfRule>
  </conditionalFormatting>
  <conditionalFormatting sqref="H43:H44">
    <cfRule type="cellIs" dxfId="11" priority="5" stopIfTrue="1" operator="lessThan">
      <formula>$H$26</formula>
    </cfRule>
    <cfRule type="cellIs" dxfId="10" priority="6" stopIfTrue="1" operator="greaterThan">
      <formula>$H$26</formula>
    </cfRule>
  </conditionalFormatting>
  <conditionalFormatting sqref="I21:I22">
    <cfRule type="cellIs" dxfId="9" priority="26" stopIfTrue="1" operator="lessThan">
      <formula>$I$26</formula>
    </cfRule>
    <cfRule type="cellIs" dxfId="8" priority="27" stopIfTrue="1" operator="greaterThan">
      <formula>$I$26</formula>
    </cfRule>
  </conditionalFormatting>
  <conditionalFormatting sqref="I43:I44">
    <cfRule type="cellIs" dxfId="7" priority="3" stopIfTrue="1" operator="lessThan">
      <formula>$I$26</formula>
    </cfRule>
    <cfRule type="cellIs" dxfId="6" priority="4" stopIfTrue="1" operator="greaterThan">
      <formula>$I$26</formula>
    </cfRule>
  </conditionalFormatting>
  <pageMargins left="0.75" right="0.75" top="1" bottom="1" header="0.5" footer="0.5"/>
  <pageSetup scale="94" orientation="landscape" r:id="rId1"/>
  <headerFooter alignWithMargins="0">
    <oddFooter>&amp;RExhibit JW-3
Page 1 of 2</oddFooter>
  </headerFooter>
  <ignoredErrors>
    <ignoredError sqref="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42"/>
  <sheetViews>
    <sheetView tabSelected="1" view="pageBreakPreview" zoomScaleNormal="140" zoomScaleSheetLayoutView="100" workbookViewId="0">
      <selection activeCell="L9" sqref="L9"/>
    </sheetView>
  </sheetViews>
  <sheetFormatPr defaultColWidth="9.140625" defaultRowHeight="12.75" x14ac:dyDescent="0.2"/>
  <cols>
    <col min="1" max="1" width="4.42578125" style="14" customWidth="1"/>
    <col min="2" max="2" width="31.7109375" style="31" bestFit="1" customWidth="1"/>
    <col min="3" max="3" width="7.28515625" style="31" customWidth="1"/>
    <col min="4" max="4" width="3.42578125" style="48" customWidth="1"/>
    <col min="5" max="5" width="10.7109375" style="14" bestFit="1" customWidth="1"/>
    <col min="6" max="6" width="9.7109375" style="50" bestFit="1" customWidth="1"/>
    <col min="7" max="7" width="9" style="50" bestFit="1" customWidth="1"/>
    <col min="8" max="8" width="9.140625" style="14"/>
    <col min="9" max="9" width="15.7109375" style="50" customWidth="1"/>
    <col min="10" max="10" width="9" style="50" bestFit="1" customWidth="1"/>
    <col min="11" max="11" width="11.85546875" style="50" customWidth="1"/>
    <col min="12" max="12" width="15.7109375" style="14" customWidth="1"/>
    <col min="13" max="13" width="10.7109375" style="14" bestFit="1" customWidth="1"/>
    <col min="14" max="16384" width="9.140625" style="14"/>
  </cols>
  <sheetData>
    <row r="1" spans="1:13" x14ac:dyDescent="0.2">
      <c r="A1" s="13" t="s">
        <v>1024</v>
      </c>
    </row>
    <row r="2" spans="1:13" x14ac:dyDescent="0.2">
      <c r="A2" s="13" t="s">
        <v>971</v>
      </c>
      <c r="D2" s="51"/>
      <c r="F2" s="52"/>
      <c r="G2" s="52"/>
      <c r="I2" s="235"/>
      <c r="J2" s="235"/>
      <c r="K2" s="235"/>
      <c r="L2" s="235"/>
    </row>
    <row r="3" spans="1:13" x14ac:dyDescent="0.2">
      <c r="A3" s="13"/>
      <c r="D3" s="13"/>
      <c r="F3" s="55"/>
      <c r="G3" s="56"/>
      <c r="I3" s="55"/>
      <c r="J3" s="55"/>
      <c r="K3" s="55"/>
      <c r="L3" s="56"/>
    </row>
    <row r="4" spans="1:13" ht="19.5" customHeight="1" x14ac:dyDescent="0.2">
      <c r="E4" s="236" t="s">
        <v>1154</v>
      </c>
      <c r="F4" s="237"/>
      <c r="G4" s="238"/>
    </row>
    <row r="5" spans="1:13" s="16" customFormat="1" ht="19.5" customHeight="1" x14ac:dyDescent="0.2">
      <c r="J5" s="59"/>
      <c r="K5" s="59"/>
      <c r="L5" s="60"/>
    </row>
    <row r="6" spans="1:13" s="16" customFormat="1" x14ac:dyDescent="0.2">
      <c r="A6" s="31"/>
      <c r="B6" s="31"/>
      <c r="C6" s="31"/>
      <c r="D6" s="14"/>
      <c r="E6" s="78" t="s">
        <v>724</v>
      </c>
      <c r="F6" s="80" t="s">
        <v>11</v>
      </c>
      <c r="G6" s="78" t="s">
        <v>10</v>
      </c>
      <c r="I6" s="59"/>
      <c r="J6" s="59"/>
      <c r="K6" s="59"/>
      <c r="L6" s="60"/>
    </row>
    <row r="7" spans="1:13" s="16" customFormat="1" ht="13.5" thickBot="1" x14ac:dyDescent="0.25">
      <c r="A7" s="31" t="s">
        <v>960</v>
      </c>
      <c r="B7" s="185" t="s">
        <v>753</v>
      </c>
      <c r="C7" s="185" t="s">
        <v>870</v>
      </c>
      <c r="D7" s="48"/>
      <c r="E7" s="186" t="s">
        <v>968</v>
      </c>
      <c r="F7" s="186" t="s">
        <v>969</v>
      </c>
      <c r="G7" s="186" t="s">
        <v>970</v>
      </c>
      <c r="H7" s="60"/>
      <c r="J7" s="59"/>
      <c r="K7" s="59"/>
      <c r="L7" s="59"/>
      <c r="M7" s="60"/>
    </row>
    <row r="8" spans="1:13" x14ac:dyDescent="0.2">
      <c r="A8" s="31"/>
      <c r="B8" s="14"/>
      <c r="D8" s="14"/>
      <c r="E8" s="48"/>
      <c r="F8" s="49"/>
      <c r="G8" s="14"/>
      <c r="H8" s="60"/>
      <c r="I8" s="16"/>
      <c r="J8" s="59"/>
      <c r="K8" s="59"/>
      <c r="L8" s="59"/>
      <c r="M8" s="60"/>
    </row>
    <row r="9" spans="1:13" ht="12.95" customHeight="1" x14ac:dyDescent="0.2">
      <c r="A9" s="31">
        <v>1</v>
      </c>
      <c r="B9" s="14" t="str">
        <f>'Summary of Returns'!B10</f>
        <v>Residential Service</v>
      </c>
      <c r="C9" s="31">
        <v>10</v>
      </c>
      <c r="E9" s="241">
        <f>'Alloc &amp; Returns'!F650</f>
        <v>36.485654366319629</v>
      </c>
      <c r="F9" s="181">
        <f>'Alloc &amp; Returns'!F651</f>
        <v>9.7244112564492155E-2</v>
      </c>
      <c r="G9" s="176">
        <f>'Alloc &amp; Returns'!F652</f>
        <v>0</v>
      </c>
      <c r="H9" s="175"/>
      <c r="I9" s="16"/>
      <c r="J9" s="205"/>
      <c r="K9" s="59"/>
      <c r="L9" s="59"/>
      <c r="M9" s="60"/>
    </row>
    <row r="10" spans="1:13" ht="12.95" customHeight="1" x14ac:dyDescent="0.2">
      <c r="A10" s="31">
        <v>2</v>
      </c>
      <c r="B10" s="14" t="str">
        <f>'Summary of Returns'!B11</f>
        <v>Residential Off Peak ETS</v>
      </c>
      <c r="C10" s="31">
        <v>11</v>
      </c>
      <c r="D10" s="13"/>
      <c r="E10" s="176">
        <f>'Alloc &amp; Returns'!G650</f>
        <v>5.1613865594789683</v>
      </c>
      <c r="F10" s="181">
        <f>'Alloc &amp; Returns'!G651</f>
        <v>5.5591184813142812E-2</v>
      </c>
      <c r="G10" s="176">
        <f>'Alloc &amp; Returns'!G652</f>
        <v>0</v>
      </c>
      <c r="H10" s="175"/>
      <c r="I10" s="16"/>
      <c r="J10" s="59"/>
      <c r="K10" s="59"/>
      <c r="L10" s="59"/>
      <c r="M10" s="60"/>
    </row>
    <row r="11" spans="1:13" ht="12.95" customHeight="1" x14ac:dyDescent="0.2">
      <c r="A11" s="31">
        <v>3</v>
      </c>
      <c r="B11" s="14" t="str">
        <f>'Summary of Returns'!B12</f>
        <v>Commercial Service &lt; 50 KW</v>
      </c>
      <c r="C11" s="31">
        <v>20</v>
      </c>
      <c r="E11" s="176">
        <f>'Alloc &amp; Returns'!H650</f>
        <v>44.345278311221868</v>
      </c>
      <c r="F11" s="181">
        <f>'Alloc &amp; Returns'!H651</f>
        <v>7.1196022812913623E-2</v>
      </c>
      <c r="G11" s="176">
        <f>'Alloc &amp; Returns'!H652</f>
        <v>0</v>
      </c>
      <c r="H11" s="175"/>
      <c r="I11" s="16"/>
      <c r="J11" s="59"/>
      <c r="K11" s="59"/>
      <c r="L11" s="59"/>
      <c r="M11" s="60"/>
    </row>
    <row r="12" spans="1:13" ht="12.95" customHeight="1" x14ac:dyDescent="0.2">
      <c r="A12" s="31">
        <v>4</v>
      </c>
      <c r="B12" s="14" t="str">
        <f>'Summary of Returns'!B13</f>
        <v>Commercial Off Peak ETS</v>
      </c>
      <c r="C12" s="31">
        <v>22</v>
      </c>
      <c r="D12" s="13"/>
      <c r="E12" s="176">
        <f>'Alloc &amp; Returns'!I650</f>
        <v>8.5124423786866483</v>
      </c>
      <c r="F12" s="181">
        <f>'Alloc &amp; Returns'!I651</f>
        <v>5.5591184813142833E-2</v>
      </c>
      <c r="G12" s="176">
        <f>'Alloc &amp; Returns'!I652</f>
        <v>0</v>
      </c>
      <c r="H12" s="175"/>
      <c r="I12" s="16"/>
      <c r="J12" s="59"/>
      <c r="K12" s="59"/>
      <c r="L12" s="59"/>
      <c r="M12" s="60"/>
    </row>
    <row r="13" spans="1:13" ht="12.95" customHeight="1" x14ac:dyDescent="0.2">
      <c r="A13" s="31">
        <v>5</v>
      </c>
      <c r="B13" s="14" t="str">
        <f>'Summary of Returns'!B14</f>
        <v>Large Power Loads 50 KW and Over</v>
      </c>
      <c r="C13" s="31">
        <v>40</v>
      </c>
      <c r="E13" s="176">
        <f>'Alloc &amp; Returns'!J650</f>
        <v>35.526355485628137</v>
      </c>
      <c r="F13" s="181">
        <f>'Alloc &amp; Returns'!J651</f>
        <v>5.1991802826309282E-2</v>
      </c>
      <c r="G13" s="176">
        <f>'Alloc &amp; Returns'!J652</f>
        <v>7.134608302350177</v>
      </c>
      <c r="H13" s="175"/>
      <c r="I13" s="16"/>
      <c r="J13" s="59"/>
      <c r="K13" s="59"/>
      <c r="L13" s="59"/>
      <c r="M13" s="60"/>
    </row>
    <row r="14" spans="1:13" ht="12.95" customHeight="1" x14ac:dyDescent="0.2">
      <c r="A14" s="31">
        <v>6</v>
      </c>
      <c r="B14" s="14" t="str">
        <f>'Summary of Returns'!B15</f>
        <v>Large Power Rate 500 KW and Over</v>
      </c>
      <c r="C14" s="31">
        <v>46</v>
      </c>
      <c r="D14" s="13"/>
      <c r="E14" s="176">
        <f>'Alloc &amp; Returns'!K650</f>
        <v>40.134804385212014</v>
      </c>
      <c r="F14" s="181">
        <f>'Alloc &amp; Returns'!K651</f>
        <v>3.9324358038828888E-2</v>
      </c>
      <c r="G14" s="176">
        <f>'Alloc &amp; Returns'!K652</f>
        <v>7.6889156862031536</v>
      </c>
      <c r="H14" s="175"/>
      <c r="I14" s="16"/>
      <c r="J14" s="59"/>
      <c r="K14" s="59"/>
      <c r="L14" s="59"/>
      <c r="M14" s="60"/>
    </row>
    <row r="15" spans="1:13" ht="12.95" customHeight="1" x14ac:dyDescent="0.2">
      <c r="A15" s="31">
        <v>7</v>
      </c>
      <c r="B15" s="14" t="str">
        <f>'Summary of Returns'!B16</f>
        <v>Large Power Rate 500 kW and Over</v>
      </c>
      <c r="C15" s="31">
        <v>47</v>
      </c>
      <c r="E15" s="176">
        <f>'Alloc &amp; Returns'!L650</f>
        <v>40.200358408567759</v>
      </c>
      <c r="F15" s="181">
        <f>'Alloc &amp; Returns'!L651</f>
        <v>4.0138383911065445E-2</v>
      </c>
      <c r="G15" s="176">
        <f>'Alloc &amp; Returns'!L652</f>
        <v>8.1027433211294344</v>
      </c>
      <c r="H15" s="175"/>
      <c r="I15" s="16"/>
      <c r="J15" s="59"/>
      <c r="K15" s="59"/>
      <c r="L15" s="59"/>
      <c r="M15" s="60"/>
    </row>
    <row r="16" spans="1:13" ht="12.95" customHeight="1" x14ac:dyDescent="0.2">
      <c r="A16" s="31">
        <v>8</v>
      </c>
      <c r="B16" s="14" t="str">
        <f>'Summary of Returns'!B17</f>
        <v>Schools, Churches, Halls &amp; Parks</v>
      </c>
      <c r="C16" s="31">
        <v>50</v>
      </c>
      <c r="D16" s="13"/>
      <c r="E16" s="176">
        <f>'Alloc &amp; Returns'!M650</f>
        <v>39.660719210097874</v>
      </c>
      <c r="F16" s="182">
        <f>'Alloc &amp; Returns'!M651</f>
        <v>9.0039863879712217E-2</v>
      </c>
      <c r="G16" s="176">
        <f>'Alloc &amp; Returns'!M652</f>
        <v>0</v>
      </c>
      <c r="H16" s="60"/>
      <c r="I16" s="16"/>
      <c r="J16" s="59"/>
      <c r="K16" s="59"/>
      <c r="L16" s="59"/>
      <c r="M16" s="60"/>
    </row>
    <row r="17" spans="1:13" ht="12.95" customHeight="1" x14ac:dyDescent="0.2">
      <c r="A17" s="31">
        <v>9</v>
      </c>
      <c r="B17" s="14" t="str">
        <f>'Summary of Returns'!B18</f>
        <v>All Electric Schools AES</v>
      </c>
      <c r="C17" s="31">
        <v>52</v>
      </c>
      <c r="E17" s="48">
        <f>'Alloc &amp; Returns'!N650</f>
        <v>36.760070347575763</v>
      </c>
      <c r="F17" s="103">
        <f>'Alloc &amp; Returns'!N651</f>
        <v>7.9975782214520494E-2</v>
      </c>
      <c r="G17" s="176">
        <f>'Alloc &amp; Returns'!N652</f>
        <v>0</v>
      </c>
      <c r="H17" s="60"/>
      <c r="I17" s="31"/>
      <c r="K17" s="157"/>
      <c r="L17" s="59"/>
      <c r="M17" s="60"/>
    </row>
    <row r="18" spans="1:13" ht="12.95" customHeight="1" x14ac:dyDescent="0.2">
      <c r="A18" s="31"/>
      <c r="B18" s="14"/>
      <c r="D18" s="13"/>
      <c r="E18" s="176"/>
      <c r="F18" s="182"/>
      <c r="G18" s="176"/>
      <c r="H18" s="60"/>
      <c r="I18" s="16"/>
      <c r="J18" s="59"/>
      <c r="L18" s="59"/>
      <c r="M18" s="60"/>
    </row>
    <row r="19" spans="1:13" ht="15" customHeight="1" x14ac:dyDescent="0.2">
      <c r="A19" s="31"/>
      <c r="B19" s="14"/>
      <c r="D19" s="13"/>
      <c r="E19" s="176"/>
      <c r="F19" s="181"/>
      <c r="G19" s="176"/>
      <c r="H19" s="60"/>
      <c r="I19" s="16"/>
      <c r="L19" s="50"/>
    </row>
    <row r="20" spans="1:13" ht="15" customHeight="1" x14ac:dyDescent="0.2">
      <c r="A20" s="31"/>
      <c r="B20" s="14"/>
      <c r="C20" s="14"/>
      <c r="H20" s="60"/>
      <c r="I20" s="16"/>
      <c r="L20" s="50"/>
    </row>
    <row r="21" spans="1:13" ht="15" customHeight="1" x14ac:dyDescent="0.35">
      <c r="A21" s="31"/>
      <c r="B21" s="14"/>
      <c r="C21" s="14"/>
      <c r="D21" s="13"/>
      <c r="G21" s="223"/>
      <c r="H21" s="60"/>
      <c r="I21" s="16"/>
      <c r="L21" s="50"/>
    </row>
    <row r="22" spans="1:13" ht="15" customHeight="1" x14ac:dyDescent="0.2">
      <c r="A22" s="31"/>
      <c r="B22" s="14"/>
      <c r="C22" s="14"/>
      <c r="E22" s="78"/>
      <c r="F22" s="80"/>
      <c r="G22" s="78"/>
      <c r="I22" s="16"/>
      <c r="L22" s="50"/>
    </row>
    <row r="23" spans="1:13" x14ac:dyDescent="0.2">
      <c r="A23" s="31"/>
      <c r="B23" s="14"/>
      <c r="C23" s="14"/>
      <c r="D23" s="13"/>
      <c r="E23" s="78"/>
      <c r="F23" s="78"/>
      <c r="G23" s="78"/>
      <c r="I23" s="16"/>
      <c r="L23" s="50"/>
    </row>
    <row r="24" spans="1:13" s="75" customFormat="1" x14ac:dyDescent="0.2">
      <c r="A24" s="69"/>
      <c r="B24" s="14"/>
      <c r="C24" s="14"/>
      <c r="D24" s="48"/>
      <c r="E24" s="224"/>
      <c r="F24" s="181"/>
      <c r="G24" s="225"/>
      <c r="I24" s="16"/>
      <c r="L24" s="82"/>
    </row>
    <row r="25" spans="1:13" x14ac:dyDescent="0.2">
      <c r="A25" s="69"/>
      <c r="B25" s="14"/>
      <c r="C25" s="14"/>
      <c r="E25" s="224"/>
      <c r="F25" s="103"/>
      <c r="G25" s="211"/>
      <c r="I25" s="16"/>
      <c r="L25" s="50"/>
    </row>
    <row r="26" spans="1:13" x14ac:dyDescent="0.2">
      <c r="A26" s="69"/>
      <c r="B26" s="14"/>
      <c r="C26" s="14"/>
      <c r="E26" s="224"/>
      <c r="F26" s="103"/>
      <c r="G26" s="211"/>
      <c r="I26" s="16"/>
      <c r="L26" s="50"/>
    </row>
    <row r="27" spans="1:13" x14ac:dyDescent="0.2">
      <c r="A27" s="69"/>
      <c r="B27" s="14"/>
      <c r="C27" s="14"/>
      <c r="E27" s="224"/>
      <c r="F27" s="103"/>
      <c r="G27" s="211"/>
      <c r="I27" s="16"/>
      <c r="L27" s="50"/>
    </row>
    <row r="28" spans="1:13" x14ac:dyDescent="0.2">
      <c r="A28" s="69"/>
      <c r="B28" s="75"/>
      <c r="C28" s="14"/>
      <c r="E28" s="224"/>
      <c r="F28" s="103"/>
      <c r="G28" s="211"/>
      <c r="I28" s="16"/>
      <c r="L28" s="50"/>
    </row>
    <row r="29" spans="1:13" x14ac:dyDescent="0.2">
      <c r="A29" s="69"/>
      <c r="B29" s="75"/>
      <c r="C29" s="14"/>
      <c r="E29" s="224"/>
      <c r="F29" s="103"/>
      <c r="G29" s="211"/>
      <c r="I29" s="14"/>
      <c r="L29" s="50"/>
    </row>
    <row r="30" spans="1:13" x14ac:dyDescent="0.2">
      <c r="A30" s="69"/>
      <c r="B30" s="75"/>
      <c r="C30" s="14"/>
      <c r="E30" s="224"/>
      <c r="F30" s="103"/>
      <c r="G30" s="211"/>
      <c r="H30" s="50"/>
      <c r="I30" s="14"/>
      <c r="L30" s="50"/>
    </row>
    <row r="31" spans="1:13" x14ac:dyDescent="0.2">
      <c r="A31" s="69"/>
      <c r="B31" s="75"/>
      <c r="C31" s="14"/>
      <c r="E31" s="75"/>
      <c r="F31" s="75"/>
      <c r="G31" s="75"/>
      <c r="H31" s="50"/>
      <c r="I31" s="14"/>
      <c r="L31" s="50"/>
    </row>
    <row r="32" spans="1:13" x14ac:dyDescent="0.2">
      <c r="A32" s="69"/>
      <c r="B32" s="75"/>
      <c r="C32" s="14"/>
      <c r="E32" s="75"/>
      <c r="F32" s="75"/>
      <c r="G32" s="75"/>
      <c r="H32" s="50"/>
      <c r="I32" s="14"/>
      <c r="L32" s="50"/>
    </row>
    <row r="33" spans="1:12" x14ac:dyDescent="0.2">
      <c r="A33" s="69"/>
      <c r="B33" s="75"/>
      <c r="C33" s="14"/>
      <c r="E33" s="75"/>
      <c r="F33" s="75"/>
      <c r="G33" s="75"/>
      <c r="H33" s="50"/>
      <c r="I33" s="14"/>
      <c r="L33" s="50"/>
    </row>
    <row r="34" spans="1:12" x14ac:dyDescent="0.2">
      <c r="A34" s="69"/>
      <c r="B34" s="75"/>
      <c r="C34" s="14"/>
      <c r="E34" s="75"/>
      <c r="F34" s="75"/>
      <c r="G34" s="75"/>
      <c r="H34" s="50"/>
      <c r="I34" s="14"/>
      <c r="L34" s="50"/>
    </row>
    <row r="35" spans="1:12" x14ac:dyDescent="0.2">
      <c r="A35" s="69"/>
      <c r="B35" s="75"/>
      <c r="C35" s="14"/>
      <c r="E35" s="75"/>
      <c r="F35" s="75"/>
      <c r="G35" s="75"/>
    </row>
    <row r="36" spans="1:12" x14ac:dyDescent="0.2">
      <c r="A36" s="69"/>
      <c r="B36" s="75"/>
      <c r="C36" s="14"/>
      <c r="E36" s="75"/>
      <c r="F36" s="75"/>
      <c r="G36" s="75"/>
    </row>
    <row r="37" spans="1:12" x14ac:dyDescent="0.2">
      <c r="A37" s="69"/>
      <c r="B37" s="75"/>
      <c r="C37" s="14"/>
      <c r="E37" s="75"/>
      <c r="F37" s="75"/>
      <c r="G37" s="75"/>
    </row>
    <row r="38" spans="1:12" x14ac:dyDescent="0.2">
      <c r="A38" s="69"/>
      <c r="B38" s="75"/>
      <c r="C38" s="14"/>
      <c r="E38" s="75"/>
      <c r="F38" s="75"/>
      <c r="G38" s="75"/>
    </row>
    <row r="39" spans="1:12" x14ac:dyDescent="0.2">
      <c r="A39" s="69"/>
      <c r="B39" s="75"/>
      <c r="C39" s="14"/>
      <c r="E39" s="75"/>
      <c r="F39" s="75"/>
      <c r="G39" s="75"/>
    </row>
    <row r="40" spans="1:12" x14ac:dyDescent="0.2">
      <c r="A40" s="69"/>
      <c r="B40" s="75"/>
      <c r="C40" s="14"/>
      <c r="E40" s="75"/>
      <c r="F40" s="75"/>
      <c r="G40" s="75"/>
    </row>
    <row r="41" spans="1:12" x14ac:dyDescent="0.2">
      <c r="A41" s="69"/>
      <c r="B41" s="75"/>
      <c r="C41" s="14"/>
      <c r="E41" s="75"/>
      <c r="F41" s="75"/>
      <c r="G41" s="75"/>
    </row>
    <row r="42" spans="1:12" x14ac:dyDescent="0.2">
      <c r="A42" s="69"/>
      <c r="B42" s="75"/>
      <c r="C42" s="75"/>
      <c r="E42" s="75"/>
      <c r="F42" s="75"/>
      <c r="G42" s="75"/>
    </row>
  </sheetData>
  <mergeCells count="2">
    <mergeCell ref="I2:L2"/>
    <mergeCell ref="E4:G4"/>
  </mergeCells>
  <pageMargins left="0.75" right="0.75" top="1" bottom="1" header="0.5" footer="0.5"/>
  <pageSetup orientation="landscape" r:id="rId1"/>
  <headerFooter alignWithMargins="0">
    <oddFooter>&amp;RExhibit JW-3
Page 2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K506"/>
  <sheetViews>
    <sheetView view="pageBreakPreview" zoomScale="70" zoomScaleNormal="75" zoomScaleSheetLayoutView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Z1" sqref="Z1:Z1048576"/>
    </sheetView>
  </sheetViews>
  <sheetFormatPr defaultColWidth="9.140625" defaultRowHeight="12.75" x14ac:dyDescent="0.2"/>
  <cols>
    <col min="1" max="1" width="7.7109375" style="14" customWidth="1"/>
    <col min="2" max="2" width="47.5703125" style="14" customWidth="1"/>
    <col min="3" max="3" width="12.85546875" style="14" customWidth="1"/>
    <col min="4" max="4" width="12.42578125" style="14" customWidth="1"/>
    <col min="5" max="5" width="2.7109375" style="14" customWidth="1"/>
    <col min="6" max="6" width="18.85546875" style="14" customWidth="1"/>
    <col min="7" max="7" width="2.5703125" style="14" customWidth="1"/>
    <col min="8" max="8" width="17.140625" style="14" customWidth="1"/>
    <col min="9" max="9" width="14.85546875" style="14" customWidth="1"/>
    <col min="10" max="10" width="2.7109375" style="14" customWidth="1"/>
    <col min="11" max="11" width="16.28515625" style="14" customWidth="1"/>
    <col min="12" max="12" width="2.7109375" style="14" customWidth="1"/>
    <col min="13" max="13" width="24.7109375" style="14" bestFit="1" customWidth="1"/>
    <col min="14" max="14" width="3.85546875" style="14" customWidth="1"/>
    <col min="15" max="15" width="16.28515625" style="14" customWidth="1"/>
    <col min="16" max="16" width="15.5703125" style="14" customWidth="1"/>
    <col min="17" max="17" width="1.85546875" style="83" customWidth="1"/>
    <col min="18" max="18" width="13.7109375" style="14" customWidth="1"/>
    <col min="19" max="19" width="15.140625" style="14" customWidth="1"/>
    <col min="20" max="20" width="1.85546875" style="14" customWidth="1"/>
    <col min="21" max="21" width="14.28515625" style="14" bestFit="1" customWidth="1"/>
    <col min="22" max="22" width="1.85546875" style="14" customWidth="1"/>
    <col min="23" max="23" width="13.85546875" style="14" customWidth="1"/>
    <col min="24" max="24" width="1.85546875" style="14" customWidth="1"/>
    <col min="25" max="25" width="15" style="14" customWidth="1"/>
    <col min="26" max="26" width="1.85546875" style="14" customWidth="1"/>
    <col min="27" max="27" width="14.85546875" style="14" customWidth="1"/>
    <col min="28" max="28" width="16.140625" style="14" customWidth="1"/>
    <col min="29" max="29" width="14.7109375" style="14" customWidth="1"/>
    <col min="30" max="30" width="12.85546875" style="14" customWidth="1"/>
    <col min="31" max="31" width="9.140625" style="14"/>
    <col min="32" max="32" width="18.140625" style="14" customWidth="1"/>
    <col min="33" max="33" width="12.85546875" style="14" customWidth="1"/>
    <col min="34" max="35" width="9.140625" style="14"/>
    <col min="36" max="36" width="18.140625" style="14" customWidth="1"/>
    <col min="37" max="37" width="9.7109375" style="14" bestFit="1" customWidth="1"/>
    <col min="38" max="16384" width="9.140625" style="14"/>
  </cols>
  <sheetData>
    <row r="1" spans="1:30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AC1" s="31" t="str">
        <f>IF(COUNTIF(AC4:AC488,"err"),"err","ok")</f>
        <v>ok</v>
      </c>
    </row>
    <row r="2" spans="1:30" ht="48" customHeight="1" thickBot="1" x14ac:dyDescent="0.25">
      <c r="A2" s="13"/>
      <c r="B2" s="13"/>
      <c r="C2" s="24"/>
      <c r="D2" s="15" t="s">
        <v>208</v>
      </c>
      <c r="E2" s="24"/>
      <c r="F2" s="24" t="s">
        <v>0</v>
      </c>
      <c r="G2" s="24"/>
      <c r="H2" s="84" t="s">
        <v>908</v>
      </c>
      <c r="I2" s="84"/>
      <c r="K2" s="85" t="s">
        <v>350</v>
      </c>
      <c r="L2" s="13"/>
      <c r="M2" s="85" t="s">
        <v>1</v>
      </c>
      <c r="N2" s="86"/>
      <c r="O2" s="84" t="s">
        <v>356</v>
      </c>
      <c r="P2" s="84"/>
      <c r="Q2" s="13"/>
      <c r="R2" s="84" t="s">
        <v>3</v>
      </c>
      <c r="S2" s="84"/>
      <c r="T2" s="13"/>
      <c r="U2" s="87" t="s">
        <v>4</v>
      </c>
      <c r="V2" s="24"/>
      <c r="W2" s="85" t="s">
        <v>755</v>
      </c>
      <c r="X2" s="86"/>
      <c r="Y2" s="85" t="s">
        <v>1012</v>
      </c>
      <c r="Z2" s="86"/>
      <c r="AA2" s="85" t="s">
        <v>470</v>
      </c>
      <c r="AB2" s="13"/>
      <c r="AC2" s="13"/>
    </row>
    <row r="3" spans="1:30" ht="13.5" thickBot="1" x14ac:dyDescent="0.25">
      <c r="A3" s="88" t="s">
        <v>6</v>
      </c>
      <c r="B3" s="88"/>
      <c r="C3" s="89" t="s">
        <v>7</v>
      </c>
      <c r="D3" s="89" t="s">
        <v>8</v>
      </c>
      <c r="E3" s="87"/>
      <c r="F3" s="87" t="s">
        <v>9</v>
      </c>
      <c r="G3" s="90"/>
      <c r="H3" s="87" t="s">
        <v>10</v>
      </c>
      <c r="I3" s="87" t="s">
        <v>11</v>
      </c>
      <c r="J3" s="87"/>
      <c r="K3" s="87" t="s">
        <v>10</v>
      </c>
      <c r="L3" s="87"/>
      <c r="M3" s="87" t="s">
        <v>10</v>
      </c>
      <c r="N3" s="87"/>
      <c r="O3" s="87" t="s">
        <v>10</v>
      </c>
      <c r="P3" s="87" t="s">
        <v>12</v>
      </c>
      <c r="Q3" s="84"/>
      <c r="R3" s="87" t="s">
        <v>10</v>
      </c>
      <c r="S3" s="87" t="s">
        <v>12</v>
      </c>
      <c r="T3" s="87"/>
      <c r="U3" s="87" t="s">
        <v>12</v>
      </c>
      <c r="V3" s="87"/>
      <c r="W3" s="87" t="s">
        <v>12</v>
      </c>
      <c r="X3" s="87"/>
      <c r="Y3" s="87" t="s">
        <v>12</v>
      </c>
      <c r="Z3" s="87"/>
      <c r="AA3" s="87" t="s">
        <v>12</v>
      </c>
      <c r="AB3" s="87" t="s">
        <v>13</v>
      </c>
      <c r="AC3" s="91" t="s">
        <v>14</v>
      </c>
    </row>
    <row r="4" spans="1:30" x14ac:dyDescent="0.2">
      <c r="F4" s="30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2"/>
      <c r="S4" s="92"/>
      <c r="T4" s="92"/>
      <c r="U4" s="92"/>
      <c r="V4" s="92"/>
      <c r="W4" s="92"/>
      <c r="X4" s="92"/>
      <c r="Y4" s="92"/>
      <c r="Z4" s="92"/>
      <c r="AA4" s="92"/>
      <c r="AC4" s="31"/>
    </row>
    <row r="5" spans="1:30" x14ac:dyDescent="0.2">
      <c r="A5" s="29" t="s">
        <v>15</v>
      </c>
      <c r="F5" s="68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  <c r="R5" s="92"/>
      <c r="S5" s="92"/>
      <c r="T5" s="92"/>
      <c r="U5" s="92"/>
      <c r="V5" s="92"/>
      <c r="W5" s="92"/>
      <c r="X5" s="92"/>
      <c r="Y5" s="92"/>
      <c r="Z5" s="92"/>
      <c r="AA5" s="92"/>
      <c r="AC5" s="31"/>
    </row>
    <row r="6" spans="1:30" x14ac:dyDescent="0.2">
      <c r="AC6" s="31"/>
    </row>
    <row r="7" spans="1:30" x14ac:dyDescent="0.2">
      <c r="A7" s="29" t="s">
        <v>358</v>
      </c>
      <c r="AC7" s="31"/>
    </row>
    <row r="8" spans="1:30" x14ac:dyDescent="0.2">
      <c r="A8" s="94">
        <v>301</v>
      </c>
      <c r="B8" s="14" t="s">
        <v>360</v>
      </c>
      <c r="C8" s="14" t="s">
        <v>361</v>
      </c>
      <c r="D8" s="14" t="s">
        <v>392</v>
      </c>
      <c r="F8" s="66">
        <v>0</v>
      </c>
      <c r="H8" s="50">
        <f>IF(VLOOKUP($D8,$C$5:$AA$494,6,)=0,0,((VLOOKUP($D8,$C$5:$AA$494,6,)/VLOOKUP($D8,$C$5:$AA$494,4,))*$F8))</f>
        <v>0</v>
      </c>
      <c r="I8" s="50">
        <f>IF(VLOOKUP($D8,$C$5:$AA$494,7,)=0,0,((VLOOKUP($D8,$C$5:$AA$494,7,)/VLOOKUP($D8,$C$5:$AA$494,4,))*$F8))</f>
        <v>0</v>
      </c>
      <c r="J8" s="50"/>
      <c r="K8" s="50">
        <f>IF(VLOOKUP($D8,$C$5:$AA$494,9,)=0,0,((VLOOKUP($D8,$C$5:$AA$494,9,)/VLOOKUP($D8,$C$5:$AA$494,4,))*$F8))</f>
        <v>0</v>
      </c>
      <c r="L8" s="50"/>
      <c r="M8" s="50">
        <f>IF(VLOOKUP($D8,$C$5:$AA$494,11,)=0,0,((VLOOKUP($D8,$C$5:$AA$494,11,)/VLOOKUP($D8,$C$5:$AA$494,4,))*$F8))</f>
        <v>0</v>
      </c>
      <c r="N8" s="50"/>
      <c r="O8" s="50">
        <f>IF(VLOOKUP($D8,$C$5:$AA$494,13,)=0,0,((VLOOKUP($D8,$C$5:$AA$494,13,)/VLOOKUP($D8,$C$5:$AA$494,4,))*$F8))</f>
        <v>0</v>
      </c>
      <c r="P8" s="50">
        <f>IF(VLOOKUP($D8,$C$5:$AA$494,14,)=0,0,((VLOOKUP($D8,$C$5:$AA$494,14,)/VLOOKUP($D8,$C$5:$AA$494,4,))*$F8))</f>
        <v>0</v>
      </c>
      <c r="Q8" s="50"/>
      <c r="R8" s="50">
        <f>IF(VLOOKUP($D8,$C$5:$AA$494,16,)=0,0,((VLOOKUP($D8,$C$5:$AA$494,16,)/VLOOKUP($D8,$C$5:$AA$494,4,))*$F8))</f>
        <v>0</v>
      </c>
      <c r="S8" s="50">
        <f>IF(VLOOKUP($D8,$C$5:$AA$494,17,)=0,0,((VLOOKUP($D8,$C$5:$AA$494,17,)/VLOOKUP($D8,$C$5:$AA$494,4,))*$F8))</f>
        <v>0</v>
      </c>
      <c r="T8" s="50"/>
      <c r="U8" s="50">
        <f>IF(VLOOKUP($D8,$C$5:$AA$494,19,)=0,0,((VLOOKUP($D8,$C$5:$AA$494,19,)/VLOOKUP($D8,$C$5:$AA$494,4,))*$F8))</f>
        <v>0</v>
      </c>
      <c r="V8" s="50"/>
      <c r="W8" s="50">
        <f>IF(VLOOKUP($D8,$C$5:$AA$494,21,)=0,0,((VLOOKUP($D8,$C$5:$AA$494,21,)/VLOOKUP($D8,$C$5:$AA$494,4,))*$F8))</f>
        <v>0</v>
      </c>
      <c r="X8" s="50"/>
      <c r="Y8" s="50">
        <f>IF(VLOOKUP($D8,$C$5:$AA$494,23,)=0,0,((VLOOKUP($D8,$C$5:$AA$494,23,)/VLOOKUP($D8,$C$5:$AA$494,4,))*$F8))</f>
        <v>0</v>
      </c>
      <c r="Z8" s="50"/>
      <c r="AA8" s="50">
        <f>IF(VLOOKUP($D8,$C$5:$AA$494,25,)=0,0,((VLOOKUP($D8,$C$5:$AA$494,25,)/VLOOKUP($D8,$C$5:$AA$494,4,))*$F8))</f>
        <v>0</v>
      </c>
      <c r="AB8" s="50">
        <f>SUM(H8:AA8)</f>
        <v>0</v>
      </c>
      <c r="AC8" s="31" t="str">
        <f>IF(ABS(AB8-F8)&lt;1,"ok","err")</f>
        <v>ok</v>
      </c>
      <c r="AD8" s="37"/>
    </row>
    <row r="9" spans="1:30" x14ac:dyDescent="0.2">
      <c r="A9" s="94">
        <v>302</v>
      </c>
      <c r="B9" s="14" t="s">
        <v>829</v>
      </c>
      <c r="C9" s="14" t="s">
        <v>830</v>
      </c>
      <c r="D9" s="14" t="s">
        <v>392</v>
      </c>
      <c r="F9" s="50">
        <v>0</v>
      </c>
      <c r="H9" s="50">
        <f>IF(VLOOKUP($D9,$C$5:$AA$494,6,)=0,0,((VLOOKUP($D9,$C$5:$AA$494,6,)/VLOOKUP($D9,$C$5:$AA$494,4,))*$F9))</f>
        <v>0</v>
      </c>
      <c r="I9" s="50">
        <f>IF(VLOOKUP($D9,$C$5:$AA$494,7,)=0,0,((VLOOKUP($D9,$C$5:$AA$494,7,)/VLOOKUP($D9,$C$5:$AA$494,4,))*$F9))</f>
        <v>0</v>
      </c>
      <c r="J9" s="50"/>
      <c r="K9" s="50">
        <f>IF(VLOOKUP($D9,$C$5:$AA$494,9,)=0,0,((VLOOKUP($D9,$C$5:$AA$494,9,)/VLOOKUP($D9,$C$5:$AA$494,4,))*$F9))</f>
        <v>0</v>
      </c>
      <c r="L9" s="50"/>
      <c r="M9" s="50">
        <f>IF(VLOOKUP($D9,$C$5:$AA$494,11,)=0,0,((VLOOKUP($D9,$C$5:$AA$494,11,)/VLOOKUP($D9,$C$5:$AA$494,4,))*$F9))</f>
        <v>0</v>
      </c>
      <c r="N9" s="50"/>
      <c r="O9" s="50">
        <f>IF(VLOOKUP($D9,$C$5:$AA$494,13,)=0,0,((VLOOKUP($D9,$C$5:$AA$494,13,)/VLOOKUP($D9,$C$5:$AA$494,4,))*$F9))</f>
        <v>0</v>
      </c>
      <c r="P9" s="50">
        <f>IF(VLOOKUP($D9,$C$5:$AA$494,14,)=0,0,((VLOOKUP($D9,$C$5:$AA$494,14,)/VLOOKUP($D9,$C$5:$AA$494,4,))*$F9))</f>
        <v>0</v>
      </c>
      <c r="Q9" s="50"/>
      <c r="R9" s="50">
        <f>IF(VLOOKUP($D9,$C$5:$AA$494,16,)=0,0,((VLOOKUP($D9,$C$5:$AA$494,16,)/VLOOKUP($D9,$C$5:$AA$494,4,))*$F9))</f>
        <v>0</v>
      </c>
      <c r="S9" s="50">
        <f>IF(VLOOKUP($D9,$C$5:$AA$494,17,)=0,0,((VLOOKUP($D9,$C$5:$AA$494,17,)/VLOOKUP($D9,$C$5:$AA$494,4,))*$F9))</f>
        <v>0</v>
      </c>
      <c r="T9" s="50"/>
      <c r="U9" s="50">
        <f>IF(VLOOKUP($D9,$C$5:$AA$494,19,)=0,0,((VLOOKUP($D9,$C$5:$AA$494,19,)/VLOOKUP($D9,$C$5:$AA$494,4,))*$F9))</f>
        <v>0</v>
      </c>
      <c r="V9" s="50"/>
      <c r="W9" s="50">
        <f>IF(VLOOKUP($D9,$C$5:$AA$494,21,)=0,0,((VLOOKUP($D9,$C$5:$AA$494,21,)/VLOOKUP($D9,$C$5:$AA$494,4,))*$F9))</f>
        <v>0</v>
      </c>
      <c r="X9" s="50"/>
      <c r="Y9" s="50">
        <f>IF(VLOOKUP($D9,$C$5:$AA$494,23,)=0,0,((VLOOKUP($D9,$C$5:$AA$494,23,)/VLOOKUP($D9,$C$5:$AA$494,4,))*$F9))</f>
        <v>0</v>
      </c>
      <c r="Z9" s="50"/>
      <c r="AA9" s="50">
        <f>IF(VLOOKUP($D9,$C$5:$AA$494,25,)=0,0,((VLOOKUP($D9,$C$5:$AA$494,25,)/VLOOKUP($D9,$C$5:$AA$494,4,))*$F9))</f>
        <v>0</v>
      </c>
      <c r="AB9" s="50">
        <f>SUM(H9:AA9)</f>
        <v>0</v>
      </c>
      <c r="AC9" s="31" t="str">
        <f>IF(ABS(AB9-F9)&lt;1,"ok","err")</f>
        <v>ok</v>
      </c>
    </row>
    <row r="10" spans="1:30" x14ac:dyDescent="0.2">
      <c r="A10" s="94">
        <v>303</v>
      </c>
      <c r="B10" s="14" t="s">
        <v>703</v>
      </c>
      <c r="C10" s="14" t="s">
        <v>704</v>
      </c>
      <c r="D10" s="14" t="s">
        <v>392</v>
      </c>
      <c r="F10" s="50">
        <v>0</v>
      </c>
      <c r="H10" s="50">
        <f>IF(VLOOKUP($D10,$C$5:$AA$494,6,)=0,0,((VLOOKUP($D10,$C$5:$AA$494,6,)/VLOOKUP($D10,$C$5:$AA$494,4,))*$F10))</f>
        <v>0</v>
      </c>
      <c r="I10" s="50">
        <f>IF(VLOOKUP($D10,$C$5:$AA$494,7,)=0,0,((VLOOKUP($D10,$C$5:$AA$494,7,)/VLOOKUP($D10,$C$5:$AA$494,4,))*$F10))</f>
        <v>0</v>
      </c>
      <c r="J10" s="50"/>
      <c r="K10" s="50">
        <f>IF(VLOOKUP($D10,$C$5:$AA$494,9,)=0,0,((VLOOKUP($D10,$C$5:$AA$494,9,)/VLOOKUP($D10,$C$5:$AA$494,4,))*$F10))</f>
        <v>0</v>
      </c>
      <c r="L10" s="50"/>
      <c r="M10" s="50">
        <f>IF(VLOOKUP($D10,$C$5:$AA$494,11,)=0,0,((VLOOKUP($D10,$C$5:$AA$494,11,)/VLOOKUP($D10,$C$5:$AA$494,4,))*$F10))</f>
        <v>0</v>
      </c>
      <c r="N10" s="50"/>
      <c r="O10" s="50">
        <f>IF(VLOOKUP($D10,$C$5:$AA$494,13,)=0,0,((VLOOKUP($D10,$C$5:$AA$494,13,)/VLOOKUP($D10,$C$5:$AA$494,4,))*$F10))</f>
        <v>0</v>
      </c>
      <c r="P10" s="50">
        <f>IF(VLOOKUP($D10,$C$5:$AA$494,14,)=0,0,((VLOOKUP($D10,$C$5:$AA$494,14,)/VLOOKUP($D10,$C$5:$AA$494,4,))*$F10))</f>
        <v>0</v>
      </c>
      <c r="Q10" s="50"/>
      <c r="R10" s="50">
        <f>IF(VLOOKUP($D10,$C$5:$AA$494,16,)=0,0,((VLOOKUP($D10,$C$5:$AA$494,16,)/VLOOKUP($D10,$C$5:$AA$494,4,))*$F10))</f>
        <v>0</v>
      </c>
      <c r="S10" s="50">
        <f>IF(VLOOKUP($D10,$C$5:$AA$494,17,)=0,0,((VLOOKUP($D10,$C$5:$AA$494,17,)/VLOOKUP($D10,$C$5:$AA$494,4,))*$F10))</f>
        <v>0</v>
      </c>
      <c r="T10" s="50"/>
      <c r="U10" s="50">
        <f>IF(VLOOKUP($D10,$C$5:$AA$494,19,)=0,0,((VLOOKUP($D10,$C$5:$AA$494,19,)/VLOOKUP($D10,$C$5:$AA$494,4,))*$F10))</f>
        <v>0</v>
      </c>
      <c r="V10" s="50"/>
      <c r="W10" s="50">
        <f>IF(VLOOKUP($D10,$C$5:$AA$494,21,)=0,0,((VLOOKUP($D10,$C$5:$AA$494,21,)/VLOOKUP($D10,$C$5:$AA$494,4,))*$F10))</f>
        <v>0</v>
      </c>
      <c r="X10" s="50"/>
      <c r="Y10" s="50">
        <f>IF(VLOOKUP($D10,$C$5:$AA$494,23,)=0,0,((VLOOKUP($D10,$C$5:$AA$494,23,)/VLOOKUP($D10,$C$5:$AA$494,4,))*$F10))</f>
        <v>0</v>
      </c>
      <c r="Z10" s="50"/>
      <c r="AA10" s="50">
        <f>IF(VLOOKUP($D10,$C$5:$AA$494,25,)=0,0,((VLOOKUP($D10,$C$5:$AA$494,25,)/VLOOKUP($D10,$C$5:$AA$494,4,))*$F10))</f>
        <v>0</v>
      </c>
      <c r="AB10" s="50">
        <f>SUM(H10:AA10)</f>
        <v>0</v>
      </c>
      <c r="AC10" s="31" t="str">
        <f>IF(ABS(AB10-F10)&lt;1,"ok","err")</f>
        <v>ok</v>
      </c>
    </row>
    <row r="11" spans="1:30" x14ac:dyDescent="0.2">
      <c r="AC11" s="31"/>
    </row>
    <row r="12" spans="1:30" x14ac:dyDescent="0.2">
      <c r="B12" s="14" t="s">
        <v>19</v>
      </c>
      <c r="C12" s="14" t="s">
        <v>20</v>
      </c>
      <c r="F12" s="95">
        <f>SUM(F8:F10)</f>
        <v>0</v>
      </c>
      <c r="G12" s="95"/>
      <c r="H12" s="95">
        <f>SUM(H8:H10)</f>
        <v>0</v>
      </c>
      <c r="I12" s="95">
        <f>SUM(I8:I10)</f>
        <v>0</v>
      </c>
      <c r="J12" s="95"/>
      <c r="K12" s="95">
        <f>SUM(K8:K10)</f>
        <v>0</v>
      </c>
      <c r="L12" s="95"/>
      <c r="M12" s="95">
        <f>SUM(M8:M10)</f>
        <v>0</v>
      </c>
      <c r="N12" s="95"/>
      <c r="O12" s="95">
        <f>SUM(O8:O10)</f>
        <v>0</v>
      </c>
      <c r="P12" s="95">
        <f>SUM(P8:P10)</f>
        <v>0</v>
      </c>
      <c r="Q12" s="95"/>
      <c r="R12" s="95">
        <f>SUM(R8:R10)</f>
        <v>0</v>
      </c>
      <c r="S12" s="95">
        <f>SUM(S8:S10)</f>
        <v>0</v>
      </c>
      <c r="T12" s="95"/>
      <c r="U12" s="95">
        <f>SUM(U8:U10)</f>
        <v>0</v>
      </c>
      <c r="V12" s="95"/>
      <c r="W12" s="95">
        <f>SUM(W8:W10)</f>
        <v>0</v>
      </c>
      <c r="X12" s="95"/>
      <c r="Y12" s="95">
        <f>SUM(Y8:Y10)</f>
        <v>0</v>
      </c>
      <c r="Z12" s="95"/>
      <c r="AA12" s="95">
        <f>SUM(AA8:AA10)</f>
        <v>0</v>
      </c>
      <c r="AB12" s="50">
        <f>SUM(H12:AA12)</f>
        <v>0</v>
      </c>
      <c r="AC12" s="31" t="str">
        <f>IF(ABS(AB12-F12)&lt;1,"ok","err")</f>
        <v>ok</v>
      </c>
      <c r="AD12" s="37"/>
    </row>
    <row r="13" spans="1:30" x14ac:dyDescent="0.2">
      <c r="AC13" s="31"/>
    </row>
    <row r="14" spans="1:30" x14ac:dyDescent="0.2">
      <c r="A14" s="29" t="s">
        <v>768</v>
      </c>
      <c r="Q14" s="14"/>
      <c r="AC14" s="31"/>
    </row>
    <row r="15" spans="1:30" x14ac:dyDescent="0.2">
      <c r="A15" s="96">
        <v>310</v>
      </c>
      <c r="B15" s="14" t="s">
        <v>17</v>
      </c>
      <c r="C15" s="14" t="s">
        <v>775</v>
      </c>
      <c r="D15" s="14" t="s">
        <v>552</v>
      </c>
      <c r="F15" s="66">
        <v>0</v>
      </c>
      <c r="G15" s="66"/>
      <c r="H15" s="50">
        <f t="shared" ref="H15:H22" si="0">IF(VLOOKUP($D15,$C$5:$AA$494,6,)=0,0,((VLOOKUP($D15,$C$5:$AA$494,6,)/VLOOKUP($D15,$C$5:$AA$494,4,))*$F15))</f>
        <v>0</v>
      </c>
      <c r="I15" s="50">
        <f t="shared" ref="I15:I22" si="1">IF(VLOOKUP($D15,$C$5:$AA$494,7,)=0,0,((VLOOKUP($D15,$C$5:$AA$494,7,)/VLOOKUP($D15,$C$5:$AA$494,4,))*$F15))</f>
        <v>0</v>
      </c>
      <c r="J15" s="50"/>
      <c r="K15" s="50">
        <f t="shared" ref="K15:K22" si="2">IF(VLOOKUP($D15,$C$5:$AA$494,9,)=0,0,((VLOOKUP($D15,$C$5:$AA$494,9,)/VLOOKUP($D15,$C$5:$AA$494,4,))*$F15))</f>
        <v>0</v>
      </c>
      <c r="L15" s="50"/>
      <c r="M15" s="50">
        <f t="shared" ref="M15:M22" si="3">IF(VLOOKUP($D15,$C$5:$AA$494,11,)=0,0,((VLOOKUP($D15,$C$5:$AA$494,11,)/VLOOKUP($D15,$C$5:$AA$494,4,))*$F15))</f>
        <v>0</v>
      </c>
      <c r="N15" s="50"/>
      <c r="O15" s="50">
        <f t="shared" ref="O15:O22" si="4">IF(VLOOKUP($D15,$C$5:$AA$494,13,)=0,0,((VLOOKUP($D15,$C$5:$AA$494,13,)/VLOOKUP($D15,$C$5:$AA$494,4,))*$F15))</f>
        <v>0</v>
      </c>
      <c r="P15" s="50">
        <f t="shared" ref="P15:P22" si="5">IF(VLOOKUP($D15,$C$5:$AA$494,14,)=0,0,((VLOOKUP($D15,$C$5:$AA$494,14,)/VLOOKUP($D15,$C$5:$AA$494,4,))*$F15))</f>
        <v>0</v>
      </c>
      <c r="Q15" s="50"/>
      <c r="R15" s="50">
        <f t="shared" ref="R15:R22" si="6">IF(VLOOKUP($D15,$C$5:$AA$494,16,)=0,0,((VLOOKUP($D15,$C$5:$AA$494,16,)/VLOOKUP($D15,$C$5:$AA$494,4,))*$F15))</f>
        <v>0</v>
      </c>
      <c r="S15" s="50">
        <f t="shared" ref="S15:S22" si="7">IF(VLOOKUP($D15,$C$5:$AA$494,17,)=0,0,((VLOOKUP($D15,$C$5:$AA$494,17,)/VLOOKUP($D15,$C$5:$AA$494,4,))*$F15))</f>
        <v>0</v>
      </c>
      <c r="T15" s="50"/>
      <c r="U15" s="50">
        <f t="shared" ref="U15:U22" si="8">IF(VLOOKUP($D15,$C$5:$AA$494,19,)=0,0,((VLOOKUP($D15,$C$5:$AA$494,19,)/VLOOKUP($D15,$C$5:$AA$494,4,))*$F15))</f>
        <v>0</v>
      </c>
      <c r="V15" s="50"/>
      <c r="W15" s="50">
        <f t="shared" ref="W15:W22" si="9">IF(VLOOKUP($D15,$C$5:$AA$494,21,)=0,0,((VLOOKUP($D15,$C$5:$AA$494,21,)/VLOOKUP($D15,$C$5:$AA$494,4,))*$F15))</f>
        <v>0</v>
      </c>
      <c r="X15" s="50"/>
      <c r="Y15" s="50">
        <f t="shared" ref="Y15:Y22" si="10">IF(VLOOKUP($D15,$C$5:$AA$494,23,)=0,0,((VLOOKUP($D15,$C$5:$AA$494,23,)/VLOOKUP($D15,$C$5:$AA$494,4,))*$F15))</f>
        <v>0</v>
      </c>
      <c r="Z15" s="50"/>
      <c r="AA15" s="50">
        <f t="shared" ref="AA15:AA22" si="11">IF(VLOOKUP($D15,$C$5:$AA$494,25,)=0,0,((VLOOKUP($D15,$C$5:$AA$494,25,)/VLOOKUP($D15,$C$5:$AA$494,4,))*$F15))</f>
        <v>0</v>
      </c>
      <c r="AB15" s="50">
        <f t="shared" ref="AB15:AB22" si="12">SUM(H15:AA15)</f>
        <v>0</v>
      </c>
      <c r="AC15" s="31" t="str">
        <f t="shared" ref="AC15:AC22" si="13">IF(ABS(AB15-F15)&lt;1,"ok","err")</f>
        <v>ok</v>
      </c>
    </row>
    <row r="16" spans="1:30" x14ac:dyDescent="0.2">
      <c r="A16" s="96">
        <v>311</v>
      </c>
      <c r="B16" s="14" t="s">
        <v>53</v>
      </c>
      <c r="C16" s="14" t="s">
        <v>782</v>
      </c>
      <c r="D16" s="14" t="s">
        <v>552</v>
      </c>
      <c r="F16" s="50">
        <v>0</v>
      </c>
      <c r="G16" s="66"/>
      <c r="H16" s="50">
        <f t="shared" si="0"/>
        <v>0</v>
      </c>
      <c r="I16" s="50">
        <f t="shared" si="1"/>
        <v>0</v>
      </c>
      <c r="J16" s="50"/>
      <c r="K16" s="50">
        <f t="shared" si="2"/>
        <v>0</v>
      </c>
      <c r="L16" s="50"/>
      <c r="M16" s="50">
        <f t="shared" si="3"/>
        <v>0</v>
      </c>
      <c r="N16" s="50"/>
      <c r="O16" s="50">
        <f t="shared" si="4"/>
        <v>0</v>
      </c>
      <c r="P16" s="50">
        <f t="shared" si="5"/>
        <v>0</v>
      </c>
      <c r="Q16" s="50"/>
      <c r="R16" s="50">
        <f t="shared" si="6"/>
        <v>0</v>
      </c>
      <c r="S16" s="50">
        <f t="shared" si="7"/>
        <v>0</v>
      </c>
      <c r="T16" s="50"/>
      <c r="U16" s="50">
        <f t="shared" si="8"/>
        <v>0</v>
      </c>
      <c r="V16" s="50"/>
      <c r="W16" s="50">
        <f t="shared" si="9"/>
        <v>0</v>
      </c>
      <c r="X16" s="50"/>
      <c r="Y16" s="50">
        <f t="shared" si="10"/>
        <v>0</v>
      </c>
      <c r="Z16" s="50"/>
      <c r="AA16" s="50">
        <f t="shared" si="11"/>
        <v>0</v>
      </c>
      <c r="AB16" s="50">
        <f t="shared" si="12"/>
        <v>0</v>
      </c>
      <c r="AC16" s="31" t="str">
        <f t="shared" si="13"/>
        <v>ok</v>
      </c>
    </row>
    <row r="17" spans="1:29" x14ac:dyDescent="0.2">
      <c r="A17" s="96">
        <v>312</v>
      </c>
      <c r="B17" s="14" t="s">
        <v>769</v>
      </c>
      <c r="C17" s="14" t="s">
        <v>776</v>
      </c>
      <c r="D17" s="14" t="s">
        <v>552</v>
      </c>
      <c r="F17" s="50">
        <v>0</v>
      </c>
      <c r="H17" s="50">
        <f t="shared" si="0"/>
        <v>0</v>
      </c>
      <c r="I17" s="50">
        <f t="shared" si="1"/>
        <v>0</v>
      </c>
      <c r="J17" s="50"/>
      <c r="K17" s="50">
        <f t="shared" si="2"/>
        <v>0</v>
      </c>
      <c r="L17" s="50"/>
      <c r="M17" s="50">
        <f t="shared" si="3"/>
        <v>0</v>
      </c>
      <c r="N17" s="50"/>
      <c r="O17" s="50">
        <f t="shared" si="4"/>
        <v>0</v>
      </c>
      <c r="P17" s="50">
        <f t="shared" si="5"/>
        <v>0</v>
      </c>
      <c r="Q17" s="50"/>
      <c r="R17" s="50">
        <f t="shared" si="6"/>
        <v>0</v>
      </c>
      <c r="S17" s="50">
        <f t="shared" si="7"/>
        <v>0</v>
      </c>
      <c r="T17" s="50"/>
      <c r="U17" s="50">
        <f t="shared" si="8"/>
        <v>0</v>
      </c>
      <c r="V17" s="50"/>
      <c r="W17" s="50">
        <f t="shared" si="9"/>
        <v>0</v>
      </c>
      <c r="X17" s="50"/>
      <c r="Y17" s="50">
        <f t="shared" si="10"/>
        <v>0</v>
      </c>
      <c r="Z17" s="50"/>
      <c r="AA17" s="50">
        <f t="shared" si="11"/>
        <v>0</v>
      </c>
      <c r="AB17" s="50">
        <f t="shared" si="12"/>
        <v>0</v>
      </c>
      <c r="AC17" s="31" t="str">
        <f t="shared" si="13"/>
        <v>ok</v>
      </c>
    </row>
    <row r="18" spans="1:29" x14ac:dyDescent="0.2">
      <c r="A18" s="96">
        <v>313</v>
      </c>
      <c r="B18" s="14" t="s">
        <v>770</v>
      </c>
      <c r="C18" s="14" t="s">
        <v>777</v>
      </c>
      <c r="D18" s="14" t="s">
        <v>552</v>
      </c>
      <c r="F18" s="50">
        <v>0</v>
      </c>
      <c r="H18" s="50">
        <f t="shared" si="0"/>
        <v>0</v>
      </c>
      <c r="I18" s="50">
        <f t="shared" si="1"/>
        <v>0</v>
      </c>
      <c r="J18" s="50"/>
      <c r="K18" s="50">
        <f t="shared" si="2"/>
        <v>0</v>
      </c>
      <c r="L18" s="50"/>
      <c r="M18" s="50">
        <f t="shared" si="3"/>
        <v>0</v>
      </c>
      <c r="N18" s="50"/>
      <c r="O18" s="50">
        <f t="shared" si="4"/>
        <v>0</v>
      </c>
      <c r="P18" s="50">
        <f t="shared" si="5"/>
        <v>0</v>
      </c>
      <c r="Q18" s="50"/>
      <c r="R18" s="50">
        <f t="shared" si="6"/>
        <v>0</v>
      </c>
      <c r="S18" s="50">
        <f t="shared" si="7"/>
        <v>0</v>
      </c>
      <c r="T18" s="50"/>
      <c r="U18" s="50">
        <f t="shared" si="8"/>
        <v>0</v>
      </c>
      <c r="V18" s="50"/>
      <c r="W18" s="50">
        <f t="shared" si="9"/>
        <v>0</v>
      </c>
      <c r="X18" s="50"/>
      <c r="Y18" s="50">
        <f t="shared" si="10"/>
        <v>0</v>
      </c>
      <c r="Z18" s="50"/>
      <c r="AA18" s="50">
        <f t="shared" si="11"/>
        <v>0</v>
      </c>
      <c r="AB18" s="50">
        <f t="shared" si="12"/>
        <v>0</v>
      </c>
      <c r="AC18" s="31" t="str">
        <f t="shared" si="13"/>
        <v>ok</v>
      </c>
    </row>
    <row r="19" spans="1:29" x14ac:dyDescent="0.2">
      <c r="A19" s="96">
        <v>314</v>
      </c>
      <c r="B19" s="14" t="s">
        <v>771</v>
      </c>
      <c r="C19" s="14" t="s">
        <v>778</v>
      </c>
      <c r="D19" s="14" t="s">
        <v>552</v>
      </c>
      <c r="F19" s="50">
        <v>0</v>
      </c>
      <c r="H19" s="50">
        <f t="shared" si="0"/>
        <v>0</v>
      </c>
      <c r="I19" s="50">
        <f t="shared" si="1"/>
        <v>0</v>
      </c>
      <c r="J19" s="50"/>
      <c r="K19" s="50">
        <f t="shared" si="2"/>
        <v>0</v>
      </c>
      <c r="L19" s="50"/>
      <c r="M19" s="50">
        <f t="shared" si="3"/>
        <v>0</v>
      </c>
      <c r="N19" s="50"/>
      <c r="O19" s="50">
        <f t="shared" si="4"/>
        <v>0</v>
      </c>
      <c r="P19" s="50">
        <f t="shared" si="5"/>
        <v>0</v>
      </c>
      <c r="Q19" s="50"/>
      <c r="R19" s="50">
        <f t="shared" si="6"/>
        <v>0</v>
      </c>
      <c r="S19" s="50">
        <f t="shared" si="7"/>
        <v>0</v>
      </c>
      <c r="T19" s="50"/>
      <c r="U19" s="50">
        <f t="shared" si="8"/>
        <v>0</v>
      </c>
      <c r="V19" s="50"/>
      <c r="W19" s="50">
        <f t="shared" si="9"/>
        <v>0</v>
      </c>
      <c r="X19" s="50"/>
      <c r="Y19" s="50">
        <f t="shared" si="10"/>
        <v>0</v>
      </c>
      <c r="Z19" s="50"/>
      <c r="AA19" s="50">
        <f t="shared" si="11"/>
        <v>0</v>
      </c>
      <c r="AB19" s="50">
        <f t="shared" si="12"/>
        <v>0</v>
      </c>
      <c r="AC19" s="31" t="str">
        <f t="shared" si="13"/>
        <v>ok</v>
      </c>
    </row>
    <row r="20" spans="1:29" x14ac:dyDescent="0.2">
      <c r="A20" s="96">
        <v>315</v>
      </c>
      <c r="B20" s="14" t="s">
        <v>772</v>
      </c>
      <c r="C20" s="14" t="s">
        <v>779</v>
      </c>
      <c r="D20" s="14" t="s">
        <v>552</v>
      </c>
      <c r="F20" s="50">
        <v>0</v>
      </c>
      <c r="H20" s="50">
        <f t="shared" si="0"/>
        <v>0</v>
      </c>
      <c r="I20" s="50">
        <f t="shared" si="1"/>
        <v>0</v>
      </c>
      <c r="J20" s="50"/>
      <c r="K20" s="50">
        <f t="shared" si="2"/>
        <v>0</v>
      </c>
      <c r="L20" s="50"/>
      <c r="M20" s="50">
        <f t="shared" si="3"/>
        <v>0</v>
      </c>
      <c r="N20" s="50"/>
      <c r="O20" s="50">
        <f t="shared" si="4"/>
        <v>0</v>
      </c>
      <c r="P20" s="50">
        <f t="shared" si="5"/>
        <v>0</v>
      </c>
      <c r="Q20" s="50"/>
      <c r="R20" s="50">
        <f t="shared" si="6"/>
        <v>0</v>
      </c>
      <c r="S20" s="50">
        <f t="shared" si="7"/>
        <v>0</v>
      </c>
      <c r="T20" s="50"/>
      <c r="U20" s="50">
        <f t="shared" si="8"/>
        <v>0</v>
      </c>
      <c r="V20" s="50"/>
      <c r="W20" s="50">
        <f t="shared" si="9"/>
        <v>0</v>
      </c>
      <c r="X20" s="50"/>
      <c r="Y20" s="50">
        <f t="shared" si="10"/>
        <v>0</v>
      </c>
      <c r="Z20" s="50"/>
      <c r="AA20" s="50">
        <f t="shared" si="11"/>
        <v>0</v>
      </c>
      <c r="AB20" s="50">
        <f t="shared" si="12"/>
        <v>0</v>
      </c>
      <c r="AC20" s="31" t="str">
        <f t="shared" si="13"/>
        <v>ok</v>
      </c>
    </row>
    <row r="21" spans="1:29" x14ac:dyDescent="0.2">
      <c r="A21" s="96">
        <v>316</v>
      </c>
      <c r="B21" s="14" t="s">
        <v>774</v>
      </c>
      <c r="C21" s="14" t="s">
        <v>780</v>
      </c>
      <c r="D21" s="14" t="s">
        <v>552</v>
      </c>
      <c r="F21" s="50">
        <v>0</v>
      </c>
      <c r="H21" s="50">
        <f t="shared" si="0"/>
        <v>0</v>
      </c>
      <c r="I21" s="50">
        <f t="shared" si="1"/>
        <v>0</v>
      </c>
      <c r="J21" s="50"/>
      <c r="K21" s="50">
        <f t="shared" si="2"/>
        <v>0</v>
      </c>
      <c r="L21" s="50"/>
      <c r="M21" s="50">
        <f t="shared" si="3"/>
        <v>0</v>
      </c>
      <c r="N21" s="50"/>
      <c r="O21" s="50">
        <f t="shared" si="4"/>
        <v>0</v>
      </c>
      <c r="P21" s="50">
        <f t="shared" si="5"/>
        <v>0</v>
      </c>
      <c r="Q21" s="50"/>
      <c r="R21" s="50">
        <f t="shared" si="6"/>
        <v>0</v>
      </c>
      <c r="S21" s="50">
        <f t="shared" si="7"/>
        <v>0</v>
      </c>
      <c r="T21" s="50"/>
      <c r="U21" s="50">
        <f t="shared" si="8"/>
        <v>0</v>
      </c>
      <c r="V21" s="50"/>
      <c r="W21" s="50">
        <f t="shared" si="9"/>
        <v>0</v>
      </c>
      <c r="X21" s="50"/>
      <c r="Y21" s="50">
        <f t="shared" si="10"/>
        <v>0</v>
      </c>
      <c r="Z21" s="50"/>
      <c r="AA21" s="50">
        <f t="shared" si="11"/>
        <v>0</v>
      </c>
      <c r="AB21" s="50">
        <f>SUM(H21:AA21)</f>
        <v>0</v>
      </c>
      <c r="AC21" s="31" t="str">
        <f>IF(ABS(AB21-F21)&lt;1,"ok","err")</f>
        <v>ok</v>
      </c>
    </row>
    <row r="22" spans="1:29" x14ac:dyDescent="0.2">
      <c r="A22" s="96">
        <v>317</v>
      </c>
      <c r="B22" s="14" t="s">
        <v>773</v>
      </c>
      <c r="C22" s="14" t="s">
        <v>781</v>
      </c>
      <c r="D22" s="14" t="s">
        <v>552</v>
      </c>
      <c r="F22" s="50">
        <v>0</v>
      </c>
      <c r="H22" s="50">
        <f t="shared" si="0"/>
        <v>0</v>
      </c>
      <c r="I22" s="50">
        <f t="shared" si="1"/>
        <v>0</v>
      </c>
      <c r="J22" s="50"/>
      <c r="K22" s="50">
        <f t="shared" si="2"/>
        <v>0</v>
      </c>
      <c r="L22" s="50"/>
      <c r="M22" s="50">
        <f t="shared" si="3"/>
        <v>0</v>
      </c>
      <c r="N22" s="50"/>
      <c r="O22" s="50">
        <f t="shared" si="4"/>
        <v>0</v>
      </c>
      <c r="P22" s="50">
        <f t="shared" si="5"/>
        <v>0</v>
      </c>
      <c r="Q22" s="50"/>
      <c r="R22" s="50">
        <f t="shared" si="6"/>
        <v>0</v>
      </c>
      <c r="S22" s="50">
        <f t="shared" si="7"/>
        <v>0</v>
      </c>
      <c r="T22" s="50"/>
      <c r="U22" s="50">
        <f t="shared" si="8"/>
        <v>0</v>
      </c>
      <c r="V22" s="50"/>
      <c r="W22" s="50">
        <f t="shared" si="9"/>
        <v>0</v>
      </c>
      <c r="X22" s="50"/>
      <c r="Y22" s="50">
        <f t="shared" si="10"/>
        <v>0</v>
      </c>
      <c r="Z22" s="50"/>
      <c r="AA22" s="50">
        <f t="shared" si="11"/>
        <v>0</v>
      </c>
      <c r="AB22" s="50">
        <f t="shared" si="12"/>
        <v>0</v>
      </c>
      <c r="AC22" s="31" t="str">
        <f t="shared" si="13"/>
        <v>ok</v>
      </c>
    </row>
    <row r="23" spans="1:29" x14ac:dyDescent="0.2">
      <c r="Q23" s="14"/>
      <c r="AB23" s="50"/>
      <c r="AC23" s="31"/>
    </row>
    <row r="24" spans="1:29" x14ac:dyDescent="0.2">
      <c r="B24" s="14" t="s">
        <v>784</v>
      </c>
      <c r="C24" s="14" t="s">
        <v>783</v>
      </c>
      <c r="F24" s="95">
        <f>SUM(F15:F23)</f>
        <v>0</v>
      </c>
      <c r="G24" s="95"/>
      <c r="H24" s="95">
        <f>SUM(H15:H23)</f>
        <v>0</v>
      </c>
      <c r="I24" s="95">
        <f>SUM(I15:I23)</f>
        <v>0</v>
      </c>
      <c r="J24" s="95"/>
      <c r="K24" s="95">
        <f>SUM(K15:K23)</f>
        <v>0</v>
      </c>
      <c r="L24" s="95"/>
      <c r="M24" s="95">
        <f>SUM(M15:M23)</f>
        <v>0</v>
      </c>
      <c r="N24" s="95"/>
      <c r="O24" s="95">
        <f>SUM(O15:O23)</f>
        <v>0</v>
      </c>
      <c r="P24" s="95">
        <f>SUM(P15:P23)</f>
        <v>0</v>
      </c>
      <c r="Q24" s="95"/>
      <c r="R24" s="95">
        <f>SUM(R15:R23)</f>
        <v>0</v>
      </c>
      <c r="S24" s="95">
        <f>SUM(S15:S23)</f>
        <v>0</v>
      </c>
      <c r="T24" s="95"/>
      <c r="U24" s="95">
        <f>SUM(U15:U23)</f>
        <v>0</v>
      </c>
      <c r="V24" s="95"/>
      <c r="W24" s="95">
        <f>SUM(W15:W23)</f>
        <v>0</v>
      </c>
      <c r="X24" s="95"/>
      <c r="Y24" s="95">
        <f>SUM(Y15:Y23)</f>
        <v>0</v>
      </c>
      <c r="Z24" s="95"/>
      <c r="AA24" s="95">
        <f>SUM(AA15:AA23)</f>
        <v>0</v>
      </c>
      <c r="AB24" s="50">
        <f>SUM(H24:AA24)</f>
        <v>0</v>
      </c>
      <c r="AC24" s="31" t="str">
        <f>IF(ABS(AB24-F24)&lt;1,"ok","err")</f>
        <v>ok</v>
      </c>
    </row>
    <row r="25" spans="1:29" x14ac:dyDescent="0.2">
      <c r="Q25" s="14"/>
      <c r="AC25" s="31"/>
    </row>
    <row r="26" spans="1:29" x14ac:dyDescent="0.2">
      <c r="A26" s="29" t="s">
        <v>350</v>
      </c>
      <c r="Q26" s="14"/>
      <c r="AC26" s="31"/>
    </row>
    <row r="27" spans="1:29" x14ac:dyDescent="0.2">
      <c r="A27" s="96">
        <v>350</v>
      </c>
      <c r="B27" s="14" t="s">
        <v>17</v>
      </c>
      <c r="C27" s="14" t="s">
        <v>352</v>
      </c>
      <c r="D27" s="14" t="s">
        <v>391</v>
      </c>
      <c r="F27" s="66">
        <v>0</v>
      </c>
      <c r="G27" s="66"/>
      <c r="H27" s="50">
        <f t="shared" ref="H27:H33" si="14">IF(VLOOKUP($D27,$C$5:$AA$494,6,)=0,0,((VLOOKUP($D27,$C$5:$AA$494,6,)/VLOOKUP($D27,$C$5:$AA$494,4,))*$F27))</f>
        <v>0</v>
      </c>
      <c r="I27" s="50">
        <f t="shared" ref="I27:I33" si="15">IF(VLOOKUP($D27,$C$5:$AA$494,7,)=0,0,((VLOOKUP($D27,$C$5:$AA$494,7,)/VLOOKUP($D27,$C$5:$AA$494,4,))*$F27))</f>
        <v>0</v>
      </c>
      <c r="J27" s="50"/>
      <c r="K27" s="50">
        <f t="shared" ref="K27:K33" si="16">IF(VLOOKUP($D27,$C$5:$AA$494,9,)=0,0,((VLOOKUP($D27,$C$5:$AA$494,9,)/VLOOKUP($D27,$C$5:$AA$494,4,))*$F27))</f>
        <v>0</v>
      </c>
      <c r="L27" s="50"/>
      <c r="M27" s="50">
        <f t="shared" ref="M27:M33" si="17">IF(VLOOKUP($D27,$C$5:$AA$494,11,)=0,0,((VLOOKUP($D27,$C$5:$AA$494,11,)/VLOOKUP($D27,$C$5:$AA$494,4,))*$F27))</f>
        <v>0</v>
      </c>
      <c r="N27" s="50"/>
      <c r="O27" s="50">
        <f t="shared" ref="O27:O33" si="18">IF(VLOOKUP($D27,$C$5:$AA$494,13,)=0,0,((VLOOKUP($D27,$C$5:$AA$494,13,)/VLOOKUP($D27,$C$5:$AA$494,4,))*$F27))</f>
        <v>0</v>
      </c>
      <c r="P27" s="50">
        <f t="shared" ref="P27:P33" si="19">IF(VLOOKUP($D27,$C$5:$AA$494,14,)=0,0,((VLOOKUP($D27,$C$5:$AA$494,14,)/VLOOKUP($D27,$C$5:$AA$494,4,))*$F27))</f>
        <v>0</v>
      </c>
      <c r="Q27" s="50"/>
      <c r="R27" s="50">
        <f t="shared" ref="R27:R33" si="20">IF(VLOOKUP($D27,$C$5:$AA$494,16,)=0,0,((VLOOKUP($D27,$C$5:$AA$494,16,)/VLOOKUP($D27,$C$5:$AA$494,4,))*$F27))</f>
        <v>0</v>
      </c>
      <c r="S27" s="50">
        <f t="shared" ref="S27:S33" si="21">IF(VLOOKUP($D27,$C$5:$AA$494,17,)=0,0,((VLOOKUP($D27,$C$5:$AA$494,17,)/VLOOKUP($D27,$C$5:$AA$494,4,))*$F27))</f>
        <v>0</v>
      </c>
      <c r="T27" s="50"/>
      <c r="U27" s="50">
        <f t="shared" ref="U27:U33" si="22">IF(VLOOKUP($D27,$C$5:$AA$494,19,)=0,0,((VLOOKUP($D27,$C$5:$AA$494,19,)/VLOOKUP($D27,$C$5:$AA$494,4,))*$F27))</f>
        <v>0</v>
      </c>
      <c r="V27" s="50"/>
      <c r="W27" s="50">
        <f t="shared" ref="W27:W33" si="23">IF(VLOOKUP($D27,$C$5:$AA$494,21,)=0,0,((VLOOKUP($D27,$C$5:$AA$494,21,)/VLOOKUP($D27,$C$5:$AA$494,4,))*$F27))</f>
        <v>0</v>
      </c>
      <c r="X27" s="50"/>
      <c r="Y27" s="50">
        <f t="shared" ref="Y27:Y33" si="24">IF(VLOOKUP($D27,$C$5:$AA$494,23,)=0,0,((VLOOKUP($D27,$C$5:$AA$494,23,)/VLOOKUP($D27,$C$5:$AA$494,4,))*$F27))</f>
        <v>0</v>
      </c>
      <c r="Z27" s="50"/>
      <c r="AA27" s="50">
        <f t="shared" ref="AA27:AA33" si="25">IF(VLOOKUP($D27,$C$5:$AA$494,25,)=0,0,((VLOOKUP($D27,$C$5:$AA$494,25,)/VLOOKUP($D27,$C$5:$AA$494,4,))*$F27))</f>
        <v>0</v>
      </c>
      <c r="AB27" s="50">
        <f t="shared" ref="AB27:AB33" si="26">SUM(H27:AA27)</f>
        <v>0</v>
      </c>
      <c r="AC27" s="31" t="str">
        <f t="shared" ref="AC27:AC33" si="27">IF(ABS(AB27-F27)&lt;1,"ok","err")</f>
        <v>ok</v>
      </c>
    </row>
    <row r="28" spans="1:29" x14ac:dyDescent="0.2">
      <c r="A28" s="96">
        <v>352</v>
      </c>
      <c r="B28" s="14" t="s">
        <v>53</v>
      </c>
      <c r="C28" s="14" t="s">
        <v>418</v>
      </c>
      <c r="D28" s="14" t="s">
        <v>391</v>
      </c>
      <c r="F28" s="50">
        <v>0</v>
      </c>
      <c r="G28" s="66"/>
      <c r="H28" s="50">
        <f t="shared" si="14"/>
        <v>0</v>
      </c>
      <c r="I28" s="50">
        <f t="shared" si="15"/>
        <v>0</v>
      </c>
      <c r="J28" s="50"/>
      <c r="K28" s="50">
        <f t="shared" si="16"/>
        <v>0</v>
      </c>
      <c r="L28" s="50"/>
      <c r="M28" s="50">
        <f t="shared" si="17"/>
        <v>0</v>
      </c>
      <c r="N28" s="50"/>
      <c r="O28" s="50">
        <f t="shared" si="18"/>
        <v>0</v>
      </c>
      <c r="P28" s="50">
        <f t="shared" si="19"/>
        <v>0</v>
      </c>
      <c r="Q28" s="50"/>
      <c r="R28" s="50">
        <f t="shared" si="20"/>
        <v>0</v>
      </c>
      <c r="S28" s="50">
        <f t="shared" si="21"/>
        <v>0</v>
      </c>
      <c r="T28" s="50"/>
      <c r="U28" s="50">
        <f t="shared" si="22"/>
        <v>0</v>
      </c>
      <c r="V28" s="50"/>
      <c r="W28" s="50">
        <f t="shared" si="23"/>
        <v>0</v>
      </c>
      <c r="X28" s="50"/>
      <c r="Y28" s="50">
        <f t="shared" si="24"/>
        <v>0</v>
      </c>
      <c r="Z28" s="50"/>
      <c r="AA28" s="50">
        <f t="shared" si="25"/>
        <v>0</v>
      </c>
      <c r="AB28" s="50">
        <f t="shared" si="26"/>
        <v>0</v>
      </c>
      <c r="AC28" s="31" t="str">
        <f t="shared" si="27"/>
        <v>ok</v>
      </c>
    </row>
    <row r="29" spans="1:29" x14ac:dyDescent="0.2">
      <c r="A29" s="96">
        <v>353</v>
      </c>
      <c r="B29" s="14" t="s">
        <v>22</v>
      </c>
      <c r="C29" s="14" t="s">
        <v>353</v>
      </c>
      <c r="D29" s="14" t="s">
        <v>391</v>
      </c>
      <c r="F29" s="50">
        <v>0</v>
      </c>
      <c r="H29" s="50">
        <f t="shared" si="14"/>
        <v>0</v>
      </c>
      <c r="I29" s="50">
        <f t="shared" si="15"/>
        <v>0</v>
      </c>
      <c r="J29" s="50"/>
      <c r="K29" s="50">
        <f t="shared" si="16"/>
        <v>0</v>
      </c>
      <c r="L29" s="50"/>
      <c r="M29" s="50">
        <f t="shared" si="17"/>
        <v>0</v>
      </c>
      <c r="N29" s="50"/>
      <c r="O29" s="50">
        <f t="shared" si="18"/>
        <v>0</v>
      </c>
      <c r="P29" s="50">
        <f t="shared" si="19"/>
        <v>0</v>
      </c>
      <c r="Q29" s="50"/>
      <c r="R29" s="50">
        <f t="shared" si="20"/>
        <v>0</v>
      </c>
      <c r="S29" s="50">
        <f t="shared" si="21"/>
        <v>0</v>
      </c>
      <c r="T29" s="50"/>
      <c r="U29" s="50">
        <f t="shared" si="22"/>
        <v>0</v>
      </c>
      <c r="V29" s="50"/>
      <c r="W29" s="50">
        <f t="shared" si="23"/>
        <v>0</v>
      </c>
      <c r="X29" s="50"/>
      <c r="Y29" s="50">
        <f t="shared" si="24"/>
        <v>0</v>
      </c>
      <c r="Z29" s="50"/>
      <c r="AA29" s="50">
        <f t="shared" si="25"/>
        <v>0</v>
      </c>
      <c r="AB29" s="50">
        <f t="shared" si="26"/>
        <v>0</v>
      </c>
      <c r="AC29" s="31" t="str">
        <f t="shared" si="27"/>
        <v>ok</v>
      </c>
    </row>
    <row r="30" spans="1:29" x14ac:dyDescent="0.2">
      <c r="A30" s="96">
        <v>354</v>
      </c>
      <c r="B30" s="14" t="s">
        <v>419</v>
      </c>
      <c r="C30" s="14" t="s">
        <v>421</v>
      </c>
      <c r="D30" s="14" t="s">
        <v>391</v>
      </c>
      <c r="F30" s="50">
        <v>0</v>
      </c>
      <c r="H30" s="50">
        <f t="shared" si="14"/>
        <v>0</v>
      </c>
      <c r="I30" s="50">
        <f t="shared" si="15"/>
        <v>0</v>
      </c>
      <c r="J30" s="50"/>
      <c r="K30" s="50">
        <f t="shared" si="16"/>
        <v>0</v>
      </c>
      <c r="L30" s="50"/>
      <c r="M30" s="50">
        <f t="shared" si="17"/>
        <v>0</v>
      </c>
      <c r="N30" s="50"/>
      <c r="O30" s="50">
        <f t="shared" si="18"/>
        <v>0</v>
      </c>
      <c r="P30" s="50">
        <f t="shared" si="19"/>
        <v>0</v>
      </c>
      <c r="Q30" s="50"/>
      <c r="R30" s="50">
        <f t="shared" si="20"/>
        <v>0</v>
      </c>
      <c r="S30" s="50">
        <f t="shared" si="21"/>
        <v>0</v>
      </c>
      <c r="T30" s="50"/>
      <c r="U30" s="50">
        <f t="shared" si="22"/>
        <v>0</v>
      </c>
      <c r="V30" s="50"/>
      <c r="W30" s="50">
        <f t="shared" si="23"/>
        <v>0</v>
      </c>
      <c r="X30" s="50"/>
      <c r="Y30" s="50">
        <f t="shared" si="24"/>
        <v>0</v>
      </c>
      <c r="Z30" s="50"/>
      <c r="AA30" s="50">
        <f t="shared" si="25"/>
        <v>0</v>
      </c>
      <c r="AB30" s="50">
        <f t="shared" si="26"/>
        <v>0</v>
      </c>
      <c r="AC30" s="31" t="str">
        <f t="shared" si="27"/>
        <v>ok</v>
      </c>
    </row>
    <row r="31" spans="1:29" x14ac:dyDescent="0.2">
      <c r="A31" s="96">
        <v>355</v>
      </c>
      <c r="B31" s="14" t="s">
        <v>420</v>
      </c>
      <c r="C31" s="14" t="s">
        <v>354</v>
      </c>
      <c r="D31" s="14" t="s">
        <v>391</v>
      </c>
      <c r="F31" s="50">
        <v>0</v>
      </c>
      <c r="H31" s="50">
        <f t="shared" si="14"/>
        <v>0</v>
      </c>
      <c r="I31" s="50">
        <f t="shared" si="15"/>
        <v>0</v>
      </c>
      <c r="J31" s="50"/>
      <c r="K31" s="50">
        <f t="shared" si="16"/>
        <v>0</v>
      </c>
      <c r="L31" s="50"/>
      <c r="M31" s="50">
        <f t="shared" si="17"/>
        <v>0</v>
      </c>
      <c r="N31" s="50"/>
      <c r="O31" s="50">
        <f t="shared" si="18"/>
        <v>0</v>
      </c>
      <c r="P31" s="50">
        <f t="shared" si="19"/>
        <v>0</v>
      </c>
      <c r="Q31" s="50"/>
      <c r="R31" s="50">
        <f t="shared" si="20"/>
        <v>0</v>
      </c>
      <c r="S31" s="50">
        <f t="shared" si="21"/>
        <v>0</v>
      </c>
      <c r="T31" s="50"/>
      <c r="U31" s="50">
        <f t="shared" si="22"/>
        <v>0</v>
      </c>
      <c r="V31" s="50"/>
      <c r="W31" s="50">
        <f t="shared" si="23"/>
        <v>0</v>
      </c>
      <c r="X31" s="50"/>
      <c r="Y31" s="50">
        <f t="shared" si="24"/>
        <v>0</v>
      </c>
      <c r="Z31" s="50"/>
      <c r="AA31" s="50">
        <f t="shared" si="25"/>
        <v>0</v>
      </c>
      <c r="AB31" s="50">
        <f t="shared" si="26"/>
        <v>0</v>
      </c>
      <c r="AC31" s="31" t="str">
        <f t="shared" si="27"/>
        <v>ok</v>
      </c>
    </row>
    <row r="32" spans="1:29" x14ac:dyDescent="0.2">
      <c r="A32" s="96">
        <v>356</v>
      </c>
      <c r="B32" s="14" t="s">
        <v>351</v>
      </c>
      <c r="C32" s="14" t="s">
        <v>355</v>
      </c>
      <c r="D32" s="14" t="s">
        <v>391</v>
      </c>
      <c r="F32" s="50">
        <v>0</v>
      </c>
      <c r="H32" s="50">
        <f t="shared" si="14"/>
        <v>0</v>
      </c>
      <c r="I32" s="50">
        <f t="shared" si="15"/>
        <v>0</v>
      </c>
      <c r="J32" s="50"/>
      <c r="K32" s="50">
        <f t="shared" si="16"/>
        <v>0</v>
      </c>
      <c r="L32" s="50"/>
      <c r="M32" s="50">
        <f t="shared" si="17"/>
        <v>0</v>
      </c>
      <c r="N32" s="50"/>
      <c r="O32" s="50">
        <f t="shared" si="18"/>
        <v>0</v>
      </c>
      <c r="P32" s="50">
        <f t="shared" si="19"/>
        <v>0</v>
      </c>
      <c r="Q32" s="50"/>
      <c r="R32" s="50">
        <f t="shared" si="20"/>
        <v>0</v>
      </c>
      <c r="S32" s="50">
        <f t="shared" si="21"/>
        <v>0</v>
      </c>
      <c r="T32" s="50"/>
      <c r="U32" s="50">
        <f t="shared" si="22"/>
        <v>0</v>
      </c>
      <c r="V32" s="50"/>
      <c r="W32" s="50">
        <f t="shared" si="23"/>
        <v>0</v>
      </c>
      <c r="X32" s="50"/>
      <c r="Y32" s="50">
        <f t="shared" si="24"/>
        <v>0</v>
      </c>
      <c r="Z32" s="50"/>
      <c r="AA32" s="50">
        <f t="shared" si="25"/>
        <v>0</v>
      </c>
      <c r="AB32" s="50">
        <f t="shared" si="26"/>
        <v>0</v>
      </c>
      <c r="AC32" s="31" t="str">
        <f t="shared" si="27"/>
        <v>ok</v>
      </c>
    </row>
    <row r="33" spans="1:29" x14ac:dyDescent="0.2">
      <c r="A33" s="96">
        <v>359</v>
      </c>
      <c r="B33" s="14" t="s">
        <v>422</v>
      </c>
      <c r="C33" s="14" t="s">
        <v>423</v>
      </c>
      <c r="D33" s="14" t="s">
        <v>391</v>
      </c>
      <c r="F33" s="50">
        <v>0</v>
      </c>
      <c r="H33" s="50">
        <f t="shared" si="14"/>
        <v>0</v>
      </c>
      <c r="I33" s="50">
        <f t="shared" si="15"/>
        <v>0</v>
      </c>
      <c r="J33" s="50"/>
      <c r="K33" s="50">
        <f t="shared" si="16"/>
        <v>0</v>
      </c>
      <c r="L33" s="50"/>
      <c r="M33" s="50">
        <f t="shared" si="17"/>
        <v>0</v>
      </c>
      <c r="N33" s="50"/>
      <c r="O33" s="50">
        <f t="shared" si="18"/>
        <v>0</v>
      </c>
      <c r="P33" s="50">
        <f t="shared" si="19"/>
        <v>0</v>
      </c>
      <c r="Q33" s="50"/>
      <c r="R33" s="50">
        <f t="shared" si="20"/>
        <v>0</v>
      </c>
      <c r="S33" s="50">
        <f t="shared" si="21"/>
        <v>0</v>
      </c>
      <c r="T33" s="50"/>
      <c r="U33" s="50">
        <f t="shared" si="22"/>
        <v>0</v>
      </c>
      <c r="V33" s="50"/>
      <c r="W33" s="50">
        <f t="shared" si="23"/>
        <v>0</v>
      </c>
      <c r="X33" s="50"/>
      <c r="Y33" s="50">
        <f t="shared" si="24"/>
        <v>0</v>
      </c>
      <c r="Z33" s="50"/>
      <c r="AA33" s="50">
        <f t="shared" si="25"/>
        <v>0</v>
      </c>
      <c r="AB33" s="50">
        <f t="shared" si="26"/>
        <v>0</v>
      </c>
      <c r="AC33" s="31" t="str">
        <f t="shared" si="27"/>
        <v>ok</v>
      </c>
    </row>
    <row r="34" spans="1:29" x14ac:dyDescent="0.2">
      <c r="Q34" s="14"/>
      <c r="AB34" s="50"/>
      <c r="AC34" s="31"/>
    </row>
    <row r="35" spans="1:29" x14ac:dyDescent="0.2">
      <c r="B35" s="14" t="s">
        <v>359</v>
      </c>
      <c r="C35" s="14" t="s">
        <v>390</v>
      </c>
      <c r="F35" s="95">
        <f>SUM(F27:F34)</f>
        <v>0</v>
      </c>
      <c r="G35" s="95"/>
      <c r="H35" s="95">
        <f t="shared" ref="H35:AA35" si="28">SUM(H27:H34)</f>
        <v>0</v>
      </c>
      <c r="I35" s="95">
        <f t="shared" si="28"/>
        <v>0</v>
      </c>
      <c r="J35" s="95"/>
      <c r="K35" s="95">
        <f t="shared" si="28"/>
        <v>0</v>
      </c>
      <c r="L35" s="95"/>
      <c r="M35" s="95">
        <f t="shared" si="28"/>
        <v>0</v>
      </c>
      <c r="N35" s="95"/>
      <c r="O35" s="95">
        <f t="shared" si="28"/>
        <v>0</v>
      </c>
      <c r="P35" s="95">
        <f t="shared" si="28"/>
        <v>0</v>
      </c>
      <c r="Q35" s="95"/>
      <c r="R35" s="95">
        <f t="shared" si="28"/>
        <v>0</v>
      </c>
      <c r="S35" s="95">
        <f t="shared" si="28"/>
        <v>0</v>
      </c>
      <c r="T35" s="95"/>
      <c r="U35" s="95">
        <f t="shared" si="28"/>
        <v>0</v>
      </c>
      <c r="V35" s="95"/>
      <c r="W35" s="95">
        <f t="shared" si="28"/>
        <v>0</v>
      </c>
      <c r="X35" s="95"/>
      <c r="Y35" s="95">
        <f t="shared" si="28"/>
        <v>0</v>
      </c>
      <c r="Z35" s="95"/>
      <c r="AA35" s="95">
        <f t="shared" si="28"/>
        <v>0</v>
      </c>
      <c r="AB35" s="50">
        <f>SUM(H35:AA35)</f>
        <v>0</v>
      </c>
      <c r="AC35" s="31" t="str">
        <f>IF(ABS(AB35-F35)&lt;1,"ok","err")</f>
        <v>ok</v>
      </c>
    </row>
    <row r="36" spans="1:29" x14ac:dyDescent="0.2">
      <c r="Q36" s="14"/>
      <c r="AC36" s="31"/>
    </row>
    <row r="37" spans="1:29" x14ac:dyDescent="0.2">
      <c r="A37" s="29" t="s">
        <v>366</v>
      </c>
      <c r="Q37" s="14"/>
      <c r="AC37" s="31"/>
    </row>
    <row r="38" spans="1:29" x14ac:dyDescent="0.2">
      <c r="Q38" s="14"/>
      <c r="AC38" s="31"/>
    </row>
    <row r="39" spans="1:29" x14ac:dyDescent="0.2">
      <c r="A39" s="29" t="s">
        <v>21</v>
      </c>
      <c r="Q39" s="14"/>
      <c r="AC39" s="31"/>
    </row>
    <row r="40" spans="1:29" x14ac:dyDescent="0.2">
      <c r="A40" s="96">
        <v>360</v>
      </c>
      <c r="B40" s="14" t="s">
        <v>17</v>
      </c>
      <c r="C40" s="14" t="s">
        <v>18</v>
      </c>
      <c r="D40" s="14" t="s">
        <v>24</v>
      </c>
      <c r="F40" s="66">
        <v>0</v>
      </c>
      <c r="H40" s="50">
        <f>IF(VLOOKUP($D40,$C$5:$AA$494,6,)=0,0,((VLOOKUP($D40,$C$5:$AA$494,6,)/VLOOKUP($D40,$C$5:$AA$494,4,))*$F63))</f>
        <v>0</v>
      </c>
      <c r="I40" s="50">
        <f>IF(VLOOKUP($D40,$C$5:$AA$494,7,)=0,0,((VLOOKUP($D40,$C$5:$AA$494,7,)/VLOOKUP($D40,$C$5:$AA$494,4,))*$F63))</f>
        <v>0</v>
      </c>
      <c r="J40" s="50"/>
      <c r="K40" s="50">
        <f>IF(VLOOKUP($D40,$C$5:$AA$494,9,)=0,0,((VLOOKUP($D40,$C$5:$AA$494,9,)/VLOOKUP($D40,$C$5:$AA$494,4,))*$F63))</f>
        <v>0</v>
      </c>
      <c r="L40" s="50"/>
      <c r="M40" s="50">
        <f t="shared" ref="M40:M52" si="29">IF(VLOOKUP($D40,$C$5:$AA$494,11,)=0,0,((VLOOKUP($D40,$C$5:$AA$494,11,)/VLOOKUP($D40,$C$5:$AA$494,4,))*$F40))</f>
        <v>0</v>
      </c>
      <c r="N40" s="50"/>
      <c r="O40" s="50">
        <f>IF(VLOOKUP($D40,$C$5:$AA$494,13,)=0,0,((VLOOKUP($D40,$C$5:$AA$494,13,)/VLOOKUP($D40,$C$5:$AA$494,4,))*$F63))</f>
        <v>0</v>
      </c>
      <c r="P40" s="50">
        <f>IF(VLOOKUP($D40,$C$5:$AA$494,14,)=0,0,((VLOOKUP($D40,$C$5:$AA$494,14,)/VLOOKUP($D40,$C$5:$AA$494,4,))*$F63))</f>
        <v>0</v>
      </c>
      <c r="Q40" s="50"/>
      <c r="R40" s="50">
        <f>IF(VLOOKUP($D40,$C$5:$AA$494,16,)=0,0,((VLOOKUP($D40,$C$5:$AA$494,16,)/VLOOKUP($D40,$C$5:$AA$494,4,))*$F63))</f>
        <v>0</v>
      </c>
      <c r="S40" s="50">
        <f>IF(VLOOKUP($D40,$C$5:$AA$494,17,)=0,0,((VLOOKUP($D40,$C$5:$AA$494,17,)/VLOOKUP($D40,$C$5:$AA$494,4,))*$F63))</f>
        <v>0</v>
      </c>
      <c r="T40" s="50"/>
      <c r="U40" s="50">
        <f>IF(VLOOKUP($D40,$C$5:$AA$494,19,)=0,0,((VLOOKUP($D40,$C$5:$AA$494,19,)/VLOOKUP($D40,$C$5:$AA$494,4,))*$F63))</f>
        <v>0</v>
      </c>
      <c r="V40" s="50"/>
      <c r="W40" s="50">
        <f>IF(VLOOKUP($D40,$C$5:$AA$494,21,)=0,0,((VLOOKUP($D40,$C$5:$AA$494,21,)/VLOOKUP($D40,$C$5:$AA$494,4,))*$F63))</f>
        <v>0</v>
      </c>
      <c r="X40" s="50"/>
      <c r="Y40" s="50">
        <f>IF(VLOOKUP($D40,$C$5:$AA$494,23,)=0,0,((VLOOKUP($D40,$C$5:$AA$494,23,)/VLOOKUP($D40,$C$5:$AA$494,4,))*$F63))</f>
        <v>0</v>
      </c>
      <c r="Z40" s="50"/>
      <c r="AA40" s="50">
        <f>IF(VLOOKUP($D40,$C$5:$AA$494,25,)=0,0,((VLOOKUP($D40,$C$5:$AA$494,25,)/VLOOKUP($D40,$C$5:$AA$494,4,))*$F63))</f>
        <v>0</v>
      </c>
      <c r="AB40" s="50">
        <f t="shared" ref="AB40:AB52" si="30">SUM(H40:AA40)</f>
        <v>0</v>
      </c>
      <c r="AC40" s="31" t="str">
        <f>IF(ABS(AB40-F40)&lt;1,"ok","err")</f>
        <v>ok</v>
      </c>
    </row>
    <row r="41" spans="1:29" x14ac:dyDescent="0.2">
      <c r="A41" s="96">
        <v>361</v>
      </c>
      <c r="B41" s="14" t="s">
        <v>53</v>
      </c>
      <c r="C41" s="14" t="s">
        <v>424</v>
      </c>
      <c r="D41" s="14" t="s">
        <v>24</v>
      </c>
      <c r="F41" s="50">
        <v>0</v>
      </c>
      <c r="H41" s="50">
        <f t="shared" ref="H41:H52" si="31">IF(VLOOKUP($D41,$C$5:$AA$494,6,)=0,0,((VLOOKUP($D41,$C$5:$AA$494,6,)/VLOOKUP($D41,$C$5:$AA$494,4,))*$F41))</f>
        <v>0</v>
      </c>
      <c r="I41" s="50">
        <f t="shared" ref="I41:I52" si="32">IF(VLOOKUP($D41,$C$5:$AA$494,7,)=0,0,((VLOOKUP($D41,$C$5:$AA$494,7,)/VLOOKUP($D41,$C$5:$AA$494,4,))*$F41))</f>
        <v>0</v>
      </c>
      <c r="J41" s="50"/>
      <c r="K41" s="50">
        <f t="shared" ref="K41:K52" si="33">IF(VLOOKUP($D41,$C$5:$AA$494,9,)=0,0,((VLOOKUP($D41,$C$5:$AA$494,9,)/VLOOKUP($D41,$C$5:$AA$494,4,))*$F41))</f>
        <v>0</v>
      </c>
      <c r="L41" s="50"/>
      <c r="M41" s="50">
        <f t="shared" si="29"/>
        <v>0</v>
      </c>
      <c r="N41" s="50"/>
      <c r="O41" s="50">
        <f t="shared" ref="O41:O52" si="34">IF(VLOOKUP($D41,$C$5:$AA$494,13,)=0,0,((VLOOKUP($D41,$C$5:$AA$494,13,)/VLOOKUP($D41,$C$5:$AA$494,4,))*$F41))</f>
        <v>0</v>
      </c>
      <c r="P41" s="50">
        <f t="shared" ref="P41:P52" si="35">IF(VLOOKUP($D41,$C$5:$AA$494,14,)=0,0,((VLOOKUP($D41,$C$5:$AA$494,14,)/VLOOKUP($D41,$C$5:$AA$494,4,))*$F41))</f>
        <v>0</v>
      </c>
      <c r="Q41" s="50"/>
      <c r="R41" s="50">
        <f t="shared" ref="R41:R52" si="36">IF(VLOOKUP($D41,$C$5:$AA$494,16,)=0,0,((VLOOKUP($D41,$C$5:$AA$494,16,)/VLOOKUP($D41,$C$5:$AA$494,4,))*$F41))</f>
        <v>0</v>
      </c>
      <c r="S41" s="50">
        <f t="shared" ref="S41:S52" si="37">IF(VLOOKUP($D41,$C$5:$AA$494,17,)=0,0,((VLOOKUP($D41,$C$5:$AA$494,17,)/VLOOKUP($D41,$C$5:$AA$494,4,))*$F41))</f>
        <v>0</v>
      </c>
      <c r="T41" s="50"/>
      <c r="U41" s="50">
        <f t="shared" ref="U41:U52" si="38">IF(VLOOKUP($D41,$C$5:$AA$494,19,)=0,0,((VLOOKUP($D41,$C$5:$AA$494,19,)/VLOOKUP($D41,$C$5:$AA$494,4,))*$F41))</f>
        <v>0</v>
      </c>
      <c r="V41" s="50"/>
      <c r="W41" s="50">
        <f t="shared" ref="W41:W52" si="39">IF(VLOOKUP($D41,$C$5:$AA$494,21,)=0,0,((VLOOKUP($D41,$C$5:$AA$494,21,)/VLOOKUP($D41,$C$5:$AA$494,4,))*$F41))</f>
        <v>0</v>
      </c>
      <c r="X41" s="50"/>
      <c r="Y41" s="50">
        <f t="shared" ref="Y41:Y52" si="40">IF(VLOOKUP($D41,$C$5:$AA$494,23,)=0,0,((VLOOKUP($D41,$C$5:$AA$494,23,)/VLOOKUP($D41,$C$5:$AA$494,4,))*$F41))</f>
        <v>0</v>
      </c>
      <c r="Z41" s="50"/>
      <c r="AA41" s="50">
        <f t="shared" ref="AA41:AA52" si="41">IF(VLOOKUP($D41,$C$5:$AA$494,25,)=0,0,((VLOOKUP($D41,$C$5:$AA$494,25,)/VLOOKUP($D41,$C$5:$AA$494,4,))*$F41))</f>
        <v>0</v>
      </c>
      <c r="AB41" s="50">
        <f t="shared" si="30"/>
        <v>0</v>
      </c>
      <c r="AC41" s="31" t="str">
        <f t="shared" ref="AC41:AC52" si="42">IF(ABS(AB41-F41)&lt;1,"ok","err")</f>
        <v>ok</v>
      </c>
    </row>
    <row r="42" spans="1:29" x14ac:dyDescent="0.2">
      <c r="A42" s="96">
        <v>362</v>
      </c>
      <c r="B42" s="14" t="s">
        <v>22</v>
      </c>
      <c r="C42" s="14" t="s">
        <v>23</v>
      </c>
      <c r="D42" s="14" t="s">
        <v>24</v>
      </c>
      <c r="F42" s="50">
        <f>2027170+75937</f>
        <v>2103107</v>
      </c>
      <c r="G42" s="48"/>
      <c r="H42" s="50">
        <f t="shared" si="31"/>
        <v>0</v>
      </c>
      <c r="I42" s="50">
        <f t="shared" si="32"/>
        <v>0</v>
      </c>
      <c r="J42" s="50"/>
      <c r="K42" s="50">
        <f t="shared" si="33"/>
        <v>0</v>
      </c>
      <c r="L42" s="50"/>
      <c r="M42" s="50">
        <f t="shared" si="29"/>
        <v>2103107</v>
      </c>
      <c r="N42" s="50"/>
      <c r="O42" s="50">
        <f t="shared" si="34"/>
        <v>0</v>
      </c>
      <c r="P42" s="50">
        <f t="shared" si="35"/>
        <v>0</v>
      </c>
      <c r="Q42" s="50"/>
      <c r="R42" s="50">
        <f t="shared" si="36"/>
        <v>0</v>
      </c>
      <c r="S42" s="50">
        <f t="shared" si="37"/>
        <v>0</v>
      </c>
      <c r="T42" s="50"/>
      <c r="U42" s="50">
        <f t="shared" si="38"/>
        <v>0</v>
      </c>
      <c r="V42" s="50"/>
      <c r="W42" s="50">
        <f t="shared" si="39"/>
        <v>0</v>
      </c>
      <c r="X42" s="50"/>
      <c r="Y42" s="50">
        <f t="shared" si="40"/>
        <v>0</v>
      </c>
      <c r="Z42" s="50"/>
      <c r="AA42" s="50">
        <f t="shared" si="41"/>
        <v>0</v>
      </c>
      <c r="AB42" s="50">
        <f t="shared" si="30"/>
        <v>2103107</v>
      </c>
      <c r="AC42" s="31" t="str">
        <f t="shared" si="42"/>
        <v>ok</v>
      </c>
    </row>
    <row r="43" spans="1:29" x14ac:dyDescent="0.2">
      <c r="A43" s="96">
        <v>364</v>
      </c>
      <c r="B43" s="14" t="s">
        <v>25</v>
      </c>
      <c r="C43" s="14" t="s">
        <v>26</v>
      </c>
      <c r="D43" s="14" t="s">
        <v>27</v>
      </c>
      <c r="F43" s="50">
        <v>83817153</v>
      </c>
      <c r="G43" s="48"/>
      <c r="H43" s="50">
        <f t="shared" si="31"/>
        <v>0</v>
      </c>
      <c r="I43" s="50">
        <f t="shared" si="32"/>
        <v>0</v>
      </c>
      <c r="J43" s="50"/>
      <c r="K43" s="50">
        <f t="shared" si="33"/>
        <v>0</v>
      </c>
      <c r="L43" s="50"/>
      <c r="M43" s="50">
        <f t="shared" si="29"/>
        <v>0</v>
      </c>
      <c r="N43" s="50"/>
      <c r="O43" s="50">
        <f t="shared" si="34"/>
        <v>50857347.21444577</v>
      </c>
      <c r="P43" s="50">
        <f t="shared" si="35"/>
        <v>32959805.785554226</v>
      </c>
      <c r="Q43" s="50"/>
      <c r="R43" s="50">
        <f t="shared" si="36"/>
        <v>0</v>
      </c>
      <c r="S43" s="50">
        <f t="shared" si="37"/>
        <v>0</v>
      </c>
      <c r="T43" s="50"/>
      <c r="U43" s="50">
        <f t="shared" si="38"/>
        <v>0</v>
      </c>
      <c r="V43" s="50"/>
      <c r="W43" s="50">
        <f t="shared" si="39"/>
        <v>0</v>
      </c>
      <c r="X43" s="50"/>
      <c r="Y43" s="50">
        <f t="shared" si="40"/>
        <v>0</v>
      </c>
      <c r="Z43" s="50"/>
      <c r="AA43" s="50">
        <f t="shared" si="41"/>
        <v>0</v>
      </c>
      <c r="AB43" s="50">
        <f t="shared" si="30"/>
        <v>83817153</v>
      </c>
      <c r="AC43" s="31" t="str">
        <f t="shared" si="42"/>
        <v>ok</v>
      </c>
    </row>
    <row r="44" spans="1:29" x14ac:dyDescent="0.2">
      <c r="A44" s="96">
        <v>365</v>
      </c>
      <c r="B44" s="14" t="s">
        <v>28</v>
      </c>
      <c r="C44" s="14" t="s">
        <v>29</v>
      </c>
      <c r="D44" s="14" t="s">
        <v>30</v>
      </c>
      <c r="F44" s="50">
        <v>95426205</v>
      </c>
      <c r="G44" s="48"/>
      <c r="H44" s="50">
        <f t="shared" si="31"/>
        <v>0</v>
      </c>
      <c r="I44" s="50">
        <f t="shared" si="32"/>
        <v>0</v>
      </c>
      <c r="J44" s="50"/>
      <c r="K44" s="50">
        <f t="shared" si="33"/>
        <v>0</v>
      </c>
      <c r="L44" s="50"/>
      <c r="M44" s="50">
        <f t="shared" si="29"/>
        <v>0</v>
      </c>
      <c r="N44" s="50"/>
      <c r="O44" s="50">
        <f t="shared" si="34"/>
        <v>57901318.135225624</v>
      </c>
      <c r="P44" s="50">
        <f t="shared" si="35"/>
        <v>37524886.864774369</v>
      </c>
      <c r="Q44" s="50"/>
      <c r="R44" s="50">
        <f t="shared" si="36"/>
        <v>0</v>
      </c>
      <c r="S44" s="50">
        <f t="shared" si="37"/>
        <v>0</v>
      </c>
      <c r="T44" s="50"/>
      <c r="U44" s="50">
        <f t="shared" si="38"/>
        <v>0</v>
      </c>
      <c r="V44" s="50"/>
      <c r="W44" s="50">
        <f t="shared" si="39"/>
        <v>0</v>
      </c>
      <c r="X44" s="50"/>
      <c r="Y44" s="50">
        <f t="shared" si="40"/>
        <v>0</v>
      </c>
      <c r="Z44" s="50"/>
      <c r="AA44" s="50">
        <f t="shared" si="41"/>
        <v>0</v>
      </c>
      <c r="AB44" s="50">
        <f t="shared" si="30"/>
        <v>95426205</v>
      </c>
      <c r="AC44" s="31" t="str">
        <f t="shared" si="42"/>
        <v>ok</v>
      </c>
    </row>
    <row r="45" spans="1:29" x14ac:dyDescent="0.2">
      <c r="A45" s="96">
        <v>366</v>
      </c>
      <c r="B45" s="14" t="s">
        <v>31</v>
      </c>
      <c r="C45" s="14" t="s">
        <v>32</v>
      </c>
      <c r="D45" s="14" t="s">
        <v>33</v>
      </c>
      <c r="F45" s="50">
        <v>0</v>
      </c>
      <c r="G45" s="48"/>
      <c r="H45" s="50">
        <f t="shared" si="31"/>
        <v>0</v>
      </c>
      <c r="I45" s="50">
        <f t="shared" si="32"/>
        <v>0</v>
      </c>
      <c r="J45" s="50"/>
      <c r="K45" s="50">
        <f t="shared" si="33"/>
        <v>0</v>
      </c>
      <c r="L45" s="50"/>
      <c r="M45" s="50">
        <f t="shared" si="29"/>
        <v>0</v>
      </c>
      <c r="N45" s="50"/>
      <c r="O45" s="50">
        <f t="shared" si="34"/>
        <v>0</v>
      </c>
      <c r="P45" s="50">
        <f t="shared" si="35"/>
        <v>0</v>
      </c>
      <c r="Q45" s="50"/>
      <c r="R45" s="50">
        <f t="shared" si="36"/>
        <v>0</v>
      </c>
      <c r="S45" s="50">
        <f t="shared" si="37"/>
        <v>0</v>
      </c>
      <c r="T45" s="50"/>
      <c r="U45" s="50">
        <f t="shared" si="38"/>
        <v>0</v>
      </c>
      <c r="V45" s="50"/>
      <c r="W45" s="50">
        <f t="shared" si="39"/>
        <v>0</v>
      </c>
      <c r="X45" s="50"/>
      <c r="Y45" s="50">
        <f t="shared" si="40"/>
        <v>0</v>
      </c>
      <c r="Z45" s="50"/>
      <c r="AA45" s="50">
        <f t="shared" si="41"/>
        <v>0</v>
      </c>
      <c r="AB45" s="50">
        <f t="shared" si="30"/>
        <v>0</v>
      </c>
      <c r="AC45" s="31" t="str">
        <f t="shared" si="42"/>
        <v>ok</v>
      </c>
    </row>
    <row r="46" spans="1:29" x14ac:dyDescent="0.2">
      <c r="A46" s="96">
        <v>367</v>
      </c>
      <c r="B46" s="14" t="s">
        <v>34</v>
      </c>
      <c r="C46" s="14" t="s">
        <v>35</v>
      </c>
      <c r="D46" s="14" t="s">
        <v>33</v>
      </c>
      <c r="F46" s="50">
        <v>3199313</v>
      </c>
      <c r="G46" s="48"/>
      <c r="H46" s="50">
        <f t="shared" si="31"/>
        <v>0</v>
      </c>
      <c r="I46" s="50">
        <f t="shared" si="32"/>
        <v>0</v>
      </c>
      <c r="J46" s="50"/>
      <c r="K46" s="50">
        <f t="shared" si="33"/>
        <v>0</v>
      </c>
      <c r="L46" s="50"/>
      <c r="M46" s="50">
        <f t="shared" si="29"/>
        <v>0</v>
      </c>
      <c r="N46" s="50"/>
      <c r="O46" s="50">
        <f t="shared" si="34"/>
        <v>607836.39805398835</v>
      </c>
      <c r="P46" s="50">
        <f t="shared" si="35"/>
        <v>2591476.6019460117</v>
      </c>
      <c r="Q46" s="50"/>
      <c r="R46" s="50">
        <f t="shared" si="36"/>
        <v>0</v>
      </c>
      <c r="S46" s="50">
        <f t="shared" si="37"/>
        <v>0</v>
      </c>
      <c r="T46" s="50"/>
      <c r="U46" s="50">
        <f t="shared" si="38"/>
        <v>0</v>
      </c>
      <c r="V46" s="50"/>
      <c r="W46" s="50">
        <f t="shared" si="39"/>
        <v>0</v>
      </c>
      <c r="X46" s="50"/>
      <c r="Y46" s="50">
        <f t="shared" si="40"/>
        <v>0</v>
      </c>
      <c r="Z46" s="50"/>
      <c r="AA46" s="50">
        <f t="shared" si="41"/>
        <v>0</v>
      </c>
      <c r="AB46" s="50">
        <f t="shared" si="30"/>
        <v>3199313</v>
      </c>
      <c r="AC46" s="31" t="str">
        <f t="shared" si="42"/>
        <v>ok</v>
      </c>
    </row>
    <row r="47" spans="1:29" x14ac:dyDescent="0.2">
      <c r="A47" s="96">
        <v>368</v>
      </c>
      <c r="B47" s="14" t="s">
        <v>36</v>
      </c>
      <c r="C47" s="14" t="s">
        <v>37</v>
      </c>
      <c r="D47" s="14" t="s">
        <v>38</v>
      </c>
      <c r="F47" s="50">
        <v>39533719</v>
      </c>
      <c r="G47" s="48"/>
      <c r="H47" s="50">
        <f t="shared" si="31"/>
        <v>0</v>
      </c>
      <c r="I47" s="50">
        <f t="shared" si="32"/>
        <v>0</v>
      </c>
      <c r="J47" s="50"/>
      <c r="K47" s="50">
        <f t="shared" si="33"/>
        <v>0</v>
      </c>
      <c r="L47" s="50"/>
      <c r="M47" s="50">
        <f t="shared" si="29"/>
        <v>0</v>
      </c>
      <c r="N47" s="50"/>
      <c r="O47" s="50">
        <f t="shared" si="34"/>
        <v>16877358.125765964</v>
      </c>
      <c r="P47" s="50">
        <f t="shared" si="35"/>
        <v>22656360.874234036</v>
      </c>
      <c r="Q47" s="50"/>
      <c r="R47" s="50">
        <f t="shared" si="36"/>
        <v>0</v>
      </c>
      <c r="S47" s="50">
        <f t="shared" si="37"/>
        <v>0</v>
      </c>
      <c r="T47" s="50"/>
      <c r="U47" s="50">
        <f t="shared" si="38"/>
        <v>0</v>
      </c>
      <c r="V47" s="50"/>
      <c r="W47" s="50">
        <f t="shared" si="39"/>
        <v>0</v>
      </c>
      <c r="X47" s="50"/>
      <c r="Y47" s="50">
        <f t="shared" si="40"/>
        <v>0</v>
      </c>
      <c r="Z47" s="50"/>
      <c r="AA47" s="50">
        <f t="shared" si="41"/>
        <v>0</v>
      </c>
      <c r="AB47" s="50">
        <f t="shared" si="30"/>
        <v>39533719</v>
      </c>
      <c r="AC47" s="31" t="str">
        <f t="shared" si="42"/>
        <v>ok</v>
      </c>
    </row>
    <row r="48" spans="1:29" x14ac:dyDescent="0.2">
      <c r="A48" s="96">
        <v>369</v>
      </c>
      <c r="B48" s="14" t="s">
        <v>39</v>
      </c>
      <c r="C48" s="14" t="s">
        <v>40</v>
      </c>
      <c r="D48" s="14" t="s">
        <v>41</v>
      </c>
      <c r="F48" s="50">
        <v>30080045</v>
      </c>
      <c r="G48" s="48"/>
      <c r="H48" s="50">
        <f t="shared" si="31"/>
        <v>0</v>
      </c>
      <c r="I48" s="50">
        <f t="shared" si="32"/>
        <v>0</v>
      </c>
      <c r="J48" s="50"/>
      <c r="K48" s="50">
        <f t="shared" si="33"/>
        <v>0</v>
      </c>
      <c r="L48" s="50"/>
      <c r="M48" s="50">
        <f t="shared" si="29"/>
        <v>0</v>
      </c>
      <c r="N48" s="50"/>
      <c r="O48" s="50">
        <f t="shared" si="34"/>
        <v>0</v>
      </c>
      <c r="P48" s="50">
        <f t="shared" si="35"/>
        <v>0</v>
      </c>
      <c r="Q48" s="50"/>
      <c r="R48" s="50">
        <f t="shared" si="36"/>
        <v>0</v>
      </c>
      <c r="S48" s="50">
        <f t="shared" si="37"/>
        <v>30080045</v>
      </c>
      <c r="T48" s="50"/>
      <c r="U48" s="50">
        <f t="shared" si="38"/>
        <v>0</v>
      </c>
      <c r="V48" s="50"/>
      <c r="W48" s="50">
        <f t="shared" si="39"/>
        <v>0</v>
      </c>
      <c r="X48" s="50"/>
      <c r="Y48" s="50">
        <f t="shared" si="40"/>
        <v>0</v>
      </c>
      <c r="Z48" s="50"/>
      <c r="AA48" s="50">
        <f t="shared" si="41"/>
        <v>0</v>
      </c>
      <c r="AB48" s="50">
        <f t="shared" si="30"/>
        <v>30080045</v>
      </c>
      <c r="AC48" s="31" t="str">
        <f t="shared" si="42"/>
        <v>ok</v>
      </c>
    </row>
    <row r="49" spans="1:30" x14ac:dyDescent="0.2">
      <c r="A49" s="96">
        <v>370</v>
      </c>
      <c r="B49" s="14" t="s">
        <v>42</v>
      </c>
      <c r="C49" s="14" t="s">
        <v>43</v>
      </c>
      <c r="D49" s="14" t="s">
        <v>44</v>
      </c>
      <c r="F49" s="50">
        <f>2095050+13254436</f>
        <v>15349486</v>
      </c>
      <c r="G49" s="48"/>
      <c r="H49" s="50">
        <f t="shared" si="31"/>
        <v>0</v>
      </c>
      <c r="I49" s="50">
        <f t="shared" si="32"/>
        <v>0</v>
      </c>
      <c r="J49" s="50"/>
      <c r="K49" s="50">
        <f t="shared" si="33"/>
        <v>0</v>
      </c>
      <c r="L49" s="50"/>
      <c r="M49" s="50">
        <f t="shared" si="29"/>
        <v>0</v>
      </c>
      <c r="N49" s="50"/>
      <c r="O49" s="50">
        <f t="shared" si="34"/>
        <v>0</v>
      </c>
      <c r="P49" s="50">
        <f t="shared" si="35"/>
        <v>0</v>
      </c>
      <c r="Q49" s="50"/>
      <c r="R49" s="50">
        <f t="shared" si="36"/>
        <v>0</v>
      </c>
      <c r="S49" s="50">
        <f t="shared" si="37"/>
        <v>0</v>
      </c>
      <c r="T49" s="50"/>
      <c r="U49" s="50">
        <f t="shared" si="38"/>
        <v>15349486</v>
      </c>
      <c r="V49" s="50"/>
      <c r="W49" s="50">
        <f t="shared" si="39"/>
        <v>0</v>
      </c>
      <c r="X49" s="50"/>
      <c r="Y49" s="50">
        <f t="shared" si="40"/>
        <v>0</v>
      </c>
      <c r="Z49" s="50"/>
      <c r="AA49" s="50">
        <f t="shared" si="41"/>
        <v>0</v>
      </c>
      <c r="AB49" s="50">
        <f t="shared" si="30"/>
        <v>15349486</v>
      </c>
      <c r="AC49" s="31" t="str">
        <f t="shared" si="42"/>
        <v>ok</v>
      </c>
    </row>
    <row r="50" spans="1:30" x14ac:dyDescent="0.2">
      <c r="A50" s="96">
        <v>371</v>
      </c>
      <c r="B50" s="14" t="s">
        <v>45</v>
      </c>
      <c r="C50" s="14" t="s">
        <v>46</v>
      </c>
      <c r="D50" s="14" t="s">
        <v>546</v>
      </c>
      <c r="F50" s="50">
        <v>10855926</v>
      </c>
      <c r="G50" s="48"/>
      <c r="H50" s="50">
        <f t="shared" si="31"/>
        <v>0</v>
      </c>
      <c r="I50" s="50">
        <f t="shared" si="32"/>
        <v>0</v>
      </c>
      <c r="J50" s="50"/>
      <c r="K50" s="50">
        <f t="shared" si="33"/>
        <v>0</v>
      </c>
      <c r="L50" s="50"/>
      <c r="M50" s="50">
        <f t="shared" si="29"/>
        <v>0</v>
      </c>
      <c r="N50" s="50"/>
      <c r="O50" s="50">
        <f t="shared" si="34"/>
        <v>0</v>
      </c>
      <c r="P50" s="50">
        <f t="shared" si="35"/>
        <v>0</v>
      </c>
      <c r="Q50" s="50"/>
      <c r="R50" s="50">
        <f t="shared" si="36"/>
        <v>0</v>
      </c>
      <c r="S50" s="50">
        <f t="shared" si="37"/>
        <v>0</v>
      </c>
      <c r="T50" s="50"/>
      <c r="U50" s="50">
        <f t="shared" si="38"/>
        <v>0</v>
      </c>
      <c r="V50" s="50"/>
      <c r="W50" s="50">
        <f t="shared" si="39"/>
        <v>10855926</v>
      </c>
      <c r="X50" s="50"/>
      <c r="Y50" s="50">
        <f t="shared" si="40"/>
        <v>0</v>
      </c>
      <c r="Z50" s="50"/>
      <c r="AA50" s="50">
        <f t="shared" si="41"/>
        <v>0</v>
      </c>
      <c r="AB50" s="50">
        <f t="shared" si="30"/>
        <v>10855926</v>
      </c>
      <c r="AC50" s="31" t="str">
        <f t="shared" si="42"/>
        <v>ok</v>
      </c>
    </row>
    <row r="51" spans="1:30" x14ac:dyDescent="0.2">
      <c r="A51" s="96">
        <v>372</v>
      </c>
      <c r="B51" s="14" t="s">
        <v>574</v>
      </c>
      <c r="C51" s="14" t="s">
        <v>575</v>
      </c>
      <c r="D51" s="14" t="s">
        <v>546</v>
      </c>
      <c r="F51" s="50">
        <v>0</v>
      </c>
      <c r="G51" s="48"/>
      <c r="H51" s="50">
        <f t="shared" si="31"/>
        <v>0</v>
      </c>
      <c r="I51" s="50">
        <f t="shared" si="32"/>
        <v>0</v>
      </c>
      <c r="J51" s="50"/>
      <c r="K51" s="50">
        <f t="shared" si="33"/>
        <v>0</v>
      </c>
      <c r="L51" s="50"/>
      <c r="M51" s="50">
        <f t="shared" si="29"/>
        <v>0</v>
      </c>
      <c r="N51" s="50"/>
      <c r="O51" s="50">
        <f t="shared" si="34"/>
        <v>0</v>
      </c>
      <c r="P51" s="50">
        <f t="shared" si="35"/>
        <v>0</v>
      </c>
      <c r="Q51" s="50"/>
      <c r="R51" s="50">
        <f t="shared" si="36"/>
        <v>0</v>
      </c>
      <c r="S51" s="50">
        <f t="shared" si="37"/>
        <v>0</v>
      </c>
      <c r="T51" s="50"/>
      <c r="U51" s="50">
        <f t="shared" si="38"/>
        <v>0</v>
      </c>
      <c r="V51" s="50"/>
      <c r="W51" s="50">
        <f t="shared" si="39"/>
        <v>0</v>
      </c>
      <c r="X51" s="50"/>
      <c r="Y51" s="50">
        <f t="shared" si="40"/>
        <v>0</v>
      </c>
      <c r="Z51" s="50"/>
      <c r="AA51" s="50">
        <f t="shared" si="41"/>
        <v>0</v>
      </c>
      <c r="AB51" s="50">
        <f t="shared" si="30"/>
        <v>0</v>
      </c>
      <c r="AC51" s="31" t="str">
        <f t="shared" si="42"/>
        <v>ok</v>
      </c>
    </row>
    <row r="52" spans="1:30" x14ac:dyDescent="0.2">
      <c r="A52" s="96">
        <v>373</v>
      </c>
      <c r="B52" s="14" t="s">
        <v>47</v>
      </c>
      <c r="C52" s="14" t="s">
        <v>48</v>
      </c>
      <c r="D52" s="14" t="s">
        <v>49</v>
      </c>
      <c r="F52" s="50">
        <v>306672</v>
      </c>
      <c r="H52" s="50">
        <f t="shared" si="31"/>
        <v>0</v>
      </c>
      <c r="I52" s="50">
        <f t="shared" si="32"/>
        <v>0</v>
      </c>
      <c r="J52" s="50"/>
      <c r="K52" s="50">
        <f t="shared" si="33"/>
        <v>0</v>
      </c>
      <c r="L52" s="50"/>
      <c r="M52" s="50">
        <f t="shared" si="29"/>
        <v>0</v>
      </c>
      <c r="N52" s="50"/>
      <c r="O52" s="50">
        <f t="shared" si="34"/>
        <v>0</v>
      </c>
      <c r="P52" s="50">
        <f t="shared" si="35"/>
        <v>0</v>
      </c>
      <c r="Q52" s="50"/>
      <c r="R52" s="50">
        <f t="shared" si="36"/>
        <v>0</v>
      </c>
      <c r="S52" s="50">
        <f t="shared" si="37"/>
        <v>0</v>
      </c>
      <c r="T52" s="50"/>
      <c r="U52" s="50">
        <f t="shared" si="38"/>
        <v>0</v>
      </c>
      <c r="V52" s="50"/>
      <c r="W52" s="50">
        <f t="shared" si="39"/>
        <v>306672</v>
      </c>
      <c r="X52" s="50"/>
      <c r="Y52" s="50">
        <f t="shared" si="40"/>
        <v>0</v>
      </c>
      <c r="Z52" s="50"/>
      <c r="AA52" s="50">
        <f t="shared" si="41"/>
        <v>0</v>
      </c>
      <c r="AB52" s="50">
        <f t="shared" si="30"/>
        <v>306672</v>
      </c>
      <c r="AC52" s="31" t="str">
        <f t="shared" si="42"/>
        <v>ok</v>
      </c>
    </row>
    <row r="53" spans="1:30" x14ac:dyDescent="0.2">
      <c r="A53" s="96"/>
      <c r="F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31"/>
    </row>
    <row r="54" spans="1:30" x14ac:dyDescent="0.2">
      <c r="B54" s="14" t="s">
        <v>50</v>
      </c>
      <c r="C54" s="14" t="s">
        <v>16</v>
      </c>
      <c r="F54" s="66">
        <f>SUM(F40:F53)</f>
        <v>280671626</v>
      </c>
      <c r="G54" s="37"/>
      <c r="H54" s="66">
        <f>SUM(H40:H53)</f>
        <v>0</v>
      </c>
      <c r="I54" s="66">
        <f>SUM(I40:I53)</f>
        <v>0</v>
      </c>
      <c r="J54" s="66"/>
      <c r="K54" s="66"/>
      <c r="L54" s="66"/>
      <c r="M54" s="66">
        <f>SUM(M40:M53)</f>
        <v>2103107</v>
      </c>
      <c r="N54" s="66"/>
      <c r="O54" s="66">
        <f>SUM(O40:O53)</f>
        <v>126243859.87349135</v>
      </c>
      <c r="P54" s="66">
        <f>SUM(P40:P53)</f>
        <v>95732530.126508638</v>
      </c>
      <c r="Q54" s="66"/>
      <c r="R54" s="66">
        <f>SUM(R40:R52)</f>
        <v>0</v>
      </c>
      <c r="S54" s="66">
        <f>SUM(S40:S52)</f>
        <v>30080045</v>
      </c>
      <c r="T54" s="66"/>
      <c r="U54" s="66">
        <f>SUM(U40:U52)</f>
        <v>15349486</v>
      </c>
      <c r="V54" s="66"/>
      <c r="W54" s="66">
        <f>SUM(W40:W52)</f>
        <v>11162598</v>
      </c>
      <c r="X54" s="66"/>
      <c r="Y54" s="66">
        <f>SUM(Y40:Y52)</f>
        <v>0</v>
      </c>
      <c r="Z54" s="66"/>
      <c r="AA54" s="66">
        <f>SUM(AA40:AA52)</f>
        <v>0</v>
      </c>
      <c r="AB54" s="50">
        <f>SUM(H54:AA54)</f>
        <v>280671626</v>
      </c>
      <c r="AC54" s="31" t="str">
        <f>IF(ABS(AB54-F54)&lt;1,"ok","err")</f>
        <v>ok</v>
      </c>
      <c r="AD54" s="37"/>
    </row>
    <row r="55" spans="1:30" x14ac:dyDescent="0.2">
      <c r="Q55" s="14"/>
      <c r="AC55" s="31"/>
      <c r="AD55" s="37"/>
    </row>
    <row r="56" spans="1:30" x14ac:dyDescent="0.2">
      <c r="B56" s="14" t="s">
        <v>752</v>
      </c>
      <c r="C56" s="14" t="s">
        <v>392</v>
      </c>
      <c r="F56" s="95">
        <f t="shared" ref="F56:M56" si="43">F35+F54</f>
        <v>280671626</v>
      </c>
      <c r="G56" s="95"/>
      <c r="H56" s="95">
        <f t="shared" si="43"/>
        <v>0</v>
      </c>
      <c r="I56" s="95">
        <f t="shared" si="43"/>
        <v>0</v>
      </c>
      <c r="J56" s="95"/>
      <c r="K56" s="95">
        <f t="shared" si="43"/>
        <v>0</v>
      </c>
      <c r="L56" s="95"/>
      <c r="M56" s="95">
        <f t="shared" si="43"/>
        <v>2103107</v>
      </c>
      <c r="N56" s="95"/>
      <c r="O56" s="95">
        <f t="shared" ref="O56:AA56" si="44">O35+O54</f>
        <v>126243859.87349135</v>
      </c>
      <c r="P56" s="95">
        <f t="shared" si="44"/>
        <v>95732530.126508638</v>
      </c>
      <c r="Q56" s="95"/>
      <c r="R56" s="95">
        <f t="shared" si="44"/>
        <v>0</v>
      </c>
      <c r="S56" s="95">
        <f t="shared" si="44"/>
        <v>30080045</v>
      </c>
      <c r="T56" s="95"/>
      <c r="U56" s="95">
        <f t="shared" si="44"/>
        <v>15349486</v>
      </c>
      <c r="V56" s="95"/>
      <c r="W56" s="95">
        <f t="shared" si="44"/>
        <v>11162598</v>
      </c>
      <c r="X56" s="95"/>
      <c r="Y56" s="95">
        <f t="shared" si="44"/>
        <v>0</v>
      </c>
      <c r="Z56" s="95"/>
      <c r="AA56" s="95">
        <f t="shared" si="44"/>
        <v>0</v>
      </c>
      <c r="AB56" s="50">
        <f>SUM(H56:AA56)</f>
        <v>280671626</v>
      </c>
      <c r="AC56" s="31" t="str">
        <f>IF(ABS(AB56-F56)&lt;1,"ok","err")</f>
        <v>ok</v>
      </c>
      <c r="AD56" s="37"/>
    </row>
    <row r="57" spans="1:30" x14ac:dyDescent="0.2">
      <c r="Q57" s="14"/>
      <c r="AC57" s="31"/>
    </row>
    <row r="58" spans="1:30" x14ac:dyDescent="0.2">
      <c r="B58" s="14" t="s">
        <v>785</v>
      </c>
      <c r="C58" s="14" t="s">
        <v>786</v>
      </c>
      <c r="F58" s="95">
        <f>F56+F24</f>
        <v>280671626</v>
      </c>
      <c r="H58" s="95">
        <f t="shared" ref="H58:Y58" si="45">H56+H24</f>
        <v>0</v>
      </c>
      <c r="I58" s="95">
        <f t="shared" si="45"/>
        <v>0</v>
      </c>
      <c r="J58" s="95"/>
      <c r="K58" s="95">
        <f t="shared" si="45"/>
        <v>0</v>
      </c>
      <c r="L58" s="95"/>
      <c r="M58" s="95">
        <f t="shared" si="45"/>
        <v>2103107</v>
      </c>
      <c r="N58" s="95"/>
      <c r="O58" s="95">
        <f t="shared" si="45"/>
        <v>126243859.87349135</v>
      </c>
      <c r="P58" s="95">
        <f t="shared" si="45"/>
        <v>95732530.126508638</v>
      </c>
      <c r="Q58" s="95"/>
      <c r="R58" s="95">
        <f t="shared" si="45"/>
        <v>0</v>
      </c>
      <c r="S58" s="95">
        <f t="shared" si="45"/>
        <v>30080045</v>
      </c>
      <c r="T58" s="95"/>
      <c r="U58" s="95">
        <f t="shared" si="45"/>
        <v>15349486</v>
      </c>
      <c r="V58" s="95"/>
      <c r="W58" s="95">
        <f t="shared" si="45"/>
        <v>11162598</v>
      </c>
      <c r="X58" s="95"/>
      <c r="Y58" s="95">
        <f t="shared" si="45"/>
        <v>0</v>
      </c>
      <c r="AA58" s="95">
        <f>AA56+AA24</f>
        <v>0</v>
      </c>
      <c r="AB58" s="50">
        <f>SUM(H58:AA58)</f>
        <v>280671626</v>
      </c>
      <c r="AC58" s="31" t="str">
        <f>IF(ABS(AB58-F58)&lt;1,"ok","err")</f>
        <v>ok</v>
      </c>
    </row>
    <row r="59" spans="1:30" x14ac:dyDescent="0.2">
      <c r="Q59" s="14"/>
      <c r="AC59" s="31"/>
    </row>
    <row r="60" spans="1:30" x14ac:dyDescent="0.2">
      <c r="A60" s="29" t="s">
        <v>366</v>
      </c>
      <c r="Q60" s="14"/>
      <c r="AC60" s="31"/>
    </row>
    <row r="61" spans="1:30" x14ac:dyDescent="0.2">
      <c r="Q61" s="14"/>
      <c r="AC61" s="31"/>
    </row>
    <row r="62" spans="1:30" x14ac:dyDescent="0.2">
      <c r="A62" s="29" t="s">
        <v>51</v>
      </c>
      <c r="Q62" s="14"/>
      <c r="AC62" s="31"/>
    </row>
    <row r="63" spans="1:30" x14ac:dyDescent="0.2">
      <c r="A63" s="96">
        <v>389</v>
      </c>
      <c r="B63" s="14" t="s">
        <v>17</v>
      </c>
      <c r="C63" s="14" t="s">
        <v>52</v>
      </c>
      <c r="D63" s="14" t="s">
        <v>392</v>
      </c>
      <c r="F63" s="66">
        <v>199155</v>
      </c>
      <c r="H63" s="50">
        <f t="shared" ref="H63:H73" si="46">IF(VLOOKUP($D63,$C$5:$AA$494,6,)=0,0,((VLOOKUP($D63,$C$5:$AA$494,6,)/VLOOKUP($D63,$C$5:$AA$494,4,))*$F63))</f>
        <v>0</v>
      </c>
      <c r="I63" s="50">
        <f t="shared" ref="I63:I73" si="47">IF(VLOOKUP($D63,$C$5:$AA$494,7,)=0,0,((VLOOKUP($D63,$C$5:$AA$494,7,)/VLOOKUP($D63,$C$5:$AA$494,4,))*$F63))</f>
        <v>0</v>
      </c>
      <c r="J63" s="50"/>
      <c r="K63" s="50">
        <f t="shared" ref="K63:K73" si="48">IF(VLOOKUP($D63,$C$5:$AA$494,9,)=0,0,((VLOOKUP($D63,$C$5:$AA$494,9,)/VLOOKUP($D63,$C$5:$AA$494,4,))*$F63))</f>
        <v>0</v>
      </c>
      <c r="L63" s="50"/>
      <c r="M63" s="50">
        <f t="shared" ref="M63:M73" si="49">IF(VLOOKUP($D63,$C$5:$AA$494,11,)=0,0,((VLOOKUP($D63,$C$5:$AA$494,11,)/VLOOKUP($D63,$C$5:$AA$494,4,))*$F63))</f>
        <v>1492.2928995501668</v>
      </c>
      <c r="N63" s="50"/>
      <c r="O63" s="50">
        <f t="shared" ref="O63:O73" si="50">IF(VLOOKUP($D63,$C$5:$AA$494,13,)=0,0,((VLOOKUP($D63,$C$5:$AA$494,13,)/VLOOKUP($D63,$C$5:$AA$494,4,))*$F63))</f>
        <v>89578.331345489016</v>
      </c>
      <c r="P63" s="50">
        <f t="shared" ref="P63:P73" si="51">IF(VLOOKUP($D63,$C$5:$AA$494,14,)=0,0,((VLOOKUP($D63,$C$5:$AA$494,14,)/VLOOKUP($D63,$C$5:$AA$494,4,))*$F63))</f>
        <v>67928.533813905466</v>
      </c>
      <c r="Q63" s="50"/>
      <c r="R63" s="50">
        <f t="shared" ref="R63:R73" si="52">IF(VLOOKUP($D63,$C$5:$AA$494,16,)=0,0,((VLOOKUP($D63,$C$5:$AA$494,16,)/VLOOKUP($D63,$C$5:$AA$494,4,))*$F63))</f>
        <v>0</v>
      </c>
      <c r="S63" s="50">
        <f t="shared" ref="S63:S73" si="53">IF(VLOOKUP($D63,$C$5:$AA$494,17,)=0,0,((VLOOKUP($D63,$C$5:$AA$494,17,)/VLOOKUP($D63,$C$5:$AA$494,4,))*$F63))</f>
        <v>21343.772604841077</v>
      </c>
      <c r="T63" s="50"/>
      <c r="U63" s="50">
        <f t="shared" ref="U63:U73" si="54">IF(VLOOKUP($D63,$C$5:$AA$494,19,)=0,0,((VLOOKUP($D63,$C$5:$AA$494,19,)/VLOOKUP($D63,$C$5:$AA$494,4,))*$F63))</f>
        <v>10891.471032878828</v>
      </c>
      <c r="V63" s="50"/>
      <c r="W63" s="50">
        <f t="shared" ref="W63:W73" si="55">IF(VLOOKUP($D63,$C$5:$AA$494,21,)=0,0,((VLOOKUP($D63,$C$5:$AA$494,21,)/VLOOKUP($D63,$C$5:$AA$494,4,))*$F63))</f>
        <v>7920.5983033354432</v>
      </c>
      <c r="X63" s="50"/>
      <c r="Y63" s="50">
        <f t="shared" ref="Y63:Y73" si="56">IF(VLOOKUP($D63,$C$5:$AA$494,23,)=0,0,((VLOOKUP($D63,$C$5:$AA$494,23,)/VLOOKUP($D63,$C$5:$AA$494,4,))*$F63))</f>
        <v>0</v>
      </c>
      <c r="Z63" s="50"/>
      <c r="AA63" s="50">
        <f t="shared" ref="AA63:AA73" si="57">IF(VLOOKUP($D63,$C$5:$AA$494,25,)=0,0,((VLOOKUP($D63,$C$5:$AA$494,25,)/VLOOKUP($D63,$C$5:$AA$494,4,))*$F63))</f>
        <v>0</v>
      </c>
      <c r="AB63" s="50">
        <f>SUM(H63:AA63)</f>
        <v>199155</v>
      </c>
      <c r="AC63" s="31" t="str">
        <f>IF(ABS(AB63-F63)&lt;1,"ok","err")</f>
        <v>ok</v>
      </c>
    </row>
    <row r="64" spans="1:30" x14ac:dyDescent="0.2">
      <c r="A64" s="96">
        <v>390</v>
      </c>
      <c r="B64" s="14" t="s">
        <v>53</v>
      </c>
      <c r="C64" s="14" t="s">
        <v>54</v>
      </c>
      <c r="D64" s="14" t="s">
        <v>392</v>
      </c>
      <c r="F64" s="50">
        <f>8544646+87046+435037+36630</f>
        <v>9103359</v>
      </c>
      <c r="H64" s="50">
        <f t="shared" si="46"/>
        <v>0</v>
      </c>
      <c r="I64" s="50">
        <f t="shared" si="47"/>
        <v>0</v>
      </c>
      <c r="J64" s="50"/>
      <c r="K64" s="50">
        <f t="shared" si="48"/>
        <v>0</v>
      </c>
      <c r="L64" s="50"/>
      <c r="M64" s="50">
        <f t="shared" si="49"/>
        <v>68212.588173814904</v>
      </c>
      <c r="N64" s="50"/>
      <c r="O64" s="50">
        <f t="shared" si="50"/>
        <v>4094618.3066402525</v>
      </c>
      <c r="P64" s="50">
        <f t="shared" si="51"/>
        <v>3105007.8062394653</v>
      </c>
      <c r="Q64" s="50"/>
      <c r="R64" s="50">
        <f t="shared" si="52"/>
        <v>0</v>
      </c>
      <c r="S64" s="50">
        <f t="shared" si="53"/>
        <v>975622.12566208956</v>
      </c>
      <c r="T64" s="50"/>
      <c r="U64" s="50">
        <f t="shared" si="54"/>
        <v>497848.26316385117</v>
      </c>
      <c r="V64" s="50"/>
      <c r="W64" s="50">
        <f t="shared" si="55"/>
        <v>362049.91012052639</v>
      </c>
      <c r="X64" s="50"/>
      <c r="Y64" s="50">
        <f t="shared" si="56"/>
        <v>0</v>
      </c>
      <c r="Z64" s="50"/>
      <c r="AA64" s="50">
        <f t="shared" si="57"/>
        <v>0</v>
      </c>
      <c r="AB64" s="50">
        <f t="shared" ref="AB64:AB73" si="58">SUM(H64:AA64)</f>
        <v>9103359</v>
      </c>
      <c r="AC64" s="31" t="str">
        <f t="shared" ref="AC64:AC73" si="59">IF(ABS(AB64-F64)&lt;1,"ok","err")</f>
        <v>ok</v>
      </c>
    </row>
    <row r="65" spans="1:29" x14ac:dyDescent="0.2">
      <c r="A65" s="96">
        <v>391</v>
      </c>
      <c r="B65" s="14" t="s">
        <v>55</v>
      </c>
      <c r="C65" s="14" t="s">
        <v>56</v>
      </c>
      <c r="D65" s="14" t="s">
        <v>392</v>
      </c>
      <c r="F65" s="50">
        <f>380363+588497+285381+232124</f>
        <v>1486365</v>
      </c>
      <c r="H65" s="50">
        <f t="shared" si="46"/>
        <v>0</v>
      </c>
      <c r="I65" s="50">
        <f t="shared" si="47"/>
        <v>0</v>
      </c>
      <c r="J65" s="50"/>
      <c r="K65" s="50">
        <f t="shared" si="48"/>
        <v>0</v>
      </c>
      <c r="L65" s="50"/>
      <c r="M65" s="50">
        <f t="shared" si="49"/>
        <v>11137.515681955681</v>
      </c>
      <c r="N65" s="50"/>
      <c r="O65" s="50">
        <f t="shared" si="50"/>
        <v>668555.12776650232</v>
      </c>
      <c r="P65" s="50">
        <f t="shared" si="51"/>
        <v>506974.9449539585</v>
      </c>
      <c r="Q65" s="50"/>
      <c r="R65" s="50">
        <f t="shared" si="52"/>
        <v>0</v>
      </c>
      <c r="S65" s="50">
        <f t="shared" si="53"/>
        <v>159296.20932336425</v>
      </c>
      <c r="T65" s="50"/>
      <c r="U65" s="50">
        <f t="shared" si="54"/>
        <v>81286.944047525496</v>
      </c>
      <c r="V65" s="50"/>
      <c r="W65" s="50">
        <f t="shared" si="55"/>
        <v>59114.25822669371</v>
      </c>
      <c r="X65" s="50"/>
      <c r="Y65" s="50">
        <f t="shared" si="56"/>
        <v>0</v>
      </c>
      <c r="Z65" s="50"/>
      <c r="AA65" s="50">
        <f t="shared" si="57"/>
        <v>0</v>
      </c>
      <c r="AB65" s="50">
        <f t="shared" si="58"/>
        <v>1486365</v>
      </c>
      <c r="AC65" s="31" t="str">
        <f t="shared" si="59"/>
        <v>ok</v>
      </c>
    </row>
    <row r="66" spans="1:29" x14ac:dyDescent="0.2">
      <c r="A66" s="96">
        <v>392</v>
      </c>
      <c r="B66" s="14" t="s">
        <v>57</v>
      </c>
      <c r="C66" s="14" t="s">
        <v>58</v>
      </c>
      <c r="D66" s="14" t="s">
        <v>392</v>
      </c>
      <c r="F66" s="50">
        <f>9184928+109947</f>
        <v>9294875</v>
      </c>
      <c r="H66" s="50">
        <f t="shared" si="46"/>
        <v>0</v>
      </c>
      <c r="I66" s="50">
        <f t="shared" si="47"/>
        <v>0</v>
      </c>
      <c r="J66" s="50"/>
      <c r="K66" s="50">
        <f t="shared" si="48"/>
        <v>0</v>
      </c>
      <c r="L66" s="50"/>
      <c r="M66" s="50">
        <f t="shared" si="49"/>
        <v>69647.64110720974</v>
      </c>
      <c r="N66" s="50"/>
      <c r="O66" s="50">
        <f t="shared" si="50"/>
        <v>4180760.6766834985</v>
      </c>
      <c r="P66" s="50">
        <f t="shared" si="51"/>
        <v>3170330.8013031287</v>
      </c>
      <c r="Q66" s="50"/>
      <c r="R66" s="50">
        <f t="shared" si="52"/>
        <v>0</v>
      </c>
      <c r="S66" s="50">
        <f t="shared" si="53"/>
        <v>996147.21393096924</v>
      </c>
      <c r="T66" s="50"/>
      <c r="U66" s="50">
        <f t="shared" si="54"/>
        <v>508321.96940438147</v>
      </c>
      <c r="V66" s="50"/>
      <c r="W66" s="50">
        <f t="shared" si="55"/>
        <v>369666.69757081178</v>
      </c>
      <c r="X66" s="50"/>
      <c r="Y66" s="50">
        <f t="shared" si="56"/>
        <v>0</v>
      </c>
      <c r="Z66" s="50"/>
      <c r="AA66" s="50">
        <f t="shared" si="57"/>
        <v>0</v>
      </c>
      <c r="AB66" s="50">
        <f t="shared" si="58"/>
        <v>9294875</v>
      </c>
      <c r="AC66" s="31" t="str">
        <f t="shared" si="59"/>
        <v>ok</v>
      </c>
    </row>
    <row r="67" spans="1:29" x14ac:dyDescent="0.2">
      <c r="A67" s="96">
        <v>393</v>
      </c>
      <c r="B67" s="14" t="s">
        <v>59</v>
      </c>
      <c r="C67" s="14" t="s">
        <v>60</v>
      </c>
      <c r="D67" s="14" t="s">
        <v>392</v>
      </c>
      <c r="F67" s="50">
        <v>260210</v>
      </c>
      <c r="H67" s="50">
        <f t="shared" si="46"/>
        <v>0</v>
      </c>
      <c r="I67" s="50">
        <f t="shared" si="47"/>
        <v>0</v>
      </c>
      <c r="J67" s="50"/>
      <c r="K67" s="50">
        <f t="shared" si="48"/>
        <v>0</v>
      </c>
      <c r="L67" s="50"/>
      <c r="M67" s="50">
        <f t="shared" si="49"/>
        <v>1949.7855207850614</v>
      </c>
      <c r="N67" s="50"/>
      <c r="O67" s="50">
        <f t="shared" si="50"/>
        <v>117040.38361783382</v>
      </c>
      <c r="P67" s="50">
        <f t="shared" si="51"/>
        <v>88753.402042210044</v>
      </c>
      <c r="Q67" s="50"/>
      <c r="R67" s="50">
        <f t="shared" si="52"/>
        <v>0</v>
      </c>
      <c r="S67" s="50">
        <f t="shared" si="53"/>
        <v>27887.138507723612</v>
      </c>
      <c r="T67" s="50"/>
      <c r="U67" s="50">
        <f t="shared" si="54"/>
        <v>14230.472132085059</v>
      </c>
      <c r="V67" s="50"/>
      <c r="W67" s="50">
        <f t="shared" si="55"/>
        <v>10348.818179362384</v>
      </c>
      <c r="X67" s="50"/>
      <c r="Y67" s="50">
        <f t="shared" si="56"/>
        <v>0</v>
      </c>
      <c r="Z67" s="50"/>
      <c r="AA67" s="50">
        <f t="shared" si="57"/>
        <v>0</v>
      </c>
      <c r="AB67" s="50">
        <f t="shared" si="58"/>
        <v>260210</v>
      </c>
      <c r="AC67" s="31" t="str">
        <f t="shared" si="59"/>
        <v>ok</v>
      </c>
    </row>
    <row r="68" spans="1:29" x14ac:dyDescent="0.2">
      <c r="A68" s="96">
        <v>394</v>
      </c>
      <c r="B68" s="14" t="s">
        <v>61</v>
      </c>
      <c r="C68" s="14" t="s">
        <v>62</v>
      </c>
      <c r="D68" s="14" t="s">
        <v>392</v>
      </c>
      <c r="F68" s="50">
        <v>508592</v>
      </c>
      <c r="H68" s="50">
        <f t="shared" si="46"/>
        <v>0</v>
      </c>
      <c r="I68" s="50">
        <f t="shared" si="47"/>
        <v>0</v>
      </c>
      <c r="J68" s="50"/>
      <c r="K68" s="50">
        <f t="shared" si="48"/>
        <v>0</v>
      </c>
      <c r="L68" s="50"/>
      <c r="M68" s="50">
        <f t="shared" si="49"/>
        <v>3810.9423834099994</v>
      </c>
      <c r="N68" s="50"/>
      <c r="O68" s="50">
        <f t="shared" si="50"/>
        <v>228760.62712794027</v>
      </c>
      <c r="P68" s="50">
        <f t="shared" si="51"/>
        <v>173472.46551420656</v>
      </c>
      <c r="Q68" s="50"/>
      <c r="R68" s="50">
        <f t="shared" si="52"/>
        <v>0</v>
      </c>
      <c r="S68" s="50">
        <f t="shared" si="53"/>
        <v>54506.650581915252</v>
      </c>
      <c r="T68" s="50"/>
      <c r="U68" s="50">
        <f t="shared" si="54"/>
        <v>27814.089706780695</v>
      </c>
      <c r="V68" s="50"/>
      <c r="W68" s="50">
        <f t="shared" si="55"/>
        <v>20227.22468574718</v>
      </c>
      <c r="X68" s="50"/>
      <c r="Y68" s="50">
        <f t="shared" si="56"/>
        <v>0</v>
      </c>
      <c r="Z68" s="50"/>
      <c r="AA68" s="50">
        <f t="shared" si="57"/>
        <v>0</v>
      </c>
      <c r="AB68" s="50">
        <f t="shared" si="58"/>
        <v>508591.99999999994</v>
      </c>
      <c r="AC68" s="31" t="str">
        <f t="shared" si="59"/>
        <v>ok</v>
      </c>
    </row>
    <row r="69" spans="1:29" x14ac:dyDescent="0.2">
      <c r="A69" s="96">
        <v>395</v>
      </c>
      <c r="B69" s="14" t="s">
        <v>63</v>
      </c>
      <c r="C69" s="14" t="s">
        <v>64</v>
      </c>
      <c r="D69" s="14" t="s">
        <v>392</v>
      </c>
      <c r="F69" s="50">
        <v>248460</v>
      </c>
      <c r="H69" s="50">
        <f t="shared" si="46"/>
        <v>0</v>
      </c>
      <c r="I69" s="50">
        <f t="shared" si="47"/>
        <v>0</v>
      </c>
      <c r="J69" s="50"/>
      <c r="K69" s="50">
        <f t="shared" si="48"/>
        <v>0</v>
      </c>
      <c r="L69" s="50"/>
      <c r="M69" s="50">
        <f t="shared" si="49"/>
        <v>1861.7413262144282</v>
      </c>
      <c r="N69" s="50"/>
      <c r="O69" s="50">
        <f t="shared" si="50"/>
        <v>111755.32728829404</v>
      </c>
      <c r="P69" s="50">
        <f t="shared" si="51"/>
        <v>84745.668004333071</v>
      </c>
      <c r="Q69" s="50"/>
      <c r="R69" s="50">
        <f t="shared" si="52"/>
        <v>0</v>
      </c>
      <c r="S69" s="50">
        <f t="shared" si="53"/>
        <v>26627.871463929168</v>
      </c>
      <c r="T69" s="50"/>
      <c r="U69" s="50">
        <f t="shared" si="54"/>
        <v>13587.883270965196</v>
      </c>
      <c r="V69" s="50"/>
      <c r="W69" s="50">
        <f t="shared" si="55"/>
        <v>9881.5086462640866</v>
      </c>
      <c r="X69" s="50"/>
      <c r="Y69" s="50">
        <f t="shared" si="56"/>
        <v>0</v>
      </c>
      <c r="Z69" s="50"/>
      <c r="AA69" s="50">
        <f t="shared" si="57"/>
        <v>0</v>
      </c>
      <c r="AB69" s="50">
        <f t="shared" si="58"/>
        <v>248459.99999999997</v>
      </c>
      <c r="AC69" s="31" t="str">
        <f t="shared" si="59"/>
        <v>ok</v>
      </c>
    </row>
    <row r="70" spans="1:29" x14ac:dyDescent="0.2">
      <c r="A70" s="96">
        <v>396</v>
      </c>
      <c r="B70" s="14" t="s">
        <v>65</v>
      </c>
      <c r="C70" s="14" t="s">
        <v>66</v>
      </c>
      <c r="D70" s="14" t="s">
        <v>392</v>
      </c>
      <c r="F70" s="50">
        <v>39602</v>
      </c>
      <c r="H70" s="50">
        <f t="shared" si="46"/>
        <v>0</v>
      </c>
      <c r="I70" s="50">
        <f t="shared" si="47"/>
        <v>0</v>
      </c>
      <c r="J70" s="50"/>
      <c r="K70" s="50">
        <f t="shared" si="48"/>
        <v>0</v>
      </c>
      <c r="L70" s="50"/>
      <c r="M70" s="50">
        <f t="shared" si="49"/>
        <v>296.74265475627379</v>
      </c>
      <c r="N70" s="50"/>
      <c r="O70" s="50">
        <f t="shared" si="50"/>
        <v>17812.663894675283</v>
      </c>
      <c r="P70" s="50">
        <f t="shared" si="51"/>
        <v>13507.598584510981</v>
      </c>
      <c r="Q70" s="50"/>
      <c r="R70" s="50">
        <f t="shared" si="52"/>
        <v>0</v>
      </c>
      <c r="S70" s="50">
        <f t="shared" si="53"/>
        <v>4244.2122100721363</v>
      </c>
      <c r="T70" s="50"/>
      <c r="U70" s="50">
        <f t="shared" si="54"/>
        <v>2165.7705598356424</v>
      </c>
      <c r="V70" s="50"/>
      <c r="W70" s="50">
        <f t="shared" si="55"/>
        <v>1575.0120961496834</v>
      </c>
      <c r="X70" s="50"/>
      <c r="Y70" s="50">
        <f t="shared" si="56"/>
        <v>0</v>
      </c>
      <c r="Z70" s="50"/>
      <c r="AA70" s="50">
        <f t="shared" si="57"/>
        <v>0</v>
      </c>
      <c r="AB70" s="50">
        <f t="shared" si="58"/>
        <v>39602.000000000007</v>
      </c>
      <c r="AC70" s="31" t="str">
        <f t="shared" si="59"/>
        <v>ok</v>
      </c>
    </row>
    <row r="71" spans="1:29" x14ac:dyDescent="0.2">
      <c r="A71" s="96">
        <v>397</v>
      </c>
      <c r="B71" s="14" t="s">
        <v>67</v>
      </c>
      <c r="C71" s="14" t="s">
        <v>68</v>
      </c>
      <c r="D71" s="14" t="s">
        <v>392</v>
      </c>
      <c r="F71" s="50">
        <v>2569878</v>
      </c>
      <c r="H71" s="50">
        <f t="shared" si="46"/>
        <v>0</v>
      </c>
      <c r="I71" s="50">
        <f t="shared" si="47"/>
        <v>0</v>
      </c>
      <c r="J71" s="50"/>
      <c r="K71" s="50">
        <f t="shared" si="48"/>
        <v>0</v>
      </c>
      <c r="L71" s="50"/>
      <c r="M71" s="50">
        <f t="shared" si="49"/>
        <v>19256.411800407641</v>
      </c>
      <c r="N71" s="50"/>
      <c r="O71" s="50">
        <f t="shared" si="50"/>
        <v>1155910.637450642</v>
      </c>
      <c r="P71" s="50">
        <f t="shared" si="51"/>
        <v>876543.61989712412</v>
      </c>
      <c r="Q71" s="50"/>
      <c r="R71" s="50">
        <f t="shared" si="52"/>
        <v>0</v>
      </c>
      <c r="S71" s="50">
        <f t="shared" si="53"/>
        <v>275418.0997423302</v>
      </c>
      <c r="T71" s="50"/>
      <c r="U71" s="50">
        <f t="shared" si="54"/>
        <v>140542.55125421192</v>
      </c>
      <c r="V71" s="50"/>
      <c r="W71" s="50">
        <f t="shared" si="55"/>
        <v>102206.67985528399</v>
      </c>
      <c r="X71" s="50"/>
      <c r="Y71" s="50">
        <f t="shared" si="56"/>
        <v>0</v>
      </c>
      <c r="Z71" s="50"/>
      <c r="AA71" s="50">
        <f t="shared" si="57"/>
        <v>0</v>
      </c>
      <c r="AB71" s="50">
        <f t="shared" si="58"/>
        <v>2569877.9999999995</v>
      </c>
      <c r="AC71" s="31" t="str">
        <f t="shared" si="59"/>
        <v>ok</v>
      </c>
    </row>
    <row r="72" spans="1:29" x14ac:dyDescent="0.2">
      <c r="A72" s="96">
        <v>398</v>
      </c>
      <c r="B72" s="14" t="s">
        <v>362</v>
      </c>
      <c r="C72" s="14" t="s">
        <v>363</v>
      </c>
      <c r="D72" s="14" t="s">
        <v>392</v>
      </c>
      <c r="F72" s="50">
        <v>2102092</v>
      </c>
      <c r="H72" s="50">
        <f t="shared" si="46"/>
        <v>0</v>
      </c>
      <c r="I72" s="50">
        <f t="shared" si="47"/>
        <v>0</v>
      </c>
      <c r="J72" s="50"/>
      <c r="K72" s="50">
        <f t="shared" si="48"/>
        <v>0</v>
      </c>
      <c r="L72" s="50"/>
      <c r="M72" s="50">
        <f t="shared" si="49"/>
        <v>15751.233791776302</v>
      </c>
      <c r="N72" s="50"/>
      <c r="O72" s="50">
        <f t="shared" si="50"/>
        <v>945504.2238191443</v>
      </c>
      <c r="P72" s="50">
        <f t="shared" si="51"/>
        <v>716989.41779990541</v>
      </c>
      <c r="Q72" s="50"/>
      <c r="R72" s="50">
        <f t="shared" si="52"/>
        <v>0</v>
      </c>
      <c r="S72" s="50">
        <f t="shared" si="53"/>
        <v>225284.69605310229</v>
      </c>
      <c r="T72" s="50"/>
      <c r="U72" s="50">
        <f t="shared" si="54"/>
        <v>114960.07695737653</v>
      </c>
      <c r="V72" s="50"/>
      <c r="W72" s="50">
        <f t="shared" si="55"/>
        <v>83602.35157869503</v>
      </c>
      <c r="X72" s="50"/>
      <c r="Y72" s="50">
        <f t="shared" si="56"/>
        <v>0</v>
      </c>
      <c r="Z72" s="50"/>
      <c r="AA72" s="50">
        <f t="shared" si="57"/>
        <v>0</v>
      </c>
      <c r="AB72" s="50">
        <f t="shared" si="58"/>
        <v>2102092</v>
      </c>
      <c r="AC72" s="31" t="str">
        <f t="shared" si="59"/>
        <v>ok</v>
      </c>
    </row>
    <row r="73" spans="1:29" x14ac:dyDescent="0.2">
      <c r="A73" s="96">
        <v>399</v>
      </c>
      <c r="B73" s="14" t="s">
        <v>583</v>
      </c>
      <c r="C73" s="14" t="s">
        <v>584</v>
      </c>
      <c r="D73" s="14" t="s">
        <v>392</v>
      </c>
      <c r="F73" s="50"/>
      <c r="H73" s="50">
        <f t="shared" si="46"/>
        <v>0</v>
      </c>
      <c r="I73" s="50">
        <f t="shared" si="47"/>
        <v>0</v>
      </c>
      <c r="J73" s="50"/>
      <c r="K73" s="50">
        <f t="shared" si="48"/>
        <v>0</v>
      </c>
      <c r="L73" s="50"/>
      <c r="M73" s="50">
        <f t="shared" si="49"/>
        <v>0</v>
      </c>
      <c r="N73" s="50"/>
      <c r="O73" s="50">
        <f t="shared" si="50"/>
        <v>0</v>
      </c>
      <c r="P73" s="50">
        <f t="shared" si="51"/>
        <v>0</v>
      </c>
      <c r="Q73" s="50"/>
      <c r="R73" s="50">
        <f t="shared" si="52"/>
        <v>0</v>
      </c>
      <c r="S73" s="50">
        <f t="shared" si="53"/>
        <v>0</v>
      </c>
      <c r="T73" s="50"/>
      <c r="U73" s="50">
        <f t="shared" si="54"/>
        <v>0</v>
      </c>
      <c r="V73" s="50"/>
      <c r="W73" s="50">
        <f t="shared" si="55"/>
        <v>0</v>
      </c>
      <c r="X73" s="50"/>
      <c r="Y73" s="50">
        <f t="shared" si="56"/>
        <v>0</v>
      </c>
      <c r="Z73" s="50"/>
      <c r="AA73" s="50">
        <f t="shared" si="57"/>
        <v>0</v>
      </c>
      <c r="AB73" s="50">
        <f t="shared" si="58"/>
        <v>0</v>
      </c>
      <c r="AC73" s="31" t="str">
        <f t="shared" si="59"/>
        <v>ok</v>
      </c>
    </row>
    <row r="74" spans="1:29" x14ac:dyDescent="0.2">
      <c r="Q74" s="14"/>
      <c r="AB74" s="50"/>
      <c r="AC74" s="31"/>
    </row>
    <row r="75" spans="1:29" x14ac:dyDescent="0.2">
      <c r="B75" s="14" t="s">
        <v>69</v>
      </c>
      <c r="C75" s="14" t="s">
        <v>70</v>
      </c>
      <c r="F75" s="66">
        <f>SUM(F63:F74)</f>
        <v>25812588</v>
      </c>
      <c r="G75" s="66"/>
      <c r="H75" s="66">
        <f t="shared" ref="H75:W75" si="60">SUM(H63:H74)</f>
        <v>0</v>
      </c>
      <c r="I75" s="66">
        <f t="shared" si="60"/>
        <v>0</v>
      </c>
      <c r="J75" s="66"/>
      <c r="K75" s="66">
        <f>SUM(K63:K74)</f>
        <v>0</v>
      </c>
      <c r="L75" s="66"/>
      <c r="M75" s="66">
        <f t="shared" si="60"/>
        <v>193416.89533988017</v>
      </c>
      <c r="N75" s="66"/>
      <c r="O75" s="66">
        <f t="shared" si="60"/>
        <v>11610296.305634271</v>
      </c>
      <c r="P75" s="66">
        <f t="shared" si="60"/>
        <v>8804254.2581527475</v>
      </c>
      <c r="Q75" s="66"/>
      <c r="R75" s="66">
        <f t="shared" si="60"/>
        <v>0</v>
      </c>
      <c r="S75" s="66">
        <f t="shared" si="60"/>
        <v>2766377.990080337</v>
      </c>
      <c r="T75" s="66"/>
      <c r="U75" s="66">
        <f t="shared" si="60"/>
        <v>1411649.491529892</v>
      </c>
      <c r="V75" s="66"/>
      <c r="W75" s="66">
        <f t="shared" si="60"/>
        <v>1026593.0592628696</v>
      </c>
      <c r="X75" s="66"/>
      <c r="Y75" s="66">
        <f>SUM(Y63:Y74)</f>
        <v>0</v>
      </c>
      <c r="Z75" s="66"/>
      <c r="AA75" s="66">
        <f>SUM(AA63:AA74)</f>
        <v>0</v>
      </c>
      <c r="AB75" s="50">
        <f>SUM(H75:AA75)</f>
        <v>25812587.999999996</v>
      </c>
      <c r="AC75" s="31" t="str">
        <f>IF(ABS(AB75-F75)&lt;1,"ok","err")</f>
        <v>ok</v>
      </c>
    </row>
    <row r="76" spans="1:29" x14ac:dyDescent="0.2">
      <c r="Q76" s="14"/>
      <c r="AB76" s="50"/>
      <c r="AC76" s="31"/>
    </row>
    <row r="77" spans="1:29" hidden="1" x14ac:dyDescent="0.2">
      <c r="A77" s="94">
        <v>106</v>
      </c>
      <c r="B77" s="14" t="s">
        <v>364</v>
      </c>
      <c r="C77" s="14" t="s">
        <v>365</v>
      </c>
      <c r="D77" s="14" t="s">
        <v>392</v>
      </c>
      <c r="F77" s="66">
        <v>0</v>
      </c>
      <c r="H77" s="50">
        <f>IF(VLOOKUP($D77,$C$5:$AA$494,6,)=0,0,((VLOOKUP($D77,$C$5:$AA$494,6,)/VLOOKUP($D77,$C$5:$AA$494,4,))*$F77))</f>
        <v>0</v>
      </c>
      <c r="I77" s="50">
        <f>IF(VLOOKUP($D77,$C$5:$AA$494,7,)=0,0,((VLOOKUP($D77,$C$5:$AA$494,7,)/VLOOKUP($D77,$C$5:$AA$494,4,))*$F77))</f>
        <v>0</v>
      </c>
      <c r="J77" s="50"/>
      <c r="K77" s="50">
        <f>IF(VLOOKUP($D77,$C$5:$AA$494,9,)=0,0,((VLOOKUP($D77,$C$5:$AA$494,9,)/VLOOKUP($D77,$C$5:$AA$494,4,))*$F77))</f>
        <v>0</v>
      </c>
      <c r="L77" s="50"/>
      <c r="M77" s="50">
        <f>IF(VLOOKUP($D77,$C$5:$AA$494,11,)=0,0,((VLOOKUP($D77,$C$5:$AA$494,11,)/VLOOKUP($D77,$C$5:$AA$494,4,))*$F77))</f>
        <v>0</v>
      </c>
      <c r="N77" s="50"/>
      <c r="O77" s="50">
        <f>IF(VLOOKUP($D77,$C$5:$AA$494,13,)=0,0,((VLOOKUP($D77,$C$5:$AA$494,13,)/VLOOKUP($D77,$C$5:$AA$494,4,))*$F77))</f>
        <v>0</v>
      </c>
      <c r="P77" s="50">
        <f>IF(VLOOKUP($D77,$C$5:$AA$494,14,)=0,0,((VLOOKUP($D77,$C$5:$AA$494,14,)/VLOOKUP($D77,$C$5:$AA$494,4,))*$F77))</f>
        <v>0</v>
      </c>
      <c r="Q77" s="50"/>
      <c r="R77" s="50">
        <f>IF(VLOOKUP($D77,$C$5:$AA$494,16,)=0,0,((VLOOKUP($D77,$C$5:$AA$494,16,)/VLOOKUP($D77,$C$5:$AA$494,4,))*$F77))</f>
        <v>0</v>
      </c>
      <c r="S77" s="50">
        <f>IF(VLOOKUP($D77,$C$5:$AA$494,17,)=0,0,((VLOOKUP($D77,$C$5:$AA$494,17,)/VLOOKUP($D77,$C$5:$AA$494,4,))*$F77))</f>
        <v>0</v>
      </c>
      <c r="T77" s="50"/>
      <c r="U77" s="50">
        <f>IF(VLOOKUP($D77,$C$5:$AA$494,19,)=0,0,((VLOOKUP($D77,$C$5:$AA$494,19,)/VLOOKUP($D77,$C$5:$AA$494,4,))*$F77))</f>
        <v>0</v>
      </c>
      <c r="V77" s="50"/>
      <c r="W77" s="50">
        <f>IF(VLOOKUP($D77,$C$5:$AA$494,21,)=0,0,((VLOOKUP($D77,$C$5:$AA$494,21,)/VLOOKUP($D77,$C$5:$AA$494,4,))*$F77))</f>
        <v>0</v>
      </c>
      <c r="X77" s="50"/>
      <c r="Y77" s="50">
        <f>IF(VLOOKUP($D77,$C$5:$AA$494,23,)=0,0,((VLOOKUP($D77,$C$5:$AA$494,23,)/VLOOKUP($D77,$C$5:$AA$494,4,))*$F77))</f>
        <v>0</v>
      </c>
      <c r="Z77" s="50"/>
      <c r="AA77" s="50">
        <f>IF(VLOOKUP($D77,$C$5:$AA$494,25,)=0,0,((VLOOKUP($D77,$C$5:$AA$494,25,)/VLOOKUP($D77,$C$5:$AA$494,4,))*$F77))</f>
        <v>0</v>
      </c>
      <c r="AB77" s="50">
        <f>SUM(H77:AA77)</f>
        <v>0</v>
      </c>
      <c r="AC77" s="31" t="str">
        <f>IF(ABS(AB77-F77)&lt;1,"ok","err")</f>
        <v>ok</v>
      </c>
    </row>
    <row r="78" spans="1:29" hidden="1" x14ac:dyDescent="0.2">
      <c r="A78" s="94">
        <v>102</v>
      </c>
      <c r="B78" s="14" t="s">
        <v>705</v>
      </c>
      <c r="C78" s="14" t="s">
        <v>706</v>
      </c>
      <c r="D78" s="14" t="s">
        <v>16</v>
      </c>
      <c r="F78" s="66">
        <v>0</v>
      </c>
      <c r="H78" s="50">
        <f>IF(VLOOKUP($D78,$C$5:$AA$494,6,)=0,0,((VLOOKUP($D78,$C$5:$AA$494,6,)/VLOOKUP($D78,$C$5:$AA$494,4,))*$F78))</f>
        <v>0</v>
      </c>
      <c r="I78" s="50">
        <f>IF(VLOOKUP($D78,$C$5:$AA$494,7,)=0,0,((VLOOKUP($D78,$C$5:$AA$494,7,)/VLOOKUP($D78,$C$5:$AA$494,4,))*$F78))</f>
        <v>0</v>
      </c>
      <c r="J78" s="50"/>
      <c r="K78" s="50">
        <f>IF(VLOOKUP($D78,$C$5:$AA$494,9,)=0,0,((VLOOKUP($D78,$C$5:$AA$494,9,)/VLOOKUP($D78,$C$5:$AA$494,4,))*$F78))</f>
        <v>0</v>
      </c>
      <c r="L78" s="50"/>
      <c r="M78" s="50">
        <f>IF(VLOOKUP($D78,$C$5:$AA$494,11,)=0,0,((VLOOKUP($D78,$C$5:$AA$494,11,)/VLOOKUP($D78,$C$5:$AA$494,4,))*$F78))</f>
        <v>0</v>
      </c>
      <c r="N78" s="50"/>
      <c r="O78" s="50">
        <f>IF(VLOOKUP($D78,$C$5:$AA$494,13,)=0,0,((VLOOKUP($D78,$C$5:$AA$494,13,)/VLOOKUP($D78,$C$5:$AA$494,4,))*$F78))</f>
        <v>0</v>
      </c>
      <c r="P78" s="50">
        <f>IF(VLOOKUP($D78,$C$5:$AA$494,14,)=0,0,((VLOOKUP($D78,$C$5:$AA$494,14,)/VLOOKUP($D78,$C$5:$AA$494,4,))*$F78))</f>
        <v>0</v>
      </c>
      <c r="Q78" s="50"/>
      <c r="R78" s="50">
        <f>IF(VLOOKUP($D78,$C$5:$AA$494,16,)=0,0,((VLOOKUP($D78,$C$5:$AA$494,16,)/VLOOKUP($D78,$C$5:$AA$494,4,))*$F78))</f>
        <v>0</v>
      </c>
      <c r="S78" s="50">
        <f>IF(VLOOKUP($D78,$C$5:$AA$494,17,)=0,0,((VLOOKUP($D78,$C$5:$AA$494,17,)/VLOOKUP($D78,$C$5:$AA$494,4,))*$F78))</f>
        <v>0</v>
      </c>
      <c r="T78" s="50"/>
      <c r="U78" s="50">
        <f>IF(VLOOKUP($D78,$C$5:$AA$494,19,)=0,0,((VLOOKUP($D78,$C$5:$AA$494,19,)/VLOOKUP($D78,$C$5:$AA$494,4,))*$F78))</f>
        <v>0</v>
      </c>
      <c r="V78" s="50"/>
      <c r="W78" s="50">
        <f>IF(VLOOKUP($D78,$C$5:$AA$494,21,)=0,0,((VLOOKUP($D78,$C$5:$AA$494,21,)/VLOOKUP($D78,$C$5:$AA$494,4,))*$F78))</f>
        <v>0</v>
      </c>
      <c r="X78" s="50"/>
      <c r="Y78" s="50">
        <f>IF(VLOOKUP($D78,$C$5:$AA$494,23,)=0,0,((VLOOKUP($D78,$C$5:$AA$494,23,)/VLOOKUP($D78,$C$5:$AA$494,4,))*$F78))</f>
        <v>0</v>
      </c>
      <c r="Z78" s="50"/>
      <c r="AA78" s="50">
        <f>IF(VLOOKUP($D78,$C$5:$AA$494,25,)=0,0,((VLOOKUP($D78,$C$5:$AA$494,25,)/VLOOKUP($D78,$C$5:$AA$494,4,))*$F78))</f>
        <v>0</v>
      </c>
      <c r="AB78" s="50">
        <f>SUM(H78:AA78)</f>
        <v>0</v>
      </c>
      <c r="AC78" s="31" t="str">
        <f>IF(ABS(AB78-F78)&lt;1,"ok","err")</f>
        <v>ok</v>
      </c>
    </row>
    <row r="79" spans="1:29" hidden="1" x14ac:dyDescent="0.2">
      <c r="Q79" s="14"/>
      <c r="AB79" s="50"/>
      <c r="AC79" s="31"/>
    </row>
    <row r="80" spans="1:29" hidden="1" x14ac:dyDescent="0.2">
      <c r="A80" s="94">
        <v>114</v>
      </c>
      <c r="B80" s="14" t="s">
        <v>831</v>
      </c>
      <c r="D80" s="14" t="s">
        <v>783</v>
      </c>
      <c r="F80" s="66">
        <v>0</v>
      </c>
      <c r="H80" s="50">
        <f>IF(VLOOKUP($D80,$C$5:$AA$494,6,)=0,0,((VLOOKUP($D80,$C$5:$AA$494,6,)/VLOOKUP($D80,$C$5:$AA$494,4,))*$F80))</f>
        <v>0</v>
      </c>
      <c r="I80" s="50">
        <f>IF(VLOOKUP($D80,$C$5:$AA$494,7,)=0,0,((VLOOKUP($D80,$C$5:$AA$494,7,)/VLOOKUP($D80,$C$5:$AA$494,4,))*$F80))</f>
        <v>0</v>
      </c>
      <c r="J80" s="50"/>
      <c r="K80" s="50">
        <f>IF(VLOOKUP($D80,$C$5:$AA$494,9,)=0,0,((VLOOKUP($D80,$C$5:$AA$494,9,)/VLOOKUP($D80,$C$5:$AA$494,4,))*$F80))</f>
        <v>0</v>
      </c>
      <c r="L80" s="50"/>
      <c r="M80" s="50">
        <f>IF(VLOOKUP($D80,$C$5:$AA$494,11,)=0,0,((VLOOKUP($D80,$C$5:$AA$494,11,)/VLOOKUP($D80,$C$5:$AA$494,4,))*$F80))</f>
        <v>0</v>
      </c>
      <c r="N80" s="50"/>
      <c r="O80" s="50">
        <f>IF(VLOOKUP($D80,$C$5:$AA$494,13,)=0,0,((VLOOKUP($D80,$C$5:$AA$494,13,)/VLOOKUP($D80,$C$5:$AA$494,4,))*$F80))</f>
        <v>0</v>
      </c>
      <c r="P80" s="50">
        <f>IF(VLOOKUP($D80,$C$5:$AA$494,14,)=0,0,((VLOOKUP($D80,$C$5:$AA$494,14,)/VLOOKUP($D80,$C$5:$AA$494,4,))*$F80))</f>
        <v>0</v>
      </c>
      <c r="Q80" s="50"/>
      <c r="R80" s="50">
        <f>IF(VLOOKUP($D80,$C$5:$AA$494,16,)=0,0,((VLOOKUP($D80,$C$5:$AA$494,16,)/VLOOKUP($D80,$C$5:$AA$494,4,))*$F80))</f>
        <v>0</v>
      </c>
      <c r="S80" s="50">
        <f>IF(VLOOKUP($D80,$C$5:$AA$494,17,)=0,0,((VLOOKUP($D80,$C$5:$AA$494,17,)/VLOOKUP($D80,$C$5:$AA$494,4,))*$F80))</f>
        <v>0</v>
      </c>
      <c r="T80" s="50"/>
      <c r="U80" s="50">
        <f>IF(VLOOKUP($D80,$C$5:$AA$494,19,)=0,0,((VLOOKUP($D80,$C$5:$AA$494,19,)/VLOOKUP($D80,$C$5:$AA$494,4,))*$F80))</f>
        <v>0</v>
      </c>
      <c r="V80" s="50"/>
      <c r="W80" s="50">
        <f>IF(VLOOKUP($D80,$C$5:$AA$494,21,)=0,0,((VLOOKUP($D80,$C$5:$AA$494,21,)/VLOOKUP($D80,$C$5:$AA$494,4,))*$F80))</f>
        <v>0</v>
      </c>
      <c r="X80" s="50"/>
      <c r="Y80" s="50">
        <f>IF(VLOOKUP($D80,$C$5:$AA$494,23,)=0,0,((VLOOKUP($D80,$C$5:$AA$494,23,)/VLOOKUP($D80,$C$5:$AA$494,4,))*$F80))</f>
        <v>0</v>
      </c>
      <c r="Z80" s="50"/>
      <c r="AA80" s="50">
        <f>IF(VLOOKUP($D80,$C$5:$AA$494,25,)=0,0,((VLOOKUP($D80,$C$5:$AA$494,25,)/VLOOKUP($D80,$C$5:$AA$494,4,))*$F80))</f>
        <v>0</v>
      </c>
      <c r="AB80" s="50">
        <f>SUM(H80:AA80)</f>
        <v>0</v>
      </c>
      <c r="AC80" s="31" t="str">
        <f>IF(ABS(AB80-F80)&lt;1,"ok","err")</f>
        <v>ok</v>
      </c>
    </row>
    <row r="81" spans="1:29" hidden="1" x14ac:dyDescent="0.2">
      <c r="Q81" s="14"/>
      <c r="AB81" s="50"/>
      <c r="AC81" s="31"/>
    </row>
    <row r="82" spans="1:29" x14ac:dyDescent="0.2">
      <c r="B82" s="14" t="s">
        <v>71</v>
      </c>
      <c r="C82" s="14" t="s">
        <v>72</v>
      </c>
      <c r="F82" s="95">
        <f>F12+F24+F35+F54+F75+F77+F78+F80</f>
        <v>306484214</v>
      </c>
      <c r="G82" s="95"/>
      <c r="H82" s="95">
        <f>H12+H24+H35+H54+H75+H77+H78+H80</f>
        <v>0</v>
      </c>
      <c r="I82" s="95">
        <f>I12+I24+I35+I54+I75+I77+I78+I80</f>
        <v>0</v>
      </c>
      <c r="J82" s="95"/>
      <c r="K82" s="95">
        <f>K12+K24+K35+K54+K75+K77+K78+K80</f>
        <v>0</v>
      </c>
      <c r="L82" s="95"/>
      <c r="M82" s="95">
        <f>M12+M24+M35+M54+M75+M77+M78+M80</f>
        <v>2296523.8953398801</v>
      </c>
      <c r="N82" s="95"/>
      <c r="O82" s="95">
        <f>O12+O24+O35+O54+O75+O77+O78+O80</f>
        <v>137854156.17912561</v>
      </c>
      <c r="P82" s="95">
        <f>P12+P24+P35+P54+P75+P77+P78+P80</f>
        <v>104536784.38466139</v>
      </c>
      <c r="Q82" s="95"/>
      <c r="R82" s="95">
        <f>R12+R24+R35+R54+R75+R77+R78+R80</f>
        <v>0</v>
      </c>
      <c r="S82" s="95">
        <f>S12+S24+S35+S54+S75+S77+S78+S80</f>
        <v>32846422.990080338</v>
      </c>
      <c r="T82" s="95"/>
      <c r="U82" s="95">
        <f>U12+U24+U35+U54+U75+U77+U78+U80</f>
        <v>16761135.491529891</v>
      </c>
      <c r="V82" s="95"/>
      <c r="W82" s="95">
        <f>W12+W24+W35+W54+W75+W77+W78+W80</f>
        <v>12189191.05926287</v>
      </c>
      <c r="X82" s="95"/>
      <c r="Y82" s="95">
        <f>Y12+Y24+Y35+Y54+Y75+Y77+Y78+Y80</f>
        <v>0</v>
      </c>
      <c r="Z82" s="95"/>
      <c r="AA82" s="95">
        <f>AA12+AA24+AA35+AA54+AA75+AA77+AA78+AA80</f>
        <v>0</v>
      </c>
      <c r="AB82" s="50">
        <f>SUM(H82:AA82)</f>
        <v>306484214</v>
      </c>
      <c r="AC82" s="31" t="str">
        <f>IF(ABS(AB82-F82)&lt;1,"ok","err")</f>
        <v>ok</v>
      </c>
    </row>
    <row r="83" spans="1:29" x14ac:dyDescent="0.2">
      <c r="D83" s="37"/>
      <c r="F83" s="50"/>
      <c r="AC83" s="31"/>
    </row>
    <row r="84" spans="1:29" x14ac:dyDescent="0.2">
      <c r="A84" s="29" t="s">
        <v>73</v>
      </c>
      <c r="F84" s="50"/>
      <c r="AC84" s="31"/>
    </row>
    <row r="85" spans="1:29" x14ac:dyDescent="0.2">
      <c r="B85" s="14" t="s">
        <v>788</v>
      </c>
      <c r="C85" s="14" t="s">
        <v>553</v>
      </c>
      <c r="D85" s="14" t="s">
        <v>783</v>
      </c>
      <c r="F85" s="66">
        <v>0</v>
      </c>
      <c r="H85" s="50">
        <f>IF(VLOOKUP($D85,$C$5:$AA$494,6,)=0,0,((VLOOKUP($D85,$C$5:$AA$494,6,)/VLOOKUP($D85,$C$5:$AA$494,4,))*$F85))</f>
        <v>0</v>
      </c>
      <c r="I85" s="50">
        <f>IF(VLOOKUP($D85,$C$5:$AA$494,7,)=0,0,((VLOOKUP($D85,$C$5:$AA$494,7,)/VLOOKUP($D85,$C$5:$AA$494,4,))*$F85))</f>
        <v>0</v>
      </c>
      <c r="J85" s="50"/>
      <c r="K85" s="50">
        <f>IF(VLOOKUP($D85,$C$5:$AA$494,9,)=0,0,((VLOOKUP($D85,$C$5:$AA$494,9,)/VLOOKUP($D85,$C$5:$AA$494,4,))*$F85))</f>
        <v>0</v>
      </c>
      <c r="L85" s="50"/>
      <c r="M85" s="50">
        <f>IF(VLOOKUP($D85,$C$5:$AA$494,11,)=0,0,((VLOOKUP($D85,$C$5:$AA$494,11,)/VLOOKUP($D85,$C$5:$AA$494,4,))*$F85))</f>
        <v>0</v>
      </c>
      <c r="N85" s="50"/>
      <c r="O85" s="50">
        <f>IF(VLOOKUP($D85,$C$5:$AA$494,13,)=0,0,((VLOOKUP($D85,$C$5:$AA$494,13,)/VLOOKUP($D85,$C$5:$AA$494,4,))*$F85))</f>
        <v>0</v>
      </c>
      <c r="P85" s="50">
        <f>IF(VLOOKUP($D85,$C$5:$AA$494,14,)=0,0,((VLOOKUP($D85,$C$5:$AA$494,14,)/VLOOKUP($D85,$C$5:$AA$494,4,))*$F85))</f>
        <v>0</v>
      </c>
      <c r="Q85" s="50"/>
      <c r="R85" s="50">
        <f>IF(VLOOKUP($D85,$C$5:$AA$494,16,)=0,0,((VLOOKUP($D85,$C$5:$AA$494,16,)/VLOOKUP($D85,$C$5:$AA$494,4,))*$F85))</f>
        <v>0</v>
      </c>
      <c r="S85" s="50">
        <f>IF(VLOOKUP($D85,$C$5:$AA$494,17,)=0,0,((VLOOKUP($D85,$C$5:$AA$494,17,)/VLOOKUP($D85,$C$5:$AA$494,4,))*$F85))</f>
        <v>0</v>
      </c>
      <c r="T85" s="50"/>
      <c r="U85" s="50">
        <f>IF(VLOOKUP($D85,$C$5:$AA$494,19,)=0,0,((VLOOKUP($D85,$C$5:$AA$494,19,)/VLOOKUP($D85,$C$5:$AA$494,4,))*$F85))</f>
        <v>0</v>
      </c>
      <c r="V85" s="50"/>
      <c r="W85" s="50">
        <f>IF(VLOOKUP($D85,$C$5:$AA$494,21,)=0,0,((VLOOKUP($D85,$C$5:$AA$494,21,)/VLOOKUP($D85,$C$5:$AA$494,4,))*$F85))</f>
        <v>0</v>
      </c>
      <c r="X85" s="50"/>
      <c r="Y85" s="50">
        <f>IF(VLOOKUP($D85,$C$5:$AA$494,23,)=0,0,((VLOOKUP($D85,$C$5:$AA$494,23,)/VLOOKUP($D85,$C$5:$AA$494,4,))*$F85))</f>
        <v>0</v>
      </c>
      <c r="Z85" s="50"/>
      <c r="AA85" s="50">
        <f>IF(VLOOKUP($D85,$C$5:$AA$494,25,)=0,0,((VLOOKUP($D85,$C$5:$AA$494,25,)/VLOOKUP($D85,$C$5:$AA$494,4,))*$F85))</f>
        <v>0</v>
      </c>
      <c r="AB85" s="50">
        <f>SUM(H85:AA85)</f>
        <v>0</v>
      </c>
      <c r="AC85" s="31" t="str">
        <f>IF(ABS(AB85-F85)&lt;1,"ok","err")</f>
        <v>ok</v>
      </c>
    </row>
    <row r="86" spans="1:29" x14ac:dyDescent="0.2">
      <c r="B86" s="14" t="s">
        <v>425</v>
      </c>
      <c r="C86" s="14" t="s">
        <v>554</v>
      </c>
      <c r="D86" s="14" t="s">
        <v>390</v>
      </c>
      <c r="F86" s="50">
        <v>0</v>
      </c>
      <c r="H86" s="50">
        <f>IF(VLOOKUP($D86,$C$5:$AA$494,6,)=0,0,((VLOOKUP($D86,$C$5:$AA$494,6,)/VLOOKUP($D86,$C$5:$AA$494,4,))*$F86))</f>
        <v>0</v>
      </c>
      <c r="I86" s="50">
        <f>IF(VLOOKUP($D86,$C$5:$AA$494,7,)=0,0,((VLOOKUP($D86,$C$5:$AA$494,7,)/VLOOKUP($D86,$C$5:$AA$494,4,))*$F86))</f>
        <v>0</v>
      </c>
      <c r="J86" s="50"/>
      <c r="K86" s="50">
        <f>IF(VLOOKUP($D86,$C$5:$AA$494,9,)=0,0,((VLOOKUP($D86,$C$5:$AA$494,9,)/VLOOKUP($D86,$C$5:$AA$494,4,))*$F86))</f>
        <v>0</v>
      </c>
      <c r="L86" s="50"/>
      <c r="M86" s="50">
        <f>IF(VLOOKUP($D86,$C$5:$AA$494,11,)=0,0,((VLOOKUP($D86,$C$5:$AA$494,11,)/VLOOKUP($D86,$C$5:$AA$494,4,))*$F86))</f>
        <v>0</v>
      </c>
      <c r="N86" s="50"/>
      <c r="O86" s="50">
        <f>IF(VLOOKUP($D86,$C$5:$AA$494,13,)=0,0,((VLOOKUP($D86,$C$5:$AA$494,13,)/VLOOKUP($D86,$C$5:$AA$494,4,))*$F86))</f>
        <v>0</v>
      </c>
      <c r="P86" s="50">
        <f>IF(VLOOKUP($D86,$C$5:$AA$494,14,)=0,0,((VLOOKUP($D86,$C$5:$AA$494,14,)/VLOOKUP($D86,$C$5:$AA$494,4,))*$F86))</f>
        <v>0</v>
      </c>
      <c r="Q86" s="50"/>
      <c r="R86" s="50">
        <f>IF(VLOOKUP($D86,$C$5:$AA$494,16,)=0,0,((VLOOKUP($D86,$C$5:$AA$494,16,)/VLOOKUP($D86,$C$5:$AA$494,4,))*$F86))</f>
        <v>0</v>
      </c>
      <c r="S86" s="50">
        <f>IF(VLOOKUP($D86,$C$5:$AA$494,17,)=0,0,((VLOOKUP($D86,$C$5:$AA$494,17,)/VLOOKUP($D86,$C$5:$AA$494,4,))*$F86))</f>
        <v>0</v>
      </c>
      <c r="T86" s="50"/>
      <c r="U86" s="50">
        <f>IF(VLOOKUP($D86,$C$5:$AA$494,19,)=0,0,((VLOOKUP($D86,$C$5:$AA$494,19,)/VLOOKUP($D86,$C$5:$AA$494,4,))*$F86))</f>
        <v>0</v>
      </c>
      <c r="V86" s="50"/>
      <c r="W86" s="50">
        <f>IF(VLOOKUP($D86,$C$5:$AA$494,21,)=0,0,((VLOOKUP($D86,$C$5:$AA$494,21,)/VLOOKUP($D86,$C$5:$AA$494,4,))*$F86))</f>
        <v>0</v>
      </c>
      <c r="X86" s="50"/>
      <c r="Y86" s="50">
        <f>IF(VLOOKUP($D86,$C$5:$AA$494,23,)=0,0,((VLOOKUP($D86,$C$5:$AA$494,23,)/VLOOKUP($D86,$C$5:$AA$494,4,))*$F86))</f>
        <v>0</v>
      </c>
      <c r="Z86" s="50"/>
      <c r="AA86" s="50">
        <f>IF(VLOOKUP($D86,$C$5:$AA$494,25,)=0,0,((VLOOKUP($D86,$C$5:$AA$494,25,)/VLOOKUP($D86,$C$5:$AA$494,4,))*$F86))</f>
        <v>0</v>
      </c>
      <c r="AB86" s="50">
        <f>SUM(H86:AA86)</f>
        <v>0</v>
      </c>
      <c r="AC86" s="31" t="str">
        <f>IF(ABS(AB86-F86)&lt;1,"ok","err")</f>
        <v>ok</v>
      </c>
    </row>
    <row r="87" spans="1:29" x14ac:dyDescent="0.2">
      <c r="B87" s="14" t="s">
        <v>840</v>
      </c>
      <c r="C87" s="14" t="s">
        <v>555</v>
      </c>
      <c r="D87" s="14" t="s">
        <v>16</v>
      </c>
      <c r="F87" s="50">
        <v>280140</v>
      </c>
      <c r="H87" s="50">
        <f>IF(VLOOKUP($D87,$C$5:$AA$494,6,)=0,0,((VLOOKUP($D87,$C$5:$AA$494,6,)/VLOOKUP($D87,$C$5:$AA$494,4,))*$F87))</f>
        <v>0</v>
      </c>
      <c r="I87" s="50">
        <f>IF(VLOOKUP($D87,$C$5:$AA$494,7,)=0,0,((VLOOKUP($D87,$C$5:$AA$494,7,)/VLOOKUP($D87,$C$5:$AA$494,4,))*$F87))</f>
        <v>0</v>
      </c>
      <c r="J87" s="50"/>
      <c r="K87" s="50">
        <f>IF(VLOOKUP($D87,$C$5:$AA$494,9,)=0,0,((VLOOKUP($D87,$C$5:$AA$494,9,)/VLOOKUP($D87,$C$5:$AA$494,4,))*$F87))</f>
        <v>0</v>
      </c>
      <c r="L87" s="50"/>
      <c r="M87" s="50">
        <f>IF(VLOOKUP($D87,$C$5:$AA$494,11,)=0,0,((VLOOKUP($D87,$C$5:$AA$494,11,)/VLOOKUP($D87,$C$5:$AA$494,4,))*$F87))</f>
        <v>2099.1234610227398</v>
      </c>
      <c r="N87" s="50"/>
      <c r="O87" s="50">
        <f>IF(VLOOKUP($D87,$C$5:$AA$494,13,)=0,0,((VLOOKUP($D87,$C$5:$AA$494,13,)/VLOOKUP($D87,$C$5:$AA$494,4,))*$F87))</f>
        <v>126004.7387367894</v>
      </c>
      <c r="P87" s="50">
        <f>IF(VLOOKUP($D87,$C$5:$AA$494,14,)=0,0,((VLOOKUP($D87,$C$5:$AA$494,14,)/VLOOKUP($D87,$C$5:$AA$494,4,))*$F87))</f>
        <v>95551.201137945201</v>
      </c>
      <c r="Q87" s="50"/>
      <c r="R87" s="50">
        <f>IF(VLOOKUP($D87,$C$5:$AA$494,16,)=0,0,((VLOOKUP($D87,$C$5:$AA$494,16,)/VLOOKUP($D87,$C$5:$AA$494,4,))*$F87))</f>
        <v>0</v>
      </c>
      <c r="S87" s="50">
        <f>IF(VLOOKUP($D87,$C$5:$AA$494,17,)=0,0,((VLOOKUP($D87,$C$5:$AA$494,17,)/VLOOKUP($D87,$C$5:$AA$494,4,))*$F87))</f>
        <v>30023.069757325593</v>
      </c>
      <c r="T87" s="50"/>
      <c r="U87" s="50">
        <f>IF(VLOOKUP($D87,$C$5:$AA$494,19,)=0,0,((VLOOKUP($D87,$C$5:$AA$494,19,)/VLOOKUP($D87,$C$5:$AA$494,4,))*$F87))</f>
        <v>15320.41221737177</v>
      </c>
      <c r="V87" s="50"/>
      <c r="W87" s="50">
        <f>IF(VLOOKUP($D87,$C$5:$AA$494,21,)=0,0,((VLOOKUP($D87,$C$5:$AA$494,21,)/VLOOKUP($D87,$C$5:$AA$494,4,))*$F87))</f>
        <v>11141.454689545284</v>
      </c>
      <c r="X87" s="50"/>
      <c r="Y87" s="50">
        <f>IF(VLOOKUP($D87,$C$5:$AA$494,23,)=0,0,((VLOOKUP($D87,$C$5:$AA$494,23,)/VLOOKUP($D87,$C$5:$AA$494,4,))*$F87))</f>
        <v>0</v>
      </c>
      <c r="Z87" s="50"/>
      <c r="AA87" s="50">
        <f>IF(VLOOKUP($D87,$C$5:$AA$494,25,)=0,0,((VLOOKUP($D87,$C$5:$AA$494,25,)/VLOOKUP($D87,$C$5:$AA$494,4,))*$F87))</f>
        <v>0</v>
      </c>
      <c r="AB87" s="50">
        <f>SUM(H87:AA87)</f>
        <v>280140</v>
      </c>
      <c r="AC87" s="31" t="str">
        <f>IF(ABS(AB87-F87)&lt;1,"ok","err")</f>
        <v>ok</v>
      </c>
    </row>
    <row r="88" spans="1:29" x14ac:dyDescent="0.2">
      <c r="B88" s="14" t="s">
        <v>449</v>
      </c>
      <c r="C88" s="14" t="s">
        <v>556</v>
      </c>
      <c r="D88" s="14" t="s">
        <v>70</v>
      </c>
      <c r="F88" s="50">
        <v>0</v>
      </c>
      <c r="H88" s="50">
        <f>IF(VLOOKUP($D88,$C$5:$AA$494,6,)=0,0,((VLOOKUP($D88,$C$5:$AA$494,6,)/VLOOKUP($D88,$C$5:$AA$494,4,))*$F88))</f>
        <v>0</v>
      </c>
      <c r="I88" s="50">
        <f>IF(VLOOKUP($D88,$C$5:$AA$494,7,)=0,0,((VLOOKUP($D88,$C$5:$AA$494,7,)/VLOOKUP($D88,$C$5:$AA$494,4,))*$F88))</f>
        <v>0</v>
      </c>
      <c r="J88" s="50"/>
      <c r="K88" s="50">
        <f>IF(VLOOKUP($D88,$C$5:$AA$494,9,)=0,0,((VLOOKUP($D88,$C$5:$AA$494,9,)/VLOOKUP($D88,$C$5:$AA$494,4,))*$F88))</f>
        <v>0</v>
      </c>
      <c r="L88" s="50"/>
      <c r="M88" s="50">
        <f>IF(VLOOKUP($D88,$C$5:$AA$494,11,)=0,0,((VLOOKUP($D88,$C$5:$AA$494,11,)/VLOOKUP($D88,$C$5:$AA$494,4,))*$F88))</f>
        <v>0</v>
      </c>
      <c r="N88" s="50"/>
      <c r="O88" s="50">
        <f>IF(VLOOKUP($D88,$C$5:$AA$494,13,)=0,0,((VLOOKUP($D88,$C$5:$AA$494,13,)/VLOOKUP($D88,$C$5:$AA$494,4,))*$F88))</f>
        <v>0</v>
      </c>
      <c r="P88" s="50">
        <f>IF(VLOOKUP($D88,$C$5:$AA$494,14,)=0,0,((VLOOKUP($D88,$C$5:$AA$494,14,)/VLOOKUP($D88,$C$5:$AA$494,4,))*$F88))</f>
        <v>0</v>
      </c>
      <c r="Q88" s="50"/>
      <c r="R88" s="50">
        <f>IF(VLOOKUP($D88,$C$5:$AA$494,16,)=0,0,((VLOOKUP($D88,$C$5:$AA$494,16,)/VLOOKUP($D88,$C$5:$AA$494,4,))*$F88))</f>
        <v>0</v>
      </c>
      <c r="S88" s="50">
        <f>IF(VLOOKUP($D88,$C$5:$AA$494,17,)=0,0,((VLOOKUP($D88,$C$5:$AA$494,17,)/VLOOKUP($D88,$C$5:$AA$494,4,))*$F88))</f>
        <v>0</v>
      </c>
      <c r="T88" s="50"/>
      <c r="U88" s="50">
        <f>IF(VLOOKUP($D88,$C$5:$AA$494,19,)=0,0,((VLOOKUP($D88,$C$5:$AA$494,19,)/VLOOKUP($D88,$C$5:$AA$494,4,))*$F88))</f>
        <v>0</v>
      </c>
      <c r="V88" s="50"/>
      <c r="W88" s="50">
        <f>IF(VLOOKUP($D88,$C$5:$AA$494,21,)=0,0,((VLOOKUP($D88,$C$5:$AA$494,21,)/VLOOKUP($D88,$C$5:$AA$494,4,))*$F88))</f>
        <v>0</v>
      </c>
      <c r="X88" s="50"/>
      <c r="Y88" s="50">
        <f>IF(VLOOKUP($D88,$C$5:$AA$494,23,)=0,0,((VLOOKUP($D88,$C$5:$AA$494,23,)/VLOOKUP($D88,$C$5:$AA$494,4,))*$F88))</f>
        <v>0</v>
      </c>
      <c r="Z88" s="50"/>
      <c r="AA88" s="50">
        <f>IF(VLOOKUP($D88,$C$5:$AA$494,25,)=0,0,((VLOOKUP($D88,$C$5:$AA$494,25,)/VLOOKUP($D88,$C$5:$AA$494,4,))*$F88))</f>
        <v>0</v>
      </c>
      <c r="AB88" s="50">
        <f>SUM(H88:AA88)</f>
        <v>0</v>
      </c>
      <c r="AC88" s="31" t="str">
        <f>IF(ABS(AB88-F88)&lt;1,"ok","err")</f>
        <v>ok</v>
      </c>
    </row>
    <row r="89" spans="1:29" x14ac:dyDescent="0.2">
      <c r="B89" s="14" t="s">
        <v>932</v>
      </c>
      <c r="C89" s="14" t="s">
        <v>557</v>
      </c>
      <c r="D89" s="14" t="s">
        <v>16</v>
      </c>
      <c r="F89" s="50">
        <v>0</v>
      </c>
      <c r="H89" s="50">
        <f>IF(VLOOKUP($D89,$C$5:$AA$494,6,)=0,0,((VLOOKUP($D89,$C$5:$AA$494,6,)/VLOOKUP($D89,$C$5:$AA$494,4,))*$F89))</f>
        <v>0</v>
      </c>
      <c r="I89" s="50">
        <f>IF(VLOOKUP($D89,$C$5:$AA$494,7,)=0,0,((VLOOKUP($D89,$C$5:$AA$494,7,)/VLOOKUP($D89,$C$5:$AA$494,4,))*$F89))</f>
        <v>0</v>
      </c>
      <c r="J89" s="50"/>
      <c r="K89" s="50">
        <f>IF(VLOOKUP($D89,$C$5:$AA$494,9,)=0,0,((VLOOKUP($D89,$C$5:$AA$494,9,)/VLOOKUP($D89,$C$5:$AA$494,4,))*$F89))</f>
        <v>0</v>
      </c>
      <c r="L89" s="50"/>
      <c r="M89" s="50">
        <f>IF(VLOOKUP($D89,$C$5:$AA$494,11,)=0,0,((VLOOKUP($D89,$C$5:$AA$494,11,)/VLOOKUP($D89,$C$5:$AA$494,4,))*$F89))</f>
        <v>0</v>
      </c>
      <c r="N89" s="50"/>
      <c r="O89" s="50">
        <f>IF(VLOOKUP($D89,$C$5:$AA$494,13,)=0,0,((VLOOKUP($D89,$C$5:$AA$494,13,)/VLOOKUP($D89,$C$5:$AA$494,4,))*$F89))</f>
        <v>0</v>
      </c>
      <c r="P89" s="50">
        <f>IF(VLOOKUP($D89,$C$5:$AA$494,14,)=0,0,((VLOOKUP($D89,$C$5:$AA$494,14,)/VLOOKUP($D89,$C$5:$AA$494,4,))*$F89))</f>
        <v>0</v>
      </c>
      <c r="Q89" s="50"/>
      <c r="R89" s="50">
        <f>IF(VLOOKUP($D89,$C$5:$AA$494,16,)=0,0,((VLOOKUP($D89,$C$5:$AA$494,16,)/VLOOKUP($D89,$C$5:$AA$494,4,))*$F89))</f>
        <v>0</v>
      </c>
      <c r="S89" s="50">
        <f>IF(VLOOKUP($D89,$C$5:$AA$494,17,)=0,0,((VLOOKUP($D89,$C$5:$AA$494,17,)/VLOOKUP($D89,$C$5:$AA$494,4,))*$F89))</f>
        <v>0</v>
      </c>
      <c r="T89" s="50"/>
      <c r="U89" s="50">
        <f>IF(VLOOKUP($D89,$C$5:$AA$494,19,)=0,0,((VLOOKUP($D89,$C$5:$AA$494,19,)/VLOOKUP($D89,$C$5:$AA$494,4,))*$F89))</f>
        <v>0</v>
      </c>
      <c r="V89" s="50"/>
      <c r="W89" s="50">
        <f>IF(VLOOKUP($D89,$C$5:$AA$494,21,)=0,0,((VLOOKUP($D89,$C$5:$AA$494,21,)/VLOOKUP($D89,$C$5:$AA$494,4,))*$F89))</f>
        <v>0</v>
      </c>
      <c r="X89" s="50"/>
      <c r="Y89" s="50">
        <f>IF(VLOOKUP($D89,$C$5:$AA$494,23,)=0,0,((VLOOKUP($D89,$C$5:$AA$494,23,)/VLOOKUP($D89,$C$5:$AA$494,4,))*$F89))</f>
        <v>0</v>
      </c>
      <c r="Z89" s="50"/>
      <c r="AA89" s="50">
        <f>IF(VLOOKUP($D89,$C$5:$AA$494,25,)=0,0,((VLOOKUP($D89,$C$5:$AA$494,25,)/VLOOKUP($D89,$C$5:$AA$494,4,))*$F89))</f>
        <v>0</v>
      </c>
      <c r="AB89" s="50">
        <f>SUM(H89:AA89)</f>
        <v>0</v>
      </c>
      <c r="AC89" s="31" t="str">
        <f>IF(ABS(AB89-F89)&lt;1,"ok","err")</f>
        <v>ok</v>
      </c>
    </row>
    <row r="90" spans="1:29" x14ac:dyDescent="0.2">
      <c r="F90" s="50"/>
      <c r="AB90" s="50"/>
      <c r="AC90" s="31"/>
    </row>
    <row r="91" spans="1:29" x14ac:dyDescent="0.2">
      <c r="A91" s="97" t="s">
        <v>74</v>
      </c>
      <c r="C91" s="14" t="s">
        <v>75</v>
      </c>
      <c r="F91" s="66">
        <f>SUM(F85:F89)</f>
        <v>280140</v>
      </c>
      <c r="G91" s="66"/>
      <c r="H91" s="66">
        <f>SUM(H85:H89)</f>
        <v>0</v>
      </c>
      <c r="I91" s="66">
        <f>SUM(I85:I89)</f>
        <v>0</v>
      </c>
      <c r="J91" s="66"/>
      <c r="K91" s="66">
        <f>SUM(K85:K89)</f>
        <v>0</v>
      </c>
      <c r="L91" s="66"/>
      <c r="M91" s="66">
        <f>SUM(M85:M89)</f>
        <v>2099.1234610227398</v>
      </c>
      <c r="N91" s="66"/>
      <c r="O91" s="66">
        <f>SUM(O85:O89)</f>
        <v>126004.7387367894</v>
      </c>
      <c r="P91" s="66">
        <f>SUM(P85:P89)</f>
        <v>95551.201137945201</v>
      </c>
      <c r="Q91" s="66"/>
      <c r="R91" s="66">
        <f>SUM(R85:R89)</f>
        <v>0</v>
      </c>
      <c r="S91" s="66">
        <f>SUM(S85:S89)</f>
        <v>30023.069757325593</v>
      </c>
      <c r="T91" s="66"/>
      <c r="U91" s="66">
        <f>SUM(U85:U89)</f>
        <v>15320.41221737177</v>
      </c>
      <c r="V91" s="66"/>
      <c r="W91" s="66">
        <f>SUM(W85:W89)</f>
        <v>11141.454689545284</v>
      </c>
      <c r="X91" s="66"/>
      <c r="Y91" s="66">
        <f>SUM(Y85:Y89)</f>
        <v>0</v>
      </c>
      <c r="Z91" s="66"/>
      <c r="AA91" s="66">
        <f>SUM(AA85:AA89)</f>
        <v>0</v>
      </c>
      <c r="AB91" s="50">
        <f>SUM(H91:AA91)</f>
        <v>280140</v>
      </c>
      <c r="AC91" s="31" t="str">
        <f>IF(ABS(AB91-F91)&lt;1,"ok","err")</f>
        <v>ok</v>
      </c>
    </row>
    <row r="92" spans="1:29" x14ac:dyDescent="0.2">
      <c r="A92" s="97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50"/>
      <c r="AC92" s="31"/>
    </row>
    <row r="93" spans="1:29" x14ac:dyDescent="0.2">
      <c r="A93" s="13" t="s">
        <v>367</v>
      </c>
      <c r="D93" s="95"/>
      <c r="F93" s="66">
        <f>F82+F91</f>
        <v>306764354</v>
      </c>
      <c r="G93" s="66"/>
      <c r="H93" s="66">
        <f>H82+H91</f>
        <v>0</v>
      </c>
      <c r="I93" s="66">
        <f>I82+I91</f>
        <v>0</v>
      </c>
      <c r="J93" s="66"/>
      <c r="K93" s="66">
        <f>K82+K91</f>
        <v>0</v>
      </c>
      <c r="L93" s="66"/>
      <c r="M93" s="66">
        <f>M82+M91</f>
        <v>2298623.0188009026</v>
      </c>
      <c r="N93" s="66"/>
      <c r="O93" s="66">
        <f>O82+O91</f>
        <v>137980160.91786239</v>
      </c>
      <c r="P93" s="66">
        <f>P82+P91</f>
        <v>104632335.58579934</v>
      </c>
      <c r="Q93" s="66"/>
      <c r="R93" s="66">
        <f>R82+R91</f>
        <v>0</v>
      </c>
      <c r="S93" s="66">
        <f>S82+S91</f>
        <v>32876446.059837665</v>
      </c>
      <c r="T93" s="66"/>
      <c r="U93" s="66">
        <f>U82+U91</f>
        <v>16776455.903747262</v>
      </c>
      <c r="V93" s="66"/>
      <c r="W93" s="66">
        <f>W82+W91</f>
        <v>12200332.513952415</v>
      </c>
      <c r="X93" s="66"/>
      <c r="Y93" s="66">
        <f>Y82+Y91</f>
        <v>0</v>
      </c>
      <c r="Z93" s="66"/>
      <c r="AA93" s="66">
        <f>AA82+AA91</f>
        <v>0</v>
      </c>
      <c r="AB93" s="50">
        <f>SUM(H93:AA93)</f>
        <v>306764354</v>
      </c>
      <c r="AC93" s="31" t="str">
        <f>IF(ABS(AB93-F93)&lt;1,"ok","err")</f>
        <v>ok</v>
      </c>
    </row>
    <row r="94" spans="1:29" x14ac:dyDescent="0.2">
      <c r="AC94" s="31"/>
    </row>
    <row r="95" spans="1:29" x14ac:dyDescent="0.2">
      <c r="A95" s="29" t="s">
        <v>76</v>
      </c>
      <c r="F95" s="95"/>
      <c r="AC95" s="31"/>
    </row>
    <row r="96" spans="1:29" x14ac:dyDescent="0.2">
      <c r="AC96" s="31"/>
    </row>
    <row r="97" spans="1:29" x14ac:dyDescent="0.2">
      <c r="A97" s="29" t="s">
        <v>77</v>
      </c>
      <c r="AC97" s="31"/>
    </row>
    <row r="98" spans="1:29" x14ac:dyDescent="0.2">
      <c r="A98" s="14" t="s">
        <v>15</v>
      </c>
      <c r="F98" s="95">
        <f>F82</f>
        <v>306484214</v>
      </c>
      <c r="G98" s="95"/>
      <c r="H98" s="95">
        <f>H82</f>
        <v>0</v>
      </c>
      <c r="I98" s="95">
        <f>I82</f>
        <v>0</v>
      </c>
      <c r="J98" s="95"/>
      <c r="K98" s="95">
        <f>K82</f>
        <v>0</v>
      </c>
      <c r="L98" s="95"/>
      <c r="M98" s="95">
        <f>M82</f>
        <v>2296523.8953398801</v>
      </c>
      <c r="N98" s="95"/>
      <c r="O98" s="95">
        <f>O82</f>
        <v>137854156.17912561</v>
      </c>
      <c r="P98" s="95">
        <f>P82</f>
        <v>104536784.38466139</v>
      </c>
      <c r="Q98" s="95"/>
      <c r="R98" s="95">
        <f>R82</f>
        <v>0</v>
      </c>
      <c r="S98" s="95">
        <f>S82</f>
        <v>32846422.990080338</v>
      </c>
      <c r="T98" s="95"/>
      <c r="U98" s="95">
        <f>U82</f>
        <v>16761135.491529891</v>
      </c>
      <c r="V98" s="95"/>
      <c r="W98" s="95">
        <f>W82</f>
        <v>12189191.05926287</v>
      </c>
      <c r="X98" s="95"/>
      <c r="Y98" s="95">
        <f>Y82</f>
        <v>0</v>
      </c>
      <c r="Z98" s="95"/>
      <c r="AA98" s="95">
        <f>AA82</f>
        <v>0</v>
      </c>
      <c r="AB98" s="50">
        <f>SUM(H98:AA98)</f>
        <v>306484214</v>
      </c>
      <c r="AC98" s="31" t="str">
        <f>IF(ABS(AB98-F98)&lt;1,"ok","err")</f>
        <v>ok</v>
      </c>
    </row>
    <row r="99" spans="1:29" x14ac:dyDescent="0.2">
      <c r="A99" s="14" t="s">
        <v>73</v>
      </c>
      <c r="F99" s="50">
        <f>F91</f>
        <v>280140</v>
      </c>
      <c r="G99" s="48"/>
      <c r="H99" s="48">
        <f>H91</f>
        <v>0</v>
      </c>
      <c r="I99" s="48">
        <f>I91</f>
        <v>0</v>
      </c>
      <c r="J99" s="48"/>
      <c r="K99" s="48">
        <f>K91</f>
        <v>0</v>
      </c>
      <c r="L99" s="48"/>
      <c r="M99" s="48">
        <f>M91</f>
        <v>2099.1234610227398</v>
      </c>
      <c r="N99" s="48"/>
      <c r="O99" s="48">
        <f>O91</f>
        <v>126004.7387367894</v>
      </c>
      <c r="P99" s="48">
        <f>P91</f>
        <v>95551.201137945201</v>
      </c>
      <c r="Q99" s="48"/>
      <c r="R99" s="48">
        <f>R91</f>
        <v>0</v>
      </c>
      <c r="S99" s="48">
        <f>S91</f>
        <v>30023.069757325593</v>
      </c>
      <c r="T99" s="48"/>
      <c r="U99" s="48">
        <f>U91</f>
        <v>15320.41221737177</v>
      </c>
      <c r="V99" s="48"/>
      <c r="W99" s="48">
        <f>W91</f>
        <v>11141.454689545284</v>
      </c>
      <c r="X99" s="48"/>
      <c r="Y99" s="48">
        <f>Y91</f>
        <v>0</v>
      </c>
      <c r="Z99" s="48"/>
      <c r="AA99" s="50">
        <f>AA91</f>
        <v>0</v>
      </c>
      <c r="AB99" s="50">
        <f>SUM(H99:AA99)</f>
        <v>280140</v>
      </c>
      <c r="AC99" s="31" t="str">
        <f>IF(ABS(AB99-F99)&lt;1,"ok","err")</f>
        <v>ok</v>
      </c>
    </row>
    <row r="100" spans="1:29" x14ac:dyDescent="0.2">
      <c r="Q100" s="14"/>
      <c r="AB100" s="50"/>
      <c r="AC100" s="31"/>
    </row>
    <row r="101" spans="1:29" x14ac:dyDescent="0.2">
      <c r="A101" s="97" t="s">
        <v>78</v>
      </c>
      <c r="C101" s="14" t="s">
        <v>79</v>
      </c>
      <c r="F101" s="95">
        <f>F98+F99</f>
        <v>306764354</v>
      </c>
      <c r="G101" s="95"/>
      <c r="H101" s="95">
        <f t="shared" ref="H101:AA101" si="61">H98+H99</f>
        <v>0</v>
      </c>
      <c r="I101" s="95">
        <f t="shared" si="61"/>
        <v>0</v>
      </c>
      <c r="J101" s="95"/>
      <c r="K101" s="95">
        <f t="shared" si="61"/>
        <v>0</v>
      </c>
      <c r="L101" s="95"/>
      <c r="M101" s="95">
        <f t="shared" si="61"/>
        <v>2298623.0188009026</v>
      </c>
      <c r="N101" s="95"/>
      <c r="O101" s="95">
        <f t="shared" si="61"/>
        <v>137980160.91786239</v>
      </c>
      <c r="P101" s="95">
        <f t="shared" si="61"/>
        <v>104632335.58579934</v>
      </c>
      <c r="Q101" s="95"/>
      <c r="R101" s="95">
        <f t="shared" si="61"/>
        <v>0</v>
      </c>
      <c r="S101" s="95">
        <f t="shared" si="61"/>
        <v>32876446.059837665</v>
      </c>
      <c r="T101" s="95"/>
      <c r="U101" s="95">
        <f t="shared" si="61"/>
        <v>16776455.903747262</v>
      </c>
      <c r="V101" s="95"/>
      <c r="W101" s="95">
        <f t="shared" si="61"/>
        <v>12200332.513952415</v>
      </c>
      <c r="X101" s="95"/>
      <c r="Y101" s="95">
        <f t="shared" si="61"/>
        <v>0</v>
      </c>
      <c r="Z101" s="95"/>
      <c r="AA101" s="95">
        <f t="shared" si="61"/>
        <v>0</v>
      </c>
      <c r="AB101" s="50">
        <f>SUM(H101:AA101)</f>
        <v>306764354</v>
      </c>
      <c r="AC101" s="31" t="str">
        <f>IF(ABS(AB101-F101)&lt;1,"ok","err")</f>
        <v>ok</v>
      </c>
    </row>
    <row r="102" spans="1:29" x14ac:dyDescent="0.2">
      <c r="Q102" s="14"/>
      <c r="AC102" s="31"/>
    </row>
    <row r="103" spans="1:29" x14ac:dyDescent="0.2">
      <c r="A103" s="29" t="s">
        <v>80</v>
      </c>
      <c r="Q103" s="14"/>
      <c r="AC103" s="31"/>
    </row>
    <row r="104" spans="1:29" x14ac:dyDescent="0.2">
      <c r="A104" s="14" t="s">
        <v>369</v>
      </c>
      <c r="C104" s="14" t="s">
        <v>393</v>
      </c>
      <c r="D104" s="14" t="s">
        <v>79</v>
      </c>
      <c r="F104" s="66">
        <v>0</v>
      </c>
      <c r="H104" s="50">
        <f t="shared" ref="H104:H122" si="62">IF(VLOOKUP($D104,$C$5:$AA$494,6,)=0,0,((VLOOKUP($D104,$C$5:$AA$494,6,)/VLOOKUP($D104,$C$5:$AA$494,4,))*$F104))</f>
        <v>0</v>
      </c>
      <c r="I104" s="50">
        <f t="shared" ref="I104:I122" si="63">IF(VLOOKUP($D104,$C$5:$AA$494,7,)=0,0,((VLOOKUP($D104,$C$5:$AA$494,7,)/VLOOKUP($D104,$C$5:$AA$494,4,))*$F104))</f>
        <v>0</v>
      </c>
      <c r="J104" s="50"/>
      <c r="K104" s="50">
        <f t="shared" ref="K104:K122" si="64">IF(VLOOKUP($D104,$C$5:$AA$494,9,)=0,0,((VLOOKUP($D104,$C$5:$AA$494,9,)/VLOOKUP($D104,$C$5:$AA$494,4,))*$F104))</f>
        <v>0</v>
      </c>
      <c r="L104" s="50"/>
      <c r="M104" s="50">
        <f t="shared" ref="M104:M122" si="65">IF(VLOOKUP($D104,$C$5:$AA$494,11,)=0,0,((VLOOKUP($D104,$C$5:$AA$494,11,)/VLOOKUP($D104,$C$5:$AA$494,4,))*$F104))</f>
        <v>0</v>
      </c>
      <c r="N104" s="50"/>
      <c r="O104" s="50">
        <f t="shared" ref="O104:O122" si="66">IF(VLOOKUP($D104,$C$5:$AA$494,13,)=0,0,((VLOOKUP($D104,$C$5:$AA$494,13,)/VLOOKUP($D104,$C$5:$AA$494,4,))*$F104))</f>
        <v>0</v>
      </c>
      <c r="P104" s="50">
        <f t="shared" ref="P104:P122" si="67">IF(VLOOKUP($D104,$C$5:$AA$494,14,)=0,0,((VLOOKUP($D104,$C$5:$AA$494,14,)/VLOOKUP($D104,$C$5:$AA$494,4,))*$F104))</f>
        <v>0</v>
      </c>
      <c r="Q104" s="50"/>
      <c r="R104" s="50">
        <f t="shared" ref="R104:R122" si="68">IF(VLOOKUP($D104,$C$5:$AA$494,16,)=0,0,((VLOOKUP($D104,$C$5:$AA$494,16,)/VLOOKUP($D104,$C$5:$AA$494,4,))*$F104))</f>
        <v>0</v>
      </c>
      <c r="S104" s="50">
        <f t="shared" ref="S104:S122" si="69">IF(VLOOKUP($D104,$C$5:$AA$494,17,)=0,0,((VLOOKUP($D104,$C$5:$AA$494,17,)/VLOOKUP($D104,$C$5:$AA$494,4,))*$F104))</f>
        <v>0</v>
      </c>
      <c r="T104" s="50"/>
      <c r="U104" s="50">
        <f t="shared" ref="U104:U122" si="70">IF(VLOOKUP($D104,$C$5:$AA$494,19,)=0,0,((VLOOKUP($D104,$C$5:$AA$494,19,)/VLOOKUP($D104,$C$5:$AA$494,4,))*$F104))</f>
        <v>0</v>
      </c>
      <c r="V104" s="50"/>
      <c r="W104" s="50">
        <f t="shared" ref="W104:W122" si="71">IF(VLOOKUP($D104,$C$5:$AA$494,21,)=0,0,((VLOOKUP($D104,$C$5:$AA$494,21,)/VLOOKUP($D104,$C$5:$AA$494,4,))*$F104))</f>
        <v>0</v>
      </c>
      <c r="X104" s="50"/>
      <c r="Y104" s="50">
        <f t="shared" ref="Y104:Y122" si="72">IF(VLOOKUP($D104,$C$5:$AA$494,23,)=0,0,((VLOOKUP($D104,$C$5:$AA$494,23,)/VLOOKUP($D104,$C$5:$AA$494,4,))*$F104))</f>
        <v>0</v>
      </c>
      <c r="Z104" s="50"/>
      <c r="AA104" s="50">
        <f t="shared" ref="AA104:AA122" si="73">IF(VLOOKUP($D104,$C$5:$AA$494,25,)=0,0,((VLOOKUP($D104,$C$5:$AA$494,25,)/VLOOKUP($D104,$C$5:$AA$494,4,))*$F104))</f>
        <v>0</v>
      </c>
      <c r="AB104" s="50">
        <f t="shared" ref="AB104:AB122" si="74">SUM(H104:AA104)</f>
        <v>0</v>
      </c>
      <c r="AC104" s="31" t="str">
        <f t="shared" ref="AC104:AC110" si="75">IF(ABS(AB104-F104)&lt;1,"ok","err")</f>
        <v>ok</v>
      </c>
    </row>
    <row r="105" spans="1:29" x14ac:dyDescent="0.2">
      <c r="A105" s="14" t="s">
        <v>370</v>
      </c>
      <c r="C105" s="14" t="s">
        <v>394</v>
      </c>
      <c r="D105" s="14" t="s">
        <v>16</v>
      </c>
      <c r="F105" s="50">
        <f>-162368-12779</f>
        <v>-175147</v>
      </c>
      <c r="H105" s="50">
        <f t="shared" si="62"/>
        <v>0</v>
      </c>
      <c r="I105" s="50">
        <f t="shared" si="63"/>
        <v>0</v>
      </c>
      <c r="J105" s="50"/>
      <c r="K105" s="50">
        <f t="shared" si="64"/>
        <v>0</v>
      </c>
      <c r="L105" s="50"/>
      <c r="M105" s="50">
        <f t="shared" si="65"/>
        <v>-1312.3980039542721</v>
      </c>
      <c r="N105" s="50"/>
      <c r="O105" s="50">
        <f t="shared" si="66"/>
        <v>-78779.724336162108</v>
      </c>
      <c r="P105" s="50">
        <f t="shared" si="67"/>
        <v>-59739.795194216065</v>
      </c>
      <c r="Q105" s="50"/>
      <c r="R105" s="50">
        <f t="shared" si="68"/>
        <v>0</v>
      </c>
      <c r="S105" s="50">
        <f t="shared" si="69"/>
        <v>-18770.795312294944</v>
      </c>
      <c r="T105" s="50"/>
      <c r="U105" s="50">
        <f t="shared" si="70"/>
        <v>-9578.5115964732395</v>
      </c>
      <c r="V105" s="50"/>
      <c r="W105" s="50">
        <f t="shared" si="71"/>
        <v>-6965.7755568993643</v>
      </c>
      <c r="X105" s="50"/>
      <c r="Y105" s="50">
        <f t="shared" si="72"/>
        <v>0</v>
      </c>
      <c r="Z105" s="50"/>
      <c r="AA105" s="50">
        <f t="shared" si="73"/>
        <v>0</v>
      </c>
      <c r="AB105" s="50">
        <f t="shared" si="74"/>
        <v>-175147</v>
      </c>
      <c r="AC105" s="31" t="str">
        <f t="shared" si="75"/>
        <v>ok</v>
      </c>
    </row>
    <row r="106" spans="1:29" x14ac:dyDescent="0.2">
      <c r="A106" s="14" t="s">
        <v>834</v>
      </c>
      <c r="C106" s="14" t="s">
        <v>839</v>
      </c>
      <c r="D106" s="14" t="s">
        <v>783</v>
      </c>
      <c r="F106" s="50">
        <v>0</v>
      </c>
      <c r="H106" s="50">
        <f t="shared" si="62"/>
        <v>0</v>
      </c>
      <c r="I106" s="50">
        <f t="shared" si="63"/>
        <v>0</v>
      </c>
      <c r="J106" s="50"/>
      <c r="K106" s="50">
        <f t="shared" si="64"/>
        <v>0</v>
      </c>
      <c r="L106" s="50"/>
      <c r="M106" s="50">
        <f t="shared" si="65"/>
        <v>0</v>
      </c>
      <c r="N106" s="50"/>
      <c r="O106" s="50">
        <f t="shared" si="66"/>
        <v>0</v>
      </c>
      <c r="P106" s="50">
        <f t="shared" si="67"/>
        <v>0</v>
      </c>
      <c r="Q106" s="50"/>
      <c r="R106" s="50">
        <f t="shared" si="68"/>
        <v>0</v>
      </c>
      <c r="S106" s="50">
        <f t="shared" si="69"/>
        <v>0</v>
      </c>
      <c r="T106" s="50"/>
      <c r="U106" s="50">
        <f t="shared" si="70"/>
        <v>0</v>
      </c>
      <c r="V106" s="50"/>
      <c r="W106" s="50">
        <f t="shared" si="71"/>
        <v>0</v>
      </c>
      <c r="X106" s="50"/>
      <c r="Y106" s="50">
        <f t="shared" si="72"/>
        <v>0</v>
      </c>
      <c r="Z106" s="50"/>
      <c r="AA106" s="50">
        <f t="shared" si="73"/>
        <v>0</v>
      </c>
      <c r="AB106" s="50">
        <f t="shared" si="74"/>
        <v>0</v>
      </c>
      <c r="AC106" s="31" t="str">
        <f t="shared" si="75"/>
        <v>ok</v>
      </c>
    </row>
    <row r="107" spans="1:29" x14ac:dyDescent="0.2">
      <c r="A107" s="14" t="s">
        <v>368</v>
      </c>
      <c r="C107" s="14" t="s">
        <v>395</v>
      </c>
      <c r="D107" s="14" t="s">
        <v>390</v>
      </c>
      <c r="F107" s="50">
        <v>0</v>
      </c>
      <c r="H107" s="50">
        <f t="shared" si="62"/>
        <v>0</v>
      </c>
      <c r="I107" s="50">
        <f t="shared" si="63"/>
        <v>0</v>
      </c>
      <c r="J107" s="50"/>
      <c r="K107" s="50">
        <f t="shared" si="64"/>
        <v>0</v>
      </c>
      <c r="L107" s="50"/>
      <c r="M107" s="50">
        <f t="shared" si="65"/>
        <v>0</v>
      </c>
      <c r="N107" s="50"/>
      <c r="O107" s="50">
        <f t="shared" si="66"/>
        <v>0</v>
      </c>
      <c r="P107" s="50">
        <f t="shared" si="67"/>
        <v>0</v>
      </c>
      <c r="Q107" s="50"/>
      <c r="R107" s="50">
        <f t="shared" si="68"/>
        <v>0</v>
      </c>
      <c r="S107" s="50">
        <f t="shared" si="69"/>
        <v>0</v>
      </c>
      <c r="T107" s="50"/>
      <c r="U107" s="50">
        <f t="shared" si="70"/>
        <v>0</v>
      </c>
      <c r="V107" s="50"/>
      <c r="W107" s="50">
        <f t="shared" si="71"/>
        <v>0</v>
      </c>
      <c r="X107" s="50"/>
      <c r="Y107" s="50">
        <f t="shared" si="72"/>
        <v>0</v>
      </c>
      <c r="Z107" s="50"/>
      <c r="AA107" s="50">
        <f t="shared" si="73"/>
        <v>0</v>
      </c>
      <c r="AB107" s="50">
        <f t="shared" si="74"/>
        <v>0</v>
      </c>
      <c r="AC107" s="31" t="str">
        <f t="shared" si="75"/>
        <v>ok</v>
      </c>
    </row>
    <row r="108" spans="1:29" x14ac:dyDescent="0.2">
      <c r="A108" s="14" t="s">
        <v>1157</v>
      </c>
      <c r="C108" s="14" t="s">
        <v>448</v>
      </c>
      <c r="D108" s="14" t="s">
        <v>16</v>
      </c>
      <c r="F108" s="50">
        <f>1241809+6091608+220410+315863+225943+39111+1452980+1313629</f>
        <v>10901353</v>
      </c>
      <c r="H108" s="50">
        <f t="shared" si="62"/>
        <v>0</v>
      </c>
      <c r="I108" s="50">
        <f t="shared" si="63"/>
        <v>0</v>
      </c>
      <c r="J108" s="50"/>
      <c r="K108" s="50">
        <f t="shared" si="64"/>
        <v>0</v>
      </c>
      <c r="L108" s="50"/>
      <c r="M108" s="50">
        <f t="shared" si="65"/>
        <v>81685.178265119685</v>
      </c>
      <c r="N108" s="50"/>
      <c r="O108" s="50">
        <f t="shared" si="66"/>
        <v>4903341.6743146833</v>
      </c>
      <c r="P108" s="50">
        <f t="shared" si="67"/>
        <v>3718274.3384691309</v>
      </c>
      <c r="Q108" s="50"/>
      <c r="R108" s="50">
        <f t="shared" si="68"/>
        <v>0</v>
      </c>
      <c r="S108" s="50">
        <f t="shared" si="69"/>
        <v>1168316.1332484852</v>
      </c>
      <c r="T108" s="50"/>
      <c r="U108" s="50">
        <f t="shared" si="70"/>
        <v>596177.70288813591</v>
      </c>
      <c r="V108" s="50"/>
      <c r="W108" s="50">
        <f t="shared" si="71"/>
        <v>433557.97281444474</v>
      </c>
      <c r="X108" s="50"/>
      <c r="Y108" s="50">
        <f t="shared" si="72"/>
        <v>0</v>
      </c>
      <c r="Z108" s="50"/>
      <c r="AA108" s="50">
        <f t="shared" si="73"/>
        <v>0</v>
      </c>
      <c r="AB108" s="50">
        <f t="shared" si="74"/>
        <v>10901353.000000002</v>
      </c>
      <c r="AC108" s="31" t="str">
        <f t="shared" si="75"/>
        <v>ok</v>
      </c>
    </row>
    <row r="109" spans="1:29" x14ac:dyDescent="0.2">
      <c r="A109" s="14" t="s">
        <v>426</v>
      </c>
      <c r="C109" s="14" t="s">
        <v>436</v>
      </c>
      <c r="D109" s="14" t="s">
        <v>424</v>
      </c>
      <c r="F109" s="50">
        <v>0</v>
      </c>
      <c r="H109" s="50">
        <f t="shared" si="62"/>
        <v>0</v>
      </c>
      <c r="I109" s="50">
        <f t="shared" si="63"/>
        <v>0</v>
      </c>
      <c r="J109" s="50"/>
      <c r="K109" s="50">
        <f t="shared" si="64"/>
        <v>0</v>
      </c>
      <c r="L109" s="50"/>
      <c r="M109" s="50">
        <f t="shared" si="65"/>
        <v>0</v>
      </c>
      <c r="N109" s="50"/>
      <c r="O109" s="50">
        <f t="shared" si="66"/>
        <v>0</v>
      </c>
      <c r="P109" s="50">
        <f t="shared" si="67"/>
        <v>0</v>
      </c>
      <c r="Q109" s="50"/>
      <c r="R109" s="50">
        <f t="shared" si="68"/>
        <v>0</v>
      </c>
      <c r="S109" s="50">
        <f t="shared" si="69"/>
        <v>0</v>
      </c>
      <c r="T109" s="50"/>
      <c r="U109" s="50">
        <f t="shared" si="70"/>
        <v>0</v>
      </c>
      <c r="V109" s="50"/>
      <c r="W109" s="50">
        <f t="shared" si="71"/>
        <v>0</v>
      </c>
      <c r="X109" s="50"/>
      <c r="Y109" s="50">
        <f t="shared" si="72"/>
        <v>0</v>
      </c>
      <c r="Z109" s="50"/>
      <c r="AA109" s="50">
        <f t="shared" si="73"/>
        <v>0</v>
      </c>
      <c r="AB109" s="50">
        <f t="shared" si="74"/>
        <v>0</v>
      </c>
      <c r="AC109" s="31" t="str">
        <f t="shared" si="75"/>
        <v>ok</v>
      </c>
    </row>
    <row r="110" spans="1:29" x14ac:dyDescent="0.2">
      <c r="A110" s="14" t="s">
        <v>427</v>
      </c>
      <c r="C110" s="14" t="s">
        <v>437</v>
      </c>
      <c r="D110" s="14" t="s">
        <v>23</v>
      </c>
      <c r="F110" s="50">
        <v>0</v>
      </c>
      <c r="H110" s="50">
        <f t="shared" si="62"/>
        <v>0</v>
      </c>
      <c r="I110" s="50">
        <f t="shared" si="63"/>
        <v>0</v>
      </c>
      <c r="J110" s="50"/>
      <c r="K110" s="50">
        <f t="shared" si="64"/>
        <v>0</v>
      </c>
      <c r="L110" s="50"/>
      <c r="M110" s="50">
        <f t="shared" si="65"/>
        <v>0</v>
      </c>
      <c r="N110" s="50"/>
      <c r="O110" s="50">
        <f t="shared" si="66"/>
        <v>0</v>
      </c>
      <c r="P110" s="50">
        <f t="shared" si="67"/>
        <v>0</v>
      </c>
      <c r="Q110" s="50"/>
      <c r="R110" s="50">
        <f t="shared" si="68"/>
        <v>0</v>
      </c>
      <c r="S110" s="50">
        <f t="shared" si="69"/>
        <v>0</v>
      </c>
      <c r="T110" s="50"/>
      <c r="U110" s="50">
        <f t="shared" si="70"/>
        <v>0</v>
      </c>
      <c r="V110" s="50"/>
      <c r="W110" s="50">
        <f t="shared" si="71"/>
        <v>0</v>
      </c>
      <c r="X110" s="50"/>
      <c r="Y110" s="50">
        <f t="shared" si="72"/>
        <v>0</v>
      </c>
      <c r="Z110" s="50"/>
      <c r="AA110" s="50">
        <f t="shared" si="73"/>
        <v>0</v>
      </c>
      <c r="AB110" s="50">
        <f t="shared" si="74"/>
        <v>0</v>
      </c>
      <c r="AC110" s="31" t="str">
        <f t="shared" si="75"/>
        <v>ok</v>
      </c>
    </row>
    <row r="111" spans="1:29" x14ac:dyDescent="0.2">
      <c r="A111" s="14" t="s">
        <v>428</v>
      </c>
      <c r="C111" s="14" t="s">
        <v>438</v>
      </c>
      <c r="D111" s="14" t="s">
        <v>26</v>
      </c>
      <c r="F111" s="50">
        <v>42838107</v>
      </c>
      <c r="H111" s="50">
        <f t="shared" si="62"/>
        <v>0</v>
      </c>
      <c r="I111" s="50">
        <f t="shared" si="63"/>
        <v>0</v>
      </c>
      <c r="J111" s="50"/>
      <c r="K111" s="50">
        <f t="shared" si="64"/>
        <v>0</v>
      </c>
      <c r="L111" s="50"/>
      <c r="M111" s="50">
        <f t="shared" si="65"/>
        <v>0</v>
      </c>
      <c r="N111" s="50"/>
      <c r="O111" s="50">
        <f t="shared" si="66"/>
        <v>25992680.540086821</v>
      </c>
      <c r="P111" s="50">
        <f t="shared" si="67"/>
        <v>16845426.459913176</v>
      </c>
      <c r="Q111" s="50"/>
      <c r="R111" s="50">
        <f t="shared" si="68"/>
        <v>0</v>
      </c>
      <c r="S111" s="50">
        <f t="shared" si="69"/>
        <v>0</v>
      </c>
      <c r="T111" s="50"/>
      <c r="U111" s="50">
        <f t="shared" si="70"/>
        <v>0</v>
      </c>
      <c r="V111" s="50"/>
      <c r="W111" s="50">
        <f t="shared" si="71"/>
        <v>0</v>
      </c>
      <c r="X111" s="50"/>
      <c r="Y111" s="50">
        <f t="shared" si="72"/>
        <v>0</v>
      </c>
      <c r="Z111" s="50"/>
      <c r="AA111" s="50">
        <f t="shared" si="73"/>
        <v>0</v>
      </c>
      <c r="AB111" s="50">
        <f t="shared" si="74"/>
        <v>42838107</v>
      </c>
      <c r="AC111" s="31" t="str">
        <f t="shared" ref="AC111:AC119" si="76">IF(ABS(AB111-F111)&lt;1,"ok","err")</f>
        <v>ok</v>
      </c>
    </row>
    <row r="112" spans="1:29" x14ac:dyDescent="0.2">
      <c r="A112" s="14" t="s">
        <v>429</v>
      </c>
      <c r="C112" s="14" t="s">
        <v>439</v>
      </c>
      <c r="D112" s="14" t="s">
        <v>29</v>
      </c>
      <c r="F112" s="50">
        <v>30485955</v>
      </c>
      <c r="H112" s="50">
        <f t="shared" si="62"/>
        <v>0</v>
      </c>
      <c r="I112" s="50">
        <f t="shared" si="63"/>
        <v>0</v>
      </c>
      <c r="J112" s="50"/>
      <c r="K112" s="50">
        <f t="shared" si="64"/>
        <v>0</v>
      </c>
      <c r="L112" s="50"/>
      <c r="M112" s="50">
        <f t="shared" si="65"/>
        <v>0</v>
      </c>
      <c r="N112" s="50"/>
      <c r="O112" s="50">
        <f t="shared" si="66"/>
        <v>18497822.260784365</v>
      </c>
      <c r="P112" s="50">
        <f t="shared" si="67"/>
        <v>11988132.739215633</v>
      </c>
      <c r="Q112" s="50"/>
      <c r="R112" s="50">
        <f t="shared" si="68"/>
        <v>0</v>
      </c>
      <c r="S112" s="50">
        <f t="shared" si="69"/>
        <v>0</v>
      </c>
      <c r="T112" s="50"/>
      <c r="U112" s="50">
        <f t="shared" si="70"/>
        <v>0</v>
      </c>
      <c r="V112" s="50"/>
      <c r="W112" s="50">
        <f t="shared" si="71"/>
        <v>0</v>
      </c>
      <c r="X112" s="50"/>
      <c r="Y112" s="50">
        <f t="shared" si="72"/>
        <v>0</v>
      </c>
      <c r="Z112" s="50"/>
      <c r="AA112" s="50">
        <f t="shared" si="73"/>
        <v>0</v>
      </c>
      <c r="AB112" s="50">
        <f t="shared" si="74"/>
        <v>30485955</v>
      </c>
      <c r="AC112" s="31" t="str">
        <f t="shared" si="76"/>
        <v>ok</v>
      </c>
    </row>
    <row r="113" spans="1:37" x14ac:dyDescent="0.2">
      <c r="A113" s="14" t="s">
        <v>447</v>
      </c>
      <c r="C113" s="14" t="s">
        <v>440</v>
      </c>
      <c r="D113" s="206" t="s">
        <v>35</v>
      </c>
      <c r="F113" s="50">
        <v>811615</v>
      </c>
      <c r="H113" s="50">
        <f t="shared" si="62"/>
        <v>0</v>
      </c>
      <c r="I113" s="50">
        <f t="shared" si="63"/>
        <v>0</v>
      </c>
      <c r="J113" s="50"/>
      <c r="K113" s="50">
        <f t="shared" si="64"/>
        <v>0</v>
      </c>
      <c r="L113" s="50"/>
      <c r="M113" s="50">
        <f t="shared" si="65"/>
        <v>0</v>
      </c>
      <c r="N113" s="50"/>
      <c r="O113" s="50">
        <f t="shared" si="66"/>
        <v>154198.46017147673</v>
      </c>
      <c r="P113" s="50">
        <f t="shared" si="67"/>
        <v>657416.5398285233</v>
      </c>
      <c r="Q113" s="50"/>
      <c r="R113" s="50">
        <f t="shared" si="68"/>
        <v>0</v>
      </c>
      <c r="S113" s="50">
        <f t="shared" si="69"/>
        <v>0</v>
      </c>
      <c r="T113" s="50"/>
      <c r="U113" s="50">
        <f t="shared" si="70"/>
        <v>0</v>
      </c>
      <c r="V113" s="50"/>
      <c r="W113" s="50">
        <f t="shared" si="71"/>
        <v>0</v>
      </c>
      <c r="X113" s="50"/>
      <c r="Y113" s="50">
        <f t="shared" si="72"/>
        <v>0</v>
      </c>
      <c r="Z113" s="50"/>
      <c r="AA113" s="50">
        <f t="shared" si="73"/>
        <v>0</v>
      </c>
      <c r="AB113" s="50">
        <f t="shared" si="74"/>
        <v>811615</v>
      </c>
      <c r="AC113" s="31" t="str">
        <f t="shared" si="76"/>
        <v>ok</v>
      </c>
    </row>
    <row r="114" spans="1:37" x14ac:dyDescent="0.2">
      <c r="A114" s="14" t="s">
        <v>430</v>
      </c>
      <c r="C114" s="14" t="s">
        <v>441</v>
      </c>
      <c r="D114" s="14" t="s">
        <v>35</v>
      </c>
      <c r="F114" s="50">
        <v>0</v>
      </c>
      <c r="H114" s="50">
        <f t="shared" si="62"/>
        <v>0</v>
      </c>
      <c r="I114" s="50">
        <f t="shared" si="63"/>
        <v>0</v>
      </c>
      <c r="J114" s="50"/>
      <c r="K114" s="50">
        <f t="shared" si="64"/>
        <v>0</v>
      </c>
      <c r="L114" s="50"/>
      <c r="M114" s="50">
        <f t="shared" si="65"/>
        <v>0</v>
      </c>
      <c r="N114" s="50"/>
      <c r="O114" s="50">
        <f t="shared" si="66"/>
        <v>0</v>
      </c>
      <c r="P114" s="50">
        <f t="shared" si="67"/>
        <v>0</v>
      </c>
      <c r="Q114" s="50"/>
      <c r="R114" s="50">
        <f t="shared" si="68"/>
        <v>0</v>
      </c>
      <c r="S114" s="50">
        <f t="shared" si="69"/>
        <v>0</v>
      </c>
      <c r="T114" s="50"/>
      <c r="U114" s="50">
        <f t="shared" si="70"/>
        <v>0</v>
      </c>
      <c r="V114" s="50"/>
      <c r="W114" s="50">
        <f t="shared" si="71"/>
        <v>0</v>
      </c>
      <c r="X114" s="50"/>
      <c r="Y114" s="50">
        <f t="shared" si="72"/>
        <v>0</v>
      </c>
      <c r="Z114" s="50"/>
      <c r="AA114" s="50">
        <f t="shared" si="73"/>
        <v>0</v>
      </c>
      <c r="AB114" s="50">
        <f t="shared" si="74"/>
        <v>0</v>
      </c>
      <c r="AC114" s="31" t="str">
        <f t="shared" si="76"/>
        <v>ok</v>
      </c>
    </row>
    <row r="115" spans="1:37" x14ac:dyDescent="0.2">
      <c r="A115" s="14" t="s">
        <v>431</v>
      </c>
      <c r="C115" s="14" t="s">
        <v>442</v>
      </c>
      <c r="D115" s="14" t="s">
        <v>37</v>
      </c>
      <c r="F115" s="50">
        <v>12532743</v>
      </c>
      <c r="H115" s="50">
        <f t="shared" si="62"/>
        <v>0</v>
      </c>
      <c r="I115" s="50">
        <f t="shared" si="63"/>
        <v>0</v>
      </c>
      <c r="J115" s="50"/>
      <c r="K115" s="50">
        <f t="shared" si="64"/>
        <v>0</v>
      </c>
      <c r="L115" s="50"/>
      <c r="M115" s="50">
        <f t="shared" si="65"/>
        <v>0</v>
      </c>
      <c r="N115" s="50"/>
      <c r="O115" s="50">
        <f t="shared" si="66"/>
        <v>5350359.0671342229</v>
      </c>
      <c r="P115" s="50">
        <f t="shared" si="67"/>
        <v>7182383.9328657771</v>
      </c>
      <c r="Q115" s="50"/>
      <c r="R115" s="50">
        <f t="shared" si="68"/>
        <v>0</v>
      </c>
      <c r="S115" s="50">
        <f t="shared" si="69"/>
        <v>0</v>
      </c>
      <c r="T115" s="50"/>
      <c r="U115" s="50">
        <f t="shared" si="70"/>
        <v>0</v>
      </c>
      <c r="V115" s="50"/>
      <c r="W115" s="50">
        <f t="shared" si="71"/>
        <v>0</v>
      </c>
      <c r="X115" s="50"/>
      <c r="Y115" s="50">
        <f t="shared" si="72"/>
        <v>0</v>
      </c>
      <c r="Z115" s="50"/>
      <c r="AA115" s="50">
        <f t="shared" si="73"/>
        <v>0</v>
      </c>
      <c r="AB115" s="50">
        <f t="shared" si="74"/>
        <v>12532743</v>
      </c>
      <c r="AC115" s="31" t="str">
        <f>IF(ABS(AB115-F115)&lt;1,"ok","err")</f>
        <v>ok</v>
      </c>
    </row>
    <row r="116" spans="1:37" x14ac:dyDescent="0.2">
      <c r="A116" s="14" t="s">
        <v>432</v>
      </c>
      <c r="C116" s="14" t="s">
        <v>443</v>
      </c>
      <c r="D116" s="14" t="s">
        <v>40</v>
      </c>
      <c r="F116" s="50">
        <v>11922725</v>
      </c>
      <c r="H116" s="50">
        <f t="shared" si="62"/>
        <v>0</v>
      </c>
      <c r="I116" s="50">
        <f t="shared" si="63"/>
        <v>0</v>
      </c>
      <c r="J116" s="50"/>
      <c r="K116" s="50">
        <f t="shared" si="64"/>
        <v>0</v>
      </c>
      <c r="L116" s="50"/>
      <c r="M116" s="50">
        <f t="shared" si="65"/>
        <v>0</v>
      </c>
      <c r="N116" s="50"/>
      <c r="O116" s="50">
        <f t="shared" si="66"/>
        <v>0</v>
      </c>
      <c r="P116" s="50">
        <f t="shared" si="67"/>
        <v>0</v>
      </c>
      <c r="Q116" s="50"/>
      <c r="R116" s="50">
        <f t="shared" si="68"/>
        <v>0</v>
      </c>
      <c r="S116" s="50">
        <f t="shared" si="69"/>
        <v>11922725</v>
      </c>
      <c r="T116" s="50"/>
      <c r="U116" s="50">
        <f t="shared" si="70"/>
        <v>0</v>
      </c>
      <c r="V116" s="50"/>
      <c r="W116" s="50">
        <f t="shared" si="71"/>
        <v>0</v>
      </c>
      <c r="X116" s="50"/>
      <c r="Y116" s="50">
        <f t="shared" si="72"/>
        <v>0</v>
      </c>
      <c r="Z116" s="50"/>
      <c r="AA116" s="50">
        <f t="shared" si="73"/>
        <v>0</v>
      </c>
      <c r="AB116" s="50">
        <f t="shared" si="74"/>
        <v>11922725</v>
      </c>
      <c r="AC116" s="31" t="str">
        <f t="shared" si="76"/>
        <v>ok</v>
      </c>
    </row>
    <row r="117" spans="1:37" x14ac:dyDescent="0.2">
      <c r="A117" s="14" t="s">
        <v>433</v>
      </c>
      <c r="C117" s="14" t="s">
        <v>444</v>
      </c>
      <c r="D117" s="14" t="s">
        <v>43</v>
      </c>
      <c r="F117" s="50">
        <f>1979964+2806203</f>
        <v>4786167</v>
      </c>
      <c r="H117" s="50">
        <f t="shared" si="62"/>
        <v>0</v>
      </c>
      <c r="I117" s="50">
        <f t="shared" si="63"/>
        <v>0</v>
      </c>
      <c r="J117" s="50"/>
      <c r="K117" s="50">
        <f t="shared" si="64"/>
        <v>0</v>
      </c>
      <c r="L117" s="50"/>
      <c r="M117" s="50">
        <f t="shared" si="65"/>
        <v>0</v>
      </c>
      <c r="N117" s="50"/>
      <c r="O117" s="50">
        <f t="shared" si="66"/>
        <v>0</v>
      </c>
      <c r="P117" s="50">
        <f t="shared" si="67"/>
        <v>0</v>
      </c>
      <c r="Q117" s="50"/>
      <c r="R117" s="50">
        <f t="shared" si="68"/>
        <v>0</v>
      </c>
      <c r="S117" s="50">
        <f t="shared" si="69"/>
        <v>0</v>
      </c>
      <c r="T117" s="50"/>
      <c r="U117" s="50">
        <f t="shared" si="70"/>
        <v>4786167</v>
      </c>
      <c r="V117" s="50"/>
      <c r="W117" s="50">
        <f t="shared" si="71"/>
        <v>0</v>
      </c>
      <c r="X117" s="50"/>
      <c r="Y117" s="50">
        <f t="shared" si="72"/>
        <v>0</v>
      </c>
      <c r="Z117" s="50"/>
      <c r="AA117" s="50">
        <f t="shared" si="73"/>
        <v>0</v>
      </c>
      <c r="AB117" s="50">
        <f t="shared" si="74"/>
        <v>4786167</v>
      </c>
      <c r="AC117" s="31" t="str">
        <f t="shared" si="76"/>
        <v>ok</v>
      </c>
    </row>
    <row r="118" spans="1:37" x14ac:dyDescent="0.2">
      <c r="A118" s="14" t="s">
        <v>434</v>
      </c>
      <c r="C118" s="14" t="s">
        <v>445</v>
      </c>
      <c r="D118" s="14" t="s">
        <v>46</v>
      </c>
      <c r="F118" s="50">
        <f>-217217</f>
        <v>-217217</v>
      </c>
      <c r="H118" s="50">
        <f t="shared" si="62"/>
        <v>0</v>
      </c>
      <c r="I118" s="50">
        <f t="shared" si="63"/>
        <v>0</v>
      </c>
      <c r="J118" s="50"/>
      <c r="K118" s="50">
        <f t="shared" si="64"/>
        <v>0</v>
      </c>
      <c r="L118" s="50"/>
      <c r="M118" s="50">
        <f t="shared" si="65"/>
        <v>0</v>
      </c>
      <c r="N118" s="50"/>
      <c r="O118" s="50">
        <f t="shared" si="66"/>
        <v>0</v>
      </c>
      <c r="P118" s="50">
        <f t="shared" si="67"/>
        <v>0</v>
      </c>
      <c r="Q118" s="50"/>
      <c r="R118" s="50">
        <f t="shared" si="68"/>
        <v>0</v>
      </c>
      <c r="S118" s="50">
        <f t="shared" si="69"/>
        <v>0</v>
      </c>
      <c r="T118" s="50"/>
      <c r="U118" s="50">
        <f t="shared" si="70"/>
        <v>0</v>
      </c>
      <c r="V118" s="50"/>
      <c r="W118" s="50">
        <f t="shared" si="71"/>
        <v>-217217</v>
      </c>
      <c r="X118" s="50"/>
      <c r="Y118" s="50">
        <f t="shared" si="72"/>
        <v>0</v>
      </c>
      <c r="Z118" s="50"/>
      <c r="AA118" s="50">
        <f t="shared" si="73"/>
        <v>0</v>
      </c>
      <c r="AB118" s="50">
        <f t="shared" si="74"/>
        <v>-217217</v>
      </c>
      <c r="AC118" s="31" t="str">
        <f t="shared" si="76"/>
        <v>ok</v>
      </c>
    </row>
    <row r="119" spans="1:37" x14ac:dyDescent="0.2">
      <c r="A119" s="14" t="s">
        <v>435</v>
      </c>
      <c r="C119" s="14" t="s">
        <v>446</v>
      </c>
      <c r="D119" s="14" t="s">
        <v>48</v>
      </c>
      <c r="F119" s="50">
        <v>136196</v>
      </c>
      <c r="H119" s="50">
        <f t="shared" si="62"/>
        <v>0</v>
      </c>
      <c r="I119" s="50">
        <f t="shared" si="63"/>
        <v>0</v>
      </c>
      <c r="J119" s="50"/>
      <c r="K119" s="50">
        <f t="shared" si="64"/>
        <v>0</v>
      </c>
      <c r="L119" s="50"/>
      <c r="M119" s="50">
        <f t="shared" si="65"/>
        <v>0</v>
      </c>
      <c r="N119" s="50"/>
      <c r="O119" s="50">
        <f t="shared" si="66"/>
        <v>0</v>
      </c>
      <c r="P119" s="50">
        <f t="shared" si="67"/>
        <v>0</v>
      </c>
      <c r="Q119" s="50"/>
      <c r="R119" s="50">
        <f t="shared" si="68"/>
        <v>0</v>
      </c>
      <c r="S119" s="50">
        <f t="shared" si="69"/>
        <v>0</v>
      </c>
      <c r="T119" s="50"/>
      <c r="U119" s="50">
        <f t="shared" si="70"/>
        <v>0</v>
      </c>
      <c r="V119" s="50"/>
      <c r="W119" s="50">
        <f t="shared" si="71"/>
        <v>136196</v>
      </c>
      <c r="X119" s="50"/>
      <c r="Y119" s="50">
        <f t="shared" si="72"/>
        <v>0</v>
      </c>
      <c r="Z119" s="50"/>
      <c r="AA119" s="50">
        <f t="shared" si="73"/>
        <v>0</v>
      </c>
      <c r="AB119" s="50">
        <f t="shared" si="74"/>
        <v>136196</v>
      </c>
      <c r="AC119" s="31" t="str">
        <f t="shared" si="76"/>
        <v>ok</v>
      </c>
    </row>
    <row r="120" spans="1:37" x14ac:dyDescent="0.2">
      <c r="A120" s="14" t="s">
        <v>836</v>
      </c>
      <c r="D120" s="14" t="s">
        <v>70</v>
      </c>
      <c r="F120" s="50">
        <v>0</v>
      </c>
      <c r="H120" s="50">
        <f t="shared" si="62"/>
        <v>0</v>
      </c>
      <c r="I120" s="50">
        <f t="shared" si="63"/>
        <v>0</v>
      </c>
      <c r="J120" s="50"/>
      <c r="K120" s="50">
        <f t="shared" si="64"/>
        <v>0</v>
      </c>
      <c r="L120" s="50"/>
      <c r="M120" s="50">
        <f t="shared" si="65"/>
        <v>0</v>
      </c>
      <c r="N120" s="50"/>
      <c r="O120" s="50">
        <f t="shared" si="66"/>
        <v>0</v>
      </c>
      <c r="P120" s="50">
        <f t="shared" si="67"/>
        <v>0</v>
      </c>
      <c r="Q120" s="50"/>
      <c r="R120" s="50">
        <f t="shared" si="68"/>
        <v>0</v>
      </c>
      <c r="S120" s="50">
        <f t="shared" si="69"/>
        <v>0</v>
      </c>
      <c r="T120" s="50"/>
      <c r="U120" s="50">
        <f t="shared" si="70"/>
        <v>0</v>
      </c>
      <c r="V120" s="50"/>
      <c r="W120" s="50">
        <f t="shared" si="71"/>
        <v>0</v>
      </c>
      <c r="X120" s="50"/>
      <c r="Y120" s="50">
        <f t="shared" si="72"/>
        <v>0</v>
      </c>
      <c r="Z120" s="50"/>
      <c r="AA120" s="50">
        <f t="shared" si="73"/>
        <v>0</v>
      </c>
      <c r="AB120" s="50">
        <f t="shared" si="74"/>
        <v>0</v>
      </c>
      <c r="AC120" s="31" t="str">
        <f>IF(ABS(AB120-F120)&lt;1,"ok","err")</f>
        <v>ok</v>
      </c>
    </row>
    <row r="121" spans="1:37" x14ac:dyDescent="0.2">
      <c r="A121" s="187" t="s">
        <v>837</v>
      </c>
      <c r="D121" s="14" t="s">
        <v>70</v>
      </c>
      <c r="F121" s="50">
        <v>0</v>
      </c>
      <c r="H121" s="50">
        <f t="shared" si="62"/>
        <v>0</v>
      </c>
      <c r="I121" s="50">
        <f t="shared" si="63"/>
        <v>0</v>
      </c>
      <c r="J121" s="50"/>
      <c r="K121" s="50">
        <f t="shared" si="64"/>
        <v>0</v>
      </c>
      <c r="L121" s="50"/>
      <c r="M121" s="50">
        <f t="shared" si="65"/>
        <v>0</v>
      </c>
      <c r="N121" s="50"/>
      <c r="O121" s="50">
        <f t="shared" si="66"/>
        <v>0</v>
      </c>
      <c r="P121" s="50">
        <f t="shared" si="67"/>
        <v>0</v>
      </c>
      <c r="Q121" s="50"/>
      <c r="R121" s="50">
        <f t="shared" si="68"/>
        <v>0</v>
      </c>
      <c r="S121" s="50">
        <f t="shared" si="69"/>
        <v>0</v>
      </c>
      <c r="T121" s="50"/>
      <c r="U121" s="50">
        <f t="shared" si="70"/>
        <v>0</v>
      </c>
      <c r="V121" s="50"/>
      <c r="W121" s="50">
        <f t="shared" si="71"/>
        <v>0</v>
      </c>
      <c r="X121" s="50"/>
      <c r="Y121" s="50">
        <f t="shared" si="72"/>
        <v>0</v>
      </c>
      <c r="Z121" s="50"/>
      <c r="AA121" s="50">
        <f t="shared" si="73"/>
        <v>0</v>
      </c>
      <c r="AB121" s="50">
        <f t="shared" si="74"/>
        <v>0</v>
      </c>
      <c r="AC121" s="31" t="str">
        <f>IF(ABS(AB121-F121)&lt;1,"ok","err")</f>
        <v>ok</v>
      </c>
    </row>
    <row r="122" spans="1:37" x14ac:dyDescent="0.2">
      <c r="A122" s="14" t="s">
        <v>838</v>
      </c>
      <c r="D122" s="14" t="s">
        <v>70</v>
      </c>
      <c r="F122" s="50">
        <f>3896185</f>
        <v>3896185</v>
      </c>
      <c r="H122" s="50">
        <f t="shared" si="62"/>
        <v>0</v>
      </c>
      <c r="I122" s="50">
        <f t="shared" si="63"/>
        <v>0</v>
      </c>
      <c r="J122" s="50"/>
      <c r="K122" s="50">
        <f t="shared" si="64"/>
        <v>0</v>
      </c>
      <c r="L122" s="50"/>
      <c r="M122" s="50">
        <f t="shared" si="65"/>
        <v>29194.593210483625</v>
      </c>
      <c r="N122" s="50"/>
      <c r="O122" s="50">
        <f t="shared" si="66"/>
        <v>1752472.9527921672</v>
      </c>
      <c r="P122" s="50">
        <f t="shared" si="67"/>
        <v>1328925.3823289964</v>
      </c>
      <c r="Q122" s="50"/>
      <c r="R122" s="50">
        <f t="shared" si="68"/>
        <v>0</v>
      </c>
      <c r="S122" s="50">
        <f t="shared" si="69"/>
        <v>417560.62698095822</v>
      </c>
      <c r="T122" s="50"/>
      <c r="U122" s="50">
        <f t="shared" si="70"/>
        <v>213076.1771797695</v>
      </c>
      <c r="V122" s="50"/>
      <c r="W122" s="50">
        <f t="shared" si="71"/>
        <v>154955.26750762473</v>
      </c>
      <c r="X122" s="50"/>
      <c r="Y122" s="50">
        <f t="shared" si="72"/>
        <v>0</v>
      </c>
      <c r="Z122" s="50"/>
      <c r="AA122" s="50">
        <f t="shared" si="73"/>
        <v>0</v>
      </c>
      <c r="AB122" s="50">
        <f t="shared" si="74"/>
        <v>3896184.9999999995</v>
      </c>
      <c r="AC122" s="31" t="str">
        <f>IF(ABS(AB122-F122)&lt;1,"ok","err")</f>
        <v>ok</v>
      </c>
    </row>
    <row r="123" spans="1:37" x14ac:dyDescent="0.2">
      <c r="Q123" s="14"/>
      <c r="AB123" s="50"/>
      <c r="AC123" s="31"/>
      <c r="AK123" s="95"/>
    </row>
    <row r="124" spans="1:37" x14ac:dyDescent="0.2">
      <c r="A124" s="14" t="s">
        <v>835</v>
      </c>
      <c r="C124" s="14" t="s">
        <v>82</v>
      </c>
      <c r="F124" s="95">
        <f>SUM(F104:F122)</f>
        <v>117918682</v>
      </c>
      <c r="G124" s="95"/>
      <c r="H124" s="95">
        <f>SUM(H104:H122)</f>
        <v>0</v>
      </c>
      <c r="I124" s="95">
        <f>SUM(I104:I122)</f>
        <v>0</v>
      </c>
      <c r="J124" s="95"/>
      <c r="K124" s="95">
        <f>SUM(K104:K122)</f>
        <v>0</v>
      </c>
      <c r="L124" s="95"/>
      <c r="M124" s="95">
        <f>SUM(M104:M122)</f>
        <v>109567.37347164904</v>
      </c>
      <c r="N124" s="95"/>
      <c r="O124" s="95">
        <f>SUM(O104:O122)</f>
        <v>56572095.230947576</v>
      </c>
      <c r="P124" s="95">
        <f>SUM(P104:P122)</f>
        <v>41660819.597427018</v>
      </c>
      <c r="Q124" s="95"/>
      <c r="R124" s="95">
        <f>SUM(R104:R122)</f>
        <v>0</v>
      </c>
      <c r="S124" s="95">
        <f>SUM(S104:S122)</f>
        <v>13489830.964917149</v>
      </c>
      <c r="T124" s="95"/>
      <c r="U124" s="95">
        <f>SUM(U104:U122)</f>
        <v>5585842.3684714325</v>
      </c>
      <c r="V124" s="95"/>
      <c r="W124" s="95">
        <f>SUM(W104:W122)</f>
        <v>500526.46476517012</v>
      </c>
      <c r="X124" s="95"/>
      <c r="Y124" s="95">
        <f>SUM(Y104:Y122)</f>
        <v>0</v>
      </c>
      <c r="Z124" s="95"/>
      <c r="AA124" s="95">
        <f>SUM(AA104:AA122)</f>
        <v>0</v>
      </c>
      <c r="AB124" s="50">
        <f>SUM(H124:AA124)</f>
        <v>117918682</v>
      </c>
      <c r="AC124" s="31" t="str">
        <f>IF(ABS(AB124-F124)&lt;1,"ok","err")</f>
        <v>ok</v>
      </c>
      <c r="AK124" s="95"/>
    </row>
    <row r="125" spans="1:37" x14ac:dyDescent="0.2">
      <c r="D125" s="95"/>
      <c r="F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50"/>
      <c r="AC125" s="31"/>
      <c r="AK125" s="95"/>
    </row>
    <row r="126" spans="1:37" x14ac:dyDescent="0.2">
      <c r="A126" s="29" t="s">
        <v>83</v>
      </c>
      <c r="C126" s="14" t="s">
        <v>84</v>
      </c>
      <c r="F126" s="95">
        <f>F101-F124</f>
        <v>188845672</v>
      </c>
      <c r="G126" s="95"/>
      <c r="H126" s="95">
        <f>H101-H124</f>
        <v>0</v>
      </c>
      <c r="I126" s="95">
        <f>I101-I124</f>
        <v>0</v>
      </c>
      <c r="J126" s="95"/>
      <c r="K126" s="95">
        <f>K101-K124</f>
        <v>0</v>
      </c>
      <c r="L126" s="95"/>
      <c r="M126" s="95">
        <f>M101-M124</f>
        <v>2189055.6453292537</v>
      </c>
      <c r="N126" s="95"/>
      <c r="O126" s="95">
        <f>O101-O124</f>
        <v>81408065.686914802</v>
      </c>
      <c r="P126" s="95">
        <f>P101-P124</f>
        <v>62971515.988372318</v>
      </c>
      <c r="Q126" s="95"/>
      <c r="R126" s="95">
        <f>R101-R124</f>
        <v>0</v>
      </c>
      <c r="S126" s="95">
        <f>S101-S124</f>
        <v>19386615.094920516</v>
      </c>
      <c r="T126" s="95"/>
      <c r="U126" s="95">
        <f>U101-U124</f>
        <v>11190613.53527583</v>
      </c>
      <c r="V126" s="95"/>
      <c r="W126" s="95">
        <f>W101-W124</f>
        <v>11699806.049187245</v>
      </c>
      <c r="X126" s="95"/>
      <c r="Y126" s="95">
        <f>Y101-Y124</f>
        <v>0</v>
      </c>
      <c r="Z126" s="95"/>
      <c r="AA126" s="95">
        <f>AA101-AA124</f>
        <v>0</v>
      </c>
      <c r="AB126" s="50">
        <f>SUM(H126:AA126)</f>
        <v>188845671.99999994</v>
      </c>
      <c r="AC126" s="31" t="str">
        <f>IF(ABS(AB126-F126)&lt;1,"ok","err")</f>
        <v>ok</v>
      </c>
      <c r="AK126" s="95"/>
    </row>
    <row r="127" spans="1:37" x14ac:dyDescent="0.2">
      <c r="Q127" s="14"/>
      <c r="AC127" s="31"/>
    </row>
    <row r="128" spans="1:37" x14ac:dyDescent="0.2">
      <c r="A128" s="29" t="s">
        <v>85</v>
      </c>
      <c r="Q128" s="14"/>
      <c r="AC128" s="31"/>
    </row>
    <row r="129" spans="1:29" x14ac:dyDescent="0.2">
      <c r="A129" s="14" t="s">
        <v>413</v>
      </c>
      <c r="C129" s="14" t="s">
        <v>87</v>
      </c>
      <c r="D129" s="14" t="s">
        <v>88</v>
      </c>
      <c r="F129" s="66">
        <f>0.125*(F285-F180)</f>
        <v>3181333.625</v>
      </c>
      <c r="G129" s="66"/>
      <c r="H129" s="66">
        <f>0.125*(H285-H180)</f>
        <v>0</v>
      </c>
      <c r="I129" s="66">
        <f>0.125*(I285-I180)</f>
        <v>0</v>
      </c>
      <c r="J129" s="66"/>
      <c r="K129" s="66">
        <f>0.125*(K285-K180)</f>
        <v>0</v>
      </c>
      <c r="L129" s="66"/>
      <c r="M129" s="66">
        <f>0.125*(M285-M180)</f>
        <v>23845.188629105975</v>
      </c>
      <c r="N129" s="66"/>
      <c r="O129" s="66">
        <f>0.125*(O285-O180)</f>
        <v>1303953.7441685621</v>
      </c>
      <c r="P129" s="66">
        <f>0.125*(P285-P180)</f>
        <v>881753.82401571632</v>
      </c>
      <c r="Q129" s="66"/>
      <c r="R129" s="66">
        <f>0.125*(R285-R180)</f>
        <v>0</v>
      </c>
      <c r="S129" s="66">
        <f>0.125*(S285-S180)</f>
        <v>75299.394022515829</v>
      </c>
      <c r="T129" s="66"/>
      <c r="U129" s="66">
        <f>0.125*(U285-U180)</f>
        <v>291141.2360244001</v>
      </c>
      <c r="V129" s="66"/>
      <c r="W129" s="66">
        <f>0.125*(W285-W180)</f>
        <v>15724.866644101736</v>
      </c>
      <c r="X129" s="66"/>
      <c r="Y129" s="66">
        <f>0.125*(Y285-Y180)</f>
        <v>580992.97001265478</v>
      </c>
      <c r="Z129" s="66"/>
      <c r="AA129" s="66">
        <f>0.125*(AA285-AA180)</f>
        <v>8622.4014829429143</v>
      </c>
      <c r="AB129" s="50">
        <f>SUM(H129:AA129)</f>
        <v>3181333.6250000005</v>
      </c>
      <c r="AC129" s="31" t="str">
        <f>IF(ABS(AB129-F129)&lt;1,"ok","err")</f>
        <v>ok</v>
      </c>
    </row>
    <row r="130" spans="1:29" x14ac:dyDescent="0.2">
      <c r="A130" s="14" t="s">
        <v>964</v>
      </c>
      <c r="C130" s="14" t="s">
        <v>396</v>
      </c>
      <c r="D130" s="14" t="s">
        <v>72</v>
      </c>
      <c r="F130" s="50">
        <v>80302.649999999994</v>
      </c>
      <c r="G130" s="50"/>
      <c r="H130" s="50">
        <f>IF(VLOOKUP($D130,$C$5:$AA$494,6,)=0,0,((VLOOKUP($D130,$C$5:$AA$494,6,)/VLOOKUP($D130,$C$5:$AA$494,4,))*$F130))</f>
        <v>0</v>
      </c>
      <c r="I130" s="50">
        <f>IF(VLOOKUP($D130,$C$5:$AA$494,7,)=0,0,((VLOOKUP($D130,$C$5:$AA$494,7,)/VLOOKUP($D130,$C$5:$AA$494,4,))*$F130))</f>
        <v>0</v>
      </c>
      <c r="J130" s="50"/>
      <c r="K130" s="50">
        <f>IF(VLOOKUP($D130,$C$5:$AA$494,9,)=0,0,((VLOOKUP($D130,$C$5:$AA$494,9,)/VLOOKUP($D130,$C$5:$AA$494,4,))*$F130))</f>
        <v>0</v>
      </c>
      <c r="L130" s="50"/>
      <c r="M130" s="50">
        <f>IF(VLOOKUP($D130,$C$5:$AA$494,11,)=0,0,((VLOOKUP($D130,$C$5:$AA$494,11,)/VLOOKUP($D130,$C$5:$AA$494,4,))*$F130))</f>
        <v>601.71762903297531</v>
      </c>
      <c r="N130" s="50"/>
      <c r="O130" s="50">
        <f>IF(VLOOKUP($D130,$C$5:$AA$494,13,)=0,0,((VLOOKUP($D130,$C$5:$AA$494,13,)/VLOOKUP($D130,$C$5:$AA$494,4,))*$F130))</f>
        <v>36119.491800963231</v>
      </c>
      <c r="P130" s="50">
        <f>IF(VLOOKUP($D130,$C$5:$AA$494,14,)=0,0,((VLOOKUP($D130,$C$5:$AA$494,14,)/VLOOKUP($D130,$C$5:$AA$494,4,))*$F130))</f>
        <v>27389.928828657154</v>
      </c>
      <c r="Q130" s="50"/>
      <c r="R130" s="50">
        <f>IF(VLOOKUP($D130,$C$5:$AA$494,16,)=0,0,((VLOOKUP($D130,$C$5:$AA$494,16,)/VLOOKUP($D130,$C$5:$AA$494,4,))*$F130))</f>
        <v>0</v>
      </c>
      <c r="S130" s="50">
        <f>IF(VLOOKUP($D130,$C$5:$AA$494,17,)=0,0,((VLOOKUP($D130,$C$5:$AA$494,17,)/VLOOKUP($D130,$C$5:$AA$494,4,))*$F130))</f>
        <v>8606.1685680306346</v>
      </c>
      <c r="T130" s="50"/>
      <c r="U130" s="50">
        <f>IF(VLOOKUP($D130,$C$5:$AA$494,19,)=0,0,((VLOOKUP($D130,$C$5:$AA$494,19,)/VLOOKUP($D130,$C$5:$AA$494,4,))*$F130))</f>
        <v>4391.6245453963338</v>
      </c>
      <c r="V130" s="50"/>
      <c r="W130" s="50">
        <f>IF(VLOOKUP($D130,$C$5:$AA$494,21,)=0,0,((VLOOKUP($D130,$C$5:$AA$494,21,)/VLOOKUP($D130,$C$5:$AA$494,4,))*$F130))</f>
        <v>3193.7186279196599</v>
      </c>
      <c r="X130" s="50"/>
      <c r="Y130" s="50">
        <f>IF(VLOOKUP($D130,$C$5:$AA$494,23,)=0,0,((VLOOKUP($D130,$C$5:$AA$494,23,)/VLOOKUP($D130,$C$5:$AA$494,4,))*$F130))</f>
        <v>0</v>
      </c>
      <c r="Z130" s="50"/>
      <c r="AA130" s="50">
        <f>IF(VLOOKUP($D130,$C$5:$AA$494,25,)=0,0,((VLOOKUP($D130,$C$5:$AA$494,25,)/VLOOKUP($D130,$C$5:$AA$494,4,))*$F130))</f>
        <v>0</v>
      </c>
      <c r="AB130" s="50">
        <f>SUM(H130:AA130)</f>
        <v>80302.649999999994</v>
      </c>
      <c r="AC130" s="31" t="str">
        <f>IF(ABS(AB130-F130)&lt;1,"ok","err")</f>
        <v>ok</v>
      </c>
    </row>
    <row r="131" spans="1:29" x14ac:dyDescent="0.2">
      <c r="A131" s="14" t="s">
        <v>965</v>
      </c>
      <c r="C131" s="14" t="s">
        <v>89</v>
      </c>
      <c r="D131" s="14" t="s">
        <v>72</v>
      </c>
      <c r="F131" s="50">
        <v>54279.83</v>
      </c>
      <c r="H131" s="50">
        <f>IF(VLOOKUP($D131,$C$5:$AA$494,6,)=0,0,((VLOOKUP($D131,$C$5:$AA$494,6,)/VLOOKUP($D131,$C$5:$AA$494,4,))*$F131))</f>
        <v>0</v>
      </c>
      <c r="I131" s="50">
        <f>IF(VLOOKUP($D131,$C$5:$AA$494,7,)=0,0,((VLOOKUP($D131,$C$5:$AA$494,7,)/VLOOKUP($D131,$C$5:$AA$494,4,))*$F131))</f>
        <v>0</v>
      </c>
      <c r="J131" s="50"/>
      <c r="K131" s="50">
        <f>IF(VLOOKUP($D131,$C$5:$AA$494,9,)=0,0,((VLOOKUP($D131,$C$5:$AA$494,9,)/VLOOKUP($D131,$C$5:$AA$494,4,))*$F131))</f>
        <v>0</v>
      </c>
      <c r="L131" s="50"/>
      <c r="M131" s="50">
        <f>IF(VLOOKUP($D131,$C$5:$AA$494,11,)=0,0,((VLOOKUP($D131,$C$5:$AA$494,11,)/VLOOKUP($D131,$C$5:$AA$494,4,))*$F131))</f>
        <v>406.72543947071443</v>
      </c>
      <c r="N131" s="50"/>
      <c r="O131" s="50">
        <f>IF(VLOOKUP($D131,$C$5:$AA$494,13,)=0,0,((VLOOKUP($D131,$C$5:$AA$494,13,)/VLOOKUP($D131,$C$5:$AA$494,4,))*$F131))</f>
        <v>24414.634817688806</v>
      </c>
      <c r="P131" s="50">
        <f>IF(VLOOKUP($D131,$C$5:$AA$494,14,)=0,0,((VLOOKUP($D131,$C$5:$AA$494,14,)/VLOOKUP($D131,$C$5:$AA$494,4,))*$F131))</f>
        <v>18513.967852014965</v>
      </c>
      <c r="Q131" s="50"/>
      <c r="R131" s="50">
        <f>IF(VLOOKUP($D131,$C$5:$AA$494,16,)=0,0,((VLOOKUP($D131,$C$5:$AA$494,16,)/VLOOKUP($D131,$C$5:$AA$494,4,))*$F131))</f>
        <v>0</v>
      </c>
      <c r="S131" s="50">
        <f>IF(VLOOKUP($D131,$C$5:$AA$494,17,)=0,0,((VLOOKUP($D131,$C$5:$AA$494,17,)/VLOOKUP($D131,$C$5:$AA$494,4,))*$F131))</f>
        <v>5817.2596648310655</v>
      </c>
      <c r="T131" s="50"/>
      <c r="U131" s="50">
        <f>IF(VLOOKUP($D131,$C$5:$AA$494,19,)=0,0,((VLOOKUP($D131,$C$5:$AA$494,19,)/VLOOKUP($D131,$C$5:$AA$494,4,))*$F131))</f>
        <v>2968.4777992748718</v>
      </c>
      <c r="V131" s="50"/>
      <c r="W131" s="50">
        <f>IF(VLOOKUP($D131,$C$5:$AA$494,21,)=0,0,((VLOOKUP($D131,$C$5:$AA$494,21,)/VLOOKUP($D131,$C$5:$AA$494,4,))*$F131))</f>
        <v>2158.7644267195715</v>
      </c>
      <c r="X131" s="50"/>
      <c r="Y131" s="50">
        <f>IF(VLOOKUP($D131,$C$5:$AA$494,23,)=0,0,((VLOOKUP($D131,$C$5:$AA$494,23,)/VLOOKUP($D131,$C$5:$AA$494,4,))*$F131))</f>
        <v>0</v>
      </c>
      <c r="Z131" s="50"/>
      <c r="AA131" s="50">
        <f>IF(VLOOKUP($D131,$C$5:$AA$494,25,)=0,0,((VLOOKUP($D131,$C$5:$AA$494,25,)/VLOOKUP($D131,$C$5:$AA$494,4,))*$F131))</f>
        <v>0</v>
      </c>
      <c r="AB131" s="50">
        <f>SUM(H131:AA131)</f>
        <v>54279.829999999994</v>
      </c>
      <c r="AC131" s="31" t="str">
        <f>IF(ABS(AB131-F131)&lt;1,"ok","err")</f>
        <v>ok</v>
      </c>
    </row>
    <row r="132" spans="1:29" x14ac:dyDescent="0.2">
      <c r="Q132" s="14"/>
      <c r="AB132" s="50"/>
      <c r="AC132" s="31"/>
    </row>
    <row r="133" spans="1:29" x14ac:dyDescent="0.2">
      <c r="A133" s="98" t="s">
        <v>90</v>
      </c>
      <c r="C133" s="14" t="s">
        <v>91</v>
      </c>
      <c r="F133" s="95">
        <f>SUM(F129:F132)</f>
        <v>3315916.105</v>
      </c>
      <c r="G133" s="95"/>
      <c r="H133" s="95">
        <f t="shared" ref="H133:W133" si="77">SUM(H129:H132)</f>
        <v>0</v>
      </c>
      <c r="I133" s="95">
        <f t="shared" si="77"/>
        <v>0</v>
      </c>
      <c r="J133" s="95"/>
      <c r="K133" s="95">
        <f t="shared" si="77"/>
        <v>0</v>
      </c>
      <c r="L133" s="95"/>
      <c r="M133" s="95">
        <f t="shared" si="77"/>
        <v>24853.631697609668</v>
      </c>
      <c r="N133" s="95"/>
      <c r="O133" s="95">
        <f t="shared" si="77"/>
        <v>1364487.870787214</v>
      </c>
      <c r="P133" s="95">
        <f t="shared" si="77"/>
        <v>927657.72069638839</v>
      </c>
      <c r="Q133" s="95"/>
      <c r="R133" s="95">
        <f t="shared" si="77"/>
        <v>0</v>
      </c>
      <c r="S133" s="95">
        <f t="shared" si="77"/>
        <v>89722.822255377541</v>
      </c>
      <c r="T133" s="95"/>
      <c r="U133" s="95">
        <f t="shared" si="77"/>
        <v>298501.33836907131</v>
      </c>
      <c r="V133" s="95"/>
      <c r="W133" s="95">
        <f t="shared" si="77"/>
        <v>21077.349698740967</v>
      </c>
      <c r="X133" s="95"/>
      <c r="Y133" s="95">
        <f>SUM(Y129:Y132)</f>
        <v>580992.97001265478</v>
      </c>
      <c r="Z133" s="95"/>
      <c r="AA133" s="95">
        <f>SUM(AA129:AA132)</f>
        <v>8622.4014829429143</v>
      </c>
      <c r="AB133" s="50">
        <f>SUM(H133:AA133)</f>
        <v>3315916.105</v>
      </c>
      <c r="AC133" s="31" t="str">
        <f>IF(ABS(AB133-F133)&lt;1,"ok","err")</f>
        <v>ok</v>
      </c>
    </row>
    <row r="134" spans="1:29" x14ac:dyDescent="0.2">
      <c r="Q134" s="14"/>
      <c r="AC134" s="31"/>
    </row>
    <row r="135" spans="1:29" hidden="1" x14ac:dyDescent="0.2">
      <c r="A135" s="29" t="s">
        <v>933</v>
      </c>
      <c r="Q135" s="14"/>
      <c r="AC135" s="31"/>
    </row>
    <row r="136" spans="1:29" hidden="1" x14ac:dyDescent="0.2">
      <c r="A136" s="34">
        <v>1</v>
      </c>
      <c r="C136" s="14" t="s">
        <v>934</v>
      </c>
      <c r="D136" s="14" t="s">
        <v>16</v>
      </c>
      <c r="F136" s="66">
        <v>0</v>
      </c>
      <c r="H136" s="50">
        <f>IF(VLOOKUP($D136,$C$5:$AA$494,6,)=0,0,((VLOOKUP($D136,$C$5:$AA$494,6,)/VLOOKUP($D136,$C$5:$AA$494,4,))*$F136))</f>
        <v>0</v>
      </c>
      <c r="I136" s="50">
        <f>IF(VLOOKUP($D136,$C$5:$AA$494,7,)=0,0,((VLOOKUP($D136,$C$5:$AA$494,7,)/VLOOKUP($D136,$C$5:$AA$494,4,))*$F136))</f>
        <v>0</v>
      </c>
      <c r="J136" s="50"/>
      <c r="K136" s="50">
        <f>IF(VLOOKUP($D136,$C$5:$AA$494,9,)=0,0,((VLOOKUP($D136,$C$5:$AA$494,9,)/VLOOKUP($D136,$C$5:$AA$494,4,))*$F136))</f>
        <v>0</v>
      </c>
      <c r="L136" s="50"/>
      <c r="M136" s="50">
        <f>IF(VLOOKUP($D136,$C$5:$AA$494,11,)=0,0,((VLOOKUP($D136,$C$5:$AA$494,11,)/VLOOKUP($D136,$C$5:$AA$494,4,))*$F136))</f>
        <v>0</v>
      </c>
      <c r="N136" s="50"/>
      <c r="O136" s="50">
        <f>IF(VLOOKUP($D136,$C$5:$AA$494,13,)=0,0,((VLOOKUP($D136,$C$5:$AA$494,13,)/VLOOKUP($D136,$C$5:$AA$494,4,))*$F136))</f>
        <v>0</v>
      </c>
      <c r="P136" s="50">
        <f>IF(VLOOKUP($D136,$C$5:$AA$494,14,)=0,0,((VLOOKUP($D136,$C$5:$AA$494,14,)/VLOOKUP($D136,$C$5:$AA$494,4,))*$F136))</f>
        <v>0</v>
      </c>
      <c r="Q136" s="50"/>
      <c r="R136" s="50">
        <f>IF(VLOOKUP($D136,$C$5:$AA$494,16,)=0,0,((VLOOKUP($D136,$C$5:$AA$494,16,)/VLOOKUP($D136,$C$5:$AA$494,4,))*$F136))</f>
        <v>0</v>
      </c>
      <c r="S136" s="50">
        <f>IF(VLOOKUP($D136,$C$5:$AA$494,17,)=0,0,((VLOOKUP($D136,$C$5:$AA$494,17,)/VLOOKUP($D136,$C$5:$AA$494,4,))*$F136))</f>
        <v>0</v>
      </c>
      <c r="T136" s="50"/>
      <c r="U136" s="50">
        <f>IF(VLOOKUP($D136,$C$5:$AA$494,19,)=0,0,((VLOOKUP($D136,$C$5:$AA$494,19,)/VLOOKUP($D136,$C$5:$AA$494,4,))*$F136))</f>
        <v>0</v>
      </c>
      <c r="V136" s="50"/>
      <c r="W136" s="50">
        <f>IF(VLOOKUP($D136,$C$5:$AA$494,21,)=0,0,((VLOOKUP($D136,$C$5:$AA$494,21,)/VLOOKUP($D136,$C$5:$AA$494,4,))*$F136))</f>
        <v>0</v>
      </c>
      <c r="X136" s="50"/>
      <c r="Y136" s="50">
        <f>IF(VLOOKUP($D136,$C$5:$AA$494,23,)=0,0,((VLOOKUP($D136,$C$5:$AA$494,23,)/VLOOKUP($D136,$C$5:$AA$494,4,))*$F136))</f>
        <v>0</v>
      </c>
      <c r="Z136" s="50"/>
      <c r="AA136" s="50">
        <f>IF(VLOOKUP($D136,$C$5:$AA$494,25,)=0,0,((VLOOKUP($D136,$C$5:$AA$494,25,)/VLOOKUP($D136,$C$5:$AA$494,4,))*$F136))</f>
        <v>0</v>
      </c>
      <c r="AB136" s="50">
        <f>SUM(H136:AA136)</f>
        <v>0</v>
      </c>
      <c r="AC136" s="31" t="str">
        <f>IF(ABS(AB136-F136)&lt;1,"ok","err")</f>
        <v>ok</v>
      </c>
    </row>
    <row r="137" spans="1:29" hidden="1" x14ac:dyDescent="0.2">
      <c r="A137" s="34">
        <v>2</v>
      </c>
      <c r="C137" s="14" t="s">
        <v>935</v>
      </c>
      <c r="D137" s="14" t="s">
        <v>16</v>
      </c>
      <c r="F137" s="66">
        <v>0</v>
      </c>
      <c r="H137" s="50">
        <f>IF(VLOOKUP($D137,$C$5:$AA$494,6,)=0,0,((VLOOKUP($D137,$C$5:$AA$494,6,)/VLOOKUP($D137,$C$5:$AA$494,4,))*$F137))</f>
        <v>0</v>
      </c>
      <c r="I137" s="50">
        <f>IF(VLOOKUP($D137,$C$5:$AA$494,7,)=0,0,((VLOOKUP($D137,$C$5:$AA$494,7,)/VLOOKUP($D137,$C$5:$AA$494,4,))*$F137))</f>
        <v>0</v>
      </c>
      <c r="J137" s="50"/>
      <c r="K137" s="50">
        <f>IF(VLOOKUP($D137,$C$5:$AA$494,9,)=0,0,((VLOOKUP($D137,$C$5:$AA$494,9,)/VLOOKUP($D137,$C$5:$AA$494,4,))*$F137))</f>
        <v>0</v>
      </c>
      <c r="L137" s="50"/>
      <c r="M137" s="50">
        <f>IF(VLOOKUP($D137,$C$5:$AA$494,11,)=0,0,((VLOOKUP($D137,$C$5:$AA$494,11,)/VLOOKUP($D137,$C$5:$AA$494,4,))*$F137))</f>
        <v>0</v>
      </c>
      <c r="N137" s="50"/>
      <c r="O137" s="50">
        <f>IF(VLOOKUP($D137,$C$5:$AA$494,13,)=0,0,((VLOOKUP($D137,$C$5:$AA$494,13,)/VLOOKUP($D137,$C$5:$AA$494,4,))*$F137))</f>
        <v>0</v>
      </c>
      <c r="P137" s="50">
        <f>IF(VLOOKUP($D137,$C$5:$AA$494,14,)=0,0,((VLOOKUP($D137,$C$5:$AA$494,14,)/VLOOKUP($D137,$C$5:$AA$494,4,))*$F137))</f>
        <v>0</v>
      </c>
      <c r="Q137" s="50"/>
      <c r="R137" s="50">
        <f>IF(VLOOKUP($D137,$C$5:$AA$494,16,)=0,0,((VLOOKUP($D137,$C$5:$AA$494,16,)/VLOOKUP($D137,$C$5:$AA$494,4,))*$F137))</f>
        <v>0</v>
      </c>
      <c r="S137" s="50">
        <f>IF(VLOOKUP($D137,$C$5:$AA$494,17,)=0,0,((VLOOKUP($D137,$C$5:$AA$494,17,)/VLOOKUP($D137,$C$5:$AA$494,4,))*$F137))</f>
        <v>0</v>
      </c>
      <c r="T137" s="50"/>
      <c r="U137" s="50">
        <f>IF(VLOOKUP($D137,$C$5:$AA$494,19,)=0,0,((VLOOKUP($D137,$C$5:$AA$494,19,)/VLOOKUP($D137,$C$5:$AA$494,4,))*$F137))</f>
        <v>0</v>
      </c>
      <c r="V137" s="50"/>
      <c r="W137" s="50">
        <f>IF(VLOOKUP($D137,$C$5:$AA$494,21,)=0,0,((VLOOKUP($D137,$C$5:$AA$494,21,)/VLOOKUP($D137,$C$5:$AA$494,4,))*$F137))</f>
        <v>0</v>
      </c>
      <c r="X137" s="50"/>
      <c r="Y137" s="50">
        <f>IF(VLOOKUP($D137,$C$5:$AA$494,23,)=0,0,((VLOOKUP($D137,$C$5:$AA$494,23,)/VLOOKUP($D137,$C$5:$AA$494,4,))*$F137))</f>
        <v>0</v>
      </c>
      <c r="Z137" s="50"/>
      <c r="AA137" s="50">
        <f>IF(VLOOKUP($D137,$C$5:$AA$494,25,)=0,0,((VLOOKUP($D137,$C$5:$AA$494,25,)/VLOOKUP($D137,$C$5:$AA$494,4,))*$F137))</f>
        <v>0</v>
      </c>
      <c r="AB137" s="50">
        <f>SUM(H137:AA137)</f>
        <v>0</v>
      </c>
      <c r="AC137" s="31" t="str">
        <f>IF(ABS(AB137-F137)&lt;1,"ok","err")</f>
        <v>ok</v>
      </c>
    </row>
    <row r="138" spans="1:29" hidden="1" x14ac:dyDescent="0.2">
      <c r="A138" s="34">
        <v>3</v>
      </c>
      <c r="C138" s="14" t="s">
        <v>936</v>
      </c>
      <c r="D138" s="14" t="s">
        <v>16</v>
      </c>
      <c r="F138" s="66">
        <v>0</v>
      </c>
      <c r="H138" s="50">
        <f>IF(VLOOKUP($D138,$C$5:$AA$494,6,)=0,0,((VLOOKUP($D138,$C$5:$AA$494,6,)/VLOOKUP($D138,$C$5:$AA$494,4,))*$F138))</f>
        <v>0</v>
      </c>
      <c r="I138" s="50">
        <f>IF(VLOOKUP($D138,$C$5:$AA$494,7,)=0,0,((VLOOKUP($D138,$C$5:$AA$494,7,)/VLOOKUP($D138,$C$5:$AA$494,4,))*$F138))</f>
        <v>0</v>
      </c>
      <c r="J138" s="50"/>
      <c r="K138" s="50">
        <f>IF(VLOOKUP($D138,$C$5:$AA$494,9,)=0,0,((VLOOKUP($D138,$C$5:$AA$494,9,)/VLOOKUP($D138,$C$5:$AA$494,4,))*$F138))</f>
        <v>0</v>
      </c>
      <c r="L138" s="50"/>
      <c r="M138" s="50">
        <f>IF(VLOOKUP($D138,$C$5:$AA$494,11,)=0,0,((VLOOKUP($D138,$C$5:$AA$494,11,)/VLOOKUP($D138,$C$5:$AA$494,4,))*$F138))</f>
        <v>0</v>
      </c>
      <c r="N138" s="50"/>
      <c r="O138" s="50">
        <f>IF(VLOOKUP($D138,$C$5:$AA$494,13,)=0,0,((VLOOKUP($D138,$C$5:$AA$494,13,)/VLOOKUP($D138,$C$5:$AA$494,4,))*$F138))</f>
        <v>0</v>
      </c>
      <c r="P138" s="50">
        <f>IF(VLOOKUP($D138,$C$5:$AA$494,14,)=0,0,((VLOOKUP($D138,$C$5:$AA$494,14,)/VLOOKUP($D138,$C$5:$AA$494,4,))*$F138))</f>
        <v>0</v>
      </c>
      <c r="Q138" s="50"/>
      <c r="R138" s="50">
        <f>IF(VLOOKUP($D138,$C$5:$AA$494,16,)=0,0,((VLOOKUP($D138,$C$5:$AA$494,16,)/VLOOKUP($D138,$C$5:$AA$494,4,))*$F138))</f>
        <v>0</v>
      </c>
      <c r="S138" s="50">
        <f>IF(VLOOKUP($D138,$C$5:$AA$494,17,)=0,0,((VLOOKUP($D138,$C$5:$AA$494,17,)/VLOOKUP($D138,$C$5:$AA$494,4,))*$F138))</f>
        <v>0</v>
      </c>
      <c r="T138" s="50"/>
      <c r="U138" s="50">
        <f>IF(VLOOKUP($D138,$C$5:$AA$494,19,)=0,0,((VLOOKUP($D138,$C$5:$AA$494,19,)/VLOOKUP($D138,$C$5:$AA$494,4,))*$F138))</f>
        <v>0</v>
      </c>
      <c r="V138" s="50"/>
      <c r="W138" s="50">
        <f>IF(VLOOKUP($D138,$C$5:$AA$494,21,)=0,0,((VLOOKUP($D138,$C$5:$AA$494,21,)/VLOOKUP($D138,$C$5:$AA$494,4,))*$F138))</f>
        <v>0</v>
      </c>
      <c r="X138" s="50"/>
      <c r="Y138" s="50">
        <f>IF(VLOOKUP($D138,$C$5:$AA$494,23,)=0,0,((VLOOKUP($D138,$C$5:$AA$494,23,)/VLOOKUP($D138,$C$5:$AA$494,4,))*$F138))</f>
        <v>0</v>
      </c>
      <c r="Z138" s="50"/>
      <c r="AA138" s="50">
        <f>IF(VLOOKUP($D138,$C$5:$AA$494,25,)=0,0,((VLOOKUP($D138,$C$5:$AA$494,25,)/VLOOKUP($D138,$C$5:$AA$494,4,))*$F138))</f>
        <v>0</v>
      </c>
      <c r="AB138" s="50">
        <f>SUM(H138:AA138)</f>
        <v>0</v>
      </c>
      <c r="AC138" s="31" t="str">
        <f>IF(ABS(AB138-F138)&lt;1,"ok","err")</f>
        <v>ok</v>
      </c>
    </row>
    <row r="139" spans="1:29" hidden="1" x14ac:dyDescent="0.2">
      <c r="A139" s="34">
        <v>4</v>
      </c>
      <c r="C139" s="14" t="s">
        <v>937</v>
      </c>
      <c r="D139" s="14" t="s">
        <v>16</v>
      </c>
      <c r="F139" s="66">
        <v>0</v>
      </c>
      <c r="H139" s="50">
        <f>IF(VLOOKUP($D139,$C$5:$AA$494,6,)=0,0,((VLOOKUP($D139,$C$5:$AA$494,6,)/VLOOKUP($D139,$C$5:$AA$494,4,))*$F139))</f>
        <v>0</v>
      </c>
      <c r="I139" s="50">
        <f>IF(VLOOKUP($D139,$C$5:$AA$494,7,)=0,0,((VLOOKUP($D139,$C$5:$AA$494,7,)/VLOOKUP($D139,$C$5:$AA$494,4,))*$F139))</f>
        <v>0</v>
      </c>
      <c r="J139" s="50"/>
      <c r="K139" s="50">
        <f>IF(VLOOKUP($D139,$C$5:$AA$494,9,)=0,0,((VLOOKUP($D139,$C$5:$AA$494,9,)/VLOOKUP($D139,$C$5:$AA$494,4,))*$F139))</f>
        <v>0</v>
      </c>
      <c r="L139" s="50"/>
      <c r="M139" s="50">
        <f>IF(VLOOKUP($D139,$C$5:$AA$494,11,)=0,0,((VLOOKUP($D139,$C$5:$AA$494,11,)/VLOOKUP($D139,$C$5:$AA$494,4,))*$F139))</f>
        <v>0</v>
      </c>
      <c r="N139" s="50"/>
      <c r="O139" s="50">
        <f>IF(VLOOKUP($D139,$C$5:$AA$494,13,)=0,0,((VLOOKUP($D139,$C$5:$AA$494,13,)/VLOOKUP($D139,$C$5:$AA$494,4,))*$F139))</f>
        <v>0</v>
      </c>
      <c r="P139" s="50">
        <f>IF(VLOOKUP($D139,$C$5:$AA$494,14,)=0,0,((VLOOKUP($D139,$C$5:$AA$494,14,)/VLOOKUP($D139,$C$5:$AA$494,4,))*$F139))</f>
        <v>0</v>
      </c>
      <c r="Q139" s="50"/>
      <c r="R139" s="50">
        <f>IF(VLOOKUP($D139,$C$5:$AA$494,16,)=0,0,((VLOOKUP($D139,$C$5:$AA$494,16,)/VLOOKUP($D139,$C$5:$AA$494,4,))*$F139))</f>
        <v>0</v>
      </c>
      <c r="S139" s="50">
        <f>IF(VLOOKUP($D139,$C$5:$AA$494,17,)=0,0,((VLOOKUP($D139,$C$5:$AA$494,17,)/VLOOKUP($D139,$C$5:$AA$494,4,))*$F139))</f>
        <v>0</v>
      </c>
      <c r="T139" s="50"/>
      <c r="U139" s="50">
        <f>IF(VLOOKUP($D139,$C$5:$AA$494,19,)=0,0,((VLOOKUP($D139,$C$5:$AA$494,19,)/VLOOKUP($D139,$C$5:$AA$494,4,))*$F139))</f>
        <v>0</v>
      </c>
      <c r="V139" s="50"/>
      <c r="W139" s="50">
        <f>IF(VLOOKUP($D139,$C$5:$AA$494,21,)=0,0,((VLOOKUP($D139,$C$5:$AA$494,21,)/VLOOKUP($D139,$C$5:$AA$494,4,))*$F139))</f>
        <v>0</v>
      </c>
      <c r="X139" s="50"/>
      <c r="Y139" s="50">
        <f>IF(VLOOKUP($D139,$C$5:$AA$494,23,)=0,0,((VLOOKUP($D139,$C$5:$AA$494,23,)/VLOOKUP($D139,$C$5:$AA$494,4,))*$F139))</f>
        <v>0</v>
      </c>
      <c r="Z139" s="50"/>
      <c r="AA139" s="50">
        <f>IF(VLOOKUP($D139,$C$5:$AA$494,25,)=0,0,((VLOOKUP($D139,$C$5:$AA$494,25,)/VLOOKUP($D139,$C$5:$AA$494,4,))*$F139))</f>
        <v>0</v>
      </c>
      <c r="AB139" s="50">
        <f>SUM(H139:AA139)</f>
        <v>0</v>
      </c>
      <c r="AC139" s="31" t="str">
        <f>IF(ABS(AB139-F139)&lt;1,"ok","err")</f>
        <v>ok</v>
      </c>
    </row>
    <row r="140" spans="1:29" hidden="1" x14ac:dyDescent="0.2">
      <c r="F140" s="66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31"/>
    </row>
    <row r="141" spans="1:29" hidden="1" x14ac:dyDescent="0.2">
      <c r="A141" s="14" t="s">
        <v>938</v>
      </c>
      <c r="F141" s="95">
        <v>0</v>
      </c>
      <c r="G141" s="95"/>
      <c r="H141" s="95">
        <f>SUM(H136:H139)</f>
        <v>0</v>
      </c>
      <c r="I141" s="95">
        <f>SUM(I136:I139)</f>
        <v>0</v>
      </c>
      <c r="J141" s="95"/>
      <c r="K141" s="95">
        <f>SUM(K136:K139)</f>
        <v>0</v>
      </c>
      <c r="L141" s="95"/>
      <c r="M141" s="95">
        <f>SUM(M136:M139)</f>
        <v>0</v>
      </c>
      <c r="N141" s="95"/>
      <c r="O141" s="95">
        <f>SUM(O136:O139)</f>
        <v>0</v>
      </c>
      <c r="P141" s="95">
        <f>SUM(P136:P139)</f>
        <v>0</v>
      </c>
      <c r="Q141" s="95"/>
      <c r="R141" s="95">
        <f>SUM(R136:R139)</f>
        <v>0</v>
      </c>
      <c r="S141" s="95">
        <f>SUM(S136:S139)</f>
        <v>0</v>
      </c>
      <c r="T141" s="95"/>
      <c r="U141" s="95">
        <f>SUM(U136:U139)</f>
        <v>0</v>
      </c>
      <c r="V141" s="95"/>
      <c r="W141" s="95">
        <f>SUM(W136:W139)</f>
        <v>0</v>
      </c>
      <c r="X141" s="95"/>
      <c r="Y141" s="95">
        <f>SUM(Y136:Y139)</f>
        <v>0</v>
      </c>
      <c r="Z141" s="95"/>
      <c r="AA141" s="95">
        <f>SUM(AA136:AA139)</f>
        <v>0</v>
      </c>
      <c r="AB141" s="50">
        <f>SUM(H141:AA141)</f>
        <v>0</v>
      </c>
      <c r="AC141" s="31" t="str">
        <f>IF(ABS(AB141-F141)&lt;1,"ok","err")</f>
        <v>ok</v>
      </c>
    </row>
    <row r="142" spans="1:29" x14ac:dyDescent="0.2">
      <c r="A142" s="14" t="s">
        <v>92</v>
      </c>
      <c r="C142" s="14" t="s">
        <v>93</v>
      </c>
      <c r="D142" s="14" t="s">
        <v>72</v>
      </c>
      <c r="F142" s="66">
        <v>1587572</v>
      </c>
      <c r="H142" s="50">
        <f>IF(VLOOKUP($D142,$C$5:$AA$494,6,)=0,0,((VLOOKUP($D142,$C$5:$AA$494,6,)/VLOOKUP($D142,$C$5:$AA$494,4,))*$F142))</f>
        <v>0</v>
      </c>
      <c r="I142" s="50">
        <f>IF(VLOOKUP($D142,$C$5:$AA$494,7,)=0,0,((VLOOKUP($D142,$C$5:$AA$494,7,)/VLOOKUP($D142,$C$5:$AA$494,4,))*$F142))</f>
        <v>0</v>
      </c>
      <c r="J142" s="50"/>
      <c r="K142" s="50">
        <f>IF(VLOOKUP($D142,$C$5:$AA$494,9,)=0,0,((VLOOKUP($D142,$C$5:$AA$494,9,)/VLOOKUP($D142,$C$5:$AA$494,4,))*$F142))</f>
        <v>0</v>
      </c>
      <c r="L142" s="50"/>
      <c r="M142" s="50">
        <f>IF(VLOOKUP($D142,$C$5:$AA$494,11,)=0,0,((VLOOKUP($D142,$C$5:$AA$494,11,)/VLOOKUP($D142,$C$5:$AA$494,4,))*$F142))</f>
        <v>11895.872175565049</v>
      </c>
      <c r="N142" s="50"/>
      <c r="O142" s="50">
        <f>IF(VLOOKUP($D142,$C$5:$AA$494,13,)=0,0,((VLOOKUP($D142,$C$5:$AA$494,13,)/VLOOKUP($D142,$C$5:$AA$494,4,))*$F142))</f>
        <v>714077.22954894765</v>
      </c>
      <c r="P142" s="50">
        <f>IF(VLOOKUP($D142,$C$5:$AA$494,14,)=0,0,((VLOOKUP($D142,$C$5:$AA$494,14,)/VLOOKUP($D142,$C$5:$AA$494,4,))*$F142))</f>
        <v>541495.00782812142</v>
      </c>
      <c r="Q142" s="50"/>
      <c r="R142" s="50">
        <f>IF(VLOOKUP($D142,$C$5:$AA$494,16,)=0,0,((VLOOKUP($D142,$C$5:$AA$494,16,)/VLOOKUP($D142,$C$5:$AA$494,4,))*$F142))</f>
        <v>0</v>
      </c>
      <c r="S142" s="50">
        <f>IF(VLOOKUP($D142,$C$5:$AA$494,17,)=0,0,((VLOOKUP($D142,$C$5:$AA$494,17,)/VLOOKUP($D142,$C$5:$AA$494,4,))*$F142))</f>
        <v>170142.73185113483</v>
      </c>
      <c r="T142" s="50"/>
      <c r="U142" s="50">
        <f>IF(VLOOKUP($D142,$C$5:$AA$494,19,)=0,0,((VLOOKUP($D142,$C$5:$AA$494,19,)/VLOOKUP($D142,$C$5:$AA$494,4,))*$F142))</f>
        <v>86821.79433410913</v>
      </c>
      <c r="V142" s="50"/>
      <c r="W142" s="50">
        <f>IF(VLOOKUP($D142,$C$5:$AA$494,21,)=0,0,((VLOOKUP($D142,$C$5:$AA$494,21,)/VLOOKUP($D142,$C$5:$AA$494,4,))*$F142))</f>
        <v>63139.364262121744</v>
      </c>
      <c r="X142" s="50"/>
      <c r="Y142" s="50">
        <f>IF(VLOOKUP($D142,$C$5:$AA$494,23,)=0,0,((VLOOKUP($D142,$C$5:$AA$494,23,)/VLOOKUP($D142,$C$5:$AA$494,4,))*$F142))</f>
        <v>0</v>
      </c>
      <c r="Z142" s="50"/>
      <c r="AA142" s="50">
        <f>IF(VLOOKUP($D142,$C$5:$AA$494,25,)=0,0,((VLOOKUP($D142,$C$5:$AA$494,25,)/VLOOKUP($D142,$C$5:$AA$494,4,))*$F142))</f>
        <v>0</v>
      </c>
      <c r="AB142" s="50">
        <f>SUM(H142:AA142)</f>
        <v>1587572</v>
      </c>
      <c r="AC142" s="31" t="str">
        <f>IF(ABS(AB142-F142)&lt;1,"ok","err")</f>
        <v>ok</v>
      </c>
    </row>
    <row r="143" spans="1:29" x14ac:dyDescent="0.2">
      <c r="F143" s="66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31"/>
    </row>
    <row r="144" spans="1:29" x14ac:dyDescent="0.2">
      <c r="A144" s="13" t="s">
        <v>94</v>
      </c>
      <c r="C144" s="14" t="s">
        <v>95</v>
      </c>
      <c r="F144" s="95">
        <f>F126+F133-F142</f>
        <v>190574016.10499999</v>
      </c>
      <c r="G144" s="95"/>
      <c r="H144" s="95">
        <f>H126+H133-H142</f>
        <v>0</v>
      </c>
      <c r="I144" s="95">
        <f>I126+I133-I142</f>
        <v>0</v>
      </c>
      <c r="J144" s="95"/>
      <c r="K144" s="95">
        <f>K126+K133-K142</f>
        <v>0</v>
      </c>
      <c r="L144" s="95"/>
      <c r="M144" s="95">
        <f>M126+M133-M142</f>
        <v>2202013.4048512983</v>
      </c>
      <c r="N144" s="95"/>
      <c r="O144" s="95">
        <f>O126+O133-O142</f>
        <v>82058476.328153074</v>
      </c>
      <c r="P144" s="95">
        <f>P126+P133-P142</f>
        <v>63357678.701240584</v>
      </c>
      <c r="Q144" s="95"/>
      <c r="R144" s="95">
        <f>R126+R133-R142</f>
        <v>0</v>
      </c>
      <c r="S144" s="95">
        <f>S126+S133-S142</f>
        <v>19306195.185324758</v>
      </c>
      <c r="T144" s="95"/>
      <c r="U144" s="95">
        <f>U126+U133-U142</f>
        <v>11402293.079310792</v>
      </c>
      <c r="V144" s="95"/>
      <c r="W144" s="95">
        <f>W126+W133-W142</f>
        <v>11657744.034623863</v>
      </c>
      <c r="X144" s="95"/>
      <c r="Y144" s="95">
        <f>Y126+Y133-Y142</f>
        <v>580992.97001265478</v>
      </c>
      <c r="Z144" s="95"/>
      <c r="AA144" s="95">
        <f>AA126+AA133-AA142</f>
        <v>8622.4014829429143</v>
      </c>
      <c r="AB144" s="50">
        <f>SUM(H144:AA144)</f>
        <v>190574016.10499999</v>
      </c>
      <c r="AC144" s="31" t="str">
        <f>IF(ABS(AB144-F144)&lt;1,"ok","err")</f>
        <v>ok</v>
      </c>
    </row>
    <row r="145" spans="1:29" x14ac:dyDescent="0.2">
      <c r="Q145" s="14"/>
      <c r="AC145" s="31"/>
    </row>
    <row r="146" spans="1:29" x14ac:dyDescent="0.2">
      <c r="A146" s="29" t="s">
        <v>86</v>
      </c>
      <c r="Q146" s="14"/>
      <c r="AC146" s="31"/>
    </row>
    <row r="147" spans="1:29" x14ac:dyDescent="0.2">
      <c r="A147" s="29"/>
      <c r="Q147" s="14"/>
      <c r="AC147" s="31"/>
    </row>
    <row r="148" spans="1:29" x14ac:dyDescent="0.2">
      <c r="A148" s="13" t="s">
        <v>789</v>
      </c>
      <c r="Q148" s="14"/>
      <c r="AC148" s="31"/>
    </row>
    <row r="149" spans="1:29" x14ac:dyDescent="0.2">
      <c r="A149" s="14">
        <v>500</v>
      </c>
      <c r="B149" s="14" t="s">
        <v>794</v>
      </c>
      <c r="C149" s="14" t="s">
        <v>807</v>
      </c>
      <c r="D149" s="14" t="s">
        <v>783</v>
      </c>
      <c r="F149" s="66">
        <v>0</v>
      </c>
      <c r="H149" s="50">
        <f t="shared" ref="H149:H157" si="78">IF(VLOOKUP($D149,$C$5:$AA$494,6,)=0,0,((VLOOKUP($D149,$C$5:$AA$494,6,)/VLOOKUP($D149,$C$5:$AA$494,4,))*$F149))</f>
        <v>0</v>
      </c>
      <c r="I149" s="50">
        <f t="shared" ref="I149:I157" si="79">IF(VLOOKUP($D149,$C$5:$AA$494,7,)=0,0,((VLOOKUP($D149,$C$5:$AA$494,7,)/VLOOKUP($D149,$C$5:$AA$494,4,))*$F149))</f>
        <v>0</v>
      </c>
      <c r="J149" s="50"/>
      <c r="K149" s="50">
        <f t="shared" ref="K149:K157" si="80">IF(VLOOKUP($D149,$C$5:$AA$494,9,)=0,0,((VLOOKUP($D149,$C$5:$AA$494,9,)/VLOOKUP($D149,$C$5:$AA$494,4,))*$F149))</f>
        <v>0</v>
      </c>
      <c r="L149" s="50"/>
      <c r="M149" s="50">
        <f t="shared" ref="M149:M157" si="81">IF(VLOOKUP($D149,$C$5:$AA$494,11,)=0,0,((VLOOKUP($D149,$C$5:$AA$494,11,)/VLOOKUP($D149,$C$5:$AA$494,4,))*$F149))</f>
        <v>0</v>
      </c>
      <c r="N149" s="50"/>
      <c r="O149" s="50">
        <f t="shared" ref="O149:O157" si="82">IF(VLOOKUP($D149,$C$5:$AA$494,13,)=0,0,((VLOOKUP($D149,$C$5:$AA$494,13,)/VLOOKUP($D149,$C$5:$AA$494,4,))*$F149))</f>
        <v>0</v>
      </c>
      <c r="P149" s="50">
        <f t="shared" ref="P149:P157" si="83">IF(VLOOKUP($D149,$C$5:$AA$494,14,)=0,0,((VLOOKUP($D149,$C$5:$AA$494,14,)/VLOOKUP($D149,$C$5:$AA$494,4,))*$F149))</f>
        <v>0</v>
      </c>
      <c r="Q149" s="50"/>
      <c r="R149" s="50">
        <f t="shared" ref="R149:R157" si="84">IF(VLOOKUP($D149,$C$5:$AA$494,16,)=0,0,((VLOOKUP($D149,$C$5:$AA$494,16,)/VLOOKUP($D149,$C$5:$AA$494,4,))*$F149))</f>
        <v>0</v>
      </c>
      <c r="S149" s="50">
        <f t="shared" ref="S149:S157" si="85">IF(VLOOKUP($D149,$C$5:$AA$494,17,)=0,0,((VLOOKUP($D149,$C$5:$AA$494,17,)/VLOOKUP($D149,$C$5:$AA$494,4,))*$F149))</f>
        <v>0</v>
      </c>
      <c r="T149" s="50"/>
      <c r="U149" s="50">
        <f t="shared" ref="U149:U157" si="86">IF(VLOOKUP($D149,$C$5:$AA$494,19,)=0,0,((VLOOKUP($D149,$C$5:$AA$494,19,)/VLOOKUP($D149,$C$5:$AA$494,4,))*$F149))</f>
        <v>0</v>
      </c>
      <c r="V149" s="50"/>
      <c r="W149" s="50">
        <f t="shared" ref="W149:W157" si="87">IF(VLOOKUP($D149,$C$5:$AA$494,21,)=0,0,((VLOOKUP($D149,$C$5:$AA$494,21,)/VLOOKUP($D149,$C$5:$AA$494,4,))*$F149))</f>
        <v>0</v>
      </c>
      <c r="X149" s="50"/>
      <c r="Y149" s="50">
        <f t="shared" ref="Y149:Y157" si="88">IF(VLOOKUP($D149,$C$5:$AA$494,23,)=0,0,((VLOOKUP($D149,$C$5:$AA$494,23,)/VLOOKUP($D149,$C$5:$AA$494,4,))*$F149))</f>
        <v>0</v>
      </c>
      <c r="Z149" s="50"/>
      <c r="AA149" s="50">
        <f t="shared" ref="AA149:AA157" si="89">IF(VLOOKUP($D149,$C$5:$AA$494,25,)=0,0,((VLOOKUP($D149,$C$5:$AA$494,25,)/VLOOKUP($D149,$C$5:$AA$494,4,))*$F149))</f>
        <v>0</v>
      </c>
      <c r="AB149" s="50">
        <f t="shared" ref="AB149:AB157" si="90">SUM(H149:AA149)</f>
        <v>0</v>
      </c>
      <c r="AC149" s="31" t="str">
        <f t="shared" ref="AC149:AC157" si="91">IF(ABS(AB149-F149)&lt;1,"ok","err")</f>
        <v>ok</v>
      </c>
    </row>
    <row r="150" spans="1:29" x14ac:dyDescent="0.2">
      <c r="A150" s="14">
        <v>501</v>
      </c>
      <c r="B150" s="14" t="s">
        <v>795</v>
      </c>
      <c r="C150" s="14" t="s">
        <v>808</v>
      </c>
      <c r="D150" s="14" t="s">
        <v>787</v>
      </c>
      <c r="F150" s="50">
        <v>0</v>
      </c>
      <c r="H150" s="50">
        <f t="shared" si="78"/>
        <v>0</v>
      </c>
      <c r="I150" s="50">
        <f t="shared" si="79"/>
        <v>0</v>
      </c>
      <c r="J150" s="50"/>
      <c r="K150" s="50">
        <f t="shared" si="80"/>
        <v>0</v>
      </c>
      <c r="L150" s="50"/>
      <c r="M150" s="50">
        <f t="shared" si="81"/>
        <v>0</v>
      </c>
      <c r="N150" s="50"/>
      <c r="O150" s="50">
        <f t="shared" si="82"/>
        <v>0</v>
      </c>
      <c r="P150" s="50">
        <f t="shared" si="83"/>
        <v>0</v>
      </c>
      <c r="Q150" s="50"/>
      <c r="R150" s="50">
        <f t="shared" si="84"/>
        <v>0</v>
      </c>
      <c r="S150" s="50">
        <f t="shared" si="85"/>
        <v>0</v>
      </c>
      <c r="T150" s="50"/>
      <c r="U150" s="50">
        <f t="shared" si="86"/>
        <v>0</v>
      </c>
      <c r="V150" s="50"/>
      <c r="W150" s="50">
        <f t="shared" si="87"/>
        <v>0</v>
      </c>
      <c r="X150" s="50"/>
      <c r="Y150" s="50">
        <f t="shared" si="88"/>
        <v>0</v>
      </c>
      <c r="Z150" s="50"/>
      <c r="AA150" s="50">
        <f t="shared" si="89"/>
        <v>0</v>
      </c>
      <c r="AB150" s="50">
        <f t="shared" si="90"/>
        <v>0</v>
      </c>
      <c r="AC150" s="31" t="str">
        <f t="shared" si="91"/>
        <v>ok</v>
      </c>
    </row>
    <row r="151" spans="1:29" x14ac:dyDescent="0.2">
      <c r="A151" s="14">
        <v>502</v>
      </c>
      <c r="B151" s="14" t="s">
        <v>796</v>
      </c>
      <c r="C151" s="14" t="s">
        <v>809</v>
      </c>
      <c r="D151" s="14" t="s">
        <v>552</v>
      </c>
      <c r="F151" s="50">
        <v>0</v>
      </c>
      <c r="H151" s="50">
        <f t="shared" si="78"/>
        <v>0</v>
      </c>
      <c r="I151" s="50">
        <f t="shared" si="79"/>
        <v>0</v>
      </c>
      <c r="J151" s="50"/>
      <c r="K151" s="50">
        <f t="shared" si="80"/>
        <v>0</v>
      </c>
      <c r="L151" s="50"/>
      <c r="M151" s="50">
        <f t="shared" si="81"/>
        <v>0</v>
      </c>
      <c r="N151" s="50"/>
      <c r="O151" s="50">
        <f t="shared" si="82"/>
        <v>0</v>
      </c>
      <c r="P151" s="50">
        <f t="shared" si="83"/>
        <v>0</v>
      </c>
      <c r="Q151" s="50"/>
      <c r="R151" s="50">
        <f t="shared" si="84"/>
        <v>0</v>
      </c>
      <c r="S151" s="50">
        <f t="shared" si="85"/>
        <v>0</v>
      </c>
      <c r="T151" s="50"/>
      <c r="U151" s="50">
        <f t="shared" si="86"/>
        <v>0</v>
      </c>
      <c r="V151" s="50"/>
      <c r="W151" s="50">
        <f t="shared" si="87"/>
        <v>0</v>
      </c>
      <c r="X151" s="50"/>
      <c r="Y151" s="50">
        <f t="shared" si="88"/>
        <v>0</v>
      </c>
      <c r="Z151" s="50"/>
      <c r="AA151" s="50">
        <f t="shared" si="89"/>
        <v>0</v>
      </c>
      <c r="AB151" s="50">
        <f t="shared" si="90"/>
        <v>0</v>
      </c>
      <c r="AC151" s="31" t="str">
        <f t="shared" si="91"/>
        <v>ok</v>
      </c>
    </row>
    <row r="152" spans="1:29" x14ac:dyDescent="0.2">
      <c r="A152" s="14">
        <v>503</v>
      </c>
      <c r="B152" s="14" t="s">
        <v>797</v>
      </c>
      <c r="C152" s="14" t="s">
        <v>810</v>
      </c>
      <c r="D152" s="14" t="s">
        <v>552</v>
      </c>
      <c r="F152" s="50">
        <v>0</v>
      </c>
      <c r="H152" s="50">
        <f t="shared" si="78"/>
        <v>0</v>
      </c>
      <c r="I152" s="50">
        <f t="shared" si="79"/>
        <v>0</v>
      </c>
      <c r="J152" s="50"/>
      <c r="K152" s="50">
        <f t="shared" si="80"/>
        <v>0</v>
      </c>
      <c r="L152" s="50"/>
      <c r="M152" s="50">
        <f t="shared" si="81"/>
        <v>0</v>
      </c>
      <c r="N152" s="50"/>
      <c r="O152" s="50">
        <f t="shared" si="82"/>
        <v>0</v>
      </c>
      <c r="P152" s="50">
        <f t="shared" si="83"/>
        <v>0</v>
      </c>
      <c r="Q152" s="50"/>
      <c r="R152" s="50">
        <f t="shared" si="84"/>
        <v>0</v>
      </c>
      <c r="S152" s="50">
        <f t="shared" si="85"/>
        <v>0</v>
      </c>
      <c r="T152" s="50"/>
      <c r="U152" s="50">
        <f t="shared" si="86"/>
        <v>0</v>
      </c>
      <c r="V152" s="50"/>
      <c r="W152" s="50">
        <f t="shared" si="87"/>
        <v>0</v>
      </c>
      <c r="X152" s="50"/>
      <c r="Y152" s="50">
        <f t="shared" si="88"/>
        <v>0</v>
      </c>
      <c r="Z152" s="50"/>
      <c r="AA152" s="50">
        <f t="shared" si="89"/>
        <v>0</v>
      </c>
      <c r="AB152" s="50">
        <f t="shared" si="90"/>
        <v>0</v>
      </c>
      <c r="AC152" s="31" t="str">
        <f t="shared" si="91"/>
        <v>ok</v>
      </c>
    </row>
    <row r="153" spans="1:29" x14ac:dyDescent="0.2">
      <c r="A153" s="14">
        <v>504</v>
      </c>
      <c r="B153" s="14" t="s">
        <v>798</v>
      </c>
      <c r="C153" s="14" t="s">
        <v>811</v>
      </c>
      <c r="D153" s="14" t="s">
        <v>552</v>
      </c>
      <c r="F153" s="50">
        <v>0</v>
      </c>
      <c r="H153" s="50">
        <f t="shared" si="78"/>
        <v>0</v>
      </c>
      <c r="I153" s="50">
        <f t="shared" si="79"/>
        <v>0</v>
      </c>
      <c r="J153" s="50"/>
      <c r="K153" s="50">
        <f t="shared" si="80"/>
        <v>0</v>
      </c>
      <c r="L153" s="50"/>
      <c r="M153" s="50">
        <f t="shared" si="81"/>
        <v>0</v>
      </c>
      <c r="N153" s="50"/>
      <c r="O153" s="50">
        <f t="shared" si="82"/>
        <v>0</v>
      </c>
      <c r="P153" s="50">
        <f t="shared" si="83"/>
        <v>0</v>
      </c>
      <c r="Q153" s="50"/>
      <c r="R153" s="50">
        <f t="shared" si="84"/>
        <v>0</v>
      </c>
      <c r="S153" s="50">
        <f t="shared" si="85"/>
        <v>0</v>
      </c>
      <c r="T153" s="50"/>
      <c r="U153" s="50">
        <f t="shared" si="86"/>
        <v>0</v>
      </c>
      <c r="V153" s="50"/>
      <c r="W153" s="50">
        <f t="shared" si="87"/>
        <v>0</v>
      </c>
      <c r="X153" s="50"/>
      <c r="Y153" s="50">
        <f t="shared" si="88"/>
        <v>0</v>
      </c>
      <c r="Z153" s="50"/>
      <c r="AA153" s="50">
        <f t="shared" si="89"/>
        <v>0</v>
      </c>
      <c r="AB153" s="50">
        <f t="shared" si="90"/>
        <v>0</v>
      </c>
      <c r="AC153" s="31" t="str">
        <f t="shared" si="91"/>
        <v>ok</v>
      </c>
    </row>
    <row r="154" spans="1:29" x14ac:dyDescent="0.2">
      <c r="A154" s="14">
        <v>505</v>
      </c>
      <c r="B154" s="14" t="s">
        <v>799</v>
      </c>
      <c r="C154" s="14" t="s">
        <v>812</v>
      </c>
      <c r="D154" s="14" t="s">
        <v>552</v>
      </c>
      <c r="F154" s="50">
        <v>0</v>
      </c>
      <c r="H154" s="50">
        <f t="shared" si="78"/>
        <v>0</v>
      </c>
      <c r="I154" s="50">
        <f t="shared" si="79"/>
        <v>0</v>
      </c>
      <c r="J154" s="50"/>
      <c r="K154" s="50">
        <f t="shared" si="80"/>
        <v>0</v>
      </c>
      <c r="L154" s="50"/>
      <c r="M154" s="50">
        <f t="shared" si="81"/>
        <v>0</v>
      </c>
      <c r="N154" s="50"/>
      <c r="O154" s="50">
        <f t="shared" si="82"/>
        <v>0</v>
      </c>
      <c r="P154" s="50">
        <f t="shared" si="83"/>
        <v>0</v>
      </c>
      <c r="Q154" s="50"/>
      <c r="R154" s="50">
        <f t="shared" si="84"/>
        <v>0</v>
      </c>
      <c r="S154" s="50">
        <f t="shared" si="85"/>
        <v>0</v>
      </c>
      <c r="T154" s="50"/>
      <c r="U154" s="50">
        <f t="shared" si="86"/>
        <v>0</v>
      </c>
      <c r="V154" s="50"/>
      <c r="W154" s="50">
        <f t="shared" si="87"/>
        <v>0</v>
      </c>
      <c r="X154" s="50"/>
      <c r="Y154" s="50">
        <f t="shared" si="88"/>
        <v>0</v>
      </c>
      <c r="Z154" s="50"/>
      <c r="AA154" s="50">
        <f t="shared" si="89"/>
        <v>0</v>
      </c>
      <c r="AB154" s="50">
        <f t="shared" si="90"/>
        <v>0</v>
      </c>
      <c r="AC154" s="31" t="str">
        <f t="shared" si="91"/>
        <v>ok</v>
      </c>
    </row>
    <row r="155" spans="1:29" x14ac:dyDescent="0.2">
      <c r="A155" s="14">
        <v>506</v>
      </c>
      <c r="B155" s="14" t="s">
        <v>800</v>
      </c>
      <c r="C155" s="14" t="s">
        <v>813</v>
      </c>
      <c r="D155" s="14" t="s">
        <v>552</v>
      </c>
      <c r="F155" s="50">
        <v>0</v>
      </c>
      <c r="H155" s="50">
        <f t="shared" si="78"/>
        <v>0</v>
      </c>
      <c r="I155" s="50">
        <f t="shared" si="79"/>
        <v>0</v>
      </c>
      <c r="J155" s="50"/>
      <c r="K155" s="50">
        <f t="shared" si="80"/>
        <v>0</v>
      </c>
      <c r="L155" s="50"/>
      <c r="M155" s="50">
        <f t="shared" si="81"/>
        <v>0</v>
      </c>
      <c r="N155" s="50"/>
      <c r="O155" s="50">
        <f t="shared" si="82"/>
        <v>0</v>
      </c>
      <c r="P155" s="50">
        <f t="shared" si="83"/>
        <v>0</v>
      </c>
      <c r="Q155" s="50"/>
      <c r="R155" s="50">
        <f t="shared" si="84"/>
        <v>0</v>
      </c>
      <c r="S155" s="50">
        <f t="shared" si="85"/>
        <v>0</v>
      </c>
      <c r="T155" s="50"/>
      <c r="U155" s="50">
        <f t="shared" si="86"/>
        <v>0</v>
      </c>
      <c r="V155" s="50"/>
      <c r="W155" s="50">
        <f t="shared" si="87"/>
        <v>0</v>
      </c>
      <c r="X155" s="50"/>
      <c r="Y155" s="50">
        <f t="shared" si="88"/>
        <v>0</v>
      </c>
      <c r="Z155" s="50"/>
      <c r="AA155" s="50">
        <f t="shared" si="89"/>
        <v>0</v>
      </c>
      <c r="AB155" s="50">
        <f t="shared" si="90"/>
        <v>0</v>
      </c>
      <c r="AC155" s="31" t="str">
        <f t="shared" si="91"/>
        <v>ok</v>
      </c>
    </row>
    <row r="156" spans="1:29" x14ac:dyDescent="0.2">
      <c r="A156" s="14">
        <v>507</v>
      </c>
      <c r="B156" s="14" t="s">
        <v>115</v>
      </c>
      <c r="C156" s="14" t="s">
        <v>814</v>
      </c>
      <c r="D156" s="14" t="s">
        <v>552</v>
      </c>
      <c r="F156" s="50">
        <v>0</v>
      </c>
      <c r="H156" s="50">
        <f t="shared" si="78"/>
        <v>0</v>
      </c>
      <c r="I156" s="50">
        <f t="shared" si="79"/>
        <v>0</v>
      </c>
      <c r="J156" s="50"/>
      <c r="K156" s="50">
        <f t="shared" si="80"/>
        <v>0</v>
      </c>
      <c r="L156" s="50"/>
      <c r="M156" s="50">
        <f t="shared" si="81"/>
        <v>0</v>
      </c>
      <c r="N156" s="50"/>
      <c r="O156" s="50">
        <f t="shared" si="82"/>
        <v>0</v>
      </c>
      <c r="P156" s="50">
        <f t="shared" si="83"/>
        <v>0</v>
      </c>
      <c r="Q156" s="50"/>
      <c r="R156" s="50">
        <f t="shared" si="84"/>
        <v>0</v>
      </c>
      <c r="S156" s="50">
        <f t="shared" si="85"/>
        <v>0</v>
      </c>
      <c r="T156" s="50"/>
      <c r="U156" s="50">
        <f t="shared" si="86"/>
        <v>0</v>
      </c>
      <c r="V156" s="50"/>
      <c r="W156" s="50">
        <f t="shared" si="87"/>
        <v>0</v>
      </c>
      <c r="X156" s="50"/>
      <c r="Y156" s="50">
        <f t="shared" si="88"/>
        <v>0</v>
      </c>
      <c r="Z156" s="50"/>
      <c r="AA156" s="50">
        <f t="shared" si="89"/>
        <v>0</v>
      </c>
      <c r="AB156" s="50">
        <f t="shared" si="90"/>
        <v>0</v>
      </c>
      <c r="AC156" s="31" t="str">
        <f t="shared" si="91"/>
        <v>ok</v>
      </c>
    </row>
    <row r="157" spans="1:29" x14ac:dyDescent="0.2">
      <c r="A157" s="14">
        <v>509</v>
      </c>
      <c r="B157" s="14" t="s">
        <v>801</v>
      </c>
      <c r="C157" s="14" t="s">
        <v>815</v>
      </c>
      <c r="D157" s="14" t="s">
        <v>787</v>
      </c>
      <c r="F157" s="50">
        <v>0</v>
      </c>
      <c r="H157" s="50">
        <f t="shared" si="78"/>
        <v>0</v>
      </c>
      <c r="I157" s="50">
        <f t="shared" si="79"/>
        <v>0</v>
      </c>
      <c r="J157" s="50"/>
      <c r="K157" s="50">
        <f t="shared" si="80"/>
        <v>0</v>
      </c>
      <c r="L157" s="50"/>
      <c r="M157" s="50">
        <f t="shared" si="81"/>
        <v>0</v>
      </c>
      <c r="N157" s="50"/>
      <c r="O157" s="50">
        <f t="shared" si="82"/>
        <v>0</v>
      </c>
      <c r="P157" s="50">
        <f t="shared" si="83"/>
        <v>0</v>
      </c>
      <c r="Q157" s="50"/>
      <c r="R157" s="50">
        <f t="shared" si="84"/>
        <v>0</v>
      </c>
      <c r="S157" s="50">
        <f t="shared" si="85"/>
        <v>0</v>
      </c>
      <c r="T157" s="50"/>
      <c r="U157" s="50">
        <f t="shared" si="86"/>
        <v>0</v>
      </c>
      <c r="V157" s="50"/>
      <c r="W157" s="50">
        <f t="shared" si="87"/>
        <v>0</v>
      </c>
      <c r="X157" s="50"/>
      <c r="Y157" s="50">
        <f t="shared" si="88"/>
        <v>0</v>
      </c>
      <c r="Z157" s="50"/>
      <c r="AA157" s="50">
        <f t="shared" si="89"/>
        <v>0</v>
      </c>
      <c r="AB157" s="50">
        <f t="shared" si="90"/>
        <v>0</v>
      </c>
      <c r="AC157" s="31" t="str">
        <f t="shared" si="91"/>
        <v>ok</v>
      </c>
    </row>
    <row r="158" spans="1:29" x14ac:dyDescent="0.2">
      <c r="F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C158" s="31"/>
    </row>
    <row r="159" spans="1:29" x14ac:dyDescent="0.2">
      <c r="A159" s="14" t="s">
        <v>793</v>
      </c>
      <c r="C159" s="14" t="s">
        <v>816</v>
      </c>
      <c r="F159" s="66">
        <f>SUM(F149:F158)</f>
        <v>0</v>
      </c>
      <c r="H159" s="66">
        <f>SUM(H149:H158)</f>
        <v>0</v>
      </c>
      <c r="I159" s="66">
        <f>SUM(I149:I158)</f>
        <v>0</v>
      </c>
      <c r="J159" s="66"/>
      <c r="K159" s="66">
        <f>SUM(K149:K158)</f>
        <v>0</v>
      </c>
      <c r="L159" s="66"/>
      <c r="M159" s="66">
        <f>SUM(M149:M158)</f>
        <v>0</v>
      </c>
      <c r="N159" s="66"/>
      <c r="O159" s="66">
        <f>SUM(O149:O158)</f>
        <v>0</v>
      </c>
      <c r="P159" s="66">
        <f>SUM(P149:P158)</f>
        <v>0</v>
      </c>
      <c r="Q159" s="66"/>
      <c r="R159" s="66">
        <f>SUM(R149:R158)</f>
        <v>0</v>
      </c>
      <c r="S159" s="66">
        <f>SUM(S149:S158)</f>
        <v>0</v>
      </c>
      <c r="T159" s="66"/>
      <c r="U159" s="66">
        <f>SUM(U149:U158)</f>
        <v>0</v>
      </c>
      <c r="V159" s="66"/>
      <c r="W159" s="66">
        <f>SUM(W149:W158)</f>
        <v>0</v>
      </c>
      <c r="X159" s="66"/>
      <c r="Y159" s="66">
        <f>SUM(Y149:Y158)</f>
        <v>0</v>
      </c>
      <c r="Z159" s="66"/>
      <c r="AA159" s="66">
        <f>SUM(AA149:AA158)</f>
        <v>0</v>
      </c>
      <c r="AB159" s="50">
        <f>SUM(H159:AA159)</f>
        <v>0</v>
      </c>
      <c r="AC159" s="31" t="str">
        <f>IF(ABS(AB159-F159)&lt;1,"ok","err")</f>
        <v>ok</v>
      </c>
    </row>
    <row r="160" spans="1:29" x14ac:dyDescent="0.2">
      <c r="A160" s="13"/>
      <c r="F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C160" s="31"/>
    </row>
    <row r="161" spans="1:29" x14ac:dyDescent="0.2">
      <c r="A161" s="13" t="s">
        <v>790</v>
      </c>
      <c r="F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C161" s="31"/>
    </row>
    <row r="162" spans="1:29" x14ac:dyDescent="0.2">
      <c r="A162" s="14">
        <v>510</v>
      </c>
      <c r="B162" s="14" t="s">
        <v>802</v>
      </c>
      <c r="C162" s="14" t="s">
        <v>818</v>
      </c>
      <c r="D162" s="14" t="s">
        <v>787</v>
      </c>
      <c r="F162" s="66">
        <v>0</v>
      </c>
      <c r="H162" s="50">
        <f>IF(VLOOKUP($D162,$C$5:$AA$494,6,)=0,0,((VLOOKUP($D162,$C$5:$AA$494,6,)/VLOOKUP($D162,$C$5:$AA$494,4,))*$F162))</f>
        <v>0</v>
      </c>
      <c r="I162" s="50">
        <f>IF(VLOOKUP($D162,$C$5:$AA$494,7,)=0,0,((VLOOKUP($D162,$C$5:$AA$494,7,)/VLOOKUP($D162,$C$5:$AA$494,4,))*$F162))</f>
        <v>0</v>
      </c>
      <c r="J162" s="50"/>
      <c r="K162" s="50">
        <f>IF(VLOOKUP($D162,$C$5:$AA$494,9,)=0,0,((VLOOKUP($D162,$C$5:$AA$494,9,)/VLOOKUP($D162,$C$5:$AA$494,4,))*$F162))</f>
        <v>0</v>
      </c>
      <c r="L162" s="50"/>
      <c r="M162" s="50">
        <f>IF(VLOOKUP($D162,$C$5:$AA$494,11,)=0,0,((VLOOKUP($D162,$C$5:$AA$494,11,)/VLOOKUP($D162,$C$5:$AA$494,4,))*$F162))</f>
        <v>0</v>
      </c>
      <c r="N162" s="50"/>
      <c r="O162" s="50">
        <f>IF(VLOOKUP($D162,$C$5:$AA$494,13,)=0,0,((VLOOKUP($D162,$C$5:$AA$494,13,)/VLOOKUP($D162,$C$5:$AA$494,4,))*$F162))</f>
        <v>0</v>
      </c>
      <c r="P162" s="50">
        <f>IF(VLOOKUP($D162,$C$5:$AA$494,14,)=0,0,((VLOOKUP($D162,$C$5:$AA$494,14,)/VLOOKUP($D162,$C$5:$AA$494,4,))*$F162))</f>
        <v>0</v>
      </c>
      <c r="Q162" s="50"/>
      <c r="R162" s="50">
        <f>IF(VLOOKUP($D162,$C$5:$AA$494,16,)=0,0,((VLOOKUP($D162,$C$5:$AA$494,16,)/VLOOKUP($D162,$C$5:$AA$494,4,))*$F162))</f>
        <v>0</v>
      </c>
      <c r="S162" s="50">
        <f>IF(VLOOKUP($D162,$C$5:$AA$494,17,)=0,0,((VLOOKUP($D162,$C$5:$AA$494,17,)/VLOOKUP($D162,$C$5:$AA$494,4,))*$F162))</f>
        <v>0</v>
      </c>
      <c r="T162" s="50"/>
      <c r="U162" s="50">
        <f>IF(VLOOKUP($D162,$C$5:$AA$494,19,)=0,0,((VLOOKUP($D162,$C$5:$AA$494,19,)/VLOOKUP($D162,$C$5:$AA$494,4,))*$F162))</f>
        <v>0</v>
      </c>
      <c r="V162" s="50"/>
      <c r="W162" s="50">
        <f>IF(VLOOKUP($D162,$C$5:$AA$494,21,)=0,0,((VLOOKUP($D162,$C$5:$AA$494,21,)/VLOOKUP($D162,$C$5:$AA$494,4,))*$F162))</f>
        <v>0</v>
      </c>
      <c r="X162" s="50"/>
      <c r="Y162" s="50">
        <f>IF(VLOOKUP($D162,$C$5:$AA$494,23,)=0,0,((VLOOKUP($D162,$C$5:$AA$494,23,)/VLOOKUP($D162,$C$5:$AA$494,4,))*$F162))</f>
        <v>0</v>
      </c>
      <c r="Z162" s="50"/>
      <c r="AA162" s="50">
        <f>IF(VLOOKUP($D162,$C$5:$AA$494,25,)=0,0,((VLOOKUP($D162,$C$5:$AA$494,25,)/VLOOKUP($D162,$C$5:$AA$494,4,))*$F162))</f>
        <v>0</v>
      </c>
      <c r="AB162" s="50">
        <f>SUM(H162:AA162)</f>
        <v>0</v>
      </c>
      <c r="AC162" s="31" t="str">
        <f>IF(ABS(AB162-F162)&lt;1,"ok","err")</f>
        <v>ok</v>
      </c>
    </row>
    <row r="163" spans="1:29" x14ac:dyDescent="0.2">
      <c r="A163" s="14">
        <v>511</v>
      </c>
      <c r="B163" s="14" t="s">
        <v>803</v>
      </c>
      <c r="C163" s="14" t="s">
        <v>819</v>
      </c>
      <c r="D163" s="14" t="s">
        <v>552</v>
      </c>
      <c r="F163" s="50">
        <v>0</v>
      </c>
      <c r="H163" s="50">
        <f>IF(VLOOKUP($D163,$C$5:$AA$494,6,)=0,0,((VLOOKUP($D163,$C$5:$AA$494,6,)/VLOOKUP($D163,$C$5:$AA$494,4,))*$F163))</f>
        <v>0</v>
      </c>
      <c r="I163" s="50">
        <f>IF(VLOOKUP($D163,$C$5:$AA$494,7,)=0,0,((VLOOKUP($D163,$C$5:$AA$494,7,)/VLOOKUP($D163,$C$5:$AA$494,4,))*$F163))</f>
        <v>0</v>
      </c>
      <c r="J163" s="50"/>
      <c r="K163" s="50">
        <f>IF(VLOOKUP($D163,$C$5:$AA$494,9,)=0,0,((VLOOKUP($D163,$C$5:$AA$494,9,)/VLOOKUP($D163,$C$5:$AA$494,4,))*$F163))</f>
        <v>0</v>
      </c>
      <c r="L163" s="50"/>
      <c r="M163" s="50">
        <f>IF(VLOOKUP($D163,$C$5:$AA$494,11,)=0,0,((VLOOKUP($D163,$C$5:$AA$494,11,)/VLOOKUP($D163,$C$5:$AA$494,4,))*$F163))</f>
        <v>0</v>
      </c>
      <c r="N163" s="50"/>
      <c r="O163" s="50">
        <f>IF(VLOOKUP($D163,$C$5:$AA$494,13,)=0,0,((VLOOKUP($D163,$C$5:$AA$494,13,)/VLOOKUP($D163,$C$5:$AA$494,4,))*$F163))</f>
        <v>0</v>
      </c>
      <c r="P163" s="50">
        <f>IF(VLOOKUP($D163,$C$5:$AA$494,14,)=0,0,((VLOOKUP($D163,$C$5:$AA$494,14,)/VLOOKUP($D163,$C$5:$AA$494,4,))*$F163))</f>
        <v>0</v>
      </c>
      <c r="Q163" s="50"/>
      <c r="R163" s="50">
        <f>IF(VLOOKUP($D163,$C$5:$AA$494,16,)=0,0,((VLOOKUP($D163,$C$5:$AA$494,16,)/VLOOKUP($D163,$C$5:$AA$494,4,))*$F163))</f>
        <v>0</v>
      </c>
      <c r="S163" s="50">
        <f>IF(VLOOKUP($D163,$C$5:$AA$494,17,)=0,0,((VLOOKUP($D163,$C$5:$AA$494,17,)/VLOOKUP($D163,$C$5:$AA$494,4,))*$F163))</f>
        <v>0</v>
      </c>
      <c r="T163" s="50"/>
      <c r="U163" s="50">
        <f>IF(VLOOKUP($D163,$C$5:$AA$494,19,)=0,0,((VLOOKUP($D163,$C$5:$AA$494,19,)/VLOOKUP($D163,$C$5:$AA$494,4,))*$F163))</f>
        <v>0</v>
      </c>
      <c r="V163" s="50"/>
      <c r="W163" s="50">
        <f>IF(VLOOKUP($D163,$C$5:$AA$494,21,)=0,0,((VLOOKUP($D163,$C$5:$AA$494,21,)/VLOOKUP($D163,$C$5:$AA$494,4,))*$F163))</f>
        <v>0</v>
      </c>
      <c r="X163" s="50"/>
      <c r="Y163" s="50">
        <f>IF(VLOOKUP($D163,$C$5:$AA$494,23,)=0,0,((VLOOKUP($D163,$C$5:$AA$494,23,)/VLOOKUP($D163,$C$5:$AA$494,4,))*$F163))</f>
        <v>0</v>
      </c>
      <c r="Z163" s="50"/>
      <c r="AA163" s="50">
        <f>IF(VLOOKUP($D163,$C$5:$AA$494,25,)=0,0,((VLOOKUP($D163,$C$5:$AA$494,25,)/VLOOKUP($D163,$C$5:$AA$494,4,))*$F163))</f>
        <v>0</v>
      </c>
      <c r="AB163" s="50">
        <f>SUM(H163:AA163)</f>
        <v>0</v>
      </c>
      <c r="AC163" s="31" t="str">
        <f>IF(ABS(AB163-F163)&lt;1,"ok","err")</f>
        <v>ok</v>
      </c>
    </row>
    <row r="164" spans="1:29" x14ac:dyDescent="0.2">
      <c r="A164" s="14">
        <v>512</v>
      </c>
      <c r="B164" s="14" t="s">
        <v>804</v>
      </c>
      <c r="C164" s="14" t="s">
        <v>820</v>
      </c>
      <c r="D164" s="14" t="s">
        <v>787</v>
      </c>
      <c r="F164" s="50">
        <v>0</v>
      </c>
      <c r="H164" s="50">
        <f>IF(VLOOKUP($D164,$C$5:$AA$494,6,)=0,0,((VLOOKUP($D164,$C$5:$AA$494,6,)/VLOOKUP($D164,$C$5:$AA$494,4,))*$F164))</f>
        <v>0</v>
      </c>
      <c r="I164" s="50">
        <f>IF(VLOOKUP($D164,$C$5:$AA$494,7,)=0,0,((VLOOKUP($D164,$C$5:$AA$494,7,)/VLOOKUP($D164,$C$5:$AA$494,4,))*$F164))</f>
        <v>0</v>
      </c>
      <c r="J164" s="50"/>
      <c r="K164" s="50">
        <f>IF(VLOOKUP($D164,$C$5:$AA$494,9,)=0,0,((VLOOKUP($D164,$C$5:$AA$494,9,)/VLOOKUP($D164,$C$5:$AA$494,4,))*$F164))</f>
        <v>0</v>
      </c>
      <c r="L164" s="50"/>
      <c r="M164" s="50">
        <f>IF(VLOOKUP($D164,$C$5:$AA$494,11,)=0,0,((VLOOKUP($D164,$C$5:$AA$494,11,)/VLOOKUP($D164,$C$5:$AA$494,4,))*$F164))</f>
        <v>0</v>
      </c>
      <c r="N164" s="50"/>
      <c r="O164" s="50">
        <f>IF(VLOOKUP($D164,$C$5:$AA$494,13,)=0,0,((VLOOKUP($D164,$C$5:$AA$494,13,)/VLOOKUP($D164,$C$5:$AA$494,4,))*$F164))</f>
        <v>0</v>
      </c>
      <c r="P164" s="50">
        <f>IF(VLOOKUP($D164,$C$5:$AA$494,14,)=0,0,((VLOOKUP($D164,$C$5:$AA$494,14,)/VLOOKUP($D164,$C$5:$AA$494,4,))*$F164))</f>
        <v>0</v>
      </c>
      <c r="Q164" s="50"/>
      <c r="R164" s="50">
        <f>IF(VLOOKUP($D164,$C$5:$AA$494,16,)=0,0,((VLOOKUP($D164,$C$5:$AA$494,16,)/VLOOKUP($D164,$C$5:$AA$494,4,))*$F164))</f>
        <v>0</v>
      </c>
      <c r="S164" s="50">
        <f>IF(VLOOKUP($D164,$C$5:$AA$494,17,)=0,0,((VLOOKUP($D164,$C$5:$AA$494,17,)/VLOOKUP($D164,$C$5:$AA$494,4,))*$F164))</f>
        <v>0</v>
      </c>
      <c r="T164" s="50"/>
      <c r="U164" s="50">
        <f>IF(VLOOKUP($D164,$C$5:$AA$494,19,)=0,0,((VLOOKUP($D164,$C$5:$AA$494,19,)/VLOOKUP($D164,$C$5:$AA$494,4,))*$F164))</f>
        <v>0</v>
      </c>
      <c r="V164" s="50"/>
      <c r="W164" s="50">
        <f>IF(VLOOKUP($D164,$C$5:$AA$494,21,)=0,0,((VLOOKUP($D164,$C$5:$AA$494,21,)/VLOOKUP($D164,$C$5:$AA$494,4,))*$F164))</f>
        <v>0</v>
      </c>
      <c r="X164" s="50"/>
      <c r="Y164" s="50">
        <f>IF(VLOOKUP($D164,$C$5:$AA$494,23,)=0,0,((VLOOKUP($D164,$C$5:$AA$494,23,)/VLOOKUP($D164,$C$5:$AA$494,4,))*$F164))</f>
        <v>0</v>
      </c>
      <c r="Z164" s="50"/>
      <c r="AA164" s="50">
        <f>IF(VLOOKUP($D164,$C$5:$AA$494,25,)=0,0,((VLOOKUP($D164,$C$5:$AA$494,25,)/VLOOKUP($D164,$C$5:$AA$494,4,))*$F164))</f>
        <v>0</v>
      </c>
      <c r="AB164" s="50">
        <f>SUM(H164:AA164)</f>
        <v>0</v>
      </c>
      <c r="AC164" s="31" t="str">
        <f>IF(ABS(AB164-F164)&lt;1,"ok","err")</f>
        <v>ok</v>
      </c>
    </row>
    <row r="165" spans="1:29" x14ac:dyDescent="0.2">
      <c r="A165" s="14">
        <v>513</v>
      </c>
      <c r="B165" s="14" t="s">
        <v>805</v>
      </c>
      <c r="C165" s="14" t="s">
        <v>821</v>
      </c>
      <c r="D165" s="14" t="s">
        <v>787</v>
      </c>
      <c r="F165" s="50">
        <v>0</v>
      </c>
      <c r="H165" s="50">
        <f>IF(VLOOKUP($D165,$C$5:$AA$494,6,)=0,0,((VLOOKUP($D165,$C$5:$AA$494,6,)/VLOOKUP($D165,$C$5:$AA$494,4,))*$F165))</f>
        <v>0</v>
      </c>
      <c r="I165" s="50">
        <f>IF(VLOOKUP($D165,$C$5:$AA$494,7,)=0,0,((VLOOKUP($D165,$C$5:$AA$494,7,)/VLOOKUP($D165,$C$5:$AA$494,4,))*$F165))</f>
        <v>0</v>
      </c>
      <c r="J165" s="50"/>
      <c r="K165" s="50">
        <f>IF(VLOOKUP($D165,$C$5:$AA$494,9,)=0,0,((VLOOKUP($D165,$C$5:$AA$494,9,)/VLOOKUP($D165,$C$5:$AA$494,4,))*$F165))</f>
        <v>0</v>
      </c>
      <c r="L165" s="50"/>
      <c r="M165" s="50">
        <f>IF(VLOOKUP($D165,$C$5:$AA$494,11,)=0,0,((VLOOKUP($D165,$C$5:$AA$494,11,)/VLOOKUP($D165,$C$5:$AA$494,4,))*$F165))</f>
        <v>0</v>
      </c>
      <c r="N165" s="50"/>
      <c r="O165" s="50">
        <f>IF(VLOOKUP($D165,$C$5:$AA$494,13,)=0,0,((VLOOKUP($D165,$C$5:$AA$494,13,)/VLOOKUP($D165,$C$5:$AA$494,4,))*$F165))</f>
        <v>0</v>
      </c>
      <c r="P165" s="50">
        <f>IF(VLOOKUP($D165,$C$5:$AA$494,14,)=0,0,((VLOOKUP($D165,$C$5:$AA$494,14,)/VLOOKUP($D165,$C$5:$AA$494,4,))*$F165))</f>
        <v>0</v>
      </c>
      <c r="Q165" s="50"/>
      <c r="R165" s="50">
        <f>IF(VLOOKUP($D165,$C$5:$AA$494,16,)=0,0,((VLOOKUP($D165,$C$5:$AA$494,16,)/VLOOKUP($D165,$C$5:$AA$494,4,))*$F165))</f>
        <v>0</v>
      </c>
      <c r="S165" s="50">
        <f>IF(VLOOKUP($D165,$C$5:$AA$494,17,)=0,0,((VLOOKUP($D165,$C$5:$AA$494,17,)/VLOOKUP($D165,$C$5:$AA$494,4,))*$F165))</f>
        <v>0</v>
      </c>
      <c r="T165" s="50"/>
      <c r="U165" s="50">
        <f>IF(VLOOKUP($D165,$C$5:$AA$494,19,)=0,0,((VLOOKUP($D165,$C$5:$AA$494,19,)/VLOOKUP($D165,$C$5:$AA$494,4,))*$F165))</f>
        <v>0</v>
      </c>
      <c r="V165" s="50"/>
      <c r="W165" s="50">
        <f>IF(VLOOKUP($D165,$C$5:$AA$494,21,)=0,0,((VLOOKUP($D165,$C$5:$AA$494,21,)/VLOOKUP($D165,$C$5:$AA$494,4,))*$F165))</f>
        <v>0</v>
      </c>
      <c r="X165" s="50"/>
      <c r="Y165" s="50">
        <f>IF(VLOOKUP($D165,$C$5:$AA$494,23,)=0,0,((VLOOKUP($D165,$C$5:$AA$494,23,)/VLOOKUP($D165,$C$5:$AA$494,4,))*$F165))</f>
        <v>0</v>
      </c>
      <c r="Z165" s="50"/>
      <c r="AA165" s="50">
        <f>IF(VLOOKUP($D165,$C$5:$AA$494,25,)=0,0,((VLOOKUP($D165,$C$5:$AA$494,25,)/VLOOKUP($D165,$C$5:$AA$494,4,))*$F165))</f>
        <v>0</v>
      </c>
      <c r="AB165" s="50">
        <f>SUM(H165:AA165)</f>
        <v>0</v>
      </c>
      <c r="AC165" s="31" t="str">
        <f>IF(ABS(AB165-F165)&lt;1,"ok","err")</f>
        <v>ok</v>
      </c>
    </row>
    <row r="166" spans="1:29" x14ac:dyDescent="0.2">
      <c r="A166" s="14">
        <v>514</v>
      </c>
      <c r="B166" s="14" t="s">
        <v>806</v>
      </c>
      <c r="C166" s="14" t="s">
        <v>822</v>
      </c>
      <c r="D166" s="14" t="s">
        <v>552</v>
      </c>
      <c r="F166" s="50">
        <v>0</v>
      </c>
      <c r="H166" s="50">
        <f>IF(VLOOKUP($D166,$C$5:$AA$494,6,)=0,0,((VLOOKUP($D166,$C$5:$AA$494,6,)/VLOOKUP($D166,$C$5:$AA$494,4,))*$F166))</f>
        <v>0</v>
      </c>
      <c r="I166" s="50">
        <f>IF(VLOOKUP($D166,$C$5:$AA$494,7,)=0,0,((VLOOKUP($D166,$C$5:$AA$494,7,)/VLOOKUP($D166,$C$5:$AA$494,4,))*$F166))</f>
        <v>0</v>
      </c>
      <c r="J166" s="50"/>
      <c r="K166" s="50">
        <f>IF(VLOOKUP($D166,$C$5:$AA$494,9,)=0,0,((VLOOKUP($D166,$C$5:$AA$494,9,)/VLOOKUP($D166,$C$5:$AA$494,4,))*$F166))</f>
        <v>0</v>
      </c>
      <c r="L166" s="50"/>
      <c r="M166" s="50">
        <f>IF(VLOOKUP($D166,$C$5:$AA$494,11,)=0,0,((VLOOKUP($D166,$C$5:$AA$494,11,)/VLOOKUP($D166,$C$5:$AA$494,4,))*$F166))</f>
        <v>0</v>
      </c>
      <c r="N166" s="50"/>
      <c r="O166" s="50">
        <f>IF(VLOOKUP($D166,$C$5:$AA$494,13,)=0,0,((VLOOKUP($D166,$C$5:$AA$494,13,)/VLOOKUP($D166,$C$5:$AA$494,4,))*$F166))</f>
        <v>0</v>
      </c>
      <c r="P166" s="50">
        <f>IF(VLOOKUP($D166,$C$5:$AA$494,14,)=0,0,((VLOOKUP($D166,$C$5:$AA$494,14,)/VLOOKUP($D166,$C$5:$AA$494,4,))*$F166))</f>
        <v>0</v>
      </c>
      <c r="Q166" s="50"/>
      <c r="R166" s="50">
        <f>IF(VLOOKUP($D166,$C$5:$AA$494,16,)=0,0,((VLOOKUP($D166,$C$5:$AA$494,16,)/VLOOKUP($D166,$C$5:$AA$494,4,))*$F166))</f>
        <v>0</v>
      </c>
      <c r="S166" s="50">
        <f>IF(VLOOKUP($D166,$C$5:$AA$494,17,)=0,0,((VLOOKUP($D166,$C$5:$AA$494,17,)/VLOOKUP($D166,$C$5:$AA$494,4,))*$F166))</f>
        <v>0</v>
      </c>
      <c r="T166" s="50"/>
      <c r="U166" s="50">
        <f>IF(VLOOKUP($D166,$C$5:$AA$494,19,)=0,0,((VLOOKUP($D166,$C$5:$AA$494,19,)/VLOOKUP($D166,$C$5:$AA$494,4,))*$F166))</f>
        <v>0</v>
      </c>
      <c r="V166" s="50"/>
      <c r="W166" s="50">
        <f>IF(VLOOKUP($D166,$C$5:$AA$494,21,)=0,0,((VLOOKUP($D166,$C$5:$AA$494,21,)/VLOOKUP($D166,$C$5:$AA$494,4,))*$F166))</f>
        <v>0</v>
      </c>
      <c r="X166" s="50"/>
      <c r="Y166" s="50">
        <f>IF(VLOOKUP($D166,$C$5:$AA$494,23,)=0,0,((VLOOKUP($D166,$C$5:$AA$494,23,)/VLOOKUP($D166,$C$5:$AA$494,4,))*$F166))</f>
        <v>0</v>
      </c>
      <c r="Z166" s="50"/>
      <c r="AA166" s="50">
        <f>IF(VLOOKUP($D166,$C$5:$AA$494,25,)=0,0,((VLOOKUP($D166,$C$5:$AA$494,25,)/VLOOKUP($D166,$C$5:$AA$494,4,))*$F166))</f>
        <v>0</v>
      </c>
      <c r="AB166" s="50">
        <f>SUM(H166:AA166)</f>
        <v>0</v>
      </c>
      <c r="AC166" s="31" t="str">
        <f>IF(ABS(AB166-F166)&lt;1,"ok","err")</f>
        <v>ok</v>
      </c>
    </row>
    <row r="167" spans="1:29" x14ac:dyDescent="0.2">
      <c r="F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31"/>
    </row>
    <row r="168" spans="1:29" x14ac:dyDescent="0.2">
      <c r="A168" s="14" t="s">
        <v>791</v>
      </c>
      <c r="C168" s="14" t="s">
        <v>817</v>
      </c>
      <c r="F168" s="66">
        <f>SUM(F162:F167)</f>
        <v>0</v>
      </c>
      <c r="H168" s="66">
        <f>SUM(H162:H167)</f>
        <v>0</v>
      </c>
      <c r="I168" s="66">
        <f>SUM(I162:I167)</f>
        <v>0</v>
      </c>
      <c r="J168" s="66"/>
      <c r="K168" s="66">
        <f>SUM(K162:K167)</f>
        <v>0</v>
      </c>
      <c r="L168" s="66"/>
      <c r="M168" s="66">
        <f>SUM(M162:M167)</f>
        <v>0</v>
      </c>
      <c r="N168" s="66"/>
      <c r="O168" s="66">
        <f>SUM(O162:O167)</f>
        <v>0</v>
      </c>
      <c r="P168" s="66">
        <f>SUM(P162:P167)</f>
        <v>0</v>
      </c>
      <c r="Q168" s="66"/>
      <c r="R168" s="66">
        <f>SUM(R162:R167)</f>
        <v>0</v>
      </c>
      <c r="S168" s="66">
        <f>SUM(S162:S167)</f>
        <v>0</v>
      </c>
      <c r="T168" s="66"/>
      <c r="U168" s="66">
        <f>SUM(U162:U167)</f>
        <v>0</v>
      </c>
      <c r="V168" s="66"/>
      <c r="W168" s="66">
        <f>SUM(W162:W167)</f>
        <v>0</v>
      </c>
      <c r="X168" s="66"/>
      <c r="Y168" s="66">
        <f>SUM(Y162:Y167)</f>
        <v>0</v>
      </c>
      <c r="Z168" s="66"/>
      <c r="AA168" s="66">
        <f>SUM(AA162:AA167)</f>
        <v>0</v>
      </c>
      <c r="AB168" s="50">
        <f>SUM(H168:AA168)</f>
        <v>0</v>
      </c>
      <c r="AC168" s="31" t="str">
        <f>IF(ABS(AB168-F168)&lt;1,"ok","err")</f>
        <v>ok</v>
      </c>
    </row>
    <row r="169" spans="1:29" x14ac:dyDescent="0.2">
      <c r="F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C169" s="31"/>
    </row>
    <row r="170" spans="1:29" x14ac:dyDescent="0.2">
      <c r="A170" s="14" t="s">
        <v>792</v>
      </c>
      <c r="C170" s="14" t="s">
        <v>825</v>
      </c>
      <c r="F170" s="50">
        <f>F159+F168</f>
        <v>0</v>
      </c>
      <c r="H170" s="50">
        <f>H159+H168</f>
        <v>0</v>
      </c>
      <c r="I170" s="50">
        <f>I159+I168</f>
        <v>0</v>
      </c>
      <c r="J170" s="50"/>
      <c r="K170" s="50">
        <f>K159+K168</f>
        <v>0</v>
      </c>
      <c r="L170" s="50"/>
      <c r="M170" s="50">
        <f>M159+M168</f>
        <v>0</v>
      </c>
      <c r="N170" s="50"/>
      <c r="O170" s="50">
        <f>O159+O168</f>
        <v>0</v>
      </c>
      <c r="P170" s="50">
        <f>P159+P168</f>
        <v>0</v>
      </c>
      <c r="Q170" s="50"/>
      <c r="R170" s="50">
        <f>R159+R168</f>
        <v>0</v>
      </c>
      <c r="S170" s="50">
        <f>S159+S168</f>
        <v>0</v>
      </c>
      <c r="T170" s="50"/>
      <c r="U170" s="50">
        <f>U159+U168</f>
        <v>0</v>
      </c>
      <c r="V170" s="50"/>
      <c r="W170" s="50">
        <f>W159+W168</f>
        <v>0</v>
      </c>
      <c r="X170" s="50"/>
      <c r="Y170" s="50">
        <f>Y159+Y168</f>
        <v>0</v>
      </c>
      <c r="Z170" s="50"/>
      <c r="AA170" s="50">
        <f>AA159+AA168</f>
        <v>0</v>
      </c>
      <c r="AB170" s="50">
        <f>SUM(H170:AA170)</f>
        <v>0</v>
      </c>
      <c r="AC170" s="31" t="str">
        <f>IF(ABS(AB170-F170)&lt;1,"ok","err")</f>
        <v>ok</v>
      </c>
    </row>
    <row r="171" spans="1:29" x14ac:dyDescent="0.2">
      <c r="F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C171" s="31"/>
    </row>
    <row r="172" spans="1:29" x14ac:dyDescent="0.2">
      <c r="A172" s="29" t="s">
        <v>136</v>
      </c>
      <c r="F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C172" s="31"/>
    </row>
    <row r="173" spans="1:29" x14ac:dyDescent="0.2">
      <c r="F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C173" s="31"/>
    </row>
    <row r="174" spans="1:29" x14ac:dyDescent="0.2">
      <c r="A174" s="13" t="s">
        <v>96</v>
      </c>
      <c r="H174" s="66"/>
      <c r="I174" s="66"/>
      <c r="Q174" s="14"/>
      <c r="AC174" s="31"/>
    </row>
    <row r="175" spans="1:29" x14ac:dyDescent="0.2">
      <c r="A175" s="14">
        <v>555</v>
      </c>
      <c r="B175" s="14" t="s">
        <v>379</v>
      </c>
      <c r="C175" s="14" t="s">
        <v>397</v>
      </c>
      <c r="D175" s="14" t="s">
        <v>97</v>
      </c>
      <c r="F175" s="66">
        <f>70048353+11045915+174215+458027</f>
        <v>81726510</v>
      </c>
      <c r="G175" s="66"/>
      <c r="H175" s="66">
        <f>IF(VLOOKUP($D175,$C$5:$AA$494,6,)=0,0,((VLOOKUP($D175,$C$5:$AA$494,6,)/VLOOKUP($D175,$C$5:$AA$494,4,))*$F175))</f>
        <v>22680439.375992071</v>
      </c>
      <c r="I175" s="66">
        <f>IF(VLOOKUP($D175,$C$5:$AA$494,7,)=0,0,((VLOOKUP($D175,$C$5:$AA$494,7,)/VLOOKUP($D175,$C$5:$AA$494,4,))*$F175))</f>
        <v>59046070.624007918</v>
      </c>
      <c r="J175" s="50"/>
      <c r="K175" s="50">
        <f>IF(VLOOKUP($D175,$C$5:$AA$494,9,)=0,0,((VLOOKUP($D175,$C$5:$AA$494,9,)/VLOOKUP($D175,$C$5:$AA$494,4,))*$F175))</f>
        <v>0</v>
      </c>
      <c r="L175" s="50"/>
      <c r="M175" s="50">
        <f>IF(VLOOKUP($D175,$C$5:$AA$494,11,)=0,0,((VLOOKUP($D175,$C$5:$AA$494,11,)/VLOOKUP($D175,$C$5:$AA$494,4,))*$F175))</f>
        <v>0</v>
      </c>
      <c r="N175" s="50"/>
      <c r="O175" s="50">
        <f>IF(VLOOKUP($D175,$C$5:$AA$494,13,)=0,0,((VLOOKUP($D175,$C$5:$AA$494,13,)/VLOOKUP($D175,$C$5:$AA$494,4,))*$F175))</f>
        <v>0</v>
      </c>
      <c r="P175" s="50">
        <f>IF(VLOOKUP($D175,$C$5:$AA$494,14,)=0,0,((VLOOKUP($D175,$C$5:$AA$494,14,)/VLOOKUP($D175,$C$5:$AA$494,4,))*$F175))</f>
        <v>0</v>
      </c>
      <c r="Q175" s="50"/>
      <c r="R175" s="50">
        <f>IF(VLOOKUP($D175,$C$5:$AA$494,16,)=0,0,((VLOOKUP($D175,$C$5:$AA$494,16,)/VLOOKUP($D175,$C$5:$AA$494,4,))*$F175))</f>
        <v>0</v>
      </c>
      <c r="S175" s="50">
        <f>IF(VLOOKUP($D175,$C$5:$AA$494,17,)=0,0,((VLOOKUP($D175,$C$5:$AA$494,17,)/VLOOKUP($D175,$C$5:$AA$494,4,))*$F175))</f>
        <v>0</v>
      </c>
      <c r="T175" s="50"/>
      <c r="U175" s="50">
        <f>IF(VLOOKUP($D175,$C$5:$AA$494,19,)=0,0,((VLOOKUP($D175,$C$5:$AA$494,19,)/VLOOKUP($D175,$C$5:$AA$494,4,))*$F175))</f>
        <v>0</v>
      </c>
      <c r="V175" s="50"/>
      <c r="W175" s="50">
        <f>IF(VLOOKUP($D175,$C$5:$AA$494,21,)=0,0,((VLOOKUP($D175,$C$5:$AA$494,21,)/VLOOKUP($D175,$C$5:$AA$494,4,))*$F175))</f>
        <v>0</v>
      </c>
      <c r="X175" s="50"/>
      <c r="Y175" s="50">
        <f>IF(VLOOKUP($D175,$C$5:$AA$494,23,)=0,0,((VLOOKUP($D175,$C$5:$AA$494,23,)/VLOOKUP($D175,$C$5:$AA$494,4,))*$F175))</f>
        <v>0</v>
      </c>
      <c r="Z175" s="50"/>
      <c r="AA175" s="50">
        <f>IF(VLOOKUP($D175,$C$5:$AA$494,25,)=0,0,((VLOOKUP($D175,$C$5:$AA$494,25,)/VLOOKUP($D175,$C$5:$AA$494,4,))*$F175))</f>
        <v>0</v>
      </c>
      <c r="AB175" s="50">
        <f>SUM(H175:AA175)</f>
        <v>81726509.999999985</v>
      </c>
      <c r="AC175" s="31" t="str">
        <f>IF(ABS(AB175-F175)&lt;1,"ok","err")</f>
        <v>ok</v>
      </c>
    </row>
    <row r="176" spans="1:29" x14ac:dyDescent="0.2">
      <c r="A176" s="14">
        <v>556</v>
      </c>
      <c r="B176" s="14" t="s">
        <v>909</v>
      </c>
      <c r="C176" s="14" t="s">
        <v>910</v>
      </c>
      <c r="D176" s="14" t="s">
        <v>97</v>
      </c>
      <c r="F176" s="50">
        <v>0</v>
      </c>
      <c r="G176" s="66"/>
      <c r="H176" s="50">
        <f>IF(VLOOKUP($D176,$C$5:$AA$494,6,)=0,0,((VLOOKUP($D176,$C$5:$AA$494,6,)/VLOOKUP($D176,$C$5:$AA$494,4,))*$F176))</f>
        <v>0</v>
      </c>
      <c r="I176" s="50">
        <f>IF(VLOOKUP($D176,$C$5:$AA$494,7,)=0,0,((VLOOKUP($D176,$C$5:$AA$494,7,)/VLOOKUP($D176,$C$5:$AA$494,4,))*$F176))</f>
        <v>0</v>
      </c>
      <c r="J176" s="50"/>
      <c r="K176" s="50">
        <f>IF(VLOOKUP($D176,$C$5:$AA$494,9,)=0,0,((VLOOKUP($D176,$C$5:$AA$494,9,)/VLOOKUP($D176,$C$5:$AA$494,4,))*$F176))</f>
        <v>0</v>
      </c>
      <c r="L176" s="50"/>
      <c r="M176" s="50">
        <f>IF(VLOOKUP($D176,$C$5:$AA$494,11,)=0,0,((VLOOKUP($D176,$C$5:$AA$494,11,)/VLOOKUP($D176,$C$5:$AA$494,4,))*$F176))</f>
        <v>0</v>
      </c>
      <c r="N176" s="50"/>
      <c r="O176" s="50">
        <f>IF(VLOOKUP($D176,$C$5:$AA$494,13,)=0,0,((VLOOKUP($D176,$C$5:$AA$494,13,)/VLOOKUP($D176,$C$5:$AA$494,4,))*$F176))</f>
        <v>0</v>
      </c>
      <c r="P176" s="50">
        <f>IF(VLOOKUP($D176,$C$5:$AA$494,14,)=0,0,((VLOOKUP($D176,$C$5:$AA$494,14,)/VLOOKUP($D176,$C$5:$AA$494,4,))*$F176))</f>
        <v>0</v>
      </c>
      <c r="Q176" s="50"/>
      <c r="R176" s="50">
        <f>IF(VLOOKUP($D176,$C$5:$AA$494,16,)=0,0,((VLOOKUP($D176,$C$5:$AA$494,16,)/VLOOKUP($D176,$C$5:$AA$494,4,))*$F176))</f>
        <v>0</v>
      </c>
      <c r="S176" s="50">
        <f>IF(VLOOKUP($D176,$C$5:$AA$494,17,)=0,0,((VLOOKUP($D176,$C$5:$AA$494,17,)/VLOOKUP($D176,$C$5:$AA$494,4,))*$F176))</f>
        <v>0</v>
      </c>
      <c r="T176" s="50"/>
      <c r="U176" s="50">
        <f>IF(VLOOKUP($D176,$C$5:$AA$494,19,)=0,0,((VLOOKUP($D176,$C$5:$AA$494,19,)/VLOOKUP($D176,$C$5:$AA$494,4,))*$F176))</f>
        <v>0</v>
      </c>
      <c r="V176" s="50"/>
      <c r="W176" s="50">
        <f>IF(VLOOKUP($D176,$C$5:$AA$494,21,)=0,0,((VLOOKUP($D176,$C$5:$AA$494,21,)/VLOOKUP($D176,$C$5:$AA$494,4,))*$F176))</f>
        <v>0</v>
      </c>
      <c r="X176" s="50"/>
      <c r="Y176" s="50">
        <f>IF(VLOOKUP($D176,$C$5:$AA$494,23,)=0,0,((VLOOKUP($D176,$C$5:$AA$494,23,)/VLOOKUP($D176,$C$5:$AA$494,4,))*$F176))</f>
        <v>0</v>
      </c>
      <c r="Z176" s="50"/>
      <c r="AA176" s="50">
        <f>IF(VLOOKUP($D176,$C$5:$AA$494,25,)=0,0,((VLOOKUP($D176,$C$5:$AA$494,25,)/VLOOKUP($D176,$C$5:$AA$494,4,))*$F176))</f>
        <v>0</v>
      </c>
      <c r="AB176" s="50">
        <f>SUM(H176:AA176)</f>
        <v>0</v>
      </c>
      <c r="AC176" s="31" t="str">
        <f>IF(ABS(AB176-F176)&lt;1,"ok","err")</f>
        <v>ok</v>
      </c>
    </row>
    <row r="177" spans="1:29" x14ac:dyDescent="0.2">
      <c r="A177" s="14">
        <v>557</v>
      </c>
      <c r="B177" s="14" t="s">
        <v>398</v>
      </c>
      <c r="C177" s="14" t="s">
        <v>400</v>
      </c>
      <c r="D177" s="14" t="s">
        <v>97</v>
      </c>
      <c r="F177" s="50">
        <v>0</v>
      </c>
      <c r="G177" s="66"/>
      <c r="H177" s="50">
        <f>IF(VLOOKUP($D177,$C$5:$AA$494,6,)=0,0,((VLOOKUP($D177,$C$5:$AA$494,6,)/VLOOKUP($D177,$C$5:$AA$494,4,))*$F177))</f>
        <v>0</v>
      </c>
      <c r="I177" s="50">
        <f>IF(VLOOKUP($D177,$C$5:$AA$494,7,)=0,0,((VLOOKUP($D177,$C$5:$AA$494,7,)/VLOOKUP($D177,$C$5:$AA$494,4,))*$F177))</f>
        <v>0</v>
      </c>
      <c r="J177" s="50"/>
      <c r="K177" s="50">
        <f>IF(VLOOKUP($D177,$C$5:$AA$494,9,)=0,0,((VLOOKUP($D177,$C$5:$AA$494,9,)/VLOOKUP($D177,$C$5:$AA$494,4,))*$F177))</f>
        <v>0</v>
      </c>
      <c r="L177" s="50"/>
      <c r="M177" s="50">
        <f>IF(VLOOKUP($D177,$C$5:$AA$494,11,)=0,0,((VLOOKUP($D177,$C$5:$AA$494,11,)/VLOOKUP($D177,$C$5:$AA$494,4,))*$F177))</f>
        <v>0</v>
      </c>
      <c r="N177" s="50"/>
      <c r="O177" s="50">
        <f>IF(VLOOKUP($D177,$C$5:$AA$494,13,)=0,0,((VLOOKUP($D177,$C$5:$AA$494,13,)/VLOOKUP($D177,$C$5:$AA$494,4,))*$F177))</f>
        <v>0</v>
      </c>
      <c r="P177" s="50">
        <f>IF(VLOOKUP($D177,$C$5:$AA$494,14,)=0,0,((VLOOKUP($D177,$C$5:$AA$494,14,)/VLOOKUP($D177,$C$5:$AA$494,4,))*$F177))</f>
        <v>0</v>
      </c>
      <c r="Q177" s="50"/>
      <c r="R177" s="50">
        <f>IF(VLOOKUP($D177,$C$5:$AA$494,16,)=0,0,((VLOOKUP($D177,$C$5:$AA$494,16,)/VLOOKUP($D177,$C$5:$AA$494,4,))*$F177))</f>
        <v>0</v>
      </c>
      <c r="S177" s="50">
        <f>IF(VLOOKUP($D177,$C$5:$AA$494,17,)=0,0,((VLOOKUP($D177,$C$5:$AA$494,17,)/VLOOKUP($D177,$C$5:$AA$494,4,))*$F177))</f>
        <v>0</v>
      </c>
      <c r="T177" s="50"/>
      <c r="U177" s="50">
        <f>IF(VLOOKUP($D177,$C$5:$AA$494,19,)=0,0,((VLOOKUP($D177,$C$5:$AA$494,19,)/VLOOKUP($D177,$C$5:$AA$494,4,))*$F177))</f>
        <v>0</v>
      </c>
      <c r="V177" s="50"/>
      <c r="W177" s="50">
        <f>IF(VLOOKUP($D177,$C$5:$AA$494,21,)=0,0,((VLOOKUP($D177,$C$5:$AA$494,21,)/VLOOKUP($D177,$C$5:$AA$494,4,))*$F177))</f>
        <v>0</v>
      </c>
      <c r="X177" s="50"/>
      <c r="Y177" s="50">
        <f>IF(VLOOKUP($D177,$C$5:$AA$494,23,)=0,0,((VLOOKUP($D177,$C$5:$AA$494,23,)/VLOOKUP($D177,$C$5:$AA$494,4,))*$F177))</f>
        <v>0</v>
      </c>
      <c r="Z177" s="50"/>
      <c r="AA177" s="50">
        <f>IF(VLOOKUP($D177,$C$5:$AA$494,25,)=0,0,((VLOOKUP($D177,$C$5:$AA$494,25,)/VLOOKUP($D177,$C$5:$AA$494,4,))*$F177))</f>
        <v>0</v>
      </c>
      <c r="AB177" s="50">
        <f>SUM(H177:AA177)</f>
        <v>0</v>
      </c>
      <c r="AC177" s="31" t="str">
        <f>IF(ABS(AB177-F177)&lt;1,"ok","err")</f>
        <v>ok</v>
      </c>
    </row>
    <row r="178" spans="1:29" x14ac:dyDescent="0.2">
      <c r="A178" s="14">
        <v>559</v>
      </c>
      <c r="B178" s="14" t="s">
        <v>832</v>
      </c>
      <c r="C178" s="14" t="s">
        <v>833</v>
      </c>
      <c r="D178" s="14" t="s">
        <v>97</v>
      </c>
      <c r="F178" s="50">
        <v>0</v>
      </c>
      <c r="G178" s="66"/>
      <c r="H178" s="50">
        <f>IF(VLOOKUP($D178,$C$5:$AA$494,6,)=0,0,((VLOOKUP($D178,$C$5:$AA$494,6,)/VLOOKUP($D178,$C$5:$AA$494,4,))*$F178))</f>
        <v>0</v>
      </c>
      <c r="I178" s="50">
        <f>IF(VLOOKUP($D178,$C$5:$AA$494,7,)=0,0,((VLOOKUP($D178,$C$5:$AA$494,7,)/VLOOKUP($D178,$C$5:$AA$494,4,))*$F178))</f>
        <v>0</v>
      </c>
      <c r="J178" s="50"/>
      <c r="K178" s="50">
        <f>IF(VLOOKUP($D178,$C$5:$AA$494,9,)=0,0,((VLOOKUP($D178,$C$5:$AA$494,9,)/VLOOKUP($D178,$C$5:$AA$494,4,))*$F178))</f>
        <v>0</v>
      </c>
      <c r="L178" s="50"/>
      <c r="M178" s="50">
        <f>IF(VLOOKUP($D178,$C$5:$AA$494,11,)=0,0,((VLOOKUP($D178,$C$5:$AA$494,11,)/VLOOKUP($D178,$C$5:$AA$494,4,))*$F178))</f>
        <v>0</v>
      </c>
      <c r="N178" s="50"/>
      <c r="O178" s="50">
        <f>IF(VLOOKUP($D178,$C$5:$AA$494,13,)=0,0,((VLOOKUP($D178,$C$5:$AA$494,13,)/VLOOKUP($D178,$C$5:$AA$494,4,))*$F178))</f>
        <v>0</v>
      </c>
      <c r="P178" s="50">
        <f>IF(VLOOKUP($D178,$C$5:$AA$494,14,)=0,0,((VLOOKUP($D178,$C$5:$AA$494,14,)/VLOOKUP($D178,$C$5:$AA$494,4,))*$F178))</f>
        <v>0</v>
      </c>
      <c r="Q178" s="50"/>
      <c r="R178" s="50">
        <f>IF(VLOOKUP($D178,$C$5:$AA$494,16,)=0,0,((VLOOKUP($D178,$C$5:$AA$494,16,)/VLOOKUP($D178,$C$5:$AA$494,4,))*$F178))</f>
        <v>0</v>
      </c>
      <c r="S178" s="50">
        <f>IF(VLOOKUP($D178,$C$5:$AA$494,17,)=0,0,((VLOOKUP($D178,$C$5:$AA$494,17,)/VLOOKUP($D178,$C$5:$AA$494,4,))*$F178))</f>
        <v>0</v>
      </c>
      <c r="T178" s="50"/>
      <c r="U178" s="50">
        <f>IF(VLOOKUP($D178,$C$5:$AA$494,19,)=0,0,((VLOOKUP($D178,$C$5:$AA$494,19,)/VLOOKUP($D178,$C$5:$AA$494,4,))*$F178))</f>
        <v>0</v>
      </c>
      <c r="V178" s="50"/>
      <c r="W178" s="50">
        <f>IF(VLOOKUP($D178,$C$5:$AA$494,21,)=0,0,((VLOOKUP($D178,$C$5:$AA$494,21,)/VLOOKUP($D178,$C$5:$AA$494,4,))*$F178))</f>
        <v>0</v>
      </c>
      <c r="X178" s="50"/>
      <c r="Y178" s="50">
        <f>IF(VLOOKUP($D178,$C$5:$AA$494,23,)=0,0,((VLOOKUP($D178,$C$5:$AA$494,23,)/VLOOKUP($D178,$C$5:$AA$494,4,))*$F178))</f>
        <v>0</v>
      </c>
      <c r="Z178" s="50"/>
      <c r="AA178" s="50">
        <f>IF(VLOOKUP($D178,$C$5:$AA$494,25,)=0,0,((VLOOKUP($D178,$C$5:$AA$494,25,)/VLOOKUP($D178,$C$5:$AA$494,4,))*$F178))</f>
        <v>0</v>
      </c>
      <c r="AB178" s="50">
        <f>SUM(H178:AA178)</f>
        <v>0</v>
      </c>
      <c r="AC178" s="31" t="str">
        <f>IF(ABS(AB178-F178)&lt;1,"ok","err")</f>
        <v>ok</v>
      </c>
    </row>
    <row r="179" spans="1:29" x14ac:dyDescent="0.2"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50"/>
      <c r="AC179" s="31"/>
    </row>
    <row r="180" spans="1:29" x14ac:dyDescent="0.2">
      <c r="A180" s="14" t="s">
        <v>399</v>
      </c>
      <c r="C180" s="14" t="s">
        <v>401</v>
      </c>
      <c r="F180" s="66">
        <f>SUM(F175:F179)</f>
        <v>81726510</v>
      </c>
      <c r="G180" s="66"/>
      <c r="H180" s="66">
        <f>SUM(H175:H179)</f>
        <v>22680439.375992071</v>
      </c>
      <c r="I180" s="66">
        <f t="shared" ref="I180:AA180" si="92">SUM(I175:I179)</f>
        <v>59046070.624007918</v>
      </c>
      <c r="J180" s="66"/>
      <c r="K180" s="66">
        <f t="shared" si="92"/>
        <v>0</v>
      </c>
      <c r="L180" s="66"/>
      <c r="M180" s="66">
        <f t="shared" si="92"/>
        <v>0</v>
      </c>
      <c r="N180" s="66"/>
      <c r="O180" s="66">
        <f t="shared" si="92"/>
        <v>0</v>
      </c>
      <c r="P180" s="66">
        <f t="shared" si="92"/>
        <v>0</v>
      </c>
      <c r="Q180" s="66"/>
      <c r="R180" s="66">
        <f t="shared" si="92"/>
        <v>0</v>
      </c>
      <c r="S180" s="66">
        <f t="shared" si="92"/>
        <v>0</v>
      </c>
      <c r="T180" s="66"/>
      <c r="U180" s="66">
        <f t="shared" si="92"/>
        <v>0</v>
      </c>
      <c r="V180" s="66"/>
      <c r="W180" s="66">
        <f t="shared" si="92"/>
        <v>0</v>
      </c>
      <c r="X180" s="66"/>
      <c r="Y180" s="66">
        <f t="shared" si="92"/>
        <v>0</v>
      </c>
      <c r="Z180" s="66"/>
      <c r="AA180" s="66">
        <f t="shared" si="92"/>
        <v>0</v>
      </c>
      <c r="AB180" s="50">
        <f>SUM(H180:AA180)</f>
        <v>81726509.999999985</v>
      </c>
      <c r="AC180" s="31" t="str">
        <f>IF(ABS(AB180-F180)&lt;1,"ok","err")</f>
        <v>ok</v>
      </c>
    </row>
    <row r="181" spans="1:29" x14ac:dyDescent="0.2"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50"/>
      <c r="AC181" s="31"/>
    </row>
    <row r="182" spans="1:29" x14ac:dyDescent="0.2">
      <c r="A182" s="13" t="s">
        <v>371</v>
      </c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50"/>
      <c r="AC182" s="31"/>
    </row>
    <row r="183" spans="1:29" x14ac:dyDescent="0.2">
      <c r="A183" s="14">
        <v>560</v>
      </c>
      <c r="B183" s="14" t="s">
        <v>374</v>
      </c>
      <c r="C183" s="14" t="s">
        <v>403</v>
      </c>
      <c r="D183" s="14" t="s">
        <v>390</v>
      </c>
      <c r="F183" s="66">
        <v>0</v>
      </c>
      <c r="G183" s="66"/>
      <c r="H183" s="50">
        <f t="shared" ref="H183:H197" si="93">IF((VLOOKUP($D183,$C$5:$AA$494,6,)=0),0,((VLOOKUP($D183,$C$5:$AA$494,6,)/VLOOKUP($D183,$C$5:$AA$494,4,))*$F183))</f>
        <v>0</v>
      </c>
      <c r="I183" s="50">
        <f t="shared" ref="I183:I197" si="94">IF((VLOOKUP($D183,$C$5:$AA$494,7,)=0),0,((VLOOKUP($D183,$C$5:$AA$494,7,)/VLOOKUP($D183,$C$5:$AA$494,4,))*$F183))</f>
        <v>0</v>
      </c>
      <c r="J183" s="50"/>
      <c r="K183" s="50">
        <f t="shared" ref="K183:K197" si="95">IF((VLOOKUP($D183,$C$5:$AA$494,9,)=0),0,((VLOOKUP($D183,$C$5:$AA$494,9,)/VLOOKUP($D183,$C$5:$AA$494,4,))*$F183))</f>
        <v>0</v>
      </c>
      <c r="L183" s="50"/>
      <c r="M183" s="50">
        <f t="shared" ref="M183:M197" si="96">IF((VLOOKUP($D183,$C$5:$AA$494,11,)=0),0,((VLOOKUP($D183,$C$5:$AA$494,11,)/VLOOKUP($D183,$C$5:$AA$494,4,))*$F183))</f>
        <v>0</v>
      </c>
      <c r="N183" s="50"/>
      <c r="O183" s="50">
        <f t="shared" ref="O183:O197" si="97">IF((VLOOKUP($D183,$C$5:$AA$494,13,)=0),0,((VLOOKUP($D183,$C$5:$AA$494,13,)/VLOOKUP($D183,$C$5:$AA$494,4,))*$F183))</f>
        <v>0</v>
      </c>
      <c r="P183" s="50">
        <f t="shared" ref="P183:P197" si="98">IF((VLOOKUP($D183,$C$5:$AA$494,14,)=0),0,((VLOOKUP($D183,$C$5:$AA$494,14,)/VLOOKUP($D183,$C$5:$AA$494,4,))*$F183))</f>
        <v>0</v>
      </c>
      <c r="Q183" s="50"/>
      <c r="R183" s="50">
        <f t="shared" ref="R183:R197" si="99">IF((VLOOKUP($D183,$C$5:$AA$494,16,)=0),0,((VLOOKUP($D183,$C$5:$AA$494,16,)/VLOOKUP($D183,$C$5:$AA$494,4,))*$F183))</f>
        <v>0</v>
      </c>
      <c r="S183" s="50">
        <f t="shared" ref="S183:S197" si="100">IF((VLOOKUP($D183,$C$5:$AA$494,17,)=0),0,((VLOOKUP($D183,$C$5:$AA$494,17,)/VLOOKUP($D183,$C$5:$AA$494,4,))*$F183))</f>
        <v>0</v>
      </c>
      <c r="T183" s="50"/>
      <c r="U183" s="50">
        <f t="shared" ref="U183:U197" si="101">IF((VLOOKUP($D183,$C$5:$AA$494,19,)=0),0,((VLOOKUP($D183,$C$5:$AA$494,19,)/VLOOKUP($D183,$C$5:$AA$494,4,))*$F183))</f>
        <v>0</v>
      </c>
      <c r="V183" s="50"/>
      <c r="W183" s="50">
        <f t="shared" ref="W183:W197" si="102">IF((VLOOKUP($D183,$C$5:$AA$494,21,)=0),0,((VLOOKUP($D183,$C$5:$AA$494,21,)/VLOOKUP($D183,$C$5:$AA$494,4,))*$F183))</f>
        <v>0</v>
      </c>
      <c r="X183" s="50"/>
      <c r="Y183" s="50">
        <f t="shared" ref="Y183:Y197" si="103">IF((VLOOKUP($D183,$C$5:$AA$494,23,)=0),0,((VLOOKUP($D183,$C$5:$AA$494,23,)/VLOOKUP($D183,$C$5:$AA$494,4,))*$F183))</f>
        <v>0</v>
      </c>
      <c r="Z183" s="50"/>
      <c r="AA183" s="50">
        <f t="shared" ref="AA183:AA197" si="104">IF((VLOOKUP($D183,$C$5:$AA$494,25,)=0),0,((VLOOKUP($D183,$C$5:$AA$494,25,)/VLOOKUP($D183,$C$5:$AA$494,4,))*$F183))</f>
        <v>0</v>
      </c>
      <c r="AB183" s="50">
        <f t="shared" ref="AB183:AB197" si="105">SUM(H183:AA183)</f>
        <v>0</v>
      </c>
      <c r="AC183" s="31" t="str">
        <f t="shared" ref="AC183:AC197" si="106">IF(ABS(AB183-F183)&lt;1,"ok","err")</f>
        <v>ok</v>
      </c>
    </row>
    <row r="184" spans="1:29" x14ac:dyDescent="0.2">
      <c r="A184" s="14">
        <v>561</v>
      </c>
      <c r="B184" s="14" t="s">
        <v>101</v>
      </c>
      <c r="C184" s="14" t="s">
        <v>404</v>
      </c>
      <c r="D184" s="14" t="s">
        <v>390</v>
      </c>
      <c r="F184" s="50">
        <v>0</v>
      </c>
      <c r="G184" s="66"/>
      <c r="H184" s="50">
        <f t="shared" si="93"/>
        <v>0</v>
      </c>
      <c r="I184" s="50">
        <f t="shared" si="94"/>
        <v>0</v>
      </c>
      <c r="J184" s="50"/>
      <c r="K184" s="50">
        <f t="shared" si="95"/>
        <v>0</v>
      </c>
      <c r="L184" s="50"/>
      <c r="M184" s="50">
        <f t="shared" si="96"/>
        <v>0</v>
      </c>
      <c r="N184" s="50"/>
      <c r="O184" s="50">
        <f t="shared" si="97"/>
        <v>0</v>
      </c>
      <c r="P184" s="50">
        <f t="shared" si="98"/>
        <v>0</v>
      </c>
      <c r="Q184" s="50"/>
      <c r="R184" s="50">
        <f t="shared" si="99"/>
        <v>0</v>
      </c>
      <c r="S184" s="50">
        <f t="shared" si="100"/>
        <v>0</v>
      </c>
      <c r="T184" s="50"/>
      <c r="U184" s="50">
        <f t="shared" si="101"/>
        <v>0</v>
      </c>
      <c r="V184" s="50"/>
      <c r="W184" s="50">
        <f t="shared" si="102"/>
        <v>0</v>
      </c>
      <c r="X184" s="50"/>
      <c r="Y184" s="50">
        <f t="shared" si="103"/>
        <v>0</v>
      </c>
      <c r="Z184" s="50"/>
      <c r="AA184" s="50">
        <f t="shared" si="104"/>
        <v>0</v>
      </c>
      <c r="AB184" s="50">
        <f t="shared" si="105"/>
        <v>0</v>
      </c>
      <c r="AC184" s="31" t="str">
        <f t="shared" si="106"/>
        <v>ok</v>
      </c>
    </row>
    <row r="185" spans="1:29" x14ac:dyDescent="0.2">
      <c r="A185" s="14">
        <v>562</v>
      </c>
      <c r="B185" s="14" t="s">
        <v>372</v>
      </c>
      <c r="C185" s="14" t="s">
        <v>405</v>
      </c>
      <c r="D185" s="14" t="s">
        <v>390</v>
      </c>
      <c r="F185" s="50">
        <v>0</v>
      </c>
      <c r="G185" s="66"/>
      <c r="H185" s="50">
        <f t="shared" si="93"/>
        <v>0</v>
      </c>
      <c r="I185" s="50">
        <f t="shared" si="94"/>
        <v>0</v>
      </c>
      <c r="J185" s="50"/>
      <c r="K185" s="50">
        <f t="shared" si="95"/>
        <v>0</v>
      </c>
      <c r="L185" s="50"/>
      <c r="M185" s="50">
        <f t="shared" si="96"/>
        <v>0</v>
      </c>
      <c r="N185" s="50"/>
      <c r="O185" s="50">
        <f t="shared" si="97"/>
        <v>0</v>
      </c>
      <c r="P185" s="50">
        <f t="shared" si="98"/>
        <v>0</v>
      </c>
      <c r="Q185" s="50"/>
      <c r="R185" s="50">
        <f t="shared" si="99"/>
        <v>0</v>
      </c>
      <c r="S185" s="50">
        <f t="shared" si="100"/>
        <v>0</v>
      </c>
      <c r="T185" s="50"/>
      <c r="U185" s="50">
        <f t="shared" si="101"/>
        <v>0</v>
      </c>
      <c r="V185" s="50"/>
      <c r="W185" s="50">
        <f t="shared" si="102"/>
        <v>0</v>
      </c>
      <c r="X185" s="50"/>
      <c r="Y185" s="50">
        <f t="shared" si="103"/>
        <v>0</v>
      </c>
      <c r="Z185" s="50"/>
      <c r="AA185" s="50">
        <f t="shared" si="104"/>
        <v>0</v>
      </c>
      <c r="AB185" s="50">
        <f t="shared" si="105"/>
        <v>0</v>
      </c>
      <c r="AC185" s="31" t="str">
        <f t="shared" si="106"/>
        <v>ok</v>
      </c>
    </row>
    <row r="186" spans="1:29" x14ac:dyDescent="0.2">
      <c r="A186" s="14">
        <v>563</v>
      </c>
      <c r="B186" s="14" t="s">
        <v>103</v>
      </c>
      <c r="C186" s="14" t="s">
        <v>406</v>
      </c>
      <c r="D186" s="14" t="s">
        <v>390</v>
      </c>
      <c r="F186" s="50">
        <v>0</v>
      </c>
      <c r="G186" s="66"/>
      <c r="H186" s="50">
        <f t="shared" si="93"/>
        <v>0</v>
      </c>
      <c r="I186" s="50">
        <f t="shared" si="94"/>
        <v>0</v>
      </c>
      <c r="J186" s="50"/>
      <c r="K186" s="50">
        <f t="shared" si="95"/>
        <v>0</v>
      </c>
      <c r="L186" s="50"/>
      <c r="M186" s="50">
        <f t="shared" si="96"/>
        <v>0</v>
      </c>
      <c r="N186" s="50"/>
      <c r="O186" s="50">
        <f t="shared" si="97"/>
        <v>0</v>
      </c>
      <c r="P186" s="50">
        <f t="shared" si="98"/>
        <v>0</v>
      </c>
      <c r="Q186" s="50"/>
      <c r="R186" s="50">
        <f t="shared" si="99"/>
        <v>0</v>
      </c>
      <c r="S186" s="50">
        <f t="shared" si="100"/>
        <v>0</v>
      </c>
      <c r="T186" s="50"/>
      <c r="U186" s="50">
        <f t="shared" si="101"/>
        <v>0</v>
      </c>
      <c r="V186" s="50"/>
      <c r="W186" s="50">
        <f t="shared" si="102"/>
        <v>0</v>
      </c>
      <c r="X186" s="50"/>
      <c r="Y186" s="50">
        <f t="shared" si="103"/>
        <v>0</v>
      </c>
      <c r="Z186" s="50"/>
      <c r="AA186" s="50">
        <f t="shared" si="104"/>
        <v>0</v>
      </c>
      <c r="AB186" s="50">
        <f t="shared" si="105"/>
        <v>0</v>
      </c>
      <c r="AC186" s="31" t="str">
        <f t="shared" si="106"/>
        <v>ok</v>
      </c>
    </row>
    <row r="187" spans="1:29" x14ac:dyDescent="0.2">
      <c r="A187" s="14">
        <v>564</v>
      </c>
      <c r="B187" s="14" t="s">
        <v>105</v>
      </c>
      <c r="C187" s="14" t="s">
        <v>912</v>
      </c>
      <c r="D187" s="14" t="s">
        <v>390</v>
      </c>
      <c r="F187" s="50">
        <v>0</v>
      </c>
      <c r="G187" s="66"/>
      <c r="H187" s="50">
        <f t="shared" si="93"/>
        <v>0</v>
      </c>
      <c r="I187" s="50">
        <f t="shared" si="94"/>
        <v>0</v>
      </c>
      <c r="J187" s="50"/>
      <c r="K187" s="50">
        <f t="shared" si="95"/>
        <v>0</v>
      </c>
      <c r="L187" s="50"/>
      <c r="M187" s="50">
        <f t="shared" si="96"/>
        <v>0</v>
      </c>
      <c r="N187" s="50"/>
      <c r="O187" s="50">
        <f t="shared" si="97"/>
        <v>0</v>
      </c>
      <c r="P187" s="50">
        <f t="shared" si="98"/>
        <v>0</v>
      </c>
      <c r="Q187" s="50"/>
      <c r="R187" s="50">
        <f t="shared" si="99"/>
        <v>0</v>
      </c>
      <c r="S187" s="50">
        <f t="shared" si="100"/>
        <v>0</v>
      </c>
      <c r="T187" s="50"/>
      <c r="U187" s="50">
        <f t="shared" si="101"/>
        <v>0</v>
      </c>
      <c r="V187" s="50"/>
      <c r="W187" s="50">
        <f t="shared" si="102"/>
        <v>0</v>
      </c>
      <c r="X187" s="50"/>
      <c r="Y187" s="50">
        <f t="shared" si="103"/>
        <v>0</v>
      </c>
      <c r="Z187" s="50"/>
      <c r="AA187" s="50">
        <f t="shared" si="104"/>
        <v>0</v>
      </c>
      <c r="AB187" s="50">
        <f>SUM(H187:AA187)</f>
        <v>0</v>
      </c>
      <c r="AC187" s="31" t="str">
        <f>IF(ABS(AB187-F187)&lt;1,"ok","err")</f>
        <v>ok</v>
      </c>
    </row>
    <row r="188" spans="1:29" x14ac:dyDescent="0.2">
      <c r="A188" s="14">
        <v>565</v>
      </c>
      <c r="B188" s="14" t="s">
        <v>911</v>
      </c>
      <c r="C188" s="14" t="s">
        <v>913</v>
      </c>
      <c r="D188" s="14" t="s">
        <v>390</v>
      </c>
      <c r="F188" s="50">
        <v>0</v>
      </c>
      <c r="G188" s="66"/>
      <c r="H188" s="50">
        <f t="shared" si="93"/>
        <v>0</v>
      </c>
      <c r="I188" s="50">
        <f t="shared" si="94"/>
        <v>0</v>
      </c>
      <c r="J188" s="50"/>
      <c r="K188" s="50">
        <f t="shared" si="95"/>
        <v>0</v>
      </c>
      <c r="L188" s="50"/>
      <c r="M188" s="50">
        <f t="shared" si="96"/>
        <v>0</v>
      </c>
      <c r="N188" s="50"/>
      <c r="O188" s="50">
        <f t="shared" si="97"/>
        <v>0</v>
      </c>
      <c r="P188" s="50">
        <f t="shared" si="98"/>
        <v>0</v>
      </c>
      <c r="Q188" s="50"/>
      <c r="R188" s="50">
        <f t="shared" si="99"/>
        <v>0</v>
      </c>
      <c r="S188" s="50">
        <f t="shared" si="100"/>
        <v>0</v>
      </c>
      <c r="T188" s="50"/>
      <c r="U188" s="50">
        <f t="shared" si="101"/>
        <v>0</v>
      </c>
      <c r="V188" s="50"/>
      <c r="W188" s="50">
        <f t="shared" si="102"/>
        <v>0</v>
      </c>
      <c r="X188" s="50"/>
      <c r="Y188" s="50">
        <f t="shared" si="103"/>
        <v>0</v>
      </c>
      <c r="Z188" s="50"/>
      <c r="AA188" s="50">
        <f t="shared" si="104"/>
        <v>0</v>
      </c>
      <c r="AB188" s="50">
        <f>SUM(H188:AA188)</f>
        <v>0</v>
      </c>
      <c r="AC188" s="31" t="str">
        <f>IF(ABS(AB188-F188)&lt;1,"ok","err")</f>
        <v>ok</v>
      </c>
    </row>
    <row r="189" spans="1:29" x14ac:dyDescent="0.2">
      <c r="A189" s="14">
        <v>566</v>
      </c>
      <c r="B189" s="14" t="s">
        <v>585</v>
      </c>
      <c r="C189" s="14" t="s">
        <v>586</v>
      </c>
      <c r="D189" s="14" t="s">
        <v>390</v>
      </c>
      <c r="F189" s="50">
        <v>0</v>
      </c>
      <c r="G189" s="66"/>
      <c r="H189" s="50">
        <f t="shared" si="93"/>
        <v>0</v>
      </c>
      <c r="I189" s="50">
        <f t="shared" si="94"/>
        <v>0</v>
      </c>
      <c r="J189" s="50"/>
      <c r="K189" s="50">
        <f t="shared" si="95"/>
        <v>0</v>
      </c>
      <c r="L189" s="50"/>
      <c r="M189" s="50">
        <f t="shared" si="96"/>
        <v>0</v>
      </c>
      <c r="N189" s="50"/>
      <c r="O189" s="50">
        <f t="shared" si="97"/>
        <v>0</v>
      </c>
      <c r="P189" s="50">
        <f t="shared" si="98"/>
        <v>0</v>
      </c>
      <c r="Q189" s="50"/>
      <c r="R189" s="50">
        <f t="shared" si="99"/>
        <v>0</v>
      </c>
      <c r="S189" s="50">
        <f t="shared" si="100"/>
        <v>0</v>
      </c>
      <c r="T189" s="50"/>
      <c r="U189" s="50">
        <f t="shared" si="101"/>
        <v>0</v>
      </c>
      <c r="V189" s="50"/>
      <c r="W189" s="50">
        <f t="shared" si="102"/>
        <v>0</v>
      </c>
      <c r="X189" s="50"/>
      <c r="Y189" s="50">
        <f t="shared" si="103"/>
        <v>0</v>
      </c>
      <c r="Z189" s="50"/>
      <c r="AA189" s="50">
        <f t="shared" si="104"/>
        <v>0</v>
      </c>
      <c r="AB189" s="50">
        <f>SUM(H189:AA189)</f>
        <v>0</v>
      </c>
      <c r="AC189" s="31" t="str">
        <f>IF(ABS(AB189-F189)&lt;1,"ok","err")</f>
        <v>ok</v>
      </c>
    </row>
    <row r="190" spans="1:29" x14ac:dyDescent="0.2">
      <c r="A190" s="14">
        <v>567</v>
      </c>
      <c r="B190" s="14" t="s">
        <v>115</v>
      </c>
      <c r="C190" s="14" t="s">
        <v>914</v>
      </c>
      <c r="D190" s="14" t="s">
        <v>390</v>
      </c>
      <c r="F190" s="50">
        <v>0</v>
      </c>
      <c r="G190" s="66"/>
      <c r="H190" s="50">
        <f t="shared" si="93"/>
        <v>0</v>
      </c>
      <c r="I190" s="50">
        <f t="shared" si="94"/>
        <v>0</v>
      </c>
      <c r="J190" s="50"/>
      <c r="K190" s="50">
        <f t="shared" si="95"/>
        <v>0</v>
      </c>
      <c r="L190" s="50"/>
      <c r="M190" s="50">
        <f t="shared" si="96"/>
        <v>0</v>
      </c>
      <c r="N190" s="50"/>
      <c r="O190" s="50">
        <f t="shared" si="97"/>
        <v>0</v>
      </c>
      <c r="P190" s="50">
        <f t="shared" si="98"/>
        <v>0</v>
      </c>
      <c r="Q190" s="50"/>
      <c r="R190" s="50">
        <f t="shared" si="99"/>
        <v>0</v>
      </c>
      <c r="S190" s="50">
        <f t="shared" si="100"/>
        <v>0</v>
      </c>
      <c r="T190" s="50"/>
      <c r="U190" s="50">
        <f t="shared" si="101"/>
        <v>0</v>
      </c>
      <c r="V190" s="50"/>
      <c r="W190" s="50">
        <f t="shared" si="102"/>
        <v>0</v>
      </c>
      <c r="X190" s="50"/>
      <c r="Y190" s="50">
        <f t="shared" si="103"/>
        <v>0</v>
      </c>
      <c r="Z190" s="50"/>
      <c r="AA190" s="50">
        <f t="shared" si="104"/>
        <v>0</v>
      </c>
      <c r="AB190" s="50">
        <f>SUM(H190:AA190)</f>
        <v>0</v>
      </c>
      <c r="AC190" s="31" t="str">
        <f>IF(ABS(AB190-F190)&lt;1,"ok","err")</f>
        <v>ok</v>
      </c>
    </row>
    <row r="191" spans="1:29" x14ac:dyDescent="0.2">
      <c r="A191" s="14">
        <v>568</v>
      </c>
      <c r="B191" s="14" t="s">
        <v>915</v>
      </c>
      <c r="C191" s="14" t="s">
        <v>407</v>
      </c>
      <c r="D191" s="14" t="s">
        <v>390</v>
      </c>
      <c r="F191" s="50">
        <v>0</v>
      </c>
      <c r="G191" s="66"/>
      <c r="H191" s="50">
        <f t="shared" si="93"/>
        <v>0</v>
      </c>
      <c r="I191" s="50">
        <f t="shared" si="94"/>
        <v>0</v>
      </c>
      <c r="J191" s="50"/>
      <c r="K191" s="50">
        <f t="shared" si="95"/>
        <v>0</v>
      </c>
      <c r="L191" s="50"/>
      <c r="M191" s="50">
        <f t="shared" si="96"/>
        <v>0</v>
      </c>
      <c r="N191" s="50"/>
      <c r="O191" s="50">
        <f t="shared" si="97"/>
        <v>0</v>
      </c>
      <c r="P191" s="50">
        <f t="shared" si="98"/>
        <v>0</v>
      </c>
      <c r="Q191" s="50"/>
      <c r="R191" s="50">
        <f t="shared" si="99"/>
        <v>0</v>
      </c>
      <c r="S191" s="50">
        <f t="shared" si="100"/>
        <v>0</v>
      </c>
      <c r="T191" s="50"/>
      <c r="U191" s="50">
        <f t="shared" si="101"/>
        <v>0</v>
      </c>
      <c r="V191" s="50"/>
      <c r="W191" s="50">
        <f t="shared" si="102"/>
        <v>0</v>
      </c>
      <c r="X191" s="50"/>
      <c r="Y191" s="50">
        <f t="shared" si="103"/>
        <v>0</v>
      </c>
      <c r="Z191" s="50"/>
      <c r="AA191" s="50">
        <f t="shared" si="104"/>
        <v>0</v>
      </c>
      <c r="AB191" s="50">
        <f>SUM(H191:AA191)</f>
        <v>0</v>
      </c>
      <c r="AC191" s="31" t="str">
        <f>IF(ABS(AB191-F191)&lt;1,"ok","err")</f>
        <v>ok</v>
      </c>
    </row>
    <row r="192" spans="1:29" x14ac:dyDescent="0.2">
      <c r="A192" s="14">
        <v>569</v>
      </c>
      <c r="B192" s="14" t="s">
        <v>803</v>
      </c>
      <c r="C192" s="14" t="s">
        <v>916</v>
      </c>
      <c r="D192" s="14" t="s">
        <v>390</v>
      </c>
      <c r="F192" s="50">
        <v>0</v>
      </c>
      <c r="G192" s="66"/>
      <c r="H192" s="50">
        <f t="shared" si="93"/>
        <v>0</v>
      </c>
      <c r="I192" s="50">
        <f t="shared" si="94"/>
        <v>0</v>
      </c>
      <c r="J192" s="50"/>
      <c r="K192" s="50">
        <f t="shared" si="95"/>
        <v>0</v>
      </c>
      <c r="L192" s="50"/>
      <c r="M192" s="50">
        <f t="shared" si="96"/>
        <v>0</v>
      </c>
      <c r="N192" s="50"/>
      <c r="O192" s="50">
        <f t="shared" si="97"/>
        <v>0</v>
      </c>
      <c r="P192" s="50">
        <f t="shared" si="98"/>
        <v>0</v>
      </c>
      <c r="Q192" s="50"/>
      <c r="R192" s="50">
        <f t="shared" si="99"/>
        <v>0</v>
      </c>
      <c r="S192" s="50">
        <f t="shared" si="100"/>
        <v>0</v>
      </c>
      <c r="T192" s="50"/>
      <c r="U192" s="50">
        <f t="shared" si="101"/>
        <v>0</v>
      </c>
      <c r="V192" s="50"/>
      <c r="W192" s="50">
        <f t="shared" si="102"/>
        <v>0</v>
      </c>
      <c r="X192" s="50"/>
      <c r="Y192" s="50">
        <f t="shared" si="103"/>
        <v>0</v>
      </c>
      <c r="Z192" s="50"/>
      <c r="AA192" s="50">
        <f t="shared" si="104"/>
        <v>0</v>
      </c>
      <c r="AB192" s="50">
        <f t="shared" si="105"/>
        <v>0</v>
      </c>
      <c r="AC192" s="31" t="str">
        <f t="shared" si="106"/>
        <v>ok</v>
      </c>
    </row>
    <row r="193" spans="1:29" x14ac:dyDescent="0.2">
      <c r="A193" s="14">
        <v>570</v>
      </c>
      <c r="B193" s="14" t="s">
        <v>375</v>
      </c>
      <c r="C193" s="14" t="s">
        <v>408</v>
      </c>
      <c r="D193" s="14" t="s">
        <v>390</v>
      </c>
      <c r="F193" s="50">
        <v>0</v>
      </c>
      <c r="G193" s="66"/>
      <c r="H193" s="50">
        <f t="shared" si="93"/>
        <v>0</v>
      </c>
      <c r="I193" s="50">
        <f t="shared" si="94"/>
        <v>0</v>
      </c>
      <c r="J193" s="50"/>
      <c r="K193" s="50">
        <f t="shared" si="95"/>
        <v>0</v>
      </c>
      <c r="L193" s="50"/>
      <c r="M193" s="50">
        <f t="shared" si="96"/>
        <v>0</v>
      </c>
      <c r="N193" s="50"/>
      <c r="O193" s="50">
        <f t="shared" si="97"/>
        <v>0</v>
      </c>
      <c r="P193" s="50">
        <f t="shared" si="98"/>
        <v>0</v>
      </c>
      <c r="Q193" s="50"/>
      <c r="R193" s="50">
        <f t="shared" si="99"/>
        <v>0</v>
      </c>
      <c r="S193" s="50">
        <f t="shared" si="100"/>
        <v>0</v>
      </c>
      <c r="T193" s="50"/>
      <c r="U193" s="50">
        <f t="shared" si="101"/>
        <v>0</v>
      </c>
      <c r="V193" s="50"/>
      <c r="W193" s="50">
        <f t="shared" si="102"/>
        <v>0</v>
      </c>
      <c r="X193" s="50"/>
      <c r="Y193" s="50">
        <f t="shared" si="103"/>
        <v>0</v>
      </c>
      <c r="Z193" s="50"/>
      <c r="AA193" s="50">
        <f t="shared" si="104"/>
        <v>0</v>
      </c>
      <c r="AB193" s="50">
        <f t="shared" si="105"/>
        <v>0</v>
      </c>
      <c r="AC193" s="31" t="str">
        <f t="shared" si="106"/>
        <v>ok</v>
      </c>
    </row>
    <row r="194" spans="1:29" x14ac:dyDescent="0.2">
      <c r="A194" s="14">
        <v>571</v>
      </c>
      <c r="B194" s="14" t="s">
        <v>376</v>
      </c>
      <c r="C194" s="14" t="s">
        <v>409</v>
      </c>
      <c r="D194" s="14" t="s">
        <v>390</v>
      </c>
      <c r="F194" s="50">
        <v>0</v>
      </c>
      <c r="G194" s="66"/>
      <c r="H194" s="50">
        <f t="shared" si="93"/>
        <v>0</v>
      </c>
      <c r="I194" s="50">
        <f t="shared" si="94"/>
        <v>0</v>
      </c>
      <c r="J194" s="50"/>
      <c r="K194" s="50">
        <f t="shared" si="95"/>
        <v>0</v>
      </c>
      <c r="L194" s="50"/>
      <c r="M194" s="50">
        <f t="shared" si="96"/>
        <v>0</v>
      </c>
      <c r="N194" s="50"/>
      <c r="O194" s="50">
        <f t="shared" si="97"/>
        <v>0</v>
      </c>
      <c r="P194" s="50">
        <f t="shared" si="98"/>
        <v>0</v>
      </c>
      <c r="Q194" s="50"/>
      <c r="R194" s="50">
        <f t="shared" si="99"/>
        <v>0</v>
      </c>
      <c r="S194" s="50">
        <f t="shared" si="100"/>
        <v>0</v>
      </c>
      <c r="T194" s="50"/>
      <c r="U194" s="50">
        <f t="shared" si="101"/>
        <v>0</v>
      </c>
      <c r="V194" s="50"/>
      <c r="W194" s="50">
        <f t="shared" si="102"/>
        <v>0</v>
      </c>
      <c r="X194" s="50"/>
      <c r="Y194" s="50">
        <f t="shared" si="103"/>
        <v>0</v>
      </c>
      <c r="Z194" s="50"/>
      <c r="AA194" s="50">
        <f t="shared" si="104"/>
        <v>0</v>
      </c>
      <c r="AB194" s="50">
        <f t="shared" si="105"/>
        <v>0</v>
      </c>
      <c r="AC194" s="31" t="str">
        <f t="shared" si="106"/>
        <v>ok</v>
      </c>
    </row>
    <row r="195" spans="1:29" x14ac:dyDescent="0.2">
      <c r="A195" s="14">
        <v>572</v>
      </c>
      <c r="B195" s="14" t="s">
        <v>922</v>
      </c>
      <c r="C195" s="14" t="s">
        <v>919</v>
      </c>
      <c r="D195" s="14" t="s">
        <v>390</v>
      </c>
      <c r="F195" s="50">
        <v>0</v>
      </c>
      <c r="G195" s="66"/>
      <c r="H195" s="50">
        <f t="shared" si="93"/>
        <v>0</v>
      </c>
      <c r="I195" s="50">
        <f t="shared" si="94"/>
        <v>0</v>
      </c>
      <c r="J195" s="50"/>
      <c r="K195" s="50">
        <f t="shared" si="95"/>
        <v>0</v>
      </c>
      <c r="L195" s="50"/>
      <c r="M195" s="50">
        <f t="shared" si="96"/>
        <v>0</v>
      </c>
      <c r="N195" s="50"/>
      <c r="O195" s="50">
        <f t="shared" si="97"/>
        <v>0</v>
      </c>
      <c r="P195" s="50">
        <f t="shared" si="98"/>
        <v>0</v>
      </c>
      <c r="Q195" s="50"/>
      <c r="R195" s="50">
        <f t="shared" si="99"/>
        <v>0</v>
      </c>
      <c r="S195" s="50">
        <f t="shared" si="100"/>
        <v>0</v>
      </c>
      <c r="T195" s="50"/>
      <c r="U195" s="50">
        <f t="shared" si="101"/>
        <v>0</v>
      </c>
      <c r="V195" s="50"/>
      <c r="W195" s="50">
        <f t="shared" si="102"/>
        <v>0</v>
      </c>
      <c r="X195" s="50"/>
      <c r="Y195" s="50">
        <f t="shared" si="103"/>
        <v>0</v>
      </c>
      <c r="Z195" s="50"/>
      <c r="AA195" s="50">
        <f t="shared" si="104"/>
        <v>0</v>
      </c>
      <c r="AB195" s="50">
        <f>SUM(H195:AA195)</f>
        <v>0</v>
      </c>
      <c r="AC195" s="31" t="str">
        <f>IF(ABS(AB195-F195)&lt;1,"ok","err")</f>
        <v>ok</v>
      </c>
    </row>
    <row r="196" spans="1:29" x14ac:dyDescent="0.2">
      <c r="A196" s="14">
        <v>573</v>
      </c>
      <c r="B196" s="14" t="s">
        <v>917</v>
      </c>
      <c r="C196" s="14" t="s">
        <v>920</v>
      </c>
      <c r="D196" s="14" t="s">
        <v>390</v>
      </c>
      <c r="F196" s="50">
        <v>0</v>
      </c>
      <c r="G196" s="66"/>
      <c r="H196" s="50">
        <f t="shared" si="93"/>
        <v>0</v>
      </c>
      <c r="I196" s="50">
        <f t="shared" si="94"/>
        <v>0</v>
      </c>
      <c r="J196" s="50"/>
      <c r="K196" s="50">
        <f t="shared" si="95"/>
        <v>0</v>
      </c>
      <c r="L196" s="50"/>
      <c r="M196" s="50">
        <f t="shared" si="96"/>
        <v>0</v>
      </c>
      <c r="N196" s="50"/>
      <c r="O196" s="50">
        <f t="shared" si="97"/>
        <v>0</v>
      </c>
      <c r="P196" s="50">
        <f t="shared" si="98"/>
        <v>0</v>
      </c>
      <c r="Q196" s="50"/>
      <c r="R196" s="50">
        <f t="shared" si="99"/>
        <v>0</v>
      </c>
      <c r="S196" s="50">
        <f t="shared" si="100"/>
        <v>0</v>
      </c>
      <c r="T196" s="50"/>
      <c r="U196" s="50">
        <f t="shared" si="101"/>
        <v>0</v>
      </c>
      <c r="V196" s="50"/>
      <c r="W196" s="50">
        <f t="shared" si="102"/>
        <v>0</v>
      </c>
      <c r="X196" s="50"/>
      <c r="Y196" s="50">
        <f t="shared" si="103"/>
        <v>0</v>
      </c>
      <c r="Z196" s="50"/>
      <c r="AA196" s="50">
        <f t="shared" si="104"/>
        <v>0</v>
      </c>
      <c r="AB196" s="50">
        <f>SUM(H196:AA196)</f>
        <v>0</v>
      </c>
      <c r="AC196" s="31" t="str">
        <f>IF(ABS(AB196-F196)&lt;1,"ok","err")</f>
        <v>ok</v>
      </c>
    </row>
    <row r="197" spans="1:29" x14ac:dyDescent="0.2">
      <c r="A197" s="14">
        <v>574</v>
      </c>
      <c r="B197" s="14" t="s">
        <v>918</v>
      </c>
      <c r="C197" s="14" t="s">
        <v>921</v>
      </c>
      <c r="D197" s="14" t="s">
        <v>390</v>
      </c>
      <c r="F197" s="50">
        <v>0</v>
      </c>
      <c r="G197" s="66"/>
      <c r="H197" s="50">
        <f t="shared" si="93"/>
        <v>0</v>
      </c>
      <c r="I197" s="50">
        <f t="shared" si="94"/>
        <v>0</v>
      </c>
      <c r="J197" s="50"/>
      <c r="K197" s="50">
        <f t="shared" si="95"/>
        <v>0</v>
      </c>
      <c r="L197" s="50"/>
      <c r="M197" s="50">
        <f t="shared" si="96"/>
        <v>0</v>
      </c>
      <c r="N197" s="50"/>
      <c r="O197" s="50">
        <f t="shared" si="97"/>
        <v>0</v>
      </c>
      <c r="P197" s="50">
        <f t="shared" si="98"/>
        <v>0</v>
      </c>
      <c r="Q197" s="50"/>
      <c r="R197" s="50">
        <f t="shared" si="99"/>
        <v>0</v>
      </c>
      <c r="S197" s="50">
        <f t="shared" si="100"/>
        <v>0</v>
      </c>
      <c r="T197" s="50"/>
      <c r="U197" s="50">
        <f t="shared" si="101"/>
        <v>0</v>
      </c>
      <c r="V197" s="50"/>
      <c r="W197" s="50">
        <f t="shared" si="102"/>
        <v>0</v>
      </c>
      <c r="X197" s="50"/>
      <c r="Y197" s="50">
        <f t="shared" si="103"/>
        <v>0</v>
      </c>
      <c r="Z197" s="50"/>
      <c r="AA197" s="50">
        <f t="shared" si="104"/>
        <v>0</v>
      </c>
      <c r="AB197" s="50">
        <f t="shared" si="105"/>
        <v>0</v>
      </c>
      <c r="AC197" s="31" t="str">
        <f t="shared" si="106"/>
        <v>ok</v>
      </c>
    </row>
    <row r="198" spans="1:29" x14ac:dyDescent="0.2"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50"/>
      <c r="AC198" s="31"/>
    </row>
    <row r="199" spans="1:29" x14ac:dyDescent="0.2">
      <c r="A199" s="14" t="s">
        <v>377</v>
      </c>
      <c r="F199" s="95">
        <f>SUM(F183:F197)</f>
        <v>0</v>
      </c>
      <c r="G199" s="95"/>
      <c r="H199" s="95">
        <f t="shared" ref="H199:AA199" si="107">SUM(H183:H197)</f>
        <v>0</v>
      </c>
      <c r="I199" s="95">
        <f t="shared" si="107"/>
        <v>0</v>
      </c>
      <c r="J199" s="95"/>
      <c r="K199" s="95">
        <f t="shared" si="107"/>
        <v>0</v>
      </c>
      <c r="L199" s="95"/>
      <c r="M199" s="95">
        <f t="shared" si="107"/>
        <v>0</v>
      </c>
      <c r="N199" s="95"/>
      <c r="O199" s="95">
        <f t="shared" si="107"/>
        <v>0</v>
      </c>
      <c r="P199" s="95">
        <f t="shared" si="107"/>
        <v>0</v>
      </c>
      <c r="Q199" s="95"/>
      <c r="R199" s="95">
        <f t="shared" si="107"/>
        <v>0</v>
      </c>
      <c r="S199" s="95">
        <f t="shared" si="107"/>
        <v>0</v>
      </c>
      <c r="T199" s="95"/>
      <c r="U199" s="95">
        <f t="shared" si="107"/>
        <v>0</v>
      </c>
      <c r="V199" s="95"/>
      <c r="W199" s="95">
        <f t="shared" si="107"/>
        <v>0</v>
      </c>
      <c r="X199" s="95"/>
      <c r="Y199" s="95">
        <f t="shared" si="107"/>
        <v>0</v>
      </c>
      <c r="Z199" s="95"/>
      <c r="AA199" s="95">
        <f t="shared" si="107"/>
        <v>0</v>
      </c>
      <c r="AB199" s="66">
        <f>SUM(H199:AA199)</f>
        <v>0</v>
      </c>
      <c r="AC199" s="31" t="str">
        <f>IF(ABS(AB199-F199)&lt;1,"ok","err")</f>
        <v>ok</v>
      </c>
    </row>
    <row r="200" spans="1:29" x14ac:dyDescent="0.2">
      <c r="B200" s="95"/>
      <c r="Q200" s="14"/>
      <c r="AC200" s="31"/>
    </row>
    <row r="201" spans="1:29" x14ac:dyDescent="0.2">
      <c r="A201" s="13" t="s">
        <v>98</v>
      </c>
      <c r="Q201" s="14"/>
      <c r="AC201" s="31"/>
    </row>
    <row r="202" spans="1:29" x14ac:dyDescent="0.2">
      <c r="A202" s="14">
        <v>580</v>
      </c>
      <c r="B202" s="14" t="s">
        <v>99</v>
      </c>
      <c r="C202" s="14" t="s">
        <v>100</v>
      </c>
      <c r="D202" s="14" t="s">
        <v>16</v>
      </c>
      <c r="F202" s="66">
        <v>71617</v>
      </c>
      <c r="H202" s="50">
        <f t="shared" ref="H202:H213" si="108">IF(VLOOKUP($D202,$C$5:$AA$494,6,)=0,0,((VLOOKUP($D202,$C$5:$AA$494,6,)/VLOOKUP($D202,$C$5:$AA$494,4,))*$F202))</f>
        <v>0</v>
      </c>
      <c r="I202" s="50">
        <f t="shared" ref="I202:I213" si="109">IF(VLOOKUP($D202,$C$5:$AA$494,7,)=0,0,((VLOOKUP($D202,$C$5:$AA$494,7,)/VLOOKUP($D202,$C$5:$AA$494,4,))*$F202))</f>
        <v>0</v>
      </c>
      <c r="J202" s="50"/>
      <c r="K202" s="50">
        <f t="shared" ref="K202:K213" si="110">IF(VLOOKUP($D202,$C$5:$AA$494,9,)=0,0,((VLOOKUP($D202,$C$5:$AA$494,9,)/VLOOKUP($D202,$C$5:$AA$494,4,))*$F202))</f>
        <v>0</v>
      </c>
      <c r="L202" s="50"/>
      <c r="M202" s="50">
        <f t="shared" ref="M202:M213" si="111">IF(VLOOKUP($D202,$C$5:$AA$494,11,)=0,0,((VLOOKUP($D202,$C$5:$AA$494,11,)/VLOOKUP($D202,$C$5:$AA$494,4,))*$F202))</f>
        <v>536.63498575021617</v>
      </c>
      <c r="N202" s="50"/>
      <c r="O202" s="50">
        <f t="shared" ref="O202:O213" si="112">IF(VLOOKUP($D202,$C$5:$AA$494,13,)=0,0,((VLOOKUP($D202,$C$5:$AA$494,13,)/VLOOKUP($D202,$C$5:$AA$494,4,))*$F202))</f>
        <v>32212.755672566025</v>
      </c>
      <c r="P202" s="50">
        <f t="shared" ref="P202:P213" si="113">IF(VLOOKUP($D202,$C$5:$AA$494,14,)=0,0,((VLOOKUP($D202,$C$5:$AA$494,14,)/VLOOKUP($D202,$C$5:$AA$494,4,))*$F202))</f>
        <v>24427.394773671102</v>
      </c>
      <c r="Q202" s="50"/>
      <c r="R202" s="50">
        <f t="shared" ref="R202:R213" si="114">IF(VLOOKUP($D202,$C$5:$AA$494,16,)=0,0,((VLOOKUP($D202,$C$5:$AA$494,16,)/VLOOKUP($D202,$C$5:$AA$494,4,))*$F202))</f>
        <v>0</v>
      </c>
      <c r="S202" s="50">
        <f t="shared" ref="S202:S213" si="115">IF(VLOOKUP($D202,$C$5:$AA$494,17,)=0,0,((VLOOKUP($D202,$C$5:$AA$494,17,)/VLOOKUP($D202,$C$5:$AA$494,4,))*$F202))</f>
        <v>7675.3130106746166</v>
      </c>
      <c r="T202" s="50"/>
      <c r="U202" s="50">
        <f t="shared" ref="U202:U213" si="116">IF(VLOOKUP($D202,$C$5:$AA$494,19,)=0,0,((VLOOKUP($D202,$C$5:$AA$494,19,)/VLOOKUP($D202,$C$5:$AA$494,4,))*$F202))</f>
        <v>3916.6201248358466</v>
      </c>
      <c r="V202" s="50"/>
      <c r="W202" s="50">
        <f t="shared" ref="W202:W213" si="117">IF(VLOOKUP($D202,$C$5:$AA$494,21,)=0,0,((VLOOKUP($D202,$C$5:$AA$494,21,)/VLOOKUP($D202,$C$5:$AA$494,4,))*$F202))</f>
        <v>2848.2814325021941</v>
      </c>
      <c r="X202" s="50"/>
      <c r="Y202" s="50">
        <f t="shared" ref="Y202:Y213" si="118">IF(VLOOKUP($D202,$C$5:$AA$494,23,)=0,0,((VLOOKUP($D202,$C$5:$AA$494,23,)/VLOOKUP($D202,$C$5:$AA$494,4,))*$F202))</f>
        <v>0</v>
      </c>
      <c r="Z202" s="50"/>
      <c r="AA202" s="50">
        <f t="shared" ref="AA202:AA213" si="119">IF(VLOOKUP($D202,$C$5:$AA$494,25,)=0,0,((VLOOKUP($D202,$C$5:$AA$494,25,)/VLOOKUP($D202,$C$5:$AA$494,4,))*$F202))</f>
        <v>0</v>
      </c>
      <c r="AB202" s="50">
        <f t="shared" ref="AB202:AB213" si="120">SUM(H202:AA202)</f>
        <v>71617</v>
      </c>
      <c r="AC202" s="31" t="str">
        <f t="shared" ref="AC202:AC213" si="121">IF(ABS(AB202-F202)&lt;1,"ok","err")</f>
        <v>ok</v>
      </c>
    </row>
    <row r="203" spans="1:29" x14ac:dyDescent="0.2">
      <c r="A203" s="14">
        <v>581</v>
      </c>
      <c r="B203" s="14" t="s">
        <v>101</v>
      </c>
      <c r="C203" s="14" t="s">
        <v>102</v>
      </c>
      <c r="D203" s="14" t="s">
        <v>23</v>
      </c>
      <c r="F203" s="50">
        <v>0</v>
      </c>
      <c r="H203" s="50">
        <f t="shared" si="108"/>
        <v>0</v>
      </c>
      <c r="I203" s="50">
        <f t="shared" si="109"/>
        <v>0</v>
      </c>
      <c r="J203" s="50"/>
      <c r="K203" s="50">
        <f t="shared" si="110"/>
        <v>0</v>
      </c>
      <c r="L203" s="50"/>
      <c r="M203" s="50">
        <f t="shared" si="111"/>
        <v>0</v>
      </c>
      <c r="N203" s="50"/>
      <c r="O203" s="50">
        <f t="shared" si="112"/>
        <v>0</v>
      </c>
      <c r="P203" s="50">
        <f t="shared" si="113"/>
        <v>0</v>
      </c>
      <c r="Q203" s="50"/>
      <c r="R203" s="50">
        <f t="shared" si="114"/>
        <v>0</v>
      </c>
      <c r="S203" s="50">
        <f t="shared" si="115"/>
        <v>0</v>
      </c>
      <c r="T203" s="50"/>
      <c r="U203" s="50">
        <f t="shared" si="116"/>
        <v>0</v>
      </c>
      <c r="V203" s="50"/>
      <c r="W203" s="50">
        <f t="shared" si="117"/>
        <v>0</v>
      </c>
      <c r="X203" s="50"/>
      <c r="Y203" s="50">
        <f t="shared" si="118"/>
        <v>0</v>
      </c>
      <c r="Z203" s="50"/>
      <c r="AA203" s="50">
        <f t="shared" si="119"/>
        <v>0</v>
      </c>
      <c r="AB203" s="50">
        <f t="shared" si="120"/>
        <v>0</v>
      </c>
      <c r="AC203" s="31" t="str">
        <f t="shared" si="121"/>
        <v>ok</v>
      </c>
    </row>
    <row r="204" spans="1:29" x14ac:dyDescent="0.2">
      <c r="A204" s="14">
        <v>582</v>
      </c>
      <c r="B204" s="14" t="s">
        <v>372</v>
      </c>
      <c r="C204" s="14" t="s">
        <v>378</v>
      </c>
      <c r="D204" s="14" t="s">
        <v>23</v>
      </c>
      <c r="F204" s="50">
        <v>149280</v>
      </c>
      <c r="H204" s="50">
        <f t="shared" si="108"/>
        <v>0</v>
      </c>
      <c r="I204" s="50">
        <f t="shared" si="109"/>
        <v>0</v>
      </c>
      <c r="J204" s="50"/>
      <c r="K204" s="50">
        <f t="shared" si="110"/>
        <v>0</v>
      </c>
      <c r="L204" s="50"/>
      <c r="M204" s="50">
        <f t="shared" si="111"/>
        <v>149280</v>
      </c>
      <c r="N204" s="50"/>
      <c r="O204" s="50">
        <f t="shared" si="112"/>
        <v>0</v>
      </c>
      <c r="P204" s="50">
        <f t="shared" si="113"/>
        <v>0</v>
      </c>
      <c r="Q204" s="50"/>
      <c r="R204" s="50">
        <f t="shared" si="114"/>
        <v>0</v>
      </c>
      <c r="S204" s="50">
        <f t="shared" si="115"/>
        <v>0</v>
      </c>
      <c r="T204" s="50"/>
      <c r="U204" s="50">
        <f t="shared" si="116"/>
        <v>0</v>
      </c>
      <c r="V204" s="50"/>
      <c r="W204" s="50">
        <f t="shared" si="117"/>
        <v>0</v>
      </c>
      <c r="X204" s="50"/>
      <c r="Y204" s="50">
        <f t="shared" si="118"/>
        <v>0</v>
      </c>
      <c r="Z204" s="50"/>
      <c r="AA204" s="50">
        <f t="shared" si="119"/>
        <v>0</v>
      </c>
      <c r="AB204" s="50">
        <f t="shared" si="120"/>
        <v>149280</v>
      </c>
      <c r="AC204" s="31" t="str">
        <f t="shared" si="121"/>
        <v>ok</v>
      </c>
    </row>
    <row r="205" spans="1:29" x14ac:dyDescent="0.2">
      <c r="A205" s="14">
        <v>583</v>
      </c>
      <c r="B205" s="14" t="s">
        <v>103</v>
      </c>
      <c r="C205" s="14" t="s">
        <v>104</v>
      </c>
      <c r="D205" s="14" t="s">
        <v>29</v>
      </c>
      <c r="F205" s="50">
        <f>1382081+198979+180168+47734</f>
        <v>1808962</v>
      </c>
      <c r="H205" s="50">
        <f t="shared" si="108"/>
        <v>0</v>
      </c>
      <c r="I205" s="50">
        <f t="shared" si="109"/>
        <v>0</v>
      </c>
      <c r="J205" s="50"/>
      <c r="K205" s="50">
        <f t="shared" si="110"/>
        <v>0</v>
      </c>
      <c r="L205" s="50"/>
      <c r="M205" s="50">
        <f t="shared" si="111"/>
        <v>0</v>
      </c>
      <c r="N205" s="50"/>
      <c r="O205" s="50">
        <f t="shared" si="112"/>
        <v>1097615.5266421211</v>
      </c>
      <c r="P205" s="50">
        <f t="shared" si="113"/>
        <v>711346.47335787874</v>
      </c>
      <c r="Q205" s="50"/>
      <c r="R205" s="50">
        <f t="shared" si="114"/>
        <v>0</v>
      </c>
      <c r="S205" s="50">
        <f t="shared" si="115"/>
        <v>0</v>
      </c>
      <c r="T205" s="50"/>
      <c r="U205" s="50">
        <f t="shared" si="116"/>
        <v>0</v>
      </c>
      <c r="V205" s="50"/>
      <c r="W205" s="50">
        <f t="shared" si="117"/>
        <v>0</v>
      </c>
      <c r="X205" s="50"/>
      <c r="Y205" s="50">
        <f t="shared" si="118"/>
        <v>0</v>
      </c>
      <c r="Z205" s="50"/>
      <c r="AA205" s="50">
        <f t="shared" si="119"/>
        <v>0</v>
      </c>
      <c r="AB205" s="50">
        <f t="shared" si="120"/>
        <v>1808962</v>
      </c>
      <c r="AC205" s="31" t="str">
        <f t="shared" si="121"/>
        <v>ok</v>
      </c>
    </row>
    <row r="206" spans="1:29" x14ac:dyDescent="0.2">
      <c r="A206" s="14">
        <v>584</v>
      </c>
      <c r="B206" s="14" t="s">
        <v>105</v>
      </c>
      <c r="C206" s="14" t="s">
        <v>106</v>
      </c>
      <c r="D206" s="14" t="s">
        <v>35</v>
      </c>
      <c r="F206" s="50">
        <f>48370+105249</f>
        <v>153619</v>
      </c>
      <c r="H206" s="50">
        <f t="shared" si="108"/>
        <v>0</v>
      </c>
      <c r="I206" s="50">
        <f t="shared" si="109"/>
        <v>0</v>
      </c>
      <c r="J206" s="50"/>
      <c r="K206" s="50">
        <f t="shared" si="110"/>
        <v>0</v>
      </c>
      <c r="L206" s="50"/>
      <c r="M206" s="50">
        <f t="shared" si="111"/>
        <v>0</v>
      </c>
      <c r="N206" s="50"/>
      <c r="O206" s="50">
        <f t="shared" si="112"/>
        <v>29186.022009305008</v>
      </c>
      <c r="P206" s="50">
        <f t="shared" si="113"/>
        <v>124432.977990695</v>
      </c>
      <c r="Q206" s="50"/>
      <c r="R206" s="50">
        <f t="shared" si="114"/>
        <v>0</v>
      </c>
      <c r="S206" s="50">
        <f t="shared" si="115"/>
        <v>0</v>
      </c>
      <c r="T206" s="50"/>
      <c r="U206" s="50">
        <f t="shared" si="116"/>
        <v>0</v>
      </c>
      <c r="V206" s="50"/>
      <c r="W206" s="50">
        <f t="shared" si="117"/>
        <v>0</v>
      </c>
      <c r="X206" s="50"/>
      <c r="Y206" s="50">
        <f t="shared" si="118"/>
        <v>0</v>
      </c>
      <c r="Z206" s="50"/>
      <c r="AA206" s="50">
        <f t="shared" si="119"/>
        <v>0</v>
      </c>
      <c r="AB206" s="50">
        <f t="shared" si="120"/>
        <v>153619</v>
      </c>
      <c r="AC206" s="31" t="str">
        <f t="shared" si="121"/>
        <v>ok</v>
      </c>
    </row>
    <row r="207" spans="1:29" x14ac:dyDescent="0.2">
      <c r="A207" s="14">
        <v>585</v>
      </c>
      <c r="B207" s="14" t="s">
        <v>107</v>
      </c>
      <c r="C207" s="14" t="s">
        <v>108</v>
      </c>
      <c r="D207" s="14" t="s">
        <v>46</v>
      </c>
      <c r="F207" s="50">
        <v>0</v>
      </c>
      <c r="H207" s="50">
        <f t="shared" si="108"/>
        <v>0</v>
      </c>
      <c r="I207" s="50">
        <f t="shared" si="109"/>
        <v>0</v>
      </c>
      <c r="J207" s="50"/>
      <c r="K207" s="50">
        <f t="shared" si="110"/>
        <v>0</v>
      </c>
      <c r="L207" s="50"/>
      <c r="M207" s="50">
        <f t="shared" si="111"/>
        <v>0</v>
      </c>
      <c r="N207" s="50"/>
      <c r="O207" s="50">
        <f t="shared" si="112"/>
        <v>0</v>
      </c>
      <c r="P207" s="50">
        <f t="shared" si="113"/>
        <v>0</v>
      </c>
      <c r="Q207" s="50"/>
      <c r="R207" s="50">
        <f t="shared" si="114"/>
        <v>0</v>
      </c>
      <c r="S207" s="50">
        <f t="shared" si="115"/>
        <v>0</v>
      </c>
      <c r="T207" s="50"/>
      <c r="U207" s="50">
        <f t="shared" si="116"/>
        <v>0</v>
      </c>
      <c r="V207" s="50"/>
      <c r="W207" s="50">
        <f t="shared" si="117"/>
        <v>0</v>
      </c>
      <c r="X207" s="50"/>
      <c r="Y207" s="50">
        <f t="shared" si="118"/>
        <v>0</v>
      </c>
      <c r="Z207" s="50"/>
      <c r="AA207" s="50">
        <f t="shared" si="119"/>
        <v>0</v>
      </c>
      <c r="AB207" s="50">
        <f t="shared" si="120"/>
        <v>0</v>
      </c>
      <c r="AC207" s="31" t="str">
        <f t="shared" si="121"/>
        <v>ok</v>
      </c>
    </row>
    <row r="208" spans="1:29" x14ac:dyDescent="0.2">
      <c r="A208" s="14">
        <v>586</v>
      </c>
      <c r="B208" s="14" t="s">
        <v>109</v>
      </c>
      <c r="C208" s="14" t="s">
        <v>110</v>
      </c>
      <c r="D208" s="14" t="s">
        <v>43</v>
      </c>
      <c r="F208" s="50">
        <f>918906+683865+179706</f>
        <v>1782477</v>
      </c>
      <c r="H208" s="50">
        <f t="shared" si="108"/>
        <v>0</v>
      </c>
      <c r="I208" s="50">
        <f t="shared" si="109"/>
        <v>0</v>
      </c>
      <c r="J208" s="50"/>
      <c r="K208" s="50">
        <f t="shared" si="110"/>
        <v>0</v>
      </c>
      <c r="L208" s="50"/>
      <c r="M208" s="50">
        <f t="shared" si="111"/>
        <v>0</v>
      </c>
      <c r="N208" s="50"/>
      <c r="O208" s="50">
        <f t="shared" si="112"/>
        <v>0</v>
      </c>
      <c r="P208" s="50">
        <f t="shared" si="113"/>
        <v>0</v>
      </c>
      <c r="Q208" s="50"/>
      <c r="R208" s="50">
        <f t="shared" si="114"/>
        <v>0</v>
      </c>
      <c r="S208" s="50">
        <f t="shared" si="115"/>
        <v>0</v>
      </c>
      <c r="T208" s="50"/>
      <c r="U208" s="50">
        <f t="shared" si="116"/>
        <v>1782477</v>
      </c>
      <c r="V208" s="50"/>
      <c r="W208" s="50">
        <f t="shared" si="117"/>
        <v>0</v>
      </c>
      <c r="X208" s="50"/>
      <c r="Y208" s="50">
        <f t="shared" si="118"/>
        <v>0</v>
      </c>
      <c r="Z208" s="50"/>
      <c r="AA208" s="50">
        <f t="shared" si="119"/>
        <v>0</v>
      </c>
      <c r="AB208" s="50">
        <f t="shared" si="120"/>
        <v>1782477</v>
      </c>
      <c r="AC208" s="31" t="str">
        <f t="shared" si="121"/>
        <v>ok</v>
      </c>
    </row>
    <row r="209" spans="1:29" x14ac:dyDescent="0.2">
      <c r="A209" s="14">
        <v>586</v>
      </c>
      <c r="B209" s="14" t="s">
        <v>450</v>
      </c>
      <c r="C209" s="14" t="s">
        <v>451</v>
      </c>
      <c r="D209" s="14" t="s">
        <v>471</v>
      </c>
      <c r="F209" s="50">
        <v>0</v>
      </c>
      <c r="H209" s="50">
        <f t="shared" si="108"/>
        <v>0</v>
      </c>
      <c r="I209" s="50">
        <f t="shared" si="109"/>
        <v>0</v>
      </c>
      <c r="J209" s="50"/>
      <c r="K209" s="50">
        <f t="shared" si="110"/>
        <v>0</v>
      </c>
      <c r="L209" s="50"/>
      <c r="M209" s="50">
        <f t="shared" si="111"/>
        <v>0</v>
      </c>
      <c r="N209" s="50"/>
      <c r="O209" s="50">
        <f t="shared" si="112"/>
        <v>0</v>
      </c>
      <c r="P209" s="50">
        <f t="shared" si="113"/>
        <v>0</v>
      </c>
      <c r="Q209" s="50"/>
      <c r="R209" s="50">
        <f t="shared" si="114"/>
        <v>0</v>
      </c>
      <c r="S209" s="50">
        <f t="shared" si="115"/>
        <v>0</v>
      </c>
      <c r="T209" s="50"/>
      <c r="U209" s="50">
        <f t="shared" si="116"/>
        <v>0</v>
      </c>
      <c r="V209" s="50"/>
      <c r="W209" s="50">
        <f t="shared" si="117"/>
        <v>0</v>
      </c>
      <c r="X209" s="50"/>
      <c r="Y209" s="50">
        <f t="shared" si="118"/>
        <v>0</v>
      </c>
      <c r="Z209" s="50"/>
      <c r="AA209" s="50">
        <f t="shared" si="119"/>
        <v>0</v>
      </c>
      <c r="AB209" s="50">
        <f t="shared" si="120"/>
        <v>0</v>
      </c>
      <c r="AC209" s="31" t="str">
        <f t="shared" si="121"/>
        <v>ok</v>
      </c>
    </row>
    <row r="210" spans="1:29" x14ac:dyDescent="0.2">
      <c r="A210" s="14">
        <v>587</v>
      </c>
      <c r="B210" s="14" t="s">
        <v>111</v>
      </c>
      <c r="C210" s="14" t="s">
        <v>112</v>
      </c>
      <c r="D210" s="14" t="s">
        <v>40</v>
      </c>
      <c r="F210" s="50">
        <v>295896</v>
      </c>
      <c r="H210" s="50">
        <f t="shared" si="108"/>
        <v>0</v>
      </c>
      <c r="I210" s="50">
        <f t="shared" si="109"/>
        <v>0</v>
      </c>
      <c r="J210" s="50"/>
      <c r="K210" s="50">
        <f t="shared" si="110"/>
        <v>0</v>
      </c>
      <c r="L210" s="50"/>
      <c r="M210" s="50">
        <f t="shared" si="111"/>
        <v>0</v>
      </c>
      <c r="N210" s="50"/>
      <c r="O210" s="50">
        <f t="shared" si="112"/>
        <v>0</v>
      </c>
      <c r="P210" s="50">
        <f t="shared" si="113"/>
        <v>0</v>
      </c>
      <c r="Q210" s="50"/>
      <c r="R210" s="50">
        <f t="shared" si="114"/>
        <v>0</v>
      </c>
      <c r="S210" s="50">
        <f t="shared" si="115"/>
        <v>295896</v>
      </c>
      <c r="T210" s="50"/>
      <c r="U210" s="50">
        <f t="shared" si="116"/>
        <v>0</v>
      </c>
      <c r="V210" s="50"/>
      <c r="W210" s="50">
        <f t="shared" si="117"/>
        <v>0</v>
      </c>
      <c r="X210" s="50"/>
      <c r="Y210" s="50">
        <f t="shared" si="118"/>
        <v>0</v>
      </c>
      <c r="Z210" s="50"/>
      <c r="AA210" s="50">
        <f t="shared" si="119"/>
        <v>0</v>
      </c>
      <c r="AB210" s="50">
        <f t="shared" si="120"/>
        <v>295896</v>
      </c>
      <c r="AC210" s="31" t="str">
        <f t="shared" si="121"/>
        <v>ok</v>
      </c>
    </row>
    <row r="211" spans="1:29" x14ac:dyDescent="0.2">
      <c r="A211" s="14">
        <v>588</v>
      </c>
      <c r="B211" s="14" t="s">
        <v>113</v>
      </c>
      <c r="C211" s="14" t="s">
        <v>114</v>
      </c>
      <c r="D211" s="14" t="s">
        <v>16</v>
      </c>
      <c r="F211" s="50">
        <f>602831+353363+7122+95024</f>
        <v>1058340</v>
      </c>
      <c r="H211" s="50">
        <f t="shared" si="108"/>
        <v>0</v>
      </c>
      <c r="I211" s="50">
        <f t="shared" si="109"/>
        <v>0</v>
      </c>
      <c r="J211" s="50"/>
      <c r="K211" s="50">
        <f t="shared" si="110"/>
        <v>0</v>
      </c>
      <c r="L211" s="50"/>
      <c r="M211" s="50">
        <f t="shared" si="111"/>
        <v>7930.2717346284226</v>
      </c>
      <c r="N211" s="50"/>
      <c r="O211" s="50">
        <f t="shared" si="112"/>
        <v>476032.89496213925</v>
      </c>
      <c r="P211" s="50">
        <f t="shared" si="113"/>
        <v>360982.57375716761</v>
      </c>
      <c r="Q211" s="50"/>
      <c r="R211" s="50">
        <f t="shared" si="114"/>
        <v>0</v>
      </c>
      <c r="S211" s="50">
        <f t="shared" si="115"/>
        <v>113424.05813867341</v>
      </c>
      <c r="T211" s="50"/>
      <c r="U211" s="50">
        <f t="shared" si="116"/>
        <v>57878.935768305986</v>
      </c>
      <c r="V211" s="50"/>
      <c r="W211" s="50">
        <f t="shared" si="117"/>
        <v>42091.265639085301</v>
      </c>
      <c r="X211" s="50"/>
      <c r="Y211" s="50">
        <f t="shared" si="118"/>
        <v>0</v>
      </c>
      <c r="Z211" s="50"/>
      <c r="AA211" s="50">
        <f t="shared" si="119"/>
        <v>0</v>
      </c>
      <c r="AB211" s="50">
        <f t="shared" si="120"/>
        <v>1058340</v>
      </c>
      <c r="AC211" s="31" t="str">
        <f t="shared" si="121"/>
        <v>ok</v>
      </c>
    </row>
    <row r="212" spans="1:29" x14ac:dyDescent="0.2">
      <c r="A212" s="14">
        <v>588</v>
      </c>
      <c r="B212" s="14" t="s">
        <v>708</v>
      </c>
      <c r="C212" s="14" t="s">
        <v>550</v>
      </c>
      <c r="D212" s="14" t="s">
        <v>551</v>
      </c>
      <c r="F212" s="50">
        <v>0</v>
      </c>
      <c r="H212" s="50">
        <f t="shared" si="108"/>
        <v>0</v>
      </c>
      <c r="I212" s="50">
        <f t="shared" si="109"/>
        <v>0</v>
      </c>
      <c r="J212" s="50"/>
      <c r="K212" s="50">
        <f t="shared" si="110"/>
        <v>0</v>
      </c>
      <c r="L212" s="50"/>
      <c r="M212" s="50">
        <f t="shared" si="111"/>
        <v>0</v>
      </c>
      <c r="N212" s="50"/>
      <c r="O212" s="50">
        <f t="shared" si="112"/>
        <v>0</v>
      </c>
      <c r="P212" s="50">
        <f t="shared" si="113"/>
        <v>0</v>
      </c>
      <c r="Q212" s="50"/>
      <c r="R212" s="50">
        <f t="shared" si="114"/>
        <v>0</v>
      </c>
      <c r="S212" s="50">
        <f t="shared" si="115"/>
        <v>0</v>
      </c>
      <c r="T212" s="50"/>
      <c r="U212" s="50">
        <f t="shared" si="116"/>
        <v>0</v>
      </c>
      <c r="V212" s="50"/>
      <c r="W212" s="50">
        <f t="shared" si="117"/>
        <v>0</v>
      </c>
      <c r="X212" s="50"/>
      <c r="Y212" s="50">
        <f t="shared" si="118"/>
        <v>0</v>
      </c>
      <c r="Z212" s="50"/>
      <c r="AA212" s="50">
        <f t="shared" si="119"/>
        <v>0</v>
      </c>
      <c r="AB212" s="50">
        <f t="shared" si="120"/>
        <v>0</v>
      </c>
      <c r="AC212" s="31" t="str">
        <f t="shared" si="121"/>
        <v>ok</v>
      </c>
    </row>
    <row r="213" spans="1:29" x14ac:dyDescent="0.2">
      <c r="A213" s="14">
        <v>589</v>
      </c>
      <c r="B213" s="14" t="s">
        <v>115</v>
      </c>
      <c r="C213" s="14" t="s">
        <v>116</v>
      </c>
      <c r="D213" s="14" t="s">
        <v>16</v>
      </c>
      <c r="F213" s="50">
        <v>0</v>
      </c>
      <c r="H213" s="50">
        <f t="shared" si="108"/>
        <v>0</v>
      </c>
      <c r="I213" s="50">
        <f t="shared" si="109"/>
        <v>0</v>
      </c>
      <c r="J213" s="50"/>
      <c r="K213" s="50">
        <f t="shared" si="110"/>
        <v>0</v>
      </c>
      <c r="L213" s="50"/>
      <c r="M213" s="50">
        <f t="shared" si="111"/>
        <v>0</v>
      </c>
      <c r="N213" s="50"/>
      <c r="O213" s="50">
        <f t="shared" si="112"/>
        <v>0</v>
      </c>
      <c r="P213" s="50">
        <f t="shared" si="113"/>
        <v>0</v>
      </c>
      <c r="Q213" s="50"/>
      <c r="R213" s="50">
        <f t="shared" si="114"/>
        <v>0</v>
      </c>
      <c r="S213" s="50">
        <f t="shared" si="115"/>
        <v>0</v>
      </c>
      <c r="T213" s="50"/>
      <c r="U213" s="50">
        <f t="shared" si="116"/>
        <v>0</v>
      </c>
      <c r="V213" s="50"/>
      <c r="W213" s="50">
        <f t="shared" si="117"/>
        <v>0</v>
      </c>
      <c r="X213" s="50"/>
      <c r="Y213" s="50">
        <f t="shared" si="118"/>
        <v>0</v>
      </c>
      <c r="Z213" s="50"/>
      <c r="AA213" s="50">
        <f t="shared" si="119"/>
        <v>0</v>
      </c>
      <c r="AB213" s="50">
        <f t="shared" si="120"/>
        <v>0</v>
      </c>
      <c r="AC213" s="31" t="str">
        <f t="shared" si="121"/>
        <v>ok</v>
      </c>
    </row>
    <row r="214" spans="1:29" x14ac:dyDescent="0.2">
      <c r="F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C214" s="31"/>
    </row>
    <row r="215" spans="1:29" x14ac:dyDescent="0.2">
      <c r="A215" s="14" t="s">
        <v>117</v>
      </c>
      <c r="C215" s="14" t="s">
        <v>118</v>
      </c>
      <c r="F215" s="66">
        <f>SUM(F202:F214)</f>
        <v>5320191</v>
      </c>
      <c r="G215" s="66"/>
      <c r="H215" s="66">
        <f t="shared" ref="H215:AA215" si="122">SUM(H202:H214)</f>
        <v>0</v>
      </c>
      <c r="I215" s="66">
        <f t="shared" si="122"/>
        <v>0</v>
      </c>
      <c r="J215" s="66"/>
      <c r="K215" s="66">
        <f t="shared" si="122"/>
        <v>0</v>
      </c>
      <c r="L215" s="66"/>
      <c r="M215" s="66">
        <f t="shared" si="122"/>
        <v>157746.90672037864</v>
      </c>
      <c r="N215" s="66"/>
      <c r="O215" s="66">
        <f t="shared" si="122"/>
        <v>1635047.1992861314</v>
      </c>
      <c r="P215" s="66">
        <f t="shared" si="122"/>
        <v>1221189.4198794125</v>
      </c>
      <c r="Q215" s="66"/>
      <c r="R215" s="66">
        <f t="shared" si="122"/>
        <v>0</v>
      </c>
      <c r="S215" s="66">
        <f t="shared" si="122"/>
        <v>416995.37114934804</v>
      </c>
      <c r="T215" s="66"/>
      <c r="U215" s="66">
        <f t="shared" si="122"/>
        <v>1844272.5558931418</v>
      </c>
      <c r="V215" s="66"/>
      <c r="W215" s="66">
        <f t="shared" si="122"/>
        <v>44939.547071587498</v>
      </c>
      <c r="X215" s="66"/>
      <c r="Y215" s="66">
        <f t="shared" si="122"/>
        <v>0</v>
      </c>
      <c r="Z215" s="66"/>
      <c r="AA215" s="66">
        <f t="shared" si="122"/>
        <v>0</v>
      </c>
      <c r="AB215" s="50">
        <f>SUM(H215:AA215)</f>
        <v>5320191</v>
      </c>
      <c r="AC215" s="31" t="str">
        <f>IF(ABS(AB215-F215)&lt;1,"ok","err")</f>
        <v>ok</v>
      </c>
    </row>
    <row r="216" spans="1:29" x14ac:dyDescent="0.2"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50"/>
      <c r="AC216" s="31"/>
    </row>
    <row r="217" spans="1:29" x14ac:dyDescent="0.2">
      <c r="A217" s="29" t="s">
        <v>136</v>
      </c>
      <c r="F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C217" s="31"/>
    </row>
    <row r="218" spans="1:29" x14ac:dyDescent="0.2">
      <c r="F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C218" s="31"/>
    </row>
    <row r="219" spans="1:29" x14ac:dyDescent="0.2">
      <c r="A219" s="13" t="s">
        <v>119</v>
      </c>
      <c r="F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C219" s="31"/>
    </row>
    <row r="220" spans="1:29" x14ac:dyDescent="0.2">
      <c r="A220" s="14">
        <v>590</v>
      </c>
      <c r="B220" s="14" t="s">
        <v>120</v>
      </c>
      <c r="C220" s="14" t="s">
        <v>121</v>
      </c>
      <c r="D220" s="14" t="s">
        <v>16</v>
      </c>
      <c r="F220" s="66">
        <v>0</v>
      </c>
      <c r="H220" s="50">
        <f t="shared" ref="H220:H227" si="123">IF(VLOOKUP($D220,$C$5:$AA$494,6,)=0,0,((VLOOKUP($D220,$C$5:$AA$494,6,)/VLOOKUP($D220,$C$5:$AA$494,4,))*$F220))</f>
        <v>0</v>
      </c>
      <c r="I220" s="50">
        <f t="shared" ref="I220:I227" si="124">IF(VLOOKUP($D220,$C$5:$AA$494,7,)=0,0,((VLOOKUP($D220,$C$5:$AA$494,7,)/VLOOKUP($D220,$C$5:$AA$494,4,))*$F220))</f>
        <v>0</v>
      </c>
      <c r="J220" s="50"/>
      <c r="K220" s="50">
        <f t="shared" ref="K220:K227" si="125">IF(VLOOKUP($D220,$C$5:$AA$494,9,)=0,0,((VLOOKUP($D220,$C$5:$AA$494,9,)/VLOOKUP($D220,$C$5:$AA$494,4,))*$F220))</f>
        <v>0</v>
      </c>
      <c r="L220" s="50"/>
      <c r="M220" s="50">
        <f t="shared" ref="M220:M227" si="126">IF(VLOOKUP($D220,$C$5:$AA$494,11,)=0,0,((VLOOKUP($D220,$C$5:$AA$494,11,)/VLOOKUP($D220,$C$5:$AA$494,4,))*$F220))</f>
        <v>0</v>
      </c>
      <c r="N220" s="50"/>
      <c r="O220" s="50">
        <f t="shared" ref="O220:O227" si="127">IF(VLOOKUP($D220,$C$5:$AA$494,13,)=0,0,((VLOOKUP($D220,$C$5:$AA$494,13,)/VLOOKUP($D220,$C$5:$AA$494,4,))*$F220))</f>
        <v>0</v>
      </c>
      <c r="P220" s="50">
        <f t="shared" ref="P220:P227" si="128">IF(VLOOKUP($D220,$C$5:$AA$494,14,)=0,0,((VLOOKUP($D220,$C$5:$AA$494,14,)/VLOOKUP($D220,$C$5:$AA$494,4,))*$F220))</f>
        <v>0</v>
      </c>
      <c r="Q220" s="50"/>
      <c r="R220" s="50">
        <f t="shared" ref="R220:R227" si="129">IF(VLOOKUP($D220,$C$5:$AA$494,16,)=0,0,((VLOOKUP($D220,$C$5:$AA$494,16,)/VLOOKUP($D220,$C$5:$AA$494,4,))*$F220))</f>
        <v>0</v>
      </c>
      <c r="S220" s="50">
        <f t="shared" ref="S220:S227" si="130">IF(VLOOKUP($D220,$C$5:$AA$494,17,)=0,0,((VLOOKUP($D220,$C$5:$AA$494,17,)/VLOOKUP($D220,$C$5:$AA$494,4,))*$F220))</f>
        <v>0</v>
      </c>
      <c r="T220" s="50"/>
      <c r="U220" s="50">
        <f t="shared" ref="U220:U227" si="131">IF(VLOOKUP($D220,$C$5:$AA$494,19,)=0,0,((VLOOKUP($D220,$C$5:$AA$494,19,)/VLOOKUP($D220,$C$5:$AA$494,4,))*$F220))</f>
        <v>0</v>
      </c>
      <c r="V220" s="50"/>
      <c r="W220" s="50">
        <f t="shared" ref="W220:W227" si="132">IF(VLOOKUP($D220,$C$5:$AA$494,21,)=0,0,((VLOOKUP($D220,$C$5:$AA$494,21,)/VLOOKUP($D220,$C$5:$AA$494,4,))*$F220))</f>
        <v>0</v>
      </c>
      <c r="X220" s="50"/>
      <c r="Y220" s="50">
        <f t="shared" ref="Y220:Y227" si="133">IF(VLOOKUP($D220,$C$5:$AA$494,23,)=0,0,((VLOOKUP($D220,$C$5:$AA$494,23,)/VLOOKUP($D220,$C$5:$AA$494,4,))*$F220))</f>
        <v>0</v>
      </c>
      <c r="Z220" s="50"/>
      <c r="AA220" s="50">
        <f t="shared" ref="AA220:AA227" si="134">IF(VLOOKUP($D220,$C$5:$AA$494,25,)=0,0,((VLOOKUP($D220,$C$5:$AA$494,25,)/VLOOKUP($D220,$C$5:$AA$494,4,))*$F220))</f>
        <v>0</v>
      </c>
      <c r="AB220" s="50">
        <f t="shared" ref="AB220:AB227" si="135">SUM(H220:AA220)</f>
        <v>0</v>
      </c>
      <c r="AC220" s="31" t="str">
        <f t="shared" ref="AC220:AC227" si="136">IF(ABS(AB220-F220)&lt;1,"ok","err")</f>
        <v>ok</v>
      </c>
    </row>
    <row r="221" spans="1:29" x14ac:dyDescent="0.2">
      <c r="A221" s="14">
        <v>592</v>
      </c>
      <c r="B221" s="14" t="s">
        <v>122</v>
      </c>
      <c r="C221" s="14" t="s">
        <v>123</v>
      </c>
      <c r="D221" s="14" t="s">
        <v>23</v>
      </c>
      <c r="F221" s="50">
        <v>0</v>
      </c>
      <c r="H221" s="50">
        <f t="shared" si="123"/>
        <v>0</v>
      </c>
      <c r="I221" s="50">
        <f t="shared" si="124"/>
        <v>0</v>
      </c>
      <c r="J221" s="50"/>
      <c r="K221" s="50">
        <f t="shared" si="125"/>
        <v>0</v>
      </c>
      <c r="L221" s="50"/>
      <c r="M221" s="50">
        <f t="shared" si="126"/>
        <v>0</v>
      </c>
      <c r="N221" s="50"/>
      <c r="O221" s="50">
        <f t="shared" si="127"/>
        <v>0</v>
      </c>
      <c r="P221" s="50">
        <f t="shared" si="128"/>
        <v>0</v>
      </c>
      <c r="Q221" s="50"/>
      <c r="R221" s="50">
        <f t="shared" si="129"/>
        <v>0</v>
      </c>
      <c r="S221" s="50">
        <f t="shared" si="130"/>
        <v>0</v>
      </c>
      <c r="T221" s="50"/>
      <c r="U221" s="50">
        <f t="shared" si="131"/>
        <v>0</v>
      </c>
      <c r="V221" s="50"/>
      <c r="W221" s="50">
        <f t="shared" si="132"/>
        <v>0</v>
      </c>
      <c r="X221" s="50"/>
      <c r="Y221" s="50">
        <f t="shared" si="133"/>
        <v>0</v>
      </c>
      <c r="Z221" s="50"/>
      <c r="AA221" s="50">
        <f t="shared" si="134"/>
        <v>0</v>
      </c>
      <c r="AB221" s="50">
        <f t="shared" si="135"/>
        <v>0</v>
      </c>
      <c r="AC221" s="31" t="str">
        <f t="shared" si="136"/>
        <v>ok</v>
      </c>
    </row>
    <row r="222" spans="1:29" x14ac:dyDescent="0.2">
      <c r="A222" s="14">
        <v>593</v>
      </c>
      <c r="B222" s="14" t="s">
        <v>124</v>
      </c>
      <c r="C222" s="14" t="s">
        <v>125</v>
      </c>
      <c r="D222" s="14" t="s">
        <v>29</v>
      </c>
      <c r="F222" s="50">
        <f>1427969+1175179+2146+128000+1021+914743+303721+484252+247+5380313+376794+559603+270522+164529+104894</f>
        <v>11293933</v>
      </c>
      <c r="H222" s="50">
        <f t="shared" si="123"/>
        <v>0</v>
      </c>
      <c r="I222" s="50">
        <f t="shared" si="124"/>
        <v>0</v>
      </c>
      <c r="J222" s="50"/>
      <c r="K222" s="50">
        <f t="shared" si="125"/>
        <v>0</v>
      </c>
      <c r="L222" s="50"/>
      <c r="M222" s="50">
        <f t="shared" si="126"/>
        <v>0</v>
      </c>
      <c r="N222" s="50"/>
      <c r="O222" s="50">
        <f t="shared" si="127"/>
        <v>6852767.6190300463</v>
      </c>
      <c r="P222" s="50">
        <f t="shared" si="128"/>
        <v>4441165.3809699528</v>
      </c>
      <c r="Q222" s="50"/>
      <c r="R222" s="50">
        <f t="shared" si="129"/>
        <v>0</v>
      </c>
      <c r="S222" s="50">
        <f t="shared" si="130"/>
        <v>0</v>
      </c>
      <c r="T222" s="50"/>
      <c r="U222" s="50">
        <f t="shared" si="131"/>
        <v>0</v>
      </c>
      <c r="V222" s="50"/>
      <c r="W222" s="50">
        <f t="shared" si="132"/>
        <v>0</v>
      </c>
      <c r="X222" s="50"/>
      <c r="Y222" s="50">
        <f t="shared" si="133"/>
        <v>0</v>
      </c>
      <c r="Z222" s="50"/>
      <c r="AA222" s="50">
        <f t="shared" si="134"/>
        <v>0</v>
      </c>
      <c r="AB222" s="50">
        <f t="shared" si="135"/>
        <v>11293933</v>
      </c>
      <c r="AC222" s="31" t="str">
        <f t="shared" si="136"/>
        <v>ok</v>
      </c>
    </row>
    <row r="223" spans="1:29" x14ac:dyDescent="0.2">
      <c r="A223" s="14">
        <v>594</v>
      </c>
      <c r="B223" s="14" t="s">
        <v>126</v>
      </c>
      <c r="C223" s="14" t="s">
        <v>127</v>
      </c>
      <c r="D223" s="14" t="s">
        <v>35</v>
      </c>
      <c r="F223" s="50">
        <v>49738</v>
      </c>
      <c r="H223" s="50">
        <f t="shared" si="123"/>
        <v>0</v>
      </c>
      <c r="I223" s="50">
        <f t="shared" si="124"/>
        <v>0</v>
      </c>
      <c r="J223" s="50"/>
      <c r="K223" s="50">
        <f t="shared" si="125"/>
        <v>0</v>
      </c>
      <c r="L223" s="50"/>
      <c r="M223" s="50">
        <f t="shared" si="126"/>
        <v>0</v>
      </c>
      <c r="N223" s="50"/>
      <c r="O223" s="50">
        <f t="shared" si="127"/>
        <v>9449.7058482271877</v>
      </c>
      <c r="P223" s="50">
        <f t="shared" si="128"/>
        <v>40288.29415177281</v>
      </c>
      <c r="Q223" s="50"/>
      <c r="R223" s="50">
        <f t="shared" si="129"/>
        <v>0</v>
      </c>
      <c r="S223" s="50">
        <f t="shared" si="130"/>
        <v>0</v>
      </c>
      <c r="T223" s="50"/>
      <c r="U223" s="50">
        <f t="shared" si="131"/>
        <v>0</v>
      </c>
      <c r="V223" s="50"/>
      <c r="W223" s="50">
        <f t="shared" si="132"/>
        <v>0</v>
      </c>
      <c r="X223" s="50"/>
      <c r="Y223" s="50">
        <f t="shared" si="133"/>
        <v>0</v>
      </c>
      <c r="Z223" s="50"/>
      <c r="AA223" s="50">
        <f t="shared" si="134"/>
        <v>0</v>
      </c>
      <c r="AB223" s="50">
        <f t="shared" si="135"/>
        <v>49738</v>
      </c>
      <c r="AC223" s="31" t="str">
        <f t="shared" si="136"/>
        <v>ok</v>
      </c>
    </row>
    <row r="224" spans="1:29" x14ac:dyDescent="0.2">
      <c r="A224" s="14">
        <v>595</v>
      </c>
      <c r="B224" s="14" t="s">
        <v>128</v>
      </c>
      <c r="C224" s="14" t="s">
        <v>129</v>
      </c>
      <c r="D224" s="14" t="s">
        <v>37</v>
      </c>
      <c r="F224" s="50">
        <v>4551</v>
      </c>
      <c r="H224" s="50">
        <f t="shared" si="123"/>
        <v>0</v>
      </c>
      <c r="I224" s="50">
        <f t="shared" si="124"/>
        <v>0</v>
      </c>
      <c r="J224" s="50"/>
      <c r="K224" s="50">
        <f t="shared" si="125"/>
        <v>0</v>
      </c>
      <c r="L224" s="50"/>
      <c r="M224" s="50">
        <f t="shared" si="126"/>
        <v>0</v>
      </c>
      <c r="N224" s="50"/>
      <c r="O224" s="50">
        <f t="shared" si="127"/>
        <v>1942.8694990815538</v>
      </c>
      <c r="P224" s="50">
        <f t="shared" si="128"/>
        <v>2608.1305009184462</v>
      </c>
      <c r="Q224" s="50"/>
      <c r="R224" s="50">
        <f t="shared" si="129"/>
        <v>0</v>
      </c>
      <c r="S224" s="50">
        <f t="shared" si="130"/>
        <v>0</v>
      </c>
      <c r="T224" s="50"/>
      <c r="U224" s="50">
        <f t="shared" si="131"/>
        <v>0</v>
      </c>
      <c r="V224" s="50"/>
      <c r="W224" s="50">
        <f t="shared" si="132"/>
        <v>0</v>
      </c>
      <c r="X224" s="50"/>
      <c r="Y224" s="50">
        <f t="shared" si="133"/>
        <v>0</v>
      </c>
      <c r="Z224" s="50"/>
      <c r="AA224" s="50">
        <f t="shared" si="134"/>
        <v>0</v>
      </c>
      <c r="AB224" s="50">
        <f t="shared" si="135"/>
        <v>4551</v>
      </c>
      <c r="AC224" s="31" t="str">
        <f t="shared" si="136"/>
        <v>ok</v>
      </c>
    </row>
    <row r="225" spans="1:29" x14ac:dyDescent="0.2">
      <c r="A225" s="14">
        <v>596</v>
      </c>
      <c r="B225" s="14" t="s">
        <v>380</v>
      </c>
      <c r="C225" s="14" t="s">
        <v>381</v>
      </c>
      <c r="D225" s="14" t="s">
        <v>48</v>
      </c>
      <c r="F225" s="50">
        <v>5025</v>
      </c>
      <c r="H225" s="50">
        <f t="shared" si="123"/>
        <v>0</v>
      </c>
      <c r="I225" s="50">
        <f t="shared" si="124"/>
        <v>0</v>
      </c>
      <c r="J225" s="50"/>
      <c r="K225" s="50">
        <f t="shared" si="125"/>
        <v>0</v>
      </c>
      <c r="L225" s="50"/>
      <c r="M225" s="50">
        <f t="shared" si="126"/>
        <v>0</v>
      </c>
      <c r="N225" s="50"/>
      <c r="O225" s="50">
        <f t="shared" si="127"/>
        <v>0</v>
      </c>
      <c r="P225" s="50">
        <f t="shared" si="128"/>
        <v>0</v>
      </c>
      <c r="Q225" s="50"/>
      <c r="R225" s="50">
        <f t="shared" si="129"/>
        <v>0</v>
      </c>
      <c r="S225" s="50">
        <f t="shared" si="130"/>
        <v>0</v>
      </c>
      <c r="T225" s="50"/>
      <c r="U225" s="50">
        <f t="shared" si="131"/>
        <v>0</v>
      </c>
      <c r="V225" s="50"/>
      <c r="W225" s="50">
        <f t="shared" si="132"/>
        <v>5025</v>
      </c>
      <c r="X225" s="50"/>
      <c r="Y225" s="50">
        <f t="shared" si="133"/>
        <v>0</v>
      </c>
      <c r="Z225" s="50"/>
      <c r="AA225" s="50">
        <f t="shared" si="134"/>
        <v>0</v>
      </c>
      <c r="AB225" s="50">
        <f t="shared" si="135"/>
        <v>5025</v>
      </c>
      <c r="AC225" s="31" t="str">
        <f t="shared" si="136"/>
        <v>ok</v>
      </c>
    </row>
    <row r="226" spans="1:29" x14ac:dyDescent="0.2">
      <c r="A226" s="14">
        <v>597</v>
      </c>
      <c r="B226" s="14" t="s">
        <v>130</v>
      </c>
      <c r="C226" s="14" t="s">
        <v>131</v>
      </c>
      <c r="D226" s="14" t="s">
        <v>43</v>
      </c>
      <c r="F226" s="50">
        <v>0</v>
      </c>
      <c r="H226" s="50">
        <f t="shared" si="123"/>
        <v>0</v>
      </c>
      <c r="I226" s="50">
        <f t="shared" si="124"/>
        <v>0</v>
      </c>
      <c r="J226" s="50"/>
      <c r="K226" s="50">
        <f t="shared" si="125"/>
        <v>0</v>
      </c>
      <c r="L226" s="50"/>
      <c r="M226" s="50">
        <f t="shared" si="126"/>
        <v>0</v>
      </c>
      <c r="N226" s="50"/>
      <c r="O226" s="50">
        <f t="shared" si="127"/>
        <v>0</v>
      </c>
      <c r="P226" s="50">
        <f t="shared" si="128"/>
        <v>0</v>
      </c>
      <c r="Q226" s="50"/>
      <c r="R226" s="50">
        <f t="shared" si="129"/>
        <v>0</v>
      </c>
      <c r="S226" s="50">
        <f t="shared" si="130"/>
        <v>0</v>
      </c>
      <c r="T226" s="50"/>
      <c r="U226" s="50">
        <f t="shared" si="131"/>
        <v>0</v>
      </c>
      <c r="V226" s="50"/>
      <c r="W226" s="50">
        <f t="shared" si="132"/>
        <v>0</v>
      </c>
      <c r="X226" s="50"/>
      <c r="Y226" s="50">
        <f t="shared" si="133"/>
        <v>0</v>
      </c>
      <c r="Z226" s="50"/>
      <c r="AA226" s="50">
        <f t="shared" si="134"/>
        <v>0</v>
      </c>
      <c r="AB226" s="50">
        <f t="shared" si="135"/>
        <v>0</v>
      </c>
      <c r="AC226" s="31" t="str">
        <f t="shared" si="136"/>
        <v>ok</v>
      </c>
    </row>
    <row r="227" spans="1:29" x14ac:dyDescent="0.2">
      <c r="A227" s="14">
        <v>598</v>
      </c>
      <c r="B227" s="14" t="s">
        <v>384</v>
      </c>
      <c r="C227" s="14" t="s">
        <v>132</v>
      </c>
      <c r="D227" s="14" t="s">
        <v>16</v>
      </c>
      <c r="F227" s="50">
        <v>301229</v>
      </c>
      <c r="H227" s="50">
        <f t="shared" si="123"/>
        <v>0</v>
      </c>
      <c r="I227" s="50">
        <f t="shared" si="124"/>
        <v>0</v>
      </c>
      <c r="J227" s="50"/>
      <c r="K227" s="50">
        <f t="shared" si="125"/>
        <v>0</v>
      </c>
      <c r="L227" s="50"/>
      <c r="M227" s="50">
        <f t="shared" si="126"/>
        <v>2257.1459307504065</v>
      </c>
      <c r="N227" s="50"/>
      <c r="O227" s="50">
        <f t="shared" si="127"/>
        <v>135490.40281625019</v>
      </c>
      <c r="P227" s="50">
        <f t="shared" si="128"/>
        <v>102744.3162975016</v>
      </c>
      <c r="Q227" s="50"/>
      <c r="R227" s="50">
        <f t="shared" si="129"/>
        <v>0</v>
      </c>
      <c r="S227" s="50">
        <f t="shared" si="130"/>
        <v>32283.212964694194</v>
      </c>
      <c r="T227" s="50"/>
      <c r="U227" s="50">
        <f t="shared" si="131"/>
        <v>16473.736174151072</v>
      </c>
      <c r="V227" s="50"/>
      <c r="W227" s="50">
        <f t="shared" si="132"/>
        <v>11980.185816652518</v>
      </c>
      <c r="X227" s="50"/>
      <c r="Y227" s="50">
        <f t="shared" si="133"/>
        <v>0</v>
      </c>
      <c r="Z227" s="50"/>
      <c r="AA227" s="50">
        <f t="shared" si="134"/>
        <v>0</v>
      </c>
      <c r="AB227" s="50">
        <f t="shared" si="135"/>
        <v>301228.99999999994</v>
      </c>
      <c r="AC227" s="31" t="str">
        <f t="shared" si="136"/>
        <v>ok</v>
      </c>
    </row>
    <row r="228" spans="1:29" x14ac:dyDescent="0.2">
      <c r="F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31"/>
    </row>
    <row r="229" spans="1:29" x14ac:dyDescent="0.2">
      <c r="A229" s="14" t="s">
        <v>133</v>
      </c>
      <c r="C229" s="14" t="s">
        <v>134</v>
      </c>
      <c r="F229" s="66">
        <f t="shared" ref="F229:M229" si="137">SUM(F220:F228)</f>
        <v>11654476</v>
      </c>
      <c r="G229" s="66"/>
      <c r="H229" s="66">
        <f t="shared" si="137"/>
        <v>0</v>
      </c>
      <c r="I229" s="66">
        <f t="shared" si="137"/>
        <v>0</v>
      </c>
      <c r="J229" s="66"/>
      <c r="K229" s="66">
        <f t="shared" si="137"/>
        <v>0</v>
      </c>
      <c r="L229" s="66"/>
      <c r="M229" s="66">
        <f t="shared" si="137"/>
        <v>2257.1459307504065</v>
      </c>
      <c r="N229" s="66"/>
      <c r="O229" s="66">
        <f t="shared" ref="O229:AA229" si="138">SUM(O220:O228)</f>
        <v>6999650.5971936053</v>
      </c>
      <c r="P229" s="66">
        <f t="shared" si="138"/>
        <v>4586806.1219201451</v>
      </c>
      <c r="Q229" s="66"/>
      <c r="R229" s="66">
        <f t="shared" si="138"/>
        <v>0</v>
      </c>
      <c r="S229" s="66">
        <f t="shared" si="138"/>
        <v>32283.212964694194</v>
      </c>
      <c r="T229" s="66"/>
      <c r="U229" s="66">
        <f t="shared" si="138"/>
        <v>16473.736174151072</v>
      </c>
      <c r="V229" s="66"/>
      <c r="W229" s="66">
        <f t="shared" si="138"/>
        <v>17005.18581665252</v>
      </c>
      <c r="X229" s="66"/>
      <c r="Y229" s="66">
        <f t="shared" si="138"/>
        <v>0</v>
      </c>
      <c r="Z229" s="66"/>
      <c r="AA229" s="66">
        <f t="shared" si="138"/>
        <v>0</v>
      </c>
      <c r="AB229" s="50">
        <f>SUM(H229:AA229)</f>
        <v>11654476</v>
      </c>
      <c r="AC229" s="31" t="str">
        <f>IF(ABS(AB229-F229)&lt;1,"ok","err")</f>
        <v>ok</v>
      </c>
    </row>
    <row r="230" spans="1:29" x14ac:dyDescent="0.2">
      <c r="F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C230" s="31"/>
    </row>
    <row r="231" spans="1:29" x14ac:dyDescent="0.2">
      <c r="A231" s="14" t="s">
        <v>382</v>
      </c>
      <c r="F231" s="50">
        <f>F215+F229</f>
        <v>16974667</v>
      </c>
      <c r="G231" s="50"/>
      <c r="H231" s="50">
        <f>H215+H229</f>
        <v>0</v>
      </c>
      <c r="I231" s="50">
        <f>I215+I229</f>
        <v>0</v>
      </c>
      <c r="J231" s="50"/>
      <c r="K231" s="50">
        <f>K215+K229</f>
        <v>0</v>
      </c>
      <c r="L231" s="50"/>
      <c r="M231" s="50">
        <f>M215+M229</f>
        <v>160004.05265112905</v>
      </c>
      <c r="N231" s="50"/>
      <c r="O231" s="50">
        <f>O215+O229</f>
        <v>8634697.7964797374</v>
      </c>
      <c r="P231" s="50">
        <f>P215+P229</f>
        <v>5807995.5417995574</v>
      </c>
      <c r="Q231" s="50"/>
      <c r="R231" s="50">
        <f>R215+R229</f>
        <v>0</v>
      </c>
      <c r="S231" s="50">
        <f>S215+S229</f>
        <v>449278.58411404223</v>
      </c>
      <c r="T231" s="50"/>
      <c r="U231" s="50">
        <f>U215+U229</f>
        <v>1860746.2920672928</v>
      </c>
      <c r="V231" s="50"/>
      <c r="W231" s="50">
        <f>W215+W229</f>
        <v>61944.732888240018</v>
      </c>
      <c r="X231" s="50"/>
      <c r="Y231" s="50">
        <f>Y215+Y229</f>
        <v>0</v>
      </c>
      <c r="Z231" s="50"/>
      <c r="AA231" s="50">
        <f>AA215+AA229</f>
        <v>0</v>
      </c>
      <c r="AB231" s="50">
        <f>SUM(H231:AA231)</f>
        <v>16974667</v>
      </c>
      <c r="AC231" s="31" t="str">
        <f>IF(ABS(AB231-F231)&lt;1,"ok","err")</f>
        <v>ok</v>
      </c>
    </row>
    <row r="232" spans="1:29" x14ac:dyDescent="0.2"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C232" s="31"/>
    </row>
    <row r="233" spans="1:29" x14ac:dyDescent="0.2">
      <c r="A233" s="14" t="s">
        <v>383</v>
      </c>
      <c r="F233" s="50">
        <f>F231+F199</f>
        <v>16974667</v>
      </c>
      <c r="G233" s="50"/>
      <c r="H233" s="50">
        <f>H231+H199</f>
        <v>0</v>
      </c>
      <c r="I233" s="50">
        <f>I231+I199</f>
        <v>0</v>
      </c>
      <c r="J233" s="50"/>
      <c r="K233" s="50">
        <f>K231+K199</f>
        <v>0</v>
      </c>
      <c r="L233" s="50"/>
      <c r="M233" s="50">
        <f>M231+M199</f>
        <v>160004.05265112905</v>
      </c>
      <c r="N233" s="50"/>
      <c r="O233" s="50">
        <f>O231+O199</f>
        <v>8634697.7964797374</v>
      </c>
      <c r="P233" s="50">
        <f>P231+P199</f>
        <v>5807995.5417995574</v>
      </c>
      <c r="Q233" s="50"/>
      <c r="R233" s="50">
        <f>R231+R199</f>
        <v>0</v>
      </c>
      <c r="S233" s="50">
        <f>S231+S199</f>
        <v>449278.58411404223</v>
      </c>
      <c r="T233" s="50"/>
      <c r="U233" s="50">
        <f>U231+U199</f>
        <v>1860746.2920672928</v>
      </c>
      <c r="V233" s="50"/>
      <c r="W233" s="50">
        <f>W231+W199</f>
        <v>61944.732888240018</v>
      </c>
      <c r="X233" s="50"/>
      <c r="Y233" s="50">
        <f>Y231+Y199</f>
        <v>0</v>
      </c>
      <c r="Z233" s="50"/>
      <c r="AA233" s="50">
        <f>AA231+AA199</f>
        <v>0</v>
      </c>
      <c r="AB233" s="50">
        <f>SUM(H233:AA233)</f>
        <v>16974667</v>
      </c>
      <c r="AC233" s="31" t="str">
        <f>IF(ABS(AB233-F233)&lt;1,"ok","err")</f>
        <v>ok</v>
      </c>
    </row>
    <row r="234" spans="1:29" x14ac:dyDescent="0.2"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C234" s="31"/>
    </row>
    <row r="235" spans="1:29" x14ac:dyDescent="0.2">
      <c r="A235" s="14" t="s">
        <v>827</v>
      </c>
      <c r="F235" s="50">
        <f>F170+F199+F231</f>
        <v>16974667</v>
      </c>
      <c r="G235" s="50"/>
      <c r="H235" s="50">
        <f>H170+H199+H231</f>
        <v>0</v>
      </c>
      <c r="I235" s="50">
        <f>I170+I199+I231</f>
        <v>0</v>
      </c>
      <c r="J235" s="50"/>
      <c r="K235" s="50">
        <f>K170+K199+K231</f>
        <v>0</v>
      </c>
      <c r="L235" s="50"/>
      <c r="M235" s="50">
        <f>M170+M199+M231</f>
        <v>160004.05265112905</v>
      </c>
      <c r="N235" s="50"/>
      <c r="O235" s="50">
        <f>O170+O199+O231</f>
        <v>8634697.7964797374</v>
      </c>
      <c r="P235" s="50">
        <f>P170+P199+P231</f>
        <v>5807995.5417995574</v>
      </c>
      <c r="Q235" s="50"/>
      <c r="R235" s="50">
        <f>R170+R199+R231</f>
        <v>0</v>
      </c>
      <c r="S235" s="50">
        <f>S170+S199+S231</f>
        <v>449278.58411404223</v>
      </c>
      <c r="T235" s="50"/>
      <c r="U235" s="50">
        <f>U170+U199+U231</f>
        <v>1860746.2920672928</v>
      </c>
      <c r="V235" s="50"/>
      <c r="W235" s="50">
        <f>W170+W199+W231</f>
        <v>61944.732888240018</v>
      </c>
      <c r="X235" s="50"/>
      <c r="Y235" s="50">
        <f>Y170+Y199+Y231</f>
        <v>0</v>
      </c>
      <c r="Z235" s="50"/>
      <c r="AA235" s="50">
        <f>AA170+AA199+AA231</f>
        <v>0</v>
      </c>
      <c r="AB235" s="50">
        <f>SUM(H235:AA235)</f>
        <v>16974667</v>
      </c>
      <c r="AC235" s="31" t="str">
        <f>IF(ABS(AB235-F235)&lt;1,"ok","err")</f>
        <v>ok</v>
      </c>
    </row>
    <row r="236" spans="1:29" x14ac:dyDescent="0.2"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C236" s="31"/>
    </row>
    <row r="237" spans="1:29" x14ac:dyDescent="0.2">
      <c r="A237" s="14" t="s">
        <v>826</v>
      </c>
      <c r="C237" s="14" t="s">
        <v>135</v>
      </c>
      <c r="F237" s="66">
        <f>F231+F199+F180+F170</f>
        <v>98701177</v>
      </c>
      <c r="G237" s="66"/>
      <c r="H237" s="66">
        <f>H231+H199+H180+H170</f>
        <v>22680439.375992071</v>
      </c>
      <c r="I237" s="66">
        <f>I231+I199+I180+I170</f>
        <v>59046070.624007918</v>
      </c>
      <c r="J237" s="66"/>
      <c r="K237" s="66">
        <f>K231+K199+K180+K170</f>
        <v>0</v>
      </c>
      <c r="L237" s="66"/>
      <c r="M237" s="66">
        <f>M231+M199+M180+M170</f>
        <v>160004.05265112905</v>
      </c>
      <c r="N237" s="66"/>
      <c r="O237" s="66">
        <f>O231+O199+O180+O170</f>
        <v>8634697.7964797374</v>
      </c>
      <c r="P237" s="66">
        <f>P231+P199+P180+P170</f>
        <v>5807995.5417995574</v>
      </c>
      <c r="Q237" s="66"/>
      <c r="R237" s="66">
        <f>R231+R199+R180+R170</f>
        <v>0</v>
      </c>
      <c r="S237" s="66">
        <f>S231+S199+S180+S170</f>
        <v>449278.58411404223</v>
      </c>
      <c r="T237" s="66"/>
      <c r="U237" s="66">
        <f>U231+U199+U180+U170</f>
        <v>1860746.2920672928</v>
      </c>
      <c r="V237" s="66"/>
      <c r="W237" s="66">
        <f>W231+W199+W180+W170</f>
        <v>61944.732888240018</v>
      </c>
      <c r="X237" s="66"/>
      <c r="Y237" s="66">
        <f>Y231+Y199+Y180+Y170</f>
        <v>0</v>
      </c>
      <c r="Z237" s="66"/>
      <c r="AA237" s="66">
        <f>AA231+AA199+AA180+AA170</f>
        <v>0</v>
      </c>
      <c r="AB237" s="50">
        <f>SUM(H237:AA237)</f>
        <v>98701176.99999997</v>
      </c>
      <c r="AC237" s="31" t="str">
        <f>IF(ABS(AB237-F237)&lt;1,"ok","err")</f>
        <v>ok</v>
      </c>
    </row>
    <row r="238" spans="1:29" x14ac:dyDescent="0.2">
      <c r="A238" s="13"/>
      <c r="F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C238" s="31"/>
    </row>
    <row r="239" spans="1:29" x14ac:dyDescent="0.2">
      <c r="A239" s="13" t="s">
        <v>137</v>
      </c>
      <c r="F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C239" s="31"/>
    </row>
    <row r="240" spans="1:29" x14ac:dyDescent="0.2">
      <c r="A240" s="14">
        <v>901</v>
      </c>
      <c r="B240" s="14" t="s">
        <v>138</v>
      </c>
      <c r="C240" s="14" t="s">
        <v>139</v>
      </c>
      <c r="D240" s="14" t="s">
        <v>140</v>
      </c>
      <c r="F240" s="66">
        <v>0</v>
      </c>
      <c r="H240" s="50">
        <f>IF(VLOOKUP($D240,$C$5:$AA$494,6,)=0,0,((VLOOKUP($D240,$C$5:$AA$494,6,)/VLOOKUP($D240,$C$5:$AA$494,4,))*$F240))</f>
        <v>0</v>
      </c>
      <c r="I240" s="50">
        <f>IF(VLOOKUP($D240,$C$5:$AA$494,7,)=0,0,((VLOOKUP($D240,$C$5:$AA$494,7,)/VLOOKUP($D240,$C$5:$AA$494,4,))*$F240))</f>
        <v>0</v>
      </c>
      <c r="J240" s="50"/>
      <c r="K240" s="50">
        <f>IF(VLOOKUP($D240,$C$5:$AA$494,9,)=0,0,((VLOOKUP($D240,$C$5:$AA$494,9,)/VLOOKUP($D240,$C$5:$AA$494,4,))*$F240))</f>
        <v>0</v>
      </c>
      <c r="L240" s="50"/>
      <c r="M240" s="50">
        <f>IF(VLOOKUP($D240,$C$5:$AA$494,11,)=0,0,((VLOOKUP($D240,$C$5:$AA$494,11,)/VLOOKUP($D240,$C$5:$AA$494,4,))*$F240))</f>
        <v>0</v>
      </c>
      <c r="N240" s="50"/>
      <c r="O240" s="50">
        <f>IF(VLOOKUP($D240,$C$5:$AA$494,13,)=0,0,((VLOOKUP($D240,$C$5:$AA$494,13,)/VLOOKUP($D240,$C$5:$AA$494,4,))*$F240))</f>
        <v>0</v>
      </c>
      <c r="P240" s="50">
        <f>IF(VLOOKUP($D240,$C$5:$AA$494,14,)=0,0,((VLOOKUP($D240,$C$5:$AA$494,14,)/VLOOKUP($D240,$C$5:$AA$494,4,))*$F240))</f>
        <v>0</v>
      </c>
      <c r="Q240" s="50"/>
      <c r="R240" s="50">
        <f>IF(VLOOKUP($D240,$C$5:$AA$494,16,)=0,0,((VLOOKUP($D240,$C$5:$AA$494,16,)/VLOOKUP($D240,$C$5:$AA$494,4,))*$F240))</f>
        <v>0</v>
      </c>
      <c r="S240" s="50">
        <f>IF(VLOOKUP($D240,$C$5:$AA$494,17,)=0,0,((VLOOKUP($D240,$C$5:$AA$494,17,)/VLOOKUP($D240,$C$5:$AA$494,4,))*$F240))</f>
        <v>0</v>
      </c>
      <c r="T240" s="50"/>
      <c r="U240" s="50">
        <f>IF(VLOOKUP($D240,$C$5:$AA$494,19,)=0,0,((VLOOKUP($D240,$C$5:$AA$494,19,)/VLOOKUP($D240,$C$5:$AA$494,4,))*$F240))</f>
        <v>0</v>
      </c>
      <c r="V240" s="50"/>
      <c r="W240" s="50">
        <f>IF(VLOOKUP($D240,$C$5:$AA$494,21,)=0,0,((VLOOKUP($D240,$C$5:$AA$494,21,)/VLOOKUP($D240,$C$5:$AA$494,4,))*$F240))</f>
        <v>0</v>
      </c>
      <c r="X240" s="50"/>
      <c r="Y240" s="50">
        <f>IF(VLOOKUP($D240,$C$5:$AA$494,23,)=0,0,((VLOOKUP($D240,$C$5:$AA$494,23,)/VLOOKUP($D240,$C$5:$AA$494,4,))*$F240))</f>
        <v>0</v>
      </c>
      <c r="Z240" s="50"/>
      <c r="AA240" s="50">
        <f>IF(VLOOKUP($D240,$C$5:$AA$494,25,)=0,0,((VLOOKUP($D240,$C$5:$AA$494,25,)/VLOOKUP($D240,$C$5:$AA$494,4,))*$F240))</f>
        <v>0</v>
      </c>
      <c r="AB240" s="50">
        <f>SUM(H240:AA240)</f>
        <v>0</v>
      </c>
      <c r="AC240" s="31" t="str">
        <f>IF(ABS(AB240-F240)&lt;1,"ok","err")</f>
        <v>ok</v>
      </c>
    </row>
    <row r="241" spans="1:29" x14ac:dyDescent="0.2">
      <c r="A241" s="14">
        <v>902</v>
      </c>
      <c r="B241" s="14" t="s">
        <v>141</v>
      </c>
      <c r="C241" s="14" t="s">
        <v>142</v>
      </c>
      <c r="D241" s="14" t="s">
        <v>140</v>
      </c>
      <c r="F241" s="50">
        <v>0</v>
      </c>
      <c r="H241" s="50">
        <f>IF(VLOOKUP($D241,$C$5:$AA$494,6,)=0,0,((VLOOKUP($D241,$C$5:$AA$494,6,)/VLOOKUP($D241,$C$5:$AA$494,4,))*$F241))</f>
        <v>0</v>
      </c>
      <c r="I241" s="50">
        <f>IF(VLOOKUP($D241,$C$5:$AA$494,7,)=0,0,((VLOOKUP($D241,$C$5:$AA$494,7,)/VLOOKUP($D241,$C$5:$AA$494,4,))*$F241))</f>
        <v>0</v>
      </c>
      <c r="J241" s="50"/>
      <c r="K241" s="50">
        <f>IF(VLOOKUP($D241,$C$5:$AA$494,9,)=0,0,((VLOOKUP($D241,$C$5:$AA$494,9,)/VLOOKUP($D241,$C$5:$AA$494,4,))*$F241))</f>
        <v>0</v>
      </c>
      <c r="L241" s="50"/>
      <c r="M241" s="50">
        <f>IF(VLOOKUP($D241,$C$5:$AA$494,11,)=0,0,((VLOOKUP($D241,$C$5:$AA$494,11,)/VLOOKUP($D241,$C$5:$AA$494,4,))*$F241))</f>
        <v>0</v>
      </c>
      <c r="N241" s="50"/>
      <c r="O241" s="50">
        <f>IF(VLOOKUP($D241,$C$5:$AA$494,13,)=0,0,((VLOOKUP($D241,$C$5:$AA$494,13,)/VLOOKUP($D241,$C$5:$AA$494,4,))*$F241))</f>
        <v>0</v>
      </c>
      <c r="P241" s="50">
        <f>IF(VLOOKUP($D241,$C$5:$AA$494,14,)=0,0,((VLOOKUP($D241,$C$5:$AA$494,14,)/VLOOKUP($D241,$C$5:$AA$494,4,))*$F241))</f>
        <v>0</v>
      </c>
      <c r="Q241" s="50"/>
      <c r="R241" s="50">
        <f>IF(VLOOKUP($D241,$C$5:$AA$494,16,)=0,0,((VLOOKUP($D241,$C$5:$AA$494,16,)/VLOOKUP($D241,$C$5:$AA$494,4,))*$F241))</f>
        <v>0</v>
      </c>
      <c r="S241" s="50">
        <f>IF(VLOOKUP($D241,$C$5:$AA$494,17,)=0,0,((VLOOKUP($D241,$C$5:$AA$494,17,)/VLOOKUP($D241,$C$5:$AA$494,4,))*$F241))</f>
        <v>0</v>
      </c>
      <c r="T241" s="50"/>
      <c r="U241" s="50">
        <f>IF(VLOOKUP($D241,$C$5:$AA$494,19,)=0,0,((VLOOKUP($D241,$C$5:$AA$494,19,)/VLOOKUP($D241,$C$5:$AA$494,4,))*$F241))</f>
        <v>0</v>
      </c>
      <c r="V241" s="50"/>
      <c r="W241" s="50">
        <f>IF(VLOOKUP($D241,$C$5:$AA$494,21,)=0,0,((VLOOKUP($D241,$C$5:$AA$494,21,)/VLOOKUP($D241,$C$5:$AA$494,4,))*$F241))</f>
        <v>0</v>
      </c>
      <c r="X241" s="50"/>
      <c r="Y241" s="50">
        <f>IF(VLOOKUP($D241,$C$5:$AA$494,23,)=0,0,((VLOOKUP($D241,$C$5:$AA$494,23,)/VLOOKUP($D241,$C$5:$AA$494,4,))*$F241))</f>
        <v>0</v>
      </c>
      <c r="Z241" s="50"/>
      <c r="AA241" s="50">
        <f>IF(VLOOKUP($D241,$C$5:$AA$494,25,)=0,0,((VLOOKUP($D241,$C$5:$AA$494,25,)/VLOOKUP($D241,$C$5:$AA$494,4,))*$F241))</f>
        <v>0</v>
      </c>
      <c r="AB241" s="50">
        <f>SUM(H241:AA241)</f>
        <v>0</v>
      </c>
      <c r="AC241" s="31" t="str">
        <f>IF(ABS(AB241-F241)&lt;1,"ok","err")</f>
        <v>ok</v>
      </c>
    </row>
    <row r="242" spans="1:29" x14ac:dyDescent="0.2">
      <c r="A242" s="14">
        <v>903</v>
      </c>
      <c r="B242" s="14" t="s">
        <v>452</v>
      </c>
      <c r="C242" s="14" t="s">
        <v>143</v>
      </c>
      <c r="D242" s="14" t="s">
        <v>140</v>
      </c>
      <c r="F242" s="50">
        <f>571663+5334+463657+449160+606568+12917+180+8803+5435+138626+138907+22380+884646</f>
        <v>3308276</v>
      </c>
      <c r="H242" s="50">
        <f>IF(VLOOKUP($D242,$C$5:$AA$494,6,)=0,0,((VLOOKUP($D242,$C$5:$AA$494,6,)/VLOOKUP($D242,$C$5:$AA$494,4,))*$F242))</f>
        <v>0</v>
      </c>
      <c r="I242" s="50">
        <f>IF(VLOOKUP($D242,$C$5:$AA$494,7,)=0,0,((VLOOKUP($D242,$C$5:$AA$494,7,)/VLOOKUP($D242,$C$5:$AA$494,4,))*$F242))</f>
        <v>0</v>
      </c>
      <c r="J242" s="50"/>
      <c r="K242" s="50">
        <f>IF(VLOOKUP($D242,$C$5:$AA$494,9,)=0,0,((VLOOKUP($D242,$C$5:$AA$494,9,)/VLOOKUP($D242,$C$5:$AA$494,4,))*$F242))</f>
        <v>0</v>
      </c>
      <c r="L242" s="50"/>
      <c r="M242" s="50">
        <f>IF(VLOOKUP($D242,$C$5:$AA$494,11,)=0,0,((VLOOKUP($D242,$C$5:$AA$494,11,)/VLOOKUP($D242,$C$5:$AA$494,4,))*$F242))</f>
        <v>0</v>
      </c>
      <c r="N242" s="50"/>
      <c r="O242" s="50">
        <f>IF(VLOOKUP($D242,$C$5:$AA$494,13,)=0,0,((VLOOKUP($D242,$C$5:$AA$494,13,)/VLOOKUP($D242,$C$5:$AA$494,4,))*$F242))</f>
        <v>0</v>
      </c>
      <c r="P242" s="50">
        <f>IF(VLOOKUP($D242,$C$5:$AA$494,14,)=0,0,((VLOOKUP($D242,$C$5:$AA$494,14,)/VLOOKUP($D242,$C$5:$AA$494,4,))*$F242))</f>
        <v>0</v>
      </c>
      <c r="Q242" s="50"/>
      <c r="R242" s="50">
        <f>IF(VLOOKUP($D242,$C$5:$AA$494,16,)=0,0,((VLOOKUP($D242,$C$5:$AA$494,16,)/VLOOKUP($D242,$C$5:$AA$494,4,))*$F242))</f>
        <v>0</v>
      </c>
      <c r="S242" s="50">
        <f>IF(VLOOKUP($D242,$C$5:$AA$494,17,)=0,0,((VLOOKUP($D242,$C$5:$AA$494,17,)/VLOOKUP($D242,$C$5:$AA$494,4,))*$F242))</f>
        <v>0</v>
      </c>
      <c r="T242" s="50"/>
      <c r="U242" s="50">
        <f>IF(VLOOKUP($D242,$C$5:$AA$494,19,)=0,0,((VLOOKUP($D242,$C$5:$AA$494,19,)/VLOOKUP($D242,$C$5:$AA$494,4,))*$F242))</f>
        <v>0</v>
      </c>
      <c r="V242" s="50"/>
      <c r="W242" s="50">
        <f>IF(VLOOKUP($D242,$C$5:$AA$494,21,)=0,0,((VLOOKUP($D242,$C$5:$AA$494,21,)/VLOOKUP($D242,$C$5:$AA$494,4,))*$F242))</f>
        <v>0</v>
      </c>
      <c r="X242" s="50"/>
      <c r="Y242" s="50">
        <f>IF(VLOOKUP($D242,$C$5:$AA$494,23,)=0,0,((VLOOKUP($D242,$C$5:$AA$494,23,)/VLOOKUP($D242,$C$5:$AA$494,4,))*$F242))</f>
        <v>3308276</v>
      </c>
      <c r="Z242" s="50"/>
      <c r="AA242" s="50">
        <f>IF(VLOOKUP($D242,$C$5:$AA$494,25,)=0,0,((VLOOKUP($D242,$C$5:$AA$494,25,)/VLOOKUP($D242,$C$5:$AA$494,4,))*$F242))</f>
        <v>0</v>
      </c>
      <c r="AB242" s="50">
        <f>SUM(H242:AA242)</f>
        <v>3308276</v>
      </c>
      <c r="AC242" s="31" t="str">
        <f>IF(ABS(AB242-F242)&lt;1,"ok","err")</f>
        <v>ok</v>
      </c>
    </row>
    <row r="243" spans="1:29" x14ac:dyDescent="0.2">
      <c r="A243" s="14">
        <v>904</v>
      </c>
      <c r="B243" s="14" t="s">
        <v>144</v>
      </c>
      <c r="C243" s="14" t="s">
        <v>145</v>
      </c>
      <c r="D243" s="14" t="s">
        <v>140</v>
      </c>
      <c r="F243" s="50">
        <v>74061</v>
      </c>
      <c r="H243" s="50">
        <f>IF(VLOOKUP($D243,$C$5:$AA$494,6,)=0,0,((VLOOKUP($D243,$C$5:$AA$494,6,)/VLOOKUP($D243,$C$5:$AA$494,4,))*$F243))</f>
        <v>0</v>
      </c>
      <c r="I243" s="50">
        <f>IF(VLOOKUP($D243,$C$5:$AA$494,7,)=0,0,((VLOOKUP($D243,$C$5:$AA$494,7,)/VLOOKUP($D243,$C$5:$AA$494,4,))*$F243))</f>
        <v>0</v>
      </c>
      <c r="J243" s="50"/>
      <c r="K243" s="50">
        <f>IF(VLOOKUP($D243,$C$5:$AA$494,9,)=0,0,((VLOOKUP($D243,$C$5:$AA$494,9,)/VLOOKUP($D243,$C$5:$AA$494,4,))*$F243))</f>
        <v>0</v>
      </c>
      <c r="L243" s="50"/>
      <c r="M243" s="50">
        <f>IF(VLOOKUP($D243,$C$5:$AA$494,11,)=0,0,((VLOOKUP($D243,$C$5:$AA$494,11,)/VLOOKUP($D243,$C$5:$AA$494,4,))*$F243))</f>
        <v>0</v>
      </c>
      <c r="N243" s="50"/>
      <c r="O243" s="50">
        <f>IF(VLOOKUP($D243,$C$5:$AA$494,13,)=0,0,((VLOOKUP($D243,$C$5:$AA$494,13,)/VLOOKUP($D243,$C$5:$AA$494,4,))*$F243))</f>
        <v>0</v>
      </c>
      <c r="P243" s="50">
        <f>IF(VLOOKUP($D243,$C$5:$AA$494,14,)=0,0,((VLOOKUP($D243,$C$5:$AA$494,14,)/VLOOKUP($D243,$C$5:$AA$494,4,))*$F243))</f>
        <v>0</v>
      </c>
      <c r="Q243" s="50"/>
      <c r="R243" s="50">
        <f>IF(VLOOKUP($D243,$C$5:$AA$494,16,)=0,0,((VLOOKUP($D243,$C$5:$AA$494,16,)/VLOOKUP($D243,$C$5:$AA$494,4,))*$F243))</f>
        <v>0</v>
      </c>
      <c r="S243" s="50">
        <f>IF(VLOOKUP($D243,$C$5:$AA$494,17,)=0,0,((VLOOKUP($D243,$C$5:$AA$494,17,)/VLOOKUP($D243,$C$5:$AA$494,4,))*$F243))</f>
        <v>0</v>
      </c>
      <c r="T243" s="50"/>
      <c r="U243" s="50">
        <f>IF(VLOOKUP($D243,$C$5:$AA$494,19,)=0,0,((VLOOKUP($D243,$C$5:$AA$494,19,)/VLOOKUP($D243,$C$5:$AA$494,4,))*$F243))</f>
        <v>0</v>
      </c>
      <c r="V243" s="50"/>
      <c r="W243" s="50">
        <f>IF(VLOOKUP($D243,$C$5:$AA$494,21,)=0,0,((VLOOKUP($D243,$C$5:$AA$494,21,)/VLOOKUP($D243,$C$5:$AA$494,4,))*$F243))</f>
        <v>0</v>
      </c>
      <c r="X243" s="50"/>
      <c r="Y243" s="50">
        <f>IF(VLOOKUP($D243,$C$5:$AA$494,23,)=0,0,((VLOOKUP($D243,$C$5:$AA$494,23,)/VLOOKUP($D243,$C$5:$AA$494,4,))*$F243))</f>
        <v>74061</v>
      </c>
      <c r="Z243" s="50"/>
      <c r="AA243" s="50">
        <f>IF(VLOOKUP($D243,$C$5:$AA$494,25,)=0,0,((VLOOKUP($D243,$C$5:$AA$494,25,)/VLOOKUP($D243,$C$5:$AA$494,4,))*$F243))</f>
        <v>0</v>
      </c>
      <c r="AB243" s="50">
        <f>SUM(H243:AA243)</f>
        <v>74061</v>
      </c>
      <c r="AC243" s="31" t="str">
        <f>IF(ABS(AB243-F243)&lt;1,"ok","err")</f>
        <v>ok</v>
      </c>
    </row>
    <row r="244" spans="1:29" x14ac:dyDescent="0.2">
      <c r="A244" s="14">
        <v>905</v>
      </c>
      <c r="B244" s="14" t="s">
        <v>453</v>
      </c>
      <c r="C244" s="14" t="s">
        <v>143</v>
      </c>
      <c r="D244" s="14" t="s">
        <v>140</v>
      </c>
      <c r="F244" s="50">
        <v>0</v>
      </c>
      <c r="H244" s="50">
        <f>IF(VLOOKUP($D244,$C$5:$AA$494,6,)=0,0,((VLOOKUP($D244,$C$5:$AA$494,6,)/VLOOKUP($D244,$C$5:$AA$494,4,))*$F244))</f>
        <v>0</v>
      </c>
      <c r="I244" s="50">
        <f>IF(VLOOKUP($D244,$C$5:$AA$494,7,)=0,0,((VLOOKUP($D244,$C$5:$AA$494,7,)/VLOOKUP($D244,$C$5:$AA$494,4,))*$F244))</f>
        <v>0</v>
      </c>
      <c r="J244" s="50"/>
      <c r="K244" s="50">
        <f>IF(VLOOKUP($D244,$C$5:$AA$494,9,)=0,0,((VLOOKUP($D244,$C$5:$AA$494,9,)/VLOOKUP($D244,$C$5:$AA$494,4,))*$F244))</f>
        <v>0</v>
      </c>
      <c r="L244" s="50"/>
      <c r="M244" s="50">
        <f>IF(VLOOKUP($D244,$C$5:$AA$494,11,)=0,0,((VLOOKUP($D244,$C$5:$AA$494,11,)/VLOOKUP($D244,$C$5:$AA$494,4,))*$F244))</f>
        <v>0</v>
      </c>
      <c r="N244" s="50"/>
      <c r="O244" s="50">
        <f>IF(VLOOKUP($D244,$C$5:$AA$494,13,)=0,0,((VLOOKUP($D244,$C$5:$AA$494,13,)/VLOOKUP($D244,$C$5:$AA$494,4,))*$F244))</f>
        <v>0</v>
      </c>
      <c r="P244" s="50">
        <f>IF(VLOOKUP($D244,$C$5:$AA$494,14,)=0,0,((VLOOKUP($D244,$C$5:$AA$494,14,)/VLOOKUP($D244,$C$5:$AA$494,4,))*$F244))</f>
        <v>0</v>
      </c>
      <c r="Q244" s="50"/>
      <c r="R244" s="50">
        <f>IF(VLOOKUP($D244,$C$5:$AA$494,16,)=0,0,((VLOOKUP($D244,$C$5:$AA$494,16,)/VLOOKUP($D244,$C$5:$AA$494,4,))*$F244))</f>
        <v>0</v>
      </c>
      <c r="S244" s="50">
        <f>IF(VLOOKUP($D244,$C$5:$AA$494,17,)=0,0,((VLOOKUP($D244,$C$5:$AA$494,17,)/VLOOKUP($D244,$C$5:$AA$494,4,))*$F244))</f>
        <v>0</v>
      </c>
      <c r="T244" s="50"/>
      <c r="U244" s="50">
        <f>IF(VLOOKUP($D244,$C$5:$AA$494,19,)=0,0,((VLOOKUP($D244,$C$5:$AA$494,19,)/VLOOKUP($D244,$C$5:$AA$494,4,))*$F244))</f>
        <v>0</v>
      </c>
      <c r="V244" s="50"/>
      <c r="W244" s="50">
        <f>IF(VLOOKUP($D244,$C$5:$AA$494,21,)=0,0,((VLOOKUP($D244,$C$5:$AA$494,21,)/VLOOKUP($D244,$C$5:$AA$494,4,))*$F244))</f>
        <v>0</v>
      </c>
      <c r="X244" s="50"/>
      <c r="Y244" s="50">
        <f>IF(VLOOKUP($D244,$C$5:$AA$494,23,)=0,0,((VLOOKUP($D244,$C$5:$AA$494,23,)/VLOOKUP($D244,$C$5:$AA$494,4,))*$F244))</f>
        <v>0</v>
      </c>
      <c r="Z244" s="50"/>
      <c r="AA244" s="50">
        <f>IF(VLOOKUP($D244,$C$5:$AA$494,25,)=0,0,((VLOOKUP($D244,$C$5:$AA$494,25,)/VLOOKUP($D244,$C$5:$AA$494,4,))*$F244))</f>
        <v>0</v>
      </c>
      <c r="AB244" s="50">
        <f>SUM(H244:AA244)</f>
        <v>0</v>
      </c>
      <c r="AC244" s="31" t="str">
        <f>IF(ABS(AB244-F244)&lt;1,"ok","err")</f>
        <v>ok</v>
      </c>
    </row>
    <row r="245" spans="1:29" x14ac:dyDescent="0.2">
      <c r="A245" s="13"/>
      <c r="F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31"/>
    </row>
    <row r="246" spans="1:29" x14ac:dyDescent="0.2">
      <c r="A246" s="14" t="s">
        <v>146</v>
      </c>
      <c r="C246" s="14" t="s">
        <v>147</v>
      </c>
      <c r="F246" s="66">
        <f>SUM(F240:F245)</f>
        <v>3382337</v>
      </c>
      <c r="G246" s="66"/>
      <c r="H246" s="66">
        <f t="shared" ref="H246:W246" si="139">SUM(H240:H245)</f>
        <v>0</v>
      </c>
      <c r="I246" s="66">
        <f t="shared" si="139"/>
        <v>0</v>
      </c>
      <c r="J246" s="66"/>
      <c r="K246" s="66">
        <f t="shared" si="139"/>
        <v>0</v>
      </c>
      <c r="L246" s="66"/>
      <c r="M246" s="66">
        <f t="shared" si="139"/>
        <v>0</v>
      </c>
      <c r="N246" s="66"/>
      <c r="O246" s="66">
        <f t="shared" si="139"/>
        <v>0</v>
      </c>
      <c r="P246" s="66">
        <f t="shared" si="139"/>
        <v>0</v>
      </c>
      <c r="Q246" s="66"/>
      <c r="R246" s="66">
        <f t="shared" si="139"/>
        <v>0</v>
      </c>
      <c r="S246" s="66">
        <f t="shared" si="139"/>
        <v>0</v>
      </c>
      <c r="T246" s="66"/>
      <c r="U246" s="66">
        <f t="shared" si="139"/>
        <v>0</v>
      </c>
      <c r="V246" s="66"/>
      <c r="W246" s="66">
        <f t="shared" si="139"/>
        <v>0</v>
      </c>
      <c r="X246" s="66"/>
      <c r="Y246" s="66">
        <f>SUM(Y240:Y245)</f>
        <v>3382337</v>
      </c>
      <c r="Z246" s="66"/>
      <c r="AA246" s="66">
        <f>SUM(AA240:AA245)</f>
        <v>0</v>
      </c>
      <c r="AB246" s="50">
        <f>SUM(H246:AA246)</f>
        <v>3382337</v>
      </c>
      <c r="AC246" s="31" t="str">
        <f>IF(ABS(AB246-F246)&lt;1,"ok","err")</f>
        <v>ok</v>
      </c>
    </row>
    <row r="247" spans="1:29" x14ac:dyDescent="0.2">
      <c r="F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C247" s="31"/>
    </row>
    <row r="248" spans="1:29" x14ac:dyDescent="0.2">
      <c r="A248" s="13" t="s">
        <v>148</v>
      </c>
      <c r="F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C248" s="31"/>
    </row>
    <row r="249" spans="1:29" x14ac:dyDescent="0.2">
      <c r="A249" s="14">
        <v>907</v>
      </c>
      <c r="B249" s="14" t="s">
        <v>385</v>
      </c>
      <c r="C249" s="14" t="s">
        <v>149</v>
      </c>
      <c r="D249" s="14" t="s">
        <v>150</v>
      </c>
      <c r="F249" s="66">
        <v>110185</v>
      </c>
      <c r="H249" s="50">
        <f t="shared" ref="H249:H260" si="140">IF(VLOOKUP($D249,$C$5:$AA$494,6,)=0,0,((VLOOKUP($D249,$C$5:$AA$494,6,)/VLOOKUP($D249,$C$5:$AA$494,4,))*$F249))</f>
        <v>0</v>
      </c>
      <c r="I249" s="50">
        <f t="shared" ref="I249:I260" si="141">IF(VLOOKUP($D249,$C$5:$AA$494,7,)=0,0,((VLOOKUP($D249,$C$5:$AA$494,7,)/VLOOKUP($D249,$C$5:$AA$494,4,))*$F249))</f>
        <v>0</v>
      </c>
      <c r="J249" s="50"/>
      <c r="K249" s="50">
        <f t="shared" ref="K249:K260" si="142">IF(VLOOKUP($D249,$C$5:$AA$494,9,)=0,0,((VLOOKUP($D249,$C$5:$AA$494,9,)/VLOOKUP($D249,$C$5:$AA$494,4,))*$F249))</f>
        <v>0</v>
      </c>
      <c r="L249" s="50"/>
      <c r="M249" s="50">
        <f t="shared" ref="M249:M260" si="143">IF(VLOOKUP($D249,$C$5:$AA$494,11,)=0,0,((VLOOKUP($D249,$C$5:$AA$494,11,)/VLOOKUP($D249,$C$5:$AA$494,4,))*$F249))</f>
        <v>0</v>
      </c>
      <c r="N249" s="50"/>
      <c r="O249" s="50">
        <f t="shared" ref="O249:O260" si="144">IF(VLOOKUP($D249,$C$5:$AA$494,13,)=0,0,((VLOOKUP($D249,$C$5:$AA$494,13,)/VLOOKUP($D249,$C$5:$AA$494,4,))*$F249))</f>
        <v>0</v>
      </c>
      <c r="P249" s="50">
        <f t="shared" ref="P249:P260" si="145">IF(VLOOKUP($D249,$C$5:$AA$494,14,)=0,0,((VLOOKUP($D249,$C$5:$AA$494,14,)/VLOOKUP($D249,$C$5:$AA$494,4,))*$F249))</f>
        <v>0</v>
      </c>
      <c r="Q249" s="50"/>
      <c r="R249" s="50">
        <f t="shared" ref="R249:R260" si="146">IF(VLOOKUP($D249,$C$5:$AA$494,16,)=0,0,((VLOOKUP($D249,$C$5:$AA$494,16,)/VLOOKUP($D249,$C$5:$AA$494,4,))*$F249))</f>
        <v>0</v>
      </c>
      <c r="S249" s="50">
        <f t="shared" ref="S249:S260" si="147">IF(VLOOKUP($D249,$C$5:$AA$494,17,)=0,0,((VLOOKUP($D249,$C$5:$AA$494,17,)/VLOOKUP($D249,$C$5:$AA$494,4,))*$F249))</f>
        <v>0</v>
      </c>
      <c r="T249" s="50"/>
      <c r="U249" s="50">
        <f t="shared" ref="U249:U260" si="148">IF(VLOOKUP($D249,$C$5:$AA$494,19,)=0,0,((VLOOKUP($D249,$C$5:$AA$494,19,)/VLOOKUP($D249,$C$5:$AA$494,4,))*$F249))</f>
        <v>0</v>
      </c>
      <c r="V249" s="50"/>
      <c r="W249" s="50">
        <f t="shared" ref="W249:W260" si="149">IF(VLOOKUP($D249,$C$5:$AA$494,21,)=0,0,((VLOOKUP($D249,$C$5:$AA$494,21,)/VLOOKUP($D249,$C$5:$AA$494,4,))*$F249))</f>
        <v>0</v>
      </c>
      <c r="X249" s="50"/>
      <c r="Y249" s="50">
        <f t="shared" ref="Y249:Y260" si="150">IF(VLOOKUP($D249,$C$5:$AA$494,23,)=0,0,((VLOOKUP($D249,$C$5:$AA$494,23,)/VLOOKUP($D249,$C$5:$AA$494,4,))*$F249))</f>
        <v>110185</v>
      </c>
      <c r="Z249" s="50"/>
      <c r="AA249" s="50">
        <f t="shared" ref="AA249:AA260" si="151">IF(VLOOKUP($D249,$C$5:$AA$494,25,)=0,0,((VLOOKUP($D249,$C$5:$AA$494,25,)/VLOOKUP($D249,$C$5:$AA$494,4,))*$F249))</f>
        <v>0</v>
      </c>
      <c r="AB249" s="50">
        <f t="shared" ref="AB249:AB260" si="152">SUM(H249:AA249)</f>
        <v>110185</v>
      </c>
      <c r="AC249" s="31" t="str">
        <f t="shared" ref="AC249:AC260" si="153">IF(ABS(AB249-F249)&lt;1,"ok","err")</f>
        <v>ok</v>
      </c>
    </row>
    <row r="250" spans="1:29" x14ac:dyDescent="0.2">
      <c r="A250" s="14">
        <v>908</v>
      </c>
      <c r="B250" s="14" t="s">
        <v>151</v>
      </c>
      <c r="C250" s="14" t="s">
        <v>152</v>
      </c>
      <c r="D250" s="14" t="s">
        <v>150</v>
      </c>
      <c r="F250" s="50">
        <f>6800+268+371+90429+80408+4770-5625</f>
        <v>177421</v>
      </c>
      <c r="H250" s="50">
        <f t="shared" si="140"/>
        <v>0</v>
      </c>
      <c r="I250" s="50">
        <f t="shared" si="141"/>
        <v>0</v>
      </c>
      <c r="J250" s="50"/>
      <c r="K250" s="50">
        <f t="shared" si="142"/>
        <v>0</v>
      </c>
      <c r="L250" s="50"/>
      <c r="M250" s="50">
        <f t="shared" si="143"/>
        <v>0</v>
      </c>
      <c r="N250" s="50"/>
      <c r="O250" s="50">
        <f t="shared" si="144"/>
        <v>0</v>
      </c>
      <c r="P250" s="50">
        <f t="shared" si="145"/>
        <v>0</v>
      </c>
      <c r="Q250" s="50"/>
      <c r="R250" s="50">
        <f t="shared" si="146"/>
        <v>0</v>
      </c>
      <c r="S250" s="50">
        <f t="shared" si="147"/>
        <v>0</v>
      </c>
      <c r="T250" s="50"/>
      <c r="U250" s="50">
        <f t="shared" si="148"/>
        <v>0</v>
      </c>
      <c r="V250" s="50"/>
      <c r="W250" s="50">
        <f t="shared" si="149"/>
        <v>0</v>
      </c>
      <c r="X250" s="50"/>
      <c r="Y250" s="50">
        <f t="shared" si="150"/>
        <v>177421</v>
      </c>
      <c r="Z250" s="50"/>
      <c r="AA250" s="50">
        <f t="shared" si="151"/>
        <v>0</v>
      </c>
      <c r="AB250" s="50">
        <f t="shared" si="152"/>
        <v>177421</v>
      </c>
      <c r="AC250" s="31" t="str">
        <f t="shared" si="153"/>
        <v>ok</v>
      </c>
    </row>
    <row r="251" spans="1:29" x14ac:dyDescent="0.2">
      <c r="A251" s="14">
        <v>908</v>
      </c>
      <c r="B251" s="14" t="s">
        <v>454</v>
      </c>
      <c r="C251" s="14" t="s">
        <v>455</v>
      </c>
      <c r="D251" s="14" t="s">
        <v>471</v>
      </c>
      <c r="F251" s="50">
        <v>0</v>
      </c>
      <c r="H251" s="50">
        <f t="shared" si="140"/>
        <v>0</v>
      </c>
      <c r="I251" s="50">
        <f t="shared" si="141"/>
        <v>0</v>
      </c>
      <c r="J251" s="50"/>
      <c r="K251" s="50">
        <f t="shared" si="142"/>
        <v>0</v>
      </c>
      <c r="L251" s="50"/>
      <c r="M251" s="50">
        <f t="shared" si="143"/>
        <v>0</v>
      </c>
      <c r="N251" s="50"/>
      <c r="O251" s="50">
        <f t="shared" si="144"/>
        <v>0</v>
      </c>
      <c r="P251" s="50">
        <f t="shared" si="145"/>
        <v>0</v>
      </c>
      <c r="Q251" s="50"/>
      <c r="R251" s="50">
        <f t="shared" si="146"/>
        <v>0</v>
      </c>
      <c r="S251" s="50">
        <f t="shared" si="147"/>
        <v>0</v>
      </c>
      <c r="T251" s="50"/>
      <c r="U251" s="50">
        <f t="shared" si="148"/>
        <v>0</v>
      </c>
      <c r="V251" s="50"/>
      <c r="W251" s="50">
        <f t="shared" si="149"/>
        <v>0</v>
      </c>
      <c r="X251" s="50"/>
      <c r="Y251" s="50">
        <f t="shared" si="150"/>
        <v>0</v>
      </c>
      <c r="Z251" s="50"/>
      <c r="AA251" s="50">
        <f t="shared" si="151"/>
        <v>0</v>
      </c>
      <c r="AB251" s="50">
        <f t="shared" si="152"/>
        <v>0</v>
      </c>
      <c r="AC251" s="31" t="str">
        <f t="shared" si="153"/>
        <v>ok</v>
      </c>
    </row>
    <row r="252" spans="1:29" x14ac:dyDescent="0.2">
      <c r="A252" s="14">
        <v>909</v>
      </c>
      <c r="B252" s="14" t="s">
        <v>153</v>
      </c>
      <c r="C252" s="14" t="s">
        <v>154</v>
      </c>
      <c r="D252" s="14" t="s">
        <v>150</v>
      </c>
      <c r="F252" s="50">
        <v>0</v>
      </c>
      <c r="H252" s="50">
        <f t="shared" si="140"/>
        <v>0</v>
      </c>
      <c r="I252" s="50">
        <f t="shared" si="141"/>
        <v>0</v>
      </c>
      <c r="J252" s="50"/>
      <c r="K252" s="50">
        <f t="shared" si="142"/>
        <v>0</v>
      </c>
      <c r="L252" s="50"/>
      <c r="M252" s="50">
        <f t="shared" si="143"/>
        <v>0</v>
      </c>
      <c r="N252" s="50"/>
      <c r="O252" s="50">
        <f t="shared" si="144"/>
        <v>0</v>
      </c>
      <c r="P252" s="50">
        <f t="shared" si="145"/>
        <v>0</v>
      </c>
      <c r="Q252" s="50"/>
      <c r="R252" s="50">
        <f t="shared" si="146"/>
        <v>0</v>
      </c>
      <c r="S252" s="50">
        <f t="shared" si="147"/>
        <v>0</v>
      </c>
      <c r="T252" s="50"/>
      <c r="U252" s="50">
        <f t="shared" si="148"/>
        <v>0</v>
      </c>
      <c r="V252" s="50"/>
      <c r="W252" s="50">
        <f t="shared" si="149"/>
        <v>0</v>
      </c>
      <c r="X252" s="50"/>
      <c r="Y252" s="50">
        <f t="shared" si="150"/>
        <v>0</v>
      </c>
      <c r="Z252" s="50"/>
      <c r="AA252" s="50">
        <f t="shared" si="151"/>
        <v>0</v>
      </c>
      <c r="AB252" s="50">
        <f t="shared" si="152"/>
        <v>0</v>
      </c>
      <c r="AC252" s="31" t="str">
        <f t="shared" si="153"/>
        <v>ok</v>
      </c>
    </row>
    <row r="253" spans="1:29" x14ac:dyDescent="0.2">
      <c r="A253" s="14">
        <v>909</v>
      </c>
      <c r="B253" s="14" t="s">
        <v>456</v>
      </c>
      <c r="C253" s="14" t="s">
        <v>457</v>
      </c>
      <c r="D253" s="14" t="s">
        <v>471</v>
      </c>
      <c r="F253" s="50">
        <v>0</v>
      </c>
      <c r="H253" s="50">
        <f t="shared" si="140"/>
        <v>0</v>
      </c>
      <c r="I253" s="50">
        <f t="shared" si="141"/>
        <v>0</v>
      </c>
      <c r="J253" s="50"/>
      <c r="K253" s="50">
        <f t="shared" si="142"/>
        <v>0</v>
      </c>
      <c r="L253" s="50"/>
      <c r="M253" s="50">
        <f t="shared" si="143"/>
        <v>0</v>
      </c>
      <c r="N253" s="50"/>
      <c r="O253" s="50">
        <f t="shared" si="144"/>
        <v>0</v>
      </c>
      <c r="P253" s="50">
        <f t="shared" si="145"/>
        <v>0</v>
      </c>
      <c r="Q253" s="50"/>
      <c r="R253" s="50">
        <f t="shared" si="146"/>
        <v>0</v>
      </c>
      <c r="S253" s="50">
        <f t="shared" si="147"/>
        <v>0</v>
      </c>
      <c r="T253" s="50"/>
      <c r="U253" s="50">
        <f t="shared" si="148"/>
        <v>0</v>
      </c>
      <c r="V253" s="50"/>
      <c r="W253" s="50">
        <f t="shared" si="149"/>
        <v>0</v>
      </c>
      <c r="X253" s="50"/>
      <c r="Y253" s="50">
        <f t="shared" si="150"/>
        <v>0</v>
      </c>
      <c r="Z253" s="50"/>
      <c r="AA253" s="50">
        <f t="shared" si="151"/>
        <v>0</v>
      </c>
      <c r="AB253" s="50">
        <f t="shared" si="152"/>
        <v>0</v>
      </c>
      <c r="AC253" s="31" t="str">
        <f t="shared" si="153"/>
        <v>ok</v>
      </c>
    </row>
    <row r="254" spans="1:29" x14ac:dyDescent="0.2">
      <c r="A254" s="14">
        <v>910</v>
      </c>
      <c r="B254" s="14" t="s">
        <v>155</v>
      </c>
      <c r="C254" s="14" t="s">
        <v>156</v>
      </c>
      <c r="D254" s="14" t="s">
        <v>150</v>
      </c>
      <c r="F254" s="50">
        <f>559+31132+48551+12406+63668+16273</f>
        <v>172589</v>
      </c>
      <c r="H254" s="50">
        <f t="shared" si="140"/>
        <v>0</v>
      </c>
      <c r="I254" s="50">
        <f t="shared" si="141"/>
        <v>0</v>
      </c>
      <c r="J254" s="50"/>
      <c r="K254" s="50">
        <f t="shared" si="142"/>
        <v>0</v>
      </c>
      <c r="L254" s="50"/>
      <c r="M254" s="50">
        <f t="shared" si="143"/>
        <v>0</v>
      </c>
      <c r="N254" s="50"/>
      <c r="O254" s="50">
        <f t="shared" si="144"/>
        <v>0</v>
      </c>
      <c r="P254" s="50">
        <f t="shared" si="145"/>
        <v>0</v>
      </c>
      <c r="Q254" s="50"/>
      <c r="R254" s="50">
        <f t="shared" si="146"/>
        <v>0</v>
      </c>
      <c r="S254" s="50">
        <f t="shared" si="147"/>
        <v>0</v>
      </c>
      <c r="T254" s="50"/>
      <c r="U254" s="50">
        <f t="shared" si="148"/>
        <v>0</v>
      </c>
      <c r="V254" s="50"/>
      <c r="W254" s="50">
        <f t="shared" si="149"/>
        <v>0</v>
      </c>
      <c r="X254" s="50"/>
      <c r="Y254" s="50">
        <f t="shared" si="150"/>
        <v>172589</v>
      </c>
      <c r="Z254" s="50"/>
      <c r="AA254" s="50">
        <f t="shared" si="151"/>
        <v>0</v>
      </c>
      <c r="AB254" s="50">
        <f t="shared" si="152"/>
        <v>172589</v>
      </c>
      <c r="AC254" s="31" t="str">
        <f t="shared" si="153"/>
        <v>ok</v>
      </c>
    </row>
    <row r="255" spans="1:29" x14ac:dyDescent="0.2">
      <c r="A255" s="14">
        <v>911</v>
      </c>
      <c r="B255" s="14" t="s">
        <v>385</v>
      </c>
      <c r="C255" s="14" t="s">
        <v>709</v>
      </c>
      <c r="D255" s="14" t="s">
        <v>150</v>
      </c>
      <c r="F255" s="50">
        <v>0</v>
      </c>
      <c r="H255" s="50">
        <f t="shared" si="140"/>
        <v>0</v>
      </c>
      <c r="I255" s="50">
        <f t="shared" si="141"/>
        <v>0</v>
      </c>
      <c r="J255" s="50"/>
      <c r="K255" s="50">
        <f t="shared" si="142"/>
        <v>0</v>
      </c>
      <c r="L255" s="50"/>
      <c r="M255" s="50">
        <f t="shared" si="143"/>
        <v>0</v>
      </c>
      <c r="N255" s="50"/>
      <c r="O255" s="50">
        <f t="shared" si="144"/>
        <v>0</v>
      </c>
      <c r="P255" s="50">
        <f t="shared" si="145"/>
        <v>0</v>
      </c>
      <c r="Q255" s="50"/>
      <c r="R255" s="50">
        <f t="shared" si="146"/>
        <v>0</v>
      </c>
      <c r="S255" s="50">
        <f t="shared" si="147"/>
        <v>0</v>
      </c>
      <c r="T255" s="50"/>
      <c r="U255" s="50">
        <f t="shared" si="148"/>
        <v>0</v>
      </c>
      <c r="V255" s="50"/>
      <c r="W255" s="50">
        <f t="shared" si="149"/>
        <v>0</v>
      </c>
      <c r="X255" s="50"/>
      <c r="Y255" s="50">
        <f t="shared" si="150"/>
        <v>0</v>
      </c>
      <c r="Z255" s="50"/>
      <c r="AA255" s="50">
        <f t="shared" si="151"/>
        <v>0</v>
      </c>
      <c r="AB255" s="50">
        <f>SUM(H255:AA255)</f>
        <v>0</v>
      </c>
      <c r="AC255" s="31" t="str">
        <f>IF(ABS(AB255-F255)&lt;1,"ok","err")</f>
        <v>ok</v>
      </c>
    </row>
    <row r="256" spans="1:29" x14ac:dyDescent="0.2">
      <c r="A256" s="14">
        <v>912</v>
      </c>
      <c r="B256" s="14" t="s">
        <v>587</v>
      </c>
      <c r="C256" s="14" t="s">
        <v>588</v>
      </c>
      <c r="D256" s="14" t="s">
        <v>471</v>
      </c>
      <c r="F256" s="50">
        <v>0</v>
      </c>
      <c r="H256" s="50">
        <f t="shared" si="140"/>
        <v>0</v>
      </c>
      <c r="I256" s="50">
        <f t="shared" si="141"/>
        <v>0</v>
      </c>
      <c r="J256" s="50"/>
      <c r="K256" s="50">
        <f t="shared" si="142"/>
        <v>0</v>
      </c>
      <c r="L256" s="50"/>
      <c r="M256" s="50">
        <f t="shared" si="143"/>
        <v>0</v>
      </c>
      <c r="N256" s="50"/>
      <c r="O256" s="50">
        <f t="shared" si="144"/>
        <v>0</v>
      </c>
      <c r="P256" s="50">
        <f t="shared" si="145"/>
        <v>0</v>
      </c>
      <c r="Q256" s="50"/>
      <c r="R256" s="50">
        <f t="shared" si="146"/>
        <v>0</v>
      </c>
      <c r="S256" s="50">
        <f t="shared" si="147"/>
        <v>0</v>
      </c>
      <c r="T256" s="50"/>
      <c r="U256" s="50">
        <f t="shared" si="148"/>
        <v>0</v>
      </c>
      <c r="V256" s="50"/>
      <c r="W256" s="50">
        <f t="shared" si="149"/>
        <v>0</v>
      </c>
      <c r="X256" s="50"/>
      <c r="Y256" s="50">
        <f t="shared" si="150"/>
        <v>0</v>
      </c>
      <c r="Z256" s="50"/>
      <c r="AA256" s="50">
        <f t="shared" si="151"/>
        <v>0</v>
      </c>
      <c r="AB256" s="50">
        <f t="shared" si="152"/>
        <v>0</v>
      </c>
      <c r="AC256" s="31" t="str">
        <f t="shared" si="153"/>
        <v>ok</v>
      </c>
    </row>
    <row r="257" spans="1:29" x14ac:dyDescent="0.2">
      <c r="A257" s="14">
        <v>913</v>
      </c>
      <c r="B257" s="14" t="s">
        <v>638</v>
      </c>
      <c r="C257" s="14" t="s">
        <v>577</v>
      </c>
      <c r="D257" s="14" t="s">
        <v>471</v>
      </c>
      <c r="F257" s="50">
        <v>60882</v>
      </c>
      <c r="H257" s="50">
        <f t="shared" si="140"/>
        <v>0</v>
      </c>
      <c r="I257" s="50">
        <f t="shared" si="141"/>
        <v>0</v>
      </c>
      <c r="J257" s="50"/>
      <c r="K257" s="50">
        <f t="shared" si="142"/>
        <v>0</v>
      </c>
      <c r="L257" s="50"/>
      <c r="M257" s="50">
        <f t="shared" si="143"/>
        <v>0</v>
      </c>
      <c r="N257" s="50"/>
      <c r="O257" s="50">
        <f t="shared" si="144"/>
        <v>0</v>
      </c>
      <c r="P257" s="50">
        <f t="shared" si="145"/>
        <v>0</v>
      </c>
      <c r="Q257" s="50"/>
      <c r="R257" s="50">
        <f t="shared" si="146"/>
        <v>0</v>
      </c>
      <c r="S257" s="50">
        <f t="shared" si="147"/>
        <v>0</v>
      </c>
      <c r="T257" s="50"/>
      <c r="U257" s="50">
        <f t="shared" si="148"/>
        <v>0</v>
      </c>
      <c r="V257" s="50"/>
      <c r="W257" s="50">
        <f t="shared" si="149"/>
        <v>0</v>
      </c>
      <c r="X257" s="50"/>
      <c r="Y257" s="50">
        <f t="shared" si="150"/>
        <v>0</v>
      </c>
      <c r="Z257" s="50"/>
      <c r="AA257" s="50">
        <f t="shared" si="151"/>
        <v>60882</v>
      </c>
      <c r="AB257" s="50">
        <f t="shared" si="152"/>
        <v>60882</v>
      </c>
      <c r="AC257" s="31" t="str">
        <f t="shared" si="153"/>
        <v>ok</v>
      </c>
    </row>
    <row r="258" spans="1:29" x14ac:dyDescent="0.2">
      <c r="A258" s="14">
        <v>914</v>
      </c>
      <c r="B258" s="14" t="s">
        <v>929</v>
      </c>
      <c r="C258" s="14" t="s">
        <v>930</v>
      </c>
      <c r="D258" s="14" t="s">
        <v>471</v>
      </c>
      <c r="F258" s="50">
        <v>0</v>
      </c>
      <c r="H258" s="50">
        <f t="shared" si="140"/>
        <v>0</v>
      </c>
      <c r="I258" s="50">
        <f t="shared" si="141"/>
        <v>0</v>
      </c>
      <c r="J258" s="50"/>
      <c r="K258" s="50">
        <f t="shared" si="142"/>
        <v>0</v>
      </c>
      <c r="L258" s="50"/>
      <c r="M258" s="50">
        <f t="shared" si="143"/>
        <v>0</v>
      </c>
      <c r="N258" s="50"/>
      <c r="O258" s="50">
        <f t="shared" si="144"/>
        <v>0</v>
      </c>
      <c r="P258" s="50">
        <f t="shared" si="145"/>
        <v>0</v>
      </c>
      <c r="Q258" s="50"/>
      <c r="R258" s="50">
        <f t="shared" si="146"/>
        <v>0</v>
      </c>
      <c r="S258" s="50">
        <f t="shared" si="147"/>
        <v>0</v>
      </c>
      <c r="T258" s="50"/>
      <c r="U258" s="50">
        <f t="shared" si="148"/>
        <v>0</v>
      </c>
      <c r="V258" s="50"/>
      <c r="W258" s="50">
        <f t="shared" si="149"/>
        <v>0</v>
      </c>
      <c r="X258" s="50"/>
      <c r="Y258" s="50">
        <f t="shared" si="150"/>
        <v>0</v>
      </c>
      <c r="Z258" s="50"/>
      <c r="AA258" s="50">
        <f t="shared" si="151"/>
        <v>0</v>
      </c>
      <c r="AB258" s="50">
        <f>SUM(H258:AA258)</f>
        <v>0</v>
      </c>
      <c r="AC258" s="31" t="str">
        <f>IF(ABS(AB258-F258)&lt;1,"ok","err")</f>
        <v>ok</v>
      </c>
    </row>
    <row r="259" spans="1:29" x14ac:dyDescent="0.2">
      <c r="A259" s="14">
        <v>916</v>
      </c>
      <c r="B259" s="14" t="s">
        <v>640</v>
      </c>
      <c r="C259" s="14" t="s">
        <v>641</v>
      </c>
      <c r="D259" s="14" t="s">
        <v>471</v>
      </c>
      <c r="F259" s="50">
        <v>0</v>
      </c>
      <c r="H259" s="50">
        <f t="shared" si="140"/>
        <v>0</v>
      </c>
      <c r="I259" s="50">
        <f t="shared" si="141"/>
        <v>0</v>
      </c>
      <c r="J259" s="50"/>
      <c r="K259" s="50">
        <f t="shared" si="142"/>
        <v>0</v>
      </c>
      <c r="L259" s="50"/>
      <c r="M259" s="50">
        <f t="shared" si="143"/>
        <v>0</v>
      </c>
      <c r="N259" s="50"/>
      <c r="O259" s="50">
        <f t="shared" si="144"/>
        <v>0</v>
      </c>
      <c r="P259" s="50">
        <f t="shared" si="145"/>
        <v>0</v>
      </c>
      <c r="Q259" s="50"/>
      <c r="R259" s="50">
        <f t="shared" si="146"/>
        <v>0</v>
      </c>
      <c r="S259" s="50">
        <f t="shared" si="147"/>
        <v>0</v>
      </c>
      <c r="T259" s="50"/>
      <c r="U259" s="50">
        <f t="shared" si="148"/>
        <v>0</v>
      </c>
      <c r="V259" s="50"/>
      <c r="W259" s="50">
        <f t="shared" si="149"/>
        <v>0</v>
      </c>
      <c r="X259" s="50"/>
      <c r="Y259" s="50">
        <f t="shared" si="150"/>
        <v>0</v>
      </c>
      <c r="Z259" s="50"/>
      <c r="AA259" s="50">
        <f t="shared" si="151"/>
        <v>0</v>
      </c>
      <c r="AB259" s="50">
        <f t="shared" si="152"/>
        <v>0</v>
      </c>
      <c r="AC259" s="31" t="str">
        <f t="shared" si="153"/>
        <v>ok</v>
      </c>
    </row>
    <row r="260" spans="1:29" x14ac:dyDescent="0.2">
      <c r="A260" s="14">
        <v>917</v>
      </c>
      <c r="B260" s="14" t="s">
        <v>640</v>
      </c>
      <c r="C260" s="14" t="s">
        <v>923</v>
      </c>
      <c r="D260" s="14" t="s">
        <v>471</v>
      </c>
      <c r="F260" s="50">
        <v>0</v>
      </c>
      <c r="H260" s="50">
        <f t="shared" si="140"/>
        <v>0</v>
      </c>
      <c r="I260" s="50">
        <f t="shared" si="141"/>
        <v>0</v>
      </c>
      <c r="J260" s="50"/>
      <c r="K260" s="50">
        <f t="shared" si="142"/>
        <v>0</v>
      </c>
      <c r="L260" s="50"/>
      <c r="M260" s="50">
        <f t="shared" si="143"/>
        <v>0</v>
      </c>
      <c r="N260" s="50"/>
      <c r="O260" s="50">
        <f t="shared" si="144"/>
        <v>0</v>
      </c>
      <c r="P260" s="50">
        <f t="shared" si="145"/>
        <v>0</v>
      </c>
      <c r="Q260" s="50"/>
      <c r="R260" s="50">
        <f t="shared" si="146"/>
        <v>0</v>
      </c>
      <c r="S260" s="50">
        <f t="shared" si="147"/>
        <v>0</v>
      </c>
      <c r="T260" s="50"/>
      <c r="U260" s="50">
        <f t="shared" si="148"/>
        <v>0</v>
      </c>
      <c r="V260" s="50"/>
      <c r="W260" s="50">
        <f t="shared" si="149"/>
        <v>0</v>
      </c>
      <c r="X260" s="50"/>
      <c r="Y260" s="50">
        <f t="shared" si="150"/>
        <v>0</v>
      </c>
      <c r="Z260" s="50"/>
      <c r="AA260" s="50">
        <f t="shared" si="151"/>
        <v>0</v>
      </c>
      <c r="AB260" s="50">
        <f t="shared" si="152"/>
        <v>0</v>
      </c>
      <c r="AC260" s="31" t="str">
        <f t="shared" si="153"/>
        <v>ok</v>
      </c>
    </row>
    <row r="261" spans="1:29" x14ac:dyDescent="0.2">
      <c r="F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31"/>
    </row>
    <row r="262" spans="1:29" x14ac:dyDescent="0.2">
      <c r="A262" s="14" t="s">
        <v>157</v>
      </c>
      <c r="C262" s="14" t="s">
        <v>158</v>
      </c>
      <c r="F262" s="66">
        <f>SUM(F249:F260)</f>
        <v>521077</v>
      </c>
      <c r="G262" s="66"/>
      <c r="H262" s="66">
        <f t="shared" ref="H262:W262" si="154">SUM(H249:H261)</f>
        <v>0</v>
      </c>
      <c r="I262" s="66">
        <f t="shared" si="154"/>
        <v>0</v>
      </c>
      <c r="J262" s="66"/>
      <c r="K262" s="66">
        <f t="shared" si="154"/>
        <v>0</v>
      </c>
      <c r="L262" s="66"/>
      <c r="M262" s="66">
        <f t="shared" si="154"/>
        <v>0</v>
      </c>
      <c r="N262" s="66"/>
      <c r="O262" s="66">
        <f t="shared" si="154"/>
        <v>0</v>
      </c>
      <c r="P262" s="66">
        <f t="shared" si="154"/>
        <v>0</v>
      </c>
      <c r="Q262" s="66"/>
      <c r="R262" s="66">
        <f t="shared" si="154"/>
        <v>0</v>
      </c>
      <c r="S262" s="66">
        <f t="shared" si="154"/>
        <v>0</v>
      </c>
      <c r="T262" s="66"/>
      <c r="U262" s="66">
        <f t="shared" si="154"/>
        <v>0</v>
      </c>
      <c r="V262" s="66"/>
      <c r="W262" s="66">
        <f t="shared" si="154"/>
        <v>0</v>
      </c>
      <c r="X262" s="66"/>
      <c r="Y262" s="66">
        <f>SUM(Y249:Y261)</f>
        <v>460195</v>
      </c>
      <c r="Z262" s="66"/>
      <c r="AA262" s="66">
        <f>SUM(AA249:AA261)</f>
        <v>60882</v>
      </c>
      <c r="AB262" s="50">
        <f>SUM(H262:AA262)</f>
        <v>521077</v>
      </c>
      <c r="AC262" s="31" t="str">
        <f>IF(ABS(AB262-F262)&lt;1,"ok","err")</f>
        <v>ok</v>
      </c>
    </row>
    <row r="263" spans="1:29" x14ac:dyDescent="0.2">
      <c r="D263" s="95"/>
      <c r="F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C263" s="31"/>
    </row>
    <row r="264" spans="1:29" x14ac:dyDescent="0.2">
      <c r="A264" s="14" t="s">
        <v>410</v>
      </c>
      <c r="C264" s="14" t="s">
        <v>411</v>
      </c>
      <c r="F264" s="50">
        <f t="shared" ref="F264:M264" si="155">F233+F246+F262</f>
        <v>20878081</v>
      </c>
      <c r="G264" s="50"/>
      <c r="H264" s="50">
        <f t="shared" si="155"/>
        <v>0</v>
      </c>
      <c r="I264" s="50">
        <f t="shared" si="155"/>
        <v>0</v>
      </c>
      <c r="J264" s="50"/>
      <c r="K264" s="50">
        <f t="shared" si="155"/>
        <v>0</v>
      </c>
      <c r="L264" s="50"/>
      <c r="M264" s="50">
        <f t="shared" si="155"/>
        <v>160004.05265112905</v>
      </c>
      <c r="N264" s="50"/>
      <c r="O264" s="50">
        <f t="shared" ref="O264:AA264" si="156">O233+O246+O262</f>
        <v>8634697.7964797374</v>
      </c>
      <c r="P264" s="50">
        <f t="shared" si="156"/>
        <v>5807995.5417995574</v>
      </c>
      <c r="Q264" s="50"/>
      <c r="R264" s="50">
        <f t="shared" si="156"/>
        <v>0</v>
      </c>
      <c r="S264" s="50">
        <f t="shared" si="156"/>
        <v>449278.58411404223</v>
      </c>
      <c r="T264" s="50"/>
      <c r="U264" s="50">
        <f t="shared" si="156"/>
        <v>1860746.2920672928</v>
      </c>
      <c r="V264" s="50"/>
      <c r="W264" s="50">
        <f t="shared" si="156"/>
        <v>61944.732888240018</v>
      </c>
      <c r="X264" s="50"/>
      <c r="Y264" s="50">
        <f t="shared" si="156"/>
        <v>3842532</v>
      </c>
      <c r="Z264" s="50"/>
      <c r="AA264" s="50">
        <f t="shared" si="156"/>
        <v>60882</v>
      </c>
      <c r="AB264" s="50">
        <f>SUM(H264:AA264)</f>
        <v>20878081</v>
      </c>
      <c r="AC264" s="31" t="str">
        <f>IF(ABS(AB264-F264)&lt;1,"ok","err")</f>
        <v>ok</v>
      </c>
    </row>
    <row r="265" spans="1:29" x14ac:dyDescent="0.2">
      <c r="F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C265" s="31"/>
    </row>
    <row r="266" spans="1:29" x14ac:dyDescent="0.2">
      <c r="A266" s="29" t="s">
        <v>136</v>
      </c>
      <c r="F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C266" s="31"/>
    </row>
    <row r="267" spans="1:29" x14ac:dyDescent="0.2">
      <c r="F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C267" s="31"/>
    </row>
    <row r="268" spans="1:29" x14ac:dyDescent="0.2">
      <c r="A268" s="13" t="s">
        <v>159</v>
      </c>
      <c r="F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C268" s="31"/>
    </row>
    <row r="269" spans="1:29" x14ac:dyDescent="0.2">
      <c r="A269" s="14">
        <v>920</v>
      </c>
      <c r="B269" s="14" t="s">
        <v>160</v>
      </c>
      <c r="C269" s="14" t="s">
        <v>161</v>
      </c>
      <c r="D269" s="14" t="s">
        <v>411</v>
      </c>
      <c r="F269" s="66">
        <f>85111+143296+21739+11411+39+872046+37254+364151+6391+154446+5596+438609+14804</f>
        <v>2154893</v>
      </c>
      <c r="H269" s="50">
        <f>IF((VLOOKUP($D269,$C$5:$AA$494,6,)=0),0,((VLOOKUP($D269,$C$5:$AA$494,6,)/VLOOKUP($D269,$C$5:$AA$494,4,))*$F269))</f>
        <v>0</v>
      </c>
      <c r="I269" s="50">
        <f>(VLOOKUP($D269,$C$5:$AA$494,7,)/VLOOKUP($D269,$C$5:$AA$494,4,))*$F269</f>
        <v>0</v>
      </c>
      <c r="J269" s="50"/>
      <c r="K269" s="50">
        <f>(VLOOKUP($D269,$C$5:$AA$494,9,)/VLOOKUP($D269,$C$5:$AA$494,4,))*$F269</f>
        <v>0</v>
      </c>
      <c r="L269" s="50"/>
      <c r="M269" s="50">
        <f>(VLOOKUP($D269,$C$5:$AA$494,11,)/VLOOKUP($D269,$C$5:$AA$494,4,))*$F269</f>
        <v>16514.526073040401</v>
      </c>
      <c r="N269" s="50"/>
      <c r="O269" s="50">
        <f>(VLOOKUP($D269,$C$5:$AA$494,13,)/VLOOKUP($D269,$C$5:$AA$494,4,))*$F269</f>
        <v>891214.56319427118</v>
      </c>
      <c r="P269" s="50">
        <f>(VLOOKUP($D269,$C$5:$AA$494,14,)/VLOOKUP($D269,$C$5:$AA$494,4,))*$F269</f>
        <v>599461.65248880268</v>
      </c>
      <c r="Q269" s="50"/>
      <c r="R269" s="50">
        <f>(VLOOKUP($D269,$C$5:$AA$494,16,)/VLOOKUP($D269,$C$5:$AA$494,4,))*$F269</f>
        <v>0</v>
      </c>
      <c r="S269" s="50">
        <f>(VLOOKUP($D269,$C$5:$AA$494,17,)/VLOOKUP($D269,$C$5:$AA$494,4,))*$F269</f>
        <v>46371.468525160948</v>
      </c>
      <c r="T269" s="50"/>
      <c r="U269" s="50">
        <f>(VLOOKUP($D269,$C$5:$AA$494,19,)/VLOOKUP($D269,$C$5:$AA$494,4,))*$F269</f>
        <v>192053.53018564134</v>
      </c>
      <c r="V269" s="50"/>
      <c r="W269" s="50">
        <f>(VLOOKUP($D269,$C$5:$AA$494,21,)/VLOOKUP($D269,$C$5:$AA$494,4,))*$F269</f>
        <v>6393.5124730926273</v>
      </c>
      <c r="X269" s="50"/>
      <c r="Y269" s="50">
        <f>(VLOOKUP($D269,$C$5:$AA$494,23,)/VLOOKUP($D269,$C$5:$AA$494,4,))*$F269</f>
        <v>396599.92262104934</v>
      </c>
      <c r="Z269" s="50"/>
      <c r="AA269" s="50">
        <f>(VLOOKUP($D269,$C$5:$AA$494,25,)/VLOOKUP($D269,$C$5:$AA$494,4,))*$F269</f>
        <v>6283.8244389414913</v>
      </c>
      <c r="AB269" s="50">
        <f t="shared" ref="AB269:AB281" si="157">SUM(H269:AA269)</f>
        <v>2154893</v>
      </c>
      <c r="AC269" s="31" t="str">
        <f t="shared" ref="AC269:AC281" si="158">IF(ABS(AB269-F269)&lt;1,"ok","err")</f>
        <v>ok</v>
      </c>
    </row>
    <row r="270" spans="1:29" x14ac:dyDescent="0.2">
      <c r="A270" s="14">
        <v>921</v>
      </c>
      <c r="B270" s="14" t="s">
        <v>162</v>
      </c>
      <c r="C270" s="14" t="s">
        <v>163</v>
      </c>
      <c r="D270" s="14" t="s">
        <v>516</v>
      </c>
      <c r="F270" s="50">
        <f>77081+1189+88450+159129+492513+44806+27052+30304+20528+11004+7653+3618</f>
        <v>963327</v>
      </c>
      <c r="H270" s="50">
        <f>IF(VLOOKUP($D270,$C$5:$AA$494,6,)=0,0,((VLOOKUP($D270,$C$5:$AA$494,6,)/VLOOKUP($D270,$C$5:$AA$494,4,))*$F270))</f>
        <v>0</v>
      </c>
      <c r="I270" s="50">
        <f>IF(VLOOKUP($D270,$C$5:$AA$494,7,)=0,0,((VLOOKUP($D270,$C$5:$AA$494,7,)/VLOOKUP($D270,$C$5:$AA$494,4,))*$F270))</f>
        <v>0</v>
      </c>
      <c r="J270" s="50"/>
      <c r="K270" s="50">
        <f>IF(VLOOKUP($D270,$C$5:$AA$494,9,)=0,0,((VLOOKUP($D270,$C$5:$AA$494,9,)/VLOOKUP($D270,$C$5:$AA$494,4,))*$F270))</f>
        <v>0</v>
      </c>
      <c r="L270" s="50"/>
      <c r="M270" s="50">
        <f>IF(VLOOKUP($D270,$C$5:$AA$494,11,)=0,0,((VLOOKUP($D270,$C$5:$AA$494,11,)/VLOOKUP($D270,$C$5:$AA$494,4,))*$F270))</f>
        <v>631.69036286360222</v>
      </c>
      <c r="N270" s="50"/>
      <c r="O270" s="50">
        <f>IF(VLOOKUP($D270,$C$5:$AA$494,13,)=0,0,((VLOOKUP($D270,$C$5:$AA$494,13,)/VLOOKUP($D270,$C$5:$AA$494,4,))*$F270))</f>
        <v>301355.94662027661</v>
      </c>
      <c r="P270" s="50">
        <f>IF(VLOOKUP($D270,$C$5:$AA$494,14,)=0,0,((VLOOKUP($D270,$C$5:$AA$494,14,)/VLOOKUP($D270,$C$5:$AA$494,4,))*$F270))</f>
        <v>203590.90984517438</v>
      </c>
      <c r="Q270" s="50"/>
      <c r="R270" s="50">
        <f>IF(VLOOKUP($D270,$C$5:$AA$494,16,)=0,0,((VLOOKUP($D270,$C$5:$AA$494,16,)/VLOOKUP($D270,$C$5:$AA$494,4,))*$F270))</f>
        <v>0</v>
      </c>
      <c r="S270" s="50">
        <f>IF(VLOOKUP($D270,$C$5:$AA$494,17,)=0,0,((VLOOKUP($D270,$C$5:$AA$494,17,)/VLOOKUP($D270,$C$5:$AA$494,4,))*$F270))</f>
        <v>9034.8586833686932</v>
      </c>
      <c r="T270" s="50"/>
      <c r="U270" s="50">
        <f>IF(VLOOKUP($D270,$C$5:$AA$494,19,)=0,0,((VLOOKUP($D270,$C$5:$AA$494,19,)/VLOOKUP($D270,$C$5:$AA$494,4,))*$F270))</f>
        <v>162398.89935868114</v>
      </c>
      <c r="V270" s="50"/>
      <c r="W270" s="50">
        <f>IF(VLOOKUP($D270,$C$5:$AA$494,21,)=0,0,((VLOOKUP($D270,$C$5:$AA$494,21,)/VLOOKUP($D270,$C$5:$AA$494,4,))*$F270))</f>
        <v>3727.6651455567367</v>
      </c>
      <c r="X270" s="50"/>
      <c r="Y270" s="50">
        <f>IF(VLOOKUP($D270,$C$5:$AA$494,23,)=0,0,((VLOOKUP($D270,$C$5:$AA$494,23,)/VLOOKUP($D270,$C$5:$AA$494,4,))*$F270))</f>
        <v>282274.25654998992</v>
      </c>
      <c r="Z270" s="50"/>
      <c r="AA270" s="50">
        <f>IF(VLOOKUP($D270,$C$5:$AA$494,25,)=0,0,((VLOOKUP($D270,$C$5:$AA$494,25,)/VLOOKUP($D270,$C$5:$AA$494,4,))*$F270))</f>
        <v>312.77343408893427</v>
      </c>
      <c r="AB270" s="50">
        <f>SUM(H270:AA270)</f>
        <v>963327</v>
      </c>
      <c r="AC270" s="31" t="str">
        <f>IF(ABS(AB270-F270)&lt;1,"ok","err")</f>
        <v>ok</v>
      </c>
    </row>
    <row r="271" spans="1:29" x14ac:dyDescent="0.2">
      <c r="A271" s="14">
        <v>923</v>
      </c>
      <c r="B271" s="14" t="s">
        <v>164</v>
      </c>
      <c r="C271" s="14" t="s">
        <v>165</v>
      </c>
      <c r="D271" s="14" t="s">
        <v>411</v>
      </c>
      <c r="F271" s="50">
        <v>65339</v>
      </c>
      <c r="H271" s="50">
        <f t="shared" ref="H271:H281" si="159">IF((VLOOKUP($D271,$C$5:$AA$494,6,)=0),0,((VLOOKUP($D271,$C$5:$AA$494,6,)/VLOOKUP($D271,$C$5:$AA$494,4,))*$F271))</f>
        <v>0</v>
      </c>
      <c r="I271" s="50">
        <f t="shared" ref="I271:I281" si="160">(VLOOKUP($D271,$C$5:$AA$494,7,)/VLOOKUP($D271,$C$5:$AA$494,4,))*$F271</f>
        <v>0</v>
      </c>
      <c r="J271" s="50"/>
      <c r="K271" s="50">
        <f t="shared" ref="K271:K281" si="161">(VLOOKUP($D271,$C$5:$AA$494,9,)/VLOOKUP($D271,$C$5:$AA$494,4,))*$F271</f>
        <v>0</v>
      </c>
      <c r="L271" s="50"/>
      <c r="M271" s="50">
        <f t="shared" ref="M271:M281" si="162">(VLOOKUP($D271,$C$5:$AA$494,11,)/VLOOKUP($D271,$C$5:$AA$494,4,))*$F271</f>
        <v>500.74069528574591</v>
      </c>
      <c r="N271" s="50"/>
      <c r="O271" s="50">
        <f t="shared" ref="O271:O281" si="163">(VLOOKUP($D271,$C$5:$AA$494,13,)/VLOOKUP($D271,$C$5:$AA$494,4,))*$F271</f>
        <v>27022.719153364218</v>
      </c>
      <c r="P271" s="50">
        <f t="shared" ref="P271:P281" si="164">(VLOOKUP($D271,$C$5:$AA$494,14,)/VLOOKUP($D271,$C$5:$AA$494,4,))*$F271</f>
        <v>18176.412894731144</v>
      </c>
      <c r="Q271" s="50"/>
      <c r="R271" s="50">
        <f t="shared" ref="R271:R281" si="165">(VLOOKUP($D271,$C$5:$AA$494,16,)/VLOOKUP($D271,$C$5:$AA$494,4,))*$F271</f>
        <v>0</v>
      </c>
      <c r="S271" s="50">
        <f t="shared" ref="S271:S281" si="166">(VLOOKUP($D271,$C$5:$AA$494,17,)/VLOOKUP($D271,$C$5:$AA$494,4,))*$F271</f>
        <v>1406.0398274835416</v>
      </c>
      <c r="T271" s="50"/>
      <c r="U271" s="50">
        <f t="shared" ref="U271:U281" si="167">(VLOOKUP($D271,$C$5:$AA$494,19,)/VLOOKUP($D271,$C$5:$AA$494,4,))*$F271</f>
        <v>5823.2987015130775</v>
      </c>
      <c r="V271" s="50"/>
      <c r="W271" s="50">
        <f t="shared" ref="W271:W281" si="168">(VLOOKUP($D271,$C$5:$AA$494,21,)/VLOOKUP($D271,$C$5:$AA$494,4,))*$F271</f>
        <v>193.85914357668764</v>
      </c>
      <c r="X271" s="50"/>
      <c r="Y271" s="50">
        <f t="shared" ref="Y271:Y281" si="169">(VLOOKUP($D271,$C$5:$AA$494,23,)/VLOOKUP($D271,$C$5:$AA$494,4,))*$F271</f>
        <v>12025.39631626106</v>
      </c>
      <c r="Z271" s="50"/>
      <c r="AA271" s="50">
        <f t="shared" ref="AA271:AA281" si="170">(VLOOKUP($D271,$C$5:$AA$494,25,)/VLOOKUP($D271,$C$5:$AA$494,4,))*$F271</f>
        <v>190.53326778452484</v>
      </c>
      <c r="AB271" s="50">
        <f t="shared" si="157"/>
        <v>65338.999999999993</v>
      </c>
      <c r="AC271" s="31" t="str">
        <f t="shared" si="158"/>
        <v>ok</v>
      </c>
    </row>
    <row r="272" spans="1:29" x14ac:dyDescent="0.2">
      <c r="A272" s="14">
        <v>924</v>
      </c>
      <c r="B272" s="14" t="s">
        <v>166</v>
      </c>
      <c r="C272" s="14" t="s">
        <v>167</v>
      </c>
      <c r="D272" s="14" t="s">
        <v>84</v>
      </c>
      <c r="F272" s="50">
        <v>0</v>
      </c>
      <c r="H272" s="50">
        <f t="shared" si="159"/>
        <v>0</v>
      </c>
      <c r="I272" s="50">
        <f t="shared" si="160"/>
        <v>0</v>
      </c>
      <c r="J272" s="50"/>
      <c r="K272" s="50">
        <f t="shared" si="161"/>
        <v>0</v>
      </c>
      <c r="L272" s="50"/>
      <c r="M272" s="50">
        <f t="shared" si="162"/>
        <v>0</v>
      </c>
      <c r="N272" s="50"/>
      <c r="O272" s="50">
        <f t="shared" si="163"/>
        <v>0</v>
      </c>
      <c r="P272" s="50">
        <f t="shared" si="164"/>
        <v>0</v>
      </c>
      <c r="Q272" s="50"/>
      <c r="R272" s="50">
        <f t="shared" si="165"/>
        <v>0</v>
      </c>
      <c r="S272" s="50">
        <f t="shared" si="166"/>
        <v>0</v>
      </c>
      <c r="T272" s="50"/>
      <c r="U272" s="50">
        <f t="shared" si="167"/>
        <v>0</v>
      </c>
      <c r="V272" s="50"/>
      <c r="W272" s="50">
        <f t="shared" si="168"/>
        <v>0</v>
      </c>
      <c r="X272" s="50"/>
      <c r="Y272" s="50">
        <f t="shared" si="169"/>
        <v>0</v>
      </c>
      <c r="Z272" s="50"/>
      <c r="AA272" s="50">
        <f t="shared" si="170"/>
        <v>0</v>
      </c>
      <c r="AB272" s="50">
        <f t="shared" si="157"/>
        <v>0</v>
      </c>
      <c r="AC272" s="31" t="str">
        <f t="shared" si="158"/>
        <v>ok</v>
      </c>
    </row>
    <row r="273" spans="1:29" x14ac:dyDescent="0.2">
      <c r="A273" s="14">
        <v>925</v>
      </c>
      <c r="B273" s="14" t="s">
        <v>168</v>
      </c>
      <c r="C273" s="14" t="s">
        <v>169</v>
      </c>
      <c r="D273" s="14" t="s">
        <v>516</v>
      </c>
      <c r="F273" s="50">
        <v>14144</v>
      </c>
      <c r="H273" s="50">
        <f t="shared" si="159"/>
        <v>0</v>
      </c>
      <c r="I273" s="50">
        <f t="shared" si="160"/>
        <v>0</v>
      </c>
      <c r="J273" s="50"/>
      <c r="K273" s="50">
        <f t="shared" si="161"/>
        <v>0</v>
      </c>
      <c r="L273" s="50"/>
      <c r="M273" s="50">
        <f t="shared" si="162"/>
        <v>9.2747618330460888</v>
      </c>
      <c r="N273" s="50"/>
      <c r="O273" s="50">
        <f t="shared" si="163"/>
        <v>4424.6434585526949</v>
      </c>
      <c r="P273" s="50">
        <f t="shared" si="164"/>
        <v>2989.2132462291065</v>
      </c>
      <c r="Q273" s="50"/>
      <c r="R273" s="50">
        <f t="shared" si="165"/>
        <v>0</v>
      </c>
      <c r="S273" s="50">
        <f t="shared" si="166"/>
        <v>132.65385608164911</v>
      </c>
      <c r="T273" s="50"/>
      <c r="U273" s="50">
        <f t="shared" si="167"/>
        <v>2384.4136337185464</v>
      </c>
      <c r="V273" s="50"/>
      <c r="W273" s="50">
        <f t="shared" si="168"/>
        <v>54.731255138446741</v>
      </c>
      <c r="X273" s="50"/>
      <c r="Y273" s="50">
        <f t="shared" si="169"/>
        <v>4144.4775083051318</v>
      </c>
      <c r="Z273" s="50"/>
      <c r="AA273" s="50">
        <f t="shared" si="170"/>
        <v>4.5922801413786658</v>
      </c>
      <c r="AB273" s="50">
        <f t="shared" si="157"/>
        <v>14144</v>
      </c>
      <c r="AC273" s="31" t="str">
        <f t="shared" si="158"/>
        <v>ok</v>
      </c>
    </row>
    <row r="274" spans="1:29" x14ac:dyDescent="0.2">
      <c r="A274" s="14">
        <v>926</v>
      </c>
      <c r="B274" s="14" t="s">
        <v>170</v>
      </c>
      <c r="C274" s="14" t="s">
        <v>171</v>
      </c>
      <c r="D274" s="14" t="s">
        <v>516</v>
      </c>
      <c r="F274" s="50">
        <v>102641</v>
      </c>
      <c r="H274" s="50">
        <f t="shared" si="159"/>
        <v>0</v>
      </c>
      <c r="I274" s="50">
        <f t="shared" si="160"/>
        <v>0</v>
      </c>
      <c r="J274" s="50"/>
      <c r="K274" s="50">
        <f t="shared" si="161"/>
        <v>0</v>
      </c>
      <c r="L274" s="50"/>
      <c r="M274" s="50">
        <f t="shared" si="162"/>
        <v>67.305629900005911</v>
      </c>
      <c r="N274" s="50"/>
      <c r="O274" s="50">
        <f t="shared" si="163"/>
        <v>32109.009419492872</v>
      </c>
      <c r="P274" s="50">
        <f t="shared" si="164"/>
        <v>21692.296154284624</v>
      </c>
      <c r="Q274" s="50"/>
      <c r="R274" s="50">
        <f t="shared" si="165"/>
        <v>0</v>
      </c>
      <c r="S274" s="50">
        <f t="shared" si="166"/>
        <v>962.65020093866985</v>
      </c>
      <c r="T274" s="50"/>
      <c r="U274" s="50">
        <f t="shared" si="167"/>
        <v>17303.351228683918</v>
      </c>
      <c r="V274" s="50"/>
      <c r="W274" s="50">
        <f t="shared" si="168"/>
        <v>397.17694843504751</v>
      </c>
      <c r="X274" s="50"/>
      <c r="Y274" s="50">
        <f t="shared" si="169"/>
        <v>30075.884893237206</v>
      </c>
      <c r="Z274" s="50"/>
      <c r="AA274" s="50">
        <f t="shared" si="170"/>
        <v>33.32552502766174</v>
      </c>
      <c r="AB274" s="50">
        <f t="shared" si="157"/>
        <v>102641</v>
      </c>
      <c r="AC274" s="31" t="str">
        <f t="shared" si="158"/>
        <v>ok</v>
      </c>
    </row>
    <row r="275" spans="1:29" x14ac:dyDescent="0.2">
      <c r="A275" s="14">
        <v>928</v>
      </c>
      <c r="B275" s="14" t="s">
        <v>578</v>
      </c>
      <c r="C275" s="14" t="s">
        <v>173</v>
      </c>
      <c r="D275" s="14" t="s">
        <v>411</v>
      </c>
      <c r="F275" s="50">
        <v>42216</v>
      </c>
      <c r="H275" s="50">
        <f t="shared" si="159"/>
        <v>0</v>
      </c>
      <c r="I275" s="50">
        <f t="shared" si="160"/>
        <v>0</v>
      </c>
      <c r="J275" s="50"/>
      <c r="K275" s="50">
        <f t="shared" si="161"/>
        <v>0</v>
      </c>
      <c r="L275" s="50"/>
      <c r="M275" s="50">
        <f t="shared" si="162"/>
        <v>323.53218127279342</v>
      </c>
      <c r="N275" s="50"/>
      <c r="O275" s="50">
        <f t="shared" si="163"/>
        <v>17459.57409477378</v>
      </c>
      <c r="P275" s="50">
        <f t="shared" si="164"/>
        <v>11743.911703025298</v>
      </c>
      <c r="Q275" s="50"/>
      <c r="R275" s="50">
        <f t="shared" si="165"/>
        <v>0</v>
      </c>
      <c r="S275" s="50">
        <f t="shared" si="166"/>
        <v>908.4524917284499</v>
      </c>
      <c r="T275" s="50"/>
      <c r="U275" s="50">
        <f t="shared" si="167"/>
        <v>3762.4753666734427</v>
      </c>
      <c r="V275" s="50"/>
      <c r="W275" s="50">
        <f t="shared" si="168"/>
        <v>125.25379337353566</v>
      </c>
      <c r="X275" s="50"/>
      <c r="Y275" s="50">
        <f t="shared" si="169"/>
        <v>7769.6954481592447</v>
      </c>
      <c r="Z275" s="50"/>
      <c r="AA275" s="50">
        <f t="shared" si="170"/>
        <v>123.10492099345721</v>
      </c>
      <c r="AB275" s="50">
        <f t="shared" si="157"/>
        <v>42216</v>
      </c>
      <c r="AC275" s="31" t="str">
        <f t="shared" si="158"/>
        <v>ok</v>
      </c>
    </row>
    <row r="276" spans="1:29" x14ac:dyDescent="0.2">
      <c r="A276" s="14">
        <v>929</v>
      </c>
      <c r="B276" s="14" t="s">
        <v>931</v>
      </c>
      <c r="C276" s="14" t="s">
        <v>387</v>
      </c>
      <c r="D276" s="14" t="s">
        <v>411</v>
      </c>
      <c r="F276" s="50">
        <v>-65357</v>
      </c>
      <c r="H276" s="50">
        <f t="shared" si="159"/>
        <v>0</v>
      </c>
      <c r="I276" s="50">
        <f t="shared" si="160"/>
        <v>0</v>
      </c>
      <c r="J276" s="50"/>
      <c r="K276" s="50">
        <f t="shared" si="161"/>
        <v>0</v>
      </c>
      <c r="L276" s="50"/>
      <c r="M276" s="50">
        <f t="shared" si="162"/>
        <v>-500.87864249208735</v>
      </c>
      <c r="N276" s="50"/>
      <c r="O276" s="50">
        <f t="shared" si="163"/>
        <v>-27030.163542546186</v>
      </c>
      <c r="P276" s="50">
        <f t="shared" si="164"/>
        <v>-18181.42024764602</v>
      </c>
      <c r="Q276" s="50"/>
      <c r="R276" s="50">
        <f t="shared" si="165"/>
        <v>0</v>
      </c>
      <c r="S276" s="50">
        <f t="shared" si="166"/>
        <v>-1406.4271722071323</v>
      </c>
      <c r="T276" s="50"/>
      <c r="U276" s="50">
        <f t="shared" si="167"/>
        <v>-5824.9029405835754</v>
      </c>
      <c r="V276" s="50"/>
      <c r="W276" s="50">
        <f t="shared" si="168"/>
        <v>-193.91254911678439</v>
      </c>
      <c r="X276" s="50"/>
      <c r="Y276" s="50">
        <f t="shared" si="169"/>
        <v>-12028.709148316841</v>
      </c>
      <c r="Z276" s="50"/>
      <c r="AA276" s="50">
        <f t="shared" si="170"/>
        <v>-190.58575709137253</v>
      </c>
      <c r="AB276" s="50">
        <f t="shared" si="157"/>
        <v>-65357</v>
      </c>
      <c r="AC276" s="31" t="str">
        <f t="shared" si="158"/>
        <v>ok</v>
      </c>
    </row>
    <row r="277" spans="1:29" x14ac:dyDescent="0.2">
      <c r="A277" s="14">
        <v>930</v>
      </c>
      <c r="B277" s="14" t="s">
        <v>174</v>
      </c>
      <c r="C277" s="14" t="s">
        <v>175</v>
      </c>
      <c r="D277" s="14" t="s">
        <v>411</v>
      </c>
      <c r="F277" s="50">
        <f>-42403+461+214161+152481+17983+32704+80100+3913</f>
        <v>459400</v>
      </c>
      <c r="H277" s="50">
        <f t="shared" si="159"/>
        <v>0</v>
      </c>
      <c r="I277" s="50">
        <f t="shared" si="160"/>
        <v>0</v>
      </c>
      <c r="J277" s="50"/>
      <c r="K277" s="50">
        <f t="shared" si="161"/>
        <v>0</v>
      </c>
      <c r="L277" s="50"/>
      <c r="M277" s="50">
        <f t="shared" si="162"/>
        <v>3520.7192551810049</v>
      </c>
      <c r="N277" s="50"/>
      <c r="O277" s="50">
        <f t="shared" si="163"/>
        <v>189997.35501087439</v>
      </c>
      <c r="P277" s="50">
        <f t="shared" si="164"/>
        <v>127798.77383858779</v>
      </c>
      <c r="Q277" s="50"/>
      <c r="R277" s="50">
        <f t="shared" si="165"/>
        <v>0</v>
      </c>
      <c r="S277" s="50">
        <f t="shared" si="166"/>
        <v>9885.898112091385</v>
      </c>
      <c r="T277" s="50"/>
      <c r="U277" s="50">
        <f t="shared" si="167"/>
        <v>40943.746054808122</v>
      </c>
      <c r="V277" s="50"/>
      <c r="W277" s="50">
        <f t="shared" si="168"/>
        <v>1363.0280622465955</v>
      </c>
      <c r="X277" s="50"/>
      <c r="Y277" s="50">
        <f t="shared" si="169"/>
        <v>84550.835912553463</v>
      </c>
      <c r="Z277" s="50"/>
      <c r="AA277" s="50">
        <f t="shared" si="170"/>
        <v>1339.6437536572448</v>
      </c>
      <c r="AB277" s="50">
        <f t="shared" si="157"/>
        <v>459400.00000000006</v>
      </c>
      <c r="AC277" s="31" t="str">
        <f t="shared" si="158"/>
        <v>ok</v>
      </c>
    </row>
    <row r="278" spans="1:29" x14ac:dyDescent="0.2">
      <c r="A278" s="14">
        <v>931</v>
      </c>
      <c r="B278" s="14" t="s">
        <v>176</v>
      </c>
      <c r="C278" s="14" t="s">
        <v>177</v>
      </c>
      <c r="D278" s="14" t="s">
        <v>84</v>
      </c>
      <c r="F278" s="50">
        <v>29520</v>
      </c>
      <c r="H278" s="50">
        <f t="shared" si="159"/>
        <v>0</v>
      </c>
      <c r="I278" s="50">
        <f t="shared" si="160"/>
        <v>0</v>
      </c>
      <c r="J278" s="50"/>
      <c r="K278" s="50">
        <f t="shared" si="161"/>
        <v>0</v>
      </c>
      <c r="L278" s="50"/>
      <c r="M278" s="50">
        <f t="shared" si="162"/>
        <v>342.18905821743999</v>
      </c>
      <c r="N278" s="50"/>
      <c r="O278" s="50">
        <f t="shared" si="163"/>
        <v>12725.555601177479</v>
      </c>
      <c r="P278" s="50">
        <f t="shared" si="164"/>
        <v>9843.5888537427054</v>
      </c>
      <c r="Q278" s="50"/>
      <c r="R278" s="50">
        <f t="shared" si="165"/>
        <v>0</v>
      </c>
      <c r="S278" s="50">
        <f t="shared" si="166"/>
        <v>3030.4791819748648</v>
      </c>
      <c r="T278" s="50"/>
      <c r="U278" s="50">
        <f t="shared" si="167"/>
        <v>1749.2956447598256</v>
      </c>
      <c r="V278" s="50"/>
      <c r="W278" s="50">
        <f t="shared" si="168"/>
        <v>1828.8916601276808</v>
      </c>
      <c r="X278" s="50"/>
      <c r="Y278" s="50">
        <f t="shared" si="169"/>
        <v>0</v>
      </c>
      <c r="Z278" s="50"/>
      <c r="AA278" s="50">
        <f t="shared" si="170"/>
        <v>0</v>
      </c>
      <c r="AB278" s="50">
        <f t="shared" si="157"/>
        <v>29519.999999999993</v>
      </c>
      <c r="AC278" s="31" t="str">
        <f t="shared" si="158"/>
        <v>ok</v>
      </c>
    </row>
    <row r="279" spans="1:29" x14ac:dyDescent="0.2">
      <c r="A279" s="14">
        <v>932</v>
      </c>
      <c r="B279" s="14" t="s">
        <v>178</v>
      </c>
      <c r="C279" s="14" t="s">
        <v>926</v>
      </c>
      <c r="D279" s="14" t="s">
        <v>70</v>
      </c>
      <c r="F279" s="50">
        <v>0</v>
      </c>
      <c r="H279" s="50">
        <f t="shared" si="159"/>
        <v>0</v>
      </c>
      <c r="I279" s="50">
        <f t="shared" si="160"/>
        <v>0</v>
      </c>
      <c r="J279" s="50"/>
      <c r="K279" s="50">
        <f t="shared" si="161"/>
        <v>0</v>
      </c>
      <c r="L279" s="50"/>
      <c r="M279" s="50">
        <f t="shared" si="162"/>
        <v>0</v>
      </c>
      <c r="N279" s="50"/>
      <c r="O279" s="50">
        <f t="shared" si="163"/>
        <v>0</v>
      </c>
      <c r="P279" s="50">
        <f t="shared" si="164"/>
        <v>0</v>
      </c>
      <c r="Q279" s="50"/>
      <c r="R279" s="50">
        <f t="shared" si="165"/>
        <v>0</v>
      </c>
      <c r="S279" s="50">
        <f t="shared" si="166"/>
        <v>0</v>
      </c>
      <c r="T279" s="50"/>
      <c r="U279" s="50">
        <f t="shared" si="167"/>
        <v>0</v>
      </c>
      <c r="V279" s="50"/>
      <c r="W279" s="50">
        <f t="shared" si="168"/>
        <v>0</v>
      </c>
      <c r="X279" s="50"/>
      <c r="Y279" s="50">
        <f t="shared" si="169"/>
        <v>0</v>
      </c>
      <c r="Z279" s="50"/>
      <c r="AA279" s="50">
        <f t="shared" si="170"/>
        <v>0</v>
      </c>
      <c r="AB279" s="50">
        <f>SUM(H279:AA279)</f>
        <v>0</v>
      </c>
      <c r="AC279" s="31" t="str">
        <f>IF(ABS(AB279-F279)&lt;1,"ok","err")</f>
        <v>ok</v>
      </c>
    </row>
    <row r="280" spans="1:29" x14ac:dyDescent="0.2">
      <c r="A280" s="14">
        <v>933</v>
      </c>
      <c r="B280" s="14" t="s">
        <v>924</v>
      </c>
      <c r="C280" s="14" t="s">
        <v>925</v>
      </c>
      <c r="D280" s="14" t="s">
        <v>70</v>
      </c>
      <c r="F280" s="50">
        <v>0</v>
      </c>
      <c r="H280" s="50">
        <f t="shared" si="159"/>
        <v>0</v>
      </c>
      <c r="I280" s="50">
        <f t="shared" si="160"/>
        <v>0</v>
      </c>
      <c r="J280" s="50"/>
      <c r="K280" s="50">
        <f t="shared" si="161"/>
        <v>0</v>
      </c>
      <c r="L280" s="50"/>
      <c r="M280" s="50">
        <f t="shared" si="162"/>
        <v>0</v>
      </c>
      <c r="N280" s="50"/>
      <c r="O280" s="50">
        <f t="shared" si="163"/>
        <v>0</v>
      </c>
      <c r="P280" s="50">
        <f t="shared" si="164"/>
        <v>0</v>
      </c>
      <c r="Q280" s="50"/>
      <c r="R280" s="50">
        <f t="shared" si="165"/>
        <v>0</v>
      </c>
      <c r="S280" s="50">
        <f t="shared" si="166"/>
        <v>0</v>
      </c>
      <c r="T280" s="50"/>
      <c r="U280" s="50">
        <f t="shared" si="167"/>
        <v>0</v>
      </c>
      <c r="V280" s="50"/>
      <c r="W280" s="50">
        <f t="shared" si="168"/>
        <v>0</v>
      </c>
      <c r="X280" s="50"/>
      <c r="Y280" s="50">
        <f t="shared" si="169"/>
        <v>0</v>
      </c>
      <c r="Z280" s="50"/>
      <c r="AA280" s="50">
        <f t="shared" si="170"/>
        <v>0</v>
      </c>
      <c r="AB280" s="50">
        <f>SUM(H280:AA280)</f>
        <v>0</v>
      </c>
      <c r="AC280" s="31" t="str">
        <f>IF(ABS(AB280-F280)&lt;1,"ok","err")</f>
        <v>ok</v>
      </c>
    </row>
    <row r="281" spans="1:29" x14ac:dyDescent="0.2">
      <c r="A281" s="14">
        <v>935</v>
      </c>
      <c r="B281" s="14" t="s">
        <v>927</v>
      </c>
      <c r="C281" s="14" t="s">
        <v>710</v>
      </c>
      <c r="D281" s="14" t="s">
        <v>84</v>
      </c>
      <c r="F281" s="50">
        <f>463848+103257+109623+105001+24736</f>
        <v>806465</v>
      </c>
      <c r="H281" s="50">
        <f t="shared" si="159"/>
        <v>0</v>
      </c>
      <c r="I281" s="50">
        <f t="shared" si="160"/>
        <v>0</v>
      </c>
      <c r="J281" s="50"/>
      <c r="K281" s="50">
        <f t="shared" si="161"/>
        <v>0</v>
      </c>
      <c r="L281" s="50"/>
      <c r="M281" s="50">
        <f t="shared" si="162"/>
        <v>9348.3570066167922</v>
      </c>
      <c r="N281" s="50"/>
      <c r="O281" s="50">
        <f t="shared" si="163"/>
        <v>347652.95385852287</v>
      </c>
      <c r="P281" s="50">
        <f t="shared" si="164"/>
        <v>268919.71154924156</v>
      </c>
      <c r="Q281" s="50"/>
      <c r="R281" s="50">
        <f t="shared" si="165"/>
        <v>0</v>
      </c>
      <c r="S281" s="50">
        <f t="shared" si="166"/>
        <v>82790.494359463381</v>
      </c>
      <c r="T281" s="50"/>
      <c r="U281" s="50">
        <f t="shared" si="167"/>
        <v>47789.488894011949</v>
      </c>
      <c r="V281" s="50"/>
      <c r="W281" s="50">
        <f t="shared" si="168"/>
        <v>49963.994332143295</v>
      </c>
      <c r="X281" s="50"/>
      <c r="Y281" s="50">
        <f t="shared" si="169"/>
        <v>0</v>
      </c>
      <c r="Z281" s="50"/>
      <c r="AA281" s="50">
        <f t="shared" si="170"/>
        <v>0</v>
      </c>
      <c r="AB281" s="50">
        <f t="shared" si="157"/>
        <v>806464.99999999977</v>
      </c>
      <c r="AC281" s="31" t="str">
        <f t="shared" si="158"/>
        <v>ok</v>
      </c>
    </row>
    <row r="282" spans="1:29" x14ac:dyDescent="0.2">
      <c r="F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31"/>
    </row>
    <row r="283" spans="1:29" x14ac:dyDescent="0.2">
      <c r="A283" s="14" t="s">
        <v>179</v>
      </c>
      <c r="C283" s="14" t="s">
        <v>180</v>
      </c>
      <c r="D283" s="174"/>
      <c r="F283" s="66">
        <f>SUM(F269:F282)</f>
        <v>4572588</v>
      </c>
      <c r="G283" s="66"/>
      <c r="H283" s="66">
        <f>SUM(H269:H282)</f>
        <v>0</v>
      </c>
      <c r="I283" s="66">
        <f>SUM(I269:I282)</f>
        <v>0</v>
      </c>
      <c r="J283" s="66"/>
      <c r="K283" s="66">
        <f>SUM(K269:K282)</f>
        <v>0</v>
      </c>
      <c r="L283" s="66"/>
      <c r="M283" s="66">
        <f>SUM(M269:M282)</f>
        <v>30757.456381718741</v>
      </c>
      <c r="N283" s="66"/>
      <c r="O283" s="66">
        <f>SUM(O269:O282)</f>
        <v>1796932.15686876</v>
      </c>
      <c r="P283" s="66">
        <f>SUM(P269:P282)</f>
        <v>1246035.0503261732</v>
      </c>
      <c r="Q283" s="66"/>
      <c r="R283" s="66">
        <f>SUM(R269:R282)</f>
        <v>0</v>
      </c>
      <c r="S283" s="66">
        <f>SUM(S269:S282)</f>
        <v>153116.56806608444</v>
      </c>
      <c r="T283" s="66"/>
      <c r="U283" s="66">
        <f>SUM(U269:U282)</f>
        <v>468383.5961279078</v>
      </c>
      <c r="V283" s="66"/>
      <c r="W283" s="66">
        <f>SUM(W269:W282)</f>
        <v>63854.200264573868</v>
      </c>
      <c r="X283" s="66"/>
      <c r="Y283" s="66">
        <f>SUM(Y269:Y282)</f>
        <v>805411.76010123838</v>
      </c>
      <c r="Z283" s="66"/>
      <c r="AA283" s="66">
        <f>SUM(AA269:AA282)</f>
        <v>8097.2118635433208</v>
      </c>
      <c r="AB283" s="50">
        <f>SUM(H283:AA283)</f>
        <v>4572587.9999999991</v>
      </c>
      <c r="AC283" s="31" t="str">
        <f>IF(ABS(AB283-F283)&lt;1,"ok","err")</f>
        <v>ok</v>
      </c>
    </row>
    <row r="284" spans="1:29" x14ac:dyDescent="0.2">
      <c r="D284" s="95"/>
      <c r="F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31"/>
    </row>
    <row r="285" spans="1:29" x14ac:dyDescent="0.2">
      <c r="A285" s="14" t="s">
        <v>181</v>
      </c>
      <c r="C285" s="14" t="s">
        <v>182</v>
      </c>
      <c r="F285" s="66">
        <f>F237+F246+F262+F283</f>
        <v>107177179</v>
      </c>
      <c r="G285" s="66"/>
      <c r="H285" s="66">
        <f>H237+H246+H262+H283</f>
        <v>22680439.375992071</v>
      </c>
      <c r="I285" s="66">
        <f>I237+I246+I262+I283</f>
        <v>59046070.624007918</v>
      </c>
      <c r="J285" s="66"/>
      <c r="K285" s="66">
        <f>K237+K246+K262+K283</f>
        <v>0</v>
      </c>
      <c r="L285" s="66"/>
      <c r="M285" s="66">
        <f>M237+M246+M262+M283</f>
        <v>190761.5090328478</v>
      </c>
      <c r="N285" s="66"/>
      <c r="O285" s="66">
        <f>O237+O246+O262+O283</f>
        <v>10431629.953348497</v>
      </c>
      <c r="P285" s="66">
        <f>P237+P246+P262+P283</f>
        <v>7054030.5921257306</v>
      </c>
      <c r="Q285" s="66"/>
      <c r="R285" s="66">
        <f>R237+R246+R262+R283</f>
        <v>0</v>
      </c>
      <c r="S285" s="66">
        <f>S237+S246+S262+S283</f>
        <v>602395.15218012664</v>
      </c>
      <c r="T285" s="66"/>
      <c r="U285" s="66">
        <f>U237+U246+U262+U283</f>
        <v>2329129.8881952008</v>
      </c>
      <c r="V285" s="66"/>
      <c r="W285" s="66">
        <f>W237+W246+W262+W283</f>
        <v>125798.93315281389</v>
      </c>
      <c r="X285" s="66"/>
      <c r="Y285" s="66">
        <f>Y237+Y246+Y262+Y283</f>
        <v>4647943.7601012383</v>
      </c>
      <c r="Z285" s="66"/>
      <c r="AA285" s="66">
        <f>AA237+AA246+AA262+AA283</f>
        <v>68979.211863543314</v>
      </c>
      <c r="AB285" s="50">
        <f>SUM(H285:AA285)</f>
        <v>107177178.99999999</v>
      </c>
      <c r="AC285" s="31" t="str">
        <f>IF(ABS(AB285-F285)&lt;1,"ok","err")</f>
        <v>ok</v>
      </c>
    </row>
    <row r="286" spans="1:29" x14ac:dyDescent="0.2">
      <c r="F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31"/>
    </row>
    <row r="287" spans="1:29" x14ac:dyDescent="0.2">
      <c r="A287" s="14" t="s">
        <v>412</v>
      </c>
      <c r="C287" s="14" t="s">
        <v>88</v>
      </c>
      <c r="F287" s="95">
        <f>F285-F180</f>
        <v>25450669</v>
      </c>
      <c r="G287" s="95"/>
      <c r="H287" s="95">
        <f>H285-H180</f>
        <v>0</v>
      </c>
      <c r="I287" s="95">
        <f>I285-I180</f>
        <v>0</v>
      </c>
      <c r="J287" s="95"/>
      <c r="K287" s="95">
        <f>K285-K180</f>
        <v>0</v>
      </c>
      <c r="L287" s="95"/>
      <c r="M287" s="95">
        <f>M285-M180</f>
        <v>190761.5090328478</v>
      </c>
      <c r="N287" s="95"/>
      <c r="O287" s="95">
        <f>O285-O180</f>
        <v>10431629.953348497</v>
      </c>
      <c r="P287" s="95">
        <f>P285-P180</f>
        <v>7054030.5921257306</v>
      </c>
      <c r="Q287" s="95"/>
      <c r="R287" s="95">
        <f>R285-R180</f>
        <v>0</v>
      </c>
      <c r="S287" s="95">
        <f>S285-S180</f>
        <v>602395.15218012664</v>
      </c>
      <c r="T287" s="95"/>
      <c r="U287" s="95">
        <f>U285-U180</f>
        <v>2329129.8881952008</v>
      </c>
      <c r="V287" s="95"/>
      <c r="W287" s="95">
        <f>W285-W180</f>
        <v>125798.93315281389</v>
      </c>
      <c r="X287" s="95"/>
      <c r="Y287" s="95">
        <f>Y285-Y180</f>
        <v>4647943.7601012383</v>
      </c>
      <c r="Z287" s="95"/>
      <c r="AA287" s="95">
        <f>AA285-AA180</f>
        <v>68979.211863543314</v>
      </c>
      <c r="AB287" s="50">
        <f>SUM(H287:AA287)</f>
        <v>25450669.000000004</v>
      </c>
      <c r="AC287" s="31" t="str">
        <f>IF(ABS(AB287-F287)&lt;1,"ok","err")</f>
        <v>ok</v>
      </c>
    </row>
    <row r="288" spans="1:29" x14ac:dyDescent="0.2">
      <c r="Q288" s="14"/>
      <c r="AC288" s="31"/>
    </row>
    <row r="289" spans="1:29" x14ac:dyDescent="0.2">
      <c r="AC289" s="31"/>
    </row>
    <row r="290" spans="1:29" x14ac:dyDescent="0.2">
      <c r="A290" s="29" t="s">
        <v>184</v>
      </c>
      <c r="AC290" s="31"/>
    </row>
    <row r="291" spans="1:29" x14ac:dyDescent="0.2">
      <c r="AC291" s="31"/>
    </row>
    <row r="292" spans="1:29" x14ac:dyDescent="0.2">
      <c r="A292" s="13" t="s">
        <v>185</v>
      </c>
      <c r="AC292" s="31"/>
    </row>
    <row r="293" spans="1:29" x14ac:dyDescent="0.2">
      <c r="A293" s="14" t="s">
        <v>767</v>
      </c>
      <c r="C293" s="14" t="s">
        <v>828</v>
      </c>
      <c r="D293" s="14" t="s">
        <v>783</v>
      </c>
      <c r="F293" s="50">
        <v>0</v>
      </c>
      <c r="H293" s="50">
        <f t="shared" ref="H293:H310" si="171">IF((VLOOKUP($D293,$C$5:$AA$494,6,)=0),0,((VLOOKUP($D293,$C$5:$AA$494,6,)/VLOOKUP($D293,$C$5:$AA$494,4,))*$F293))</f>
        <v>0</v>
      </c>
      <c r="I293" s="50">
        <f t="shared" ref="I293:I310" si="172">IF((VLOOKUP($D293,$C$5:$AA$494,7,)=0),0,((VLOOKUP($D293,$C$5:$AA$494,7,)/VLOOKUP($D293,$C$5:$AA$494,4,))*$F293))</f>
        <v>0</v>
      </c>
      <c r="J293" s="50"/>
      <c r="K293" s="50">
        <f t="shared" ref="K293:K310" si="173">IF((VLOOKUP($D293,$C$5:$AA$494,9,)=0),0,((VLOOKUP($D293,$C$5:$AA$494,9,)/VLOOKUP($D293,$C$5:$AA$494,4,))*$F293))</f>
        <v>0</v>
      </c>
      <c r="L293" s="50"/>
      <c r="M293" s="50">
        <f t="shared" ref="M293:M310" si="174">IF((VLOOKUP($D293,$C$5:$AA$494,11,)=0),0,((VLOOKUP($D293,$C$5:$AA$494,11,)/VLOOKUP($D293,$C$5:$AA$494,4,))*$F293))</f>
        <v>0</v>
      </c>
      <c r="N293" s="50"/>
      <c r="O293" s="50">
        <f t="shared" ref="O293:O310" si="175">IF((VLOOKUP($D293,$C$5:$AA$494,13,)=0),0,((VLOOKUP($D293,$C$5:$AA$494,13,)/VLOOKUP($D293,$C$5:$AA$494,4,))*$F293))</f>
        <v>0</v>
      </c>
      <c r="P293" s="50">
        <f t="shared" ref="P293:P310" si="176">IF((VLOOKUP($D293,$C$5:$AA$494,14,)=0),0,((VLOOKUP($D293,$C$5:$AA$494,14,)/VLOOKUP($D293,$C$5:$AA$494,4,))*$F293))</f>
        <v>0</v>
      </c>
      <c r="Q293" s="50"/>
      <c r="R293" s="50">
        <f t="shared" ref="R293:R310" si="177">IF((VLOOKUP($D293,$C$5:$AA$494,16,)=0),0,((VLOOKUP($D293,$C$5:$AA$494,16,)/VLOOKUP($D293,$C$5:$AA$494,4,))*$F293))</f>
        <v>0</v>
      </c>
      <c r="S293" s="50">
        <f t="shared" ref="S293:S310" si="178">IF((VLOOKUP($D293,$C$5:$AA$494,17,)=0),0,((VLOOKUP($D293,$C$5:$AA$494,17,)/VLOOKUP($D293,$C$5:$AA$494,4,))*$F293))</f>
        <v>0</v>
      </c>
      <c r="T293" s="50"/>
      <c r="U293" s="50">
        <f t="shared" ref="U293:U310" si="179">IF((VLOOKUP($D293,$C$5:$AA$494,19,)=0),0,((VLOOKUP($D293,$C$5:$AA$494,19,)/VLOOKUP($D293,$C$5:$AA$494,4,))*$F293))</f>
        <v>0</v>
      </c>
      <c r="V293" s="50"/>
      <c r="W293" s="50">
        <f t="shared" ref="W293:W310" si="180">IF((VLOOKUP($D293,$C$5:$AA$494,21,)=0),0,((VLOOKUP($D293,$C$5:$AA$494,21,)/VLOOKUP($D293,$C$5:$AA$494,4,))*$F293))</f>
        <v>0</v>
      </c>
      <c r="X293" s="50"/>
      <c r="Y293" s="50">
        <f t="shared" ref="Y293:Y310" si="181">IF((VLOOKUP($D293,$C$5:$AA$494,23,)=0),0,((VLOOKUP($D293,$C$5:$AA$494,23,)/VLOOKUP($D293,$C$5:$AA$494,4,))*$F293))</f>
        <v>0</v>
      </c>
      <c r="Z293" s="50"/>
      <c r="AA293" s="50">
        <f t="shared" ref="AA293:AA310" si="182">IF((VLOOKUP($D293,$C$5:$AA$494,25,)=0),0,((VLOOKUP($D293,$C$5:$AA$494,25,)/VLOOKUP($D293,$C$5:$AA$494,4,))*$F293))</f>
        <v>0</v>
      </c>
      <c r="AB293" s="50">
        <f>SUM(H293:AA293)</f>
        <v>0</v>
      </c>
      <c r="AC293" s="31" t="str">
        <f>IF(ABS(AB293-F293)&lt;1,"ok","err")</f>
        <v>ok</v>
      </c>
    </row>
    <row r="294" spans="1:29" x14ac:dyDescent="0.2">
      <c r="A294" s="14" t="s">
        <v>368</v>
      </c>
      <c r="C294" s="14" t="s">
        <v>414</v>
      </c>
      <c r="D294" s="14" t="s">
        <v>390</v>
      </c>
      <c r="F294" s="50">
        <v>0</v>
      </c>
      <c r="H294" s="50">
        <f t="shared" si="171"/>
        <v>0</v>
      </c>
      <c r="I294" s="50">
        <f t="shared" si="172"/>
        <v>0</v>
      </c>
      <c r="J294" s="50"/>
      <c r="K294" s="50">
        <f t="shared" si="173"/>
        <v>0</v>
      </c>
      <c r="L294" s="50"/>
      <c r="M294" s="50">
        <f t="shared" si="174"/>
        <v>0</v>
      </c>
      <c r="N294" s="50"/>
      <c r="O294" s="50">
        <f t="shared" si="175"/>
        <v>0</v>
      </c>
      <c r="P294" s="50">
        <f t="shared" si="176"/>
        <v>0</v>
      </c>
      <c r="Q294" s="50"/>
      <c r="R294" s="50">
        <f t="shared" si="177"/>
        <v>0</v>
      </c>
      <c r="S294" s="50">
        <f t="shared" si="178"/>
        <v>0</v>
      </c>
      <c r="T294" s="50"/>
      <c r="U294" s="50">
        <f t="shared" si="179"/>
        <v>0</v>
      </c>
      <c r="V294" s="50"/>
      <c r="W294" s="50">
        <f t="shared" si="180"/>
        <v>0</v>
      </c>
      <c r="X294" s="50"/>
      <c r="Y294" s="50">
        <f t="shared" si="181"/>
        <v>0</v>
      </c>
      <c r="Z294" s="50"/>
      <c r="AA294" s="50">
        <f t="shared" si="182"/>
        <v>0</v>
      </c>
      <c r="AB294" s="50">
        <f>SUM(H294:AA294)</f>
        <v>0</v>
      </c>
      <c r="AC294" s="31" t="str">
        <f>IF(ABS(AB294-F294)&lt;1,"ok","err")</f>
        <v>ok</v>
      </c>
    </row>
    <row r="295" spans="1:29" x14ac:dyDescent="0.2">
      <c r="A295" s="14" t="s">
        <v>426</v>
      </c>
      <c r="C295" s="14" t="s">
        <v>458</v>
      </c>
      <c r="D295" s="14" t="s">
        <v>424</v>
      </c>
      <c r="F295" s="50">
        <v>0</v>
      </c>
      <c r="H295" s="50">
        <f t="shared" si="171"/>
        <v>0</v>
      </c>
      <c r="I295" s="50">
        <f t="shared" si="172"/>
        <v>0</v>
      </c>
      <c r="J295" s="50"/>
      <c r="K295" s="50">
        <f t="shared" si="173"/>
        <v>0</v>
      </c>
      <c r="L295" s="50"/>
      <c r="M295" s="50">
        <f t="shared" si="174"/>
        <v>0</v>
      </c>
      <c r="N295" s="50"/>
      <c r="O295" s="50">
        <f t="shared" si="175"/>
        <v>0</v>
      </c>
      <c r="P295" s="50">
        <f t="shared" si="176"/>
        <v>0</v>
      </c>
      <c r="Q295" s="50"/>
      <c r="R295" s="50">
        <f t="shared" si="177"/>
        <v>0</v>
      </c>
      <c r="S295" s="50">
        <f t="shared" si="178"/>
        <v>0</v>
      </c>
      <c r="T295" s="50"/>
      <c r="U295" s="50">
        <f t="shared" si="179"/>
        <v>0</v>
      </c>
      <c r="V295" s="50"/>
      <c r="W295" s="50">
        <f t="shared" si="180"/>
        <v>0</v>
      </c>
      <c r="X295" s="50"/>
      <c r="Y295" s="50">
        <f t="shared" si="181"/>
        <v>0</v>
      </c>
      <c r="Z295" s="50"/>
      <c r="AA295" s="50">
        <f t="shared" si="182"/>
        <v>0</v>
      </c>
      <c r="AB295" s="50">
        <f t="shared" ref="AB295:AB306" si="183">SUM(H295:AA295)</f>
        <v>0</v>
      </c>
      <c r="AC295" s="31" t="str">
        <f t="shared" ref="AC295:AC306" si="184">IF(ABS(AB295-F295)&lt;1,"ok","err")</f>
        <v>ok</v>
      </c>
    </row>
    <row r="296" spans="1:29" x14ac:dyDescent="0.2">
      <c r="A296" s="14" t="s">
        <v>427</v>
      </c>
      <c r="C296" s="14" t="s">
        <v>459</v>
      </c>
      <c r="D296" s="14" t="s">
        <v>23</v>
      </c>
      <c r="F296" s="50">
        <v>0</v>
      </c>
      <c r="H296" s="50">
        <f t="shared" si="171"/>
        <v>0</v>
      </c>
      <c r="I296" s="50">
        <f t="shared" si="172"/>
        <v>0</v>
      </c>
      <c r="J296" s="50"/>
      <c r="K296" s="50">
        <f t="shared" si="173"/>
        <v>0</v>
      </c>
      <c r="L296" s="50"/>
      <c r="M296" s="50">
        <f t="shared" si="174"/>
        <v>0</v>
      </c>
      <c r="N296" s="50"/>
      <c r="O296" s="50">
        <f t="shared" si="175"/>
        <v>0</v>
      </c>
      <c r="P296" s="50">
        <f t="shared" si="176"/>
        <v>0</v>
      </c>
      <c r="Q296" s="50"/>
      <c r="R296" s="50">
        <f t="shared" si="177"/>
        <v>0</v>
      </c>
      <c r="S296" s="50">
        <f t="shared" si="178"/>
        <v>0</v>
      </c>
      <c r="T296" s="50"/>
      <c r="U296" s="50">
        <f t="shared" si="179"/>
        <v>0</v>
      </c>
      <c r="V296" s="50"/>
      <c r="W296" s="50">
        <f t="shared" si="180"/>
        <v>0</v>
      </c>
      <c r="X296" s="50"/>
      <c r="Y296" s="50">
        <f t="shared" si="181"/>
        <v>0</v>
      </c>
      <c r="Z296" s="50"/>
      <c r="AA296" s="50">
        <f t="shared" si="182"/>
        <v>0</v>
      </c>
      <c r="AB296" s="50">
        <f t="shared" si="183"/>
        <v>0</v>
      </c>
      <c r="AC296" s="31" t="str">
        <f t="shared" si="184"/>
        <v>ok</v>
      </c>
    </row>
    <row r="297" spans="1:29" x14ac:dyDescent="0.2">
      <c r="A297" s="14" t="s">
        <v>428</v>
      </c>
      <c r="C297" s="14" t="s">
        <v>460</v>
      </c>
      <c r="D297" s="14" t="s">
        <v>26</v>
      </c>
      <c r="F297" s="50">
        <v>0</v>
      </c>
      <c r="H297" s="50">
        <f t="shared" si="171"/>
        <v>0</v>
      </c>
      <c r="I297" s="50">
        <f t="shared" si="172"/>
        <v>0</v>
      </c>
      <c r="J297" s="50"/>
      <c r="K297" s="50">
        <f t="shared" si="173"/>
        <v>0</v>
      </c>
      <c r="L297" s="50"/>
      <c r="M297" s="50">
        <f t="shared" si="174"/>
        <v>0</v>
      </c>
      <c r="N297" s="50"/>
      <c r="O297" s="50">
        <f t="shared" si="175"/>
        <v>0</v>
      </c>
      <c r="P297" s="50">
        <f t="shared" si="176"/>
        <v>0</v>
      </c>
      <c r="Q297" s="50"/>
      <c r="R297" s="50">
        <f t="shared" si="177"/>
        <v>0</v>
      </c>
      <c r="S297" s="50">
        <f t="shared" si="178"/>
        <v>0</v>
      </c>
      <c r="T297" s="50"/>
      <c r="U297" s="50">
        <f t="shared" si="179"/>
        <v>0</v>
      </c>
      <c r="V297" s="50"/>
      <c r="W297" s="50">
        <f t="shared" si="180"/>
        <v>0</v>
      </c>
      <c r="X297" s="50"/>
      <c r="Y297" s="50">
        <f t="shared" si="181"/>
        <v>0</v>
      </c>
      <c r="Z297" s="50"/>
      <c r="AA297" s="50">
        <f t="shared" si="182"/>
        <v>0</v>
      </c>
      <c r="AB297" s="50">
        <f t="shared" si="183"/>
        <v>0</v>
      </c>
      <c r="AC297" s="31" t="str">
        <f t="shared" si="184"/>
        <v>ok</v>
      </c>
    </row>
    <row r="298" spans="1:29" x14ac:dyDescent="0.2">
      <c r="A298" s="14" t="s">
        <v>429</v>
      </c>
      <c r="C298" s="14" t="s">
        <v>461</v>
      </c>
      <c r="D298" s="14" t="s">
        <v>29</v>
      </c>
      <c r="F298" s="50">
        <v>0</v>
      </c>
      <c r="H298" s="50">
        <f t="shared" si="171"/>
        <v>0</v>
      </c>
      <c r="I298" s="50">
        <f t="shared" si="172"/>
        <v>0</v>
      </c>
      <c r="J298" s="50"/>
      <c r="K298" s="50">
        <f t="shared" si="173"/>
        <v>0</v>
      </c>
      <c r="L298" s="50"/>
      <c r="M298" s="50">
        <f t="shared" si="174"/>
        <v>0</v>
      </c>
      <c r="N298" s="50"/>
      <c r="O298" s="50">
        <f t="shared" si="175"/>
        <v>0</v>
      </c>
      <c r="P298" s="50">
        <f t="shared" si="176"/>
        <v>0</v>
      </c>
      <c r="Q298" s="50"/>
      <c r="R298" s="50">
        <f t="shared" si="177"/>
        <v>0</v>
      </c>
      <c r="S298" s="50">
        <f t="shared" si="178"/>
        <v>0</v>
      </c>
      <c r="T298" s="50"/>
      <c r="U298" s="50">
        <f t="shared" si="179"/>
        <v>0</v>
      </c>
      <c r="V298" s="50"/>
      <c r="W298" s="50">
        <f t="shared" si="180"/>
        <v>0</v>
      </c>
      <c r="X298" s="50"/>
      <c r="Y298" s="50">
        <f t="shared" si="181"/>
        <v>0</v>
      </c>
      <c r="Z298" s="50"/>
      <c r="AA298" s="50">
        <f t="shared" si="182"/>
        <v>0</v>
      </c>
      <c r="AB298" s="50">
        <f t="shared" si="183"/>
        <v>0</v>
      </c>
      <c r="AC298" s="31" t="str">
        <f t="shared" si="184"/>
        <v>ok</v>
      </c>
    </row>
    <row r="299" spans="1:29" x14ac:dyDescent="0.2">
      <c r="A299" s="14" t="s">
        <v>447</v>
      </c>
      <c r="C299" s="14" t="s">
        <v>462</v>
      </c>
      <c r="D299" s="14" t="s">
        <v>32</v>
      </c>
      <c r="F299" s="50">
        <v>0</v>
      </c>
      <c r="H299" s="50">
        <f t="shared" si="171"/>
        <v>0</v>
      </c>
      <c r="I299" s="50">
        <f t="shared" si="172"/>
        <v>0</v>
      </c>
      <c r="J299" s="50"/>
      <c r="K299" s="50">
        <f t="shared" si="173"/>
        <v>0</v>
      </c>
      <c r="L299" s="50"/>
      <c r="M299" s="50">
        <f t="shared" si="174"/>
        <v>0</v>
      </c>
      <c r="N299" s="50"/>
      <c r="O299" s="50">
        <f t="shared" si="175"/>
        <v>0</v>
      </c>
      <c r="P299" s="50">
        <f t="shared" si="176"/>
        <v>0</v>
      </c>
      <c r="Q299" s="50"/>
      <c r="R299" s="50">
        <f t="shared" si="177"/>
        <v>0</v>
      </c>
      <c r="S299" s="50">
        <f t="shared" si="178"/>
        <v>0</v>
      </c>
      <c r="T299" s="50"/>
      <c r="U299" s="50">
        <f t="shared" si="179"/>
        <v>0</v>
      </c>
      <c r="V299" s="50"/>
      <c r="W299" s="50">
        <f t="shared" si="180"/>
        <v>0</v>
      </c>
      <c r="X299" s="50"/>
      <c r="Y299" s="50">
        <f t="shared" si="181"/>
        <v>0</v>
      </c>
      <c r="Z299" s="50"/>
      <c r="AA299" s="50">
        <f t="shared" si="182"/>
        <v>0</v>
      </c>
      <c r="AB299" s="50">
        <f t="shared" si="183"/>
        <v>0</v>
      </c>
      <c r="AC299" s="31" t="str">
        <f t="shared" si="184"/>
        <v>ok</v>
      </c>
    </row>
    <row r="300" spans="1:29" x14ac:dyDescent="0.2">
      <c r="A300" s="14" t="s">
        <v>430</v>
      </c>
      <c r="C300" s="14" t="s">
        <v>463</v>
      </c>
      <c r="D300" s="14" t="s">
        <v>35</v>
      </c>
      <c r="F300" s="50">
        <v>0</v>
      </c>
      <c r="H300" s="50">
        <f t="shared" si="171"/>
        <v>0</v>
      </c>
      <c r="I300" s="50">
        <f t="shared" si="172"/>
        <v>0</v>
      </c>
      <c r="J300" s="50"/>
      <c r="K300" s="50">
        <f t="shared" si="173"/>
        <v>0</v>
      </c>
      <c r="L300" s="50"/>
      <c r="M300" s="50">
        <f t="shared" si="174"/>
        <v>0</v>
      </c>
      <c r="N300" s="50"/>
      <c r="O300" s="50">
        <f t="shared" si="175"/>
        <v>0</v>
      </c>
      <c r="P300" s="50">
        <f t="shared" si="176"/>
        <v>0</v>
      </c>
      <c r="Q300" s="50"/>
      <c r="R300" s="50">
        <f t="shared" si="177"/>
        <v>0</v>
      </c>
      <c r="S300" s="50">
        <f t="shared" si="178"/>
        <v>0</v>
      </c>
      <c r="T300" s="50"/>
      <c r="U300" s="50">
        <f t="shared" si="179"/>
        <v>0</v>
      </c>
      <c r="V300" s="50"/>
      <c r="W300" s="50">
        <f t="shared" si="180"/>
        <v>0</v>
      </c>
      <c r="X300" s="50"/>
      <c r="Y300" s="50">
        <f t="shared" si="181"/>
        <v>0</v>
      </c>
      <c r="Z300" s="50"/>
      <c r="AA300" s="50">
        <f t="shared" si="182"/>
        <v>0</v>
      </c>
      <c r="AB300" s="50">
        <f t="shared" si="183"/>
        <v>0</v>
      </c>
      <c r="AC300" s="31" t="str">
        <f t="shared" si="184"/>
        <v>ok</v>
      </c>
    </row>
    <row r="301" spans="1:29" x14ac:dyDescent="0.2">
      <c r="A301" s="14" t="s">
        <v>431</v>
      </c>
      <c r="C301" s="14" t="s">
        <v>464</v>
      </c>
      <c r="D301" s="14" t="s">
        <v>37</v>
      </c>
      <c r="F301" s="50">
        <v>0</v>
      </c>
      <c r="H301" s="50">
        <f t="shared" si="171"/>
        <v>0</v>
      </c>
      <c r="I301" s="50">
        <f t="shared" si="172"/>
        <v>0</v>
      </c>
      <c r="J301" s="50"/>
      <c r="K301" s="50">
        <f t="shared" si="173"/>
        <v>0</v>
      </c>
      <c r="L301" s="50"/>
      <c r="M301" s="50">
        <f t="shared" si="174"/>
        <v>0</v>
      </c>
      <c r="N301" s="50"/>
      <c r="O301" s="50">
        <f t="shared" si="175"/>
        <v>0</v>
      </c>
      <c r="P301" s="50">
        <f t="shared" si="176"/>
        <v>0</v>
      </c>
      <c r="Q301" s="50"/>
      <c r="R301" s="50">
        <f t="shared" si="177"/>
        <v>0</v>
      </c>
      <c r="S301" s="50">
        <f t="shared" si="178"/>
        <v>0</v>
      </c>
      <c r="T301" s="50"/>
      <c r="U301" s="50">
        <f t="shared" si="179"/>
        <v>0</v>
      </c>
      <c r="V301" s="50"/>
      <c r="W301" s="50">
        <f t="shared" si="180"/>
        <v>0</v>
      </c>
      <c r="X301" s="50"/>
      <c r="Y301" s="50">
        <f t="shared" si="181"/>
        <v>0</v>
      </c>
      <c r="Z301" s="50"/>
      <c r="AA301" s="50">
        <f t="shared" si="182"/>
        <v>0</v>
      </c>
      <c r="AB301" s="50">
        <f t="shared" si="183"/>
        <v>0</v>
      </c>
      <c r="AC301" s="31" t="str">
        <f t="shared" si="184"/>
        <v>ok</v>
      </c>
    </row>
    <row r="302" spans="1:29" x14ac:dyDescent="0.2">
      <c r="A302" s="14" t="s">
        <v>432</v>
      </c>
      <c r="C302" s="14" t="s">
        <v>465</v>
      </c>
      <c r="D302" s="14" t="s">
        <v>40</v>
      </c>
      <c r="F302" s="50">
        <v>0</v>
      </c>
      <c r="H302" s="50">
        <f t="shared" si="171"/>
        <v>0</v>
      </c>
      <c r="I302" s="50">
        <f t="shared" si="172"/>
        <v>0</v>
      </c>
      <c r="J302" s="50"/>
      <c r="K302" s="50">
        <f t="shared" si="173"/>
        <v>0</v>
      </c>
      <c r="L302" s="50"/>
      <c r="M302" s="50">
        <f t="shared" si="174"/>
        <v>0</v>
      </c>
      <c r="N302" s="50"/>
      <c r="O302" s="50">
        <f t="shared" si="175"/>
        <v>0</v>
      </c>
      <c r="P302" s="50">
        <f t="shared" si="176"/>
        <v>0</v>
      </c>
      <c r="Q302" s="50"/>
      <c r="R302" s="50">
        <f t="shared" si="177"/>
        <v>0</v>
      </c>
      <c r="S302" s="50">
        <f t="shared" si="178"/>
        <v>0</v>
      </c>
      <c r="T302" s="50"/>
      <c r="U302" s="50">
        <f t="shared" si="179"/>
        <v>0</v>
      </c>
      <c r="V302" s="50"/>
      <c r="W302" s="50">
        <f t="shared" si="180"/>
        <v>0</v>
      </c>
      <c r="X302" s="50"/>
      <c r="Y302" s="50">
        <f t="shared" si="181"/>
        <v>0</v>
      </c>
      <c r="Z302" s="50"/>
      <c r="AA302" s="50">
        <f t="shared" si="182"/>
        <v>0</v>
      </c>
      <c r="AB302" s="50">
        <f t="shared" si="183"/>
        <v>0</v>
      </c>
      <c r="AC302" s="31" t="str">
        <f t="shared" si="184"/>
        <v>ok</v>
      </c>
    </row>
    <row r="303" spans="1:29" x14ac:dyDescent="0.2">
      <c r="A303" s="14" t="s">
        <v>433</v>
      </c>
      <c r="C303" s="14" t="s">
        <v>466</v>
      </c>
      <c r="D303" s="14" t="s">
        <v>43</v>
      </c>
      <c r="F303" s="50">
        <v>0</v>
      </c>
      <c r="H303" s="50">
        <f t="shared" si="171"/>
        <v>0</v>
      </c>
      <c r="I303" s="50">
        <f t="shared" si="172"/>
        <v>0</v>
      </c>
      <c r="J303" s="50"/>
      <c r="K303" s="50">
        <f t="shared" si="173"/>
        <v>0</v>
      </c>
      <c r="L303" s="50"/>
      <c r="M303" s="50">
        <f t="shared" si="174"/>
        <v>0</v>
      </c>
      <c r="N303" s="50"/>
      <c r="O303" s="50">
        <f t="shared" si="175"/>
        <v>0</v>
      </c>
      <c r="P303" s="50">
        <f t="shared" si="176"/>
        <v>0</v>
      </c>
      <c r="Q303" s="50"/>
      <c r="R303" s="50">
        <f t="shared" si="177"/>
        <v>0</v>
      </c>
      <c r="S303" s="50">
        <f t="shared" si="178"/>
        <v>0</v>
      </c>
      <c r="T303" s="50"/>
      <c r="U303" s="50">
        <f t="shared" si="179"/>
        <v>0</v>
      </c>
      <c r="V303" s="50"/>
      <c r="W303" s="50">
        <f t="shared" si="180"/>
        <v>0</v>
      </c>
      <c r="X303" s="50"/>
      <c r="Y303" s="50">
        <f t="shared" si="181"/>
        <v>0</v>
      </c>
      <c r="Z303" s="50"/>
      <c r="AA303" s="50">
        <f t="shared" si="182"/>
        <v>0</v>
      </c>
      <c r="AB303" s="50">
        <f t="shared" si="183"/>
        <v>0</v>
      </c>
      <c r="AC303" s="31" t="str">
        <f t="shared" si="184"/>
        <v>ok</v>
      </c>
    </row>
    <row r="304" spans="1:29" x14ac:dyDescent="0.2">
      <c r="A304" s="14" t="s">
        <v>434</v>
      </c>
      <c r="C304" s="14" t="s">
        <v>467</v>
      </c>
      <c r="D304" s="14" t="s">
        <v>46</v>
      </c>
      <c r="F304" s="50">
        <v>0</v>
      </c>
      <c r="H304" s="50">
        <f t="shared" si="171"/>
        <v>0</v>
      </c>
      <c r="I304" s="50">
        <f t="shared" si="172"/>
        <v>0</v>
      </c>
      <c r="J304" s="50"/>
      <c r="K304" s="50">
        <f t="shared" si="173"/>
        <v>0</v>
      </c>
      <c r="L304" s="50"/>
      <c r="M304" s="50">
        <f t="shared" si="174"/>
        <v>0</v>
      </c>
      <c r="N304" s="50"/>
      <c r="O304" s="50">
        <f t="shared" si="175"/>
        <v>0</v>
      </c>
      <c r="P304" s="50">
        <f t="shared" si="176"/>
        <v>0</v>
      </c>
      <c r="Q304" s="50"/>
      <c r="R304" s="50">
        <f t="shared" si="177"/>
        <v>0</v>
      </c>
      <c r="S304" s="50">
        <f t="shared" si="178"/>
        <v>0</v>
      </c>
      <c r="T304" s="50"/>
      <c r="U304" s="50">
        <f t="shared" si="179"/>
        <v>0</v>
      </c>
      <c r="V304" s="50"/>
      <c r="W304" s="50">
        <f t="shared" si="180"/>
        <v>0</v>
      </c>
      <c r="X304" s="50"/>
      <c r="Y304" s="50">
        <f t="shared" si="181"/>
        <v>0</v>
      </c>
      <c r="Z304" s="50"/>
      <c r="AA304" s="50">
        <f t="shared" si="182"/>
        <v>0</v>
      </c>
      <c r="AB304" s="50">
        <f t="shared" si="183"/>
        <v>0</v>
      </c>
      <c r="AC304" s="31" t="str">
        <f t="shared" si="184"/>
        <v>ok</v>
      </c>
    </row>
    <row r="305" spans="1:29" x14ac:dyDescent="0.2">
      <c r="A305" s="14" t="s">
        <v>435</v>
      </c>
      <c r="C305" s="14" t="s">
        <v>468</v>
      </c>
      <c r="D305" s="14" t="s">
        <v>48</v>
      </c>
      <c r="F305" s="50">
        <v>0</v>
      </c>
      <c r="H305" s="50">
        <f t="shared" si="171"/>
        <v>0</v>
      </c>
      <c r="I305" s="50">
        <f t="shared" si="172"/>
        <v>0</v>
      </c>
      <c r="J305" s="50"/>
      <c r="K305" s="50">
        <f t="shared" si="173"/>
        <v>0</v>
      </c>
      <c r="L305" s="50"/>
      <c r="M305" s="50">
        <f t="shared" si="174"/>
        <v>0</v>
      </c>
      <c r="N305" s="50"/>
      <c r="O305" s="50">
        <f t="shared" si="175"/>
        <v>0</v>
      </c>
      <c r="P305" s="50">
        <f t="shared" si="176"/>
        <v>0</v>
      </c>
      <c r="Q305" s="50"/>
      <c r="R305" s="50">
        <f t="shared" si="177"/>
        <v>0</v>
      </c>
      <c r="S305" s="50">
        <f t="shared" si="178"/>
        <v>0</v>
      </c>
      <c r="T305" s="50"/>
      <c r="U305" s="50">
        <f t="shared" si="179"/>
        <v>0</v>
      </c>
      <c r="V305" s="50"/>
      <c r="W305" s="50">
        <f t="shared" si="180"/>
        <v>0</v>
      </c>
      <c r="X305" s="50"/>
      <c r="Y305" s="50">
        <f t="shared" si="181"/>
        <v>0</v>
      </c>
      <c r="Z305" s="50"/>
      <c r="AA305" s="50">
        <f t="shared" si="182"/>
        <v>0</v>
      </c>
      <c r="AB305" s="50">
        <f t="shared" si="183"/>
        <v>0</v>
      </c>
      <c r="AC305" s="31" t="str">
        <f t="shared" si="184"/>
        <v>ok</v>
      </c>
    </row>
    <row r="306" spans="1:29" x14ac:dyDescent="0.2">
      <c r="A306" s="14" t="s">
        <v>579</v>
      </c>
      <c r="C306" s="14" t="s">
        <v>469</v>
      </c>
      <c r="D306" s="14" t="s">
        <v>16</v>
      </c>
      <c r="F306" s="50">
        <v>10944925</v>
      </c>
      <c r="H306" s="50">
        <f t="shared" si="171"/>
        <v>0</v>
      </c>
      <c r="I306" s="50">
        <f t="shared" si="172"/>
        <v>0</v>
      </c>
      <c r="J306" s="50"/>
      <c r="K306" s="50">
        <f t="shared" si="173"/>
        <v>0</v>
      </c>
      <c r="L306" s="50"/>
      <c r="M306" s="50">
        <f t="shared" si="174"/>
        <v>82011.668617956413</v>
      </c>
      <c r="N306" s="50"/>
      <c r="O306" s="50">
        <f t="shared" si="175"/>
        <v>4922940.012560701</v>
      </c>
      <c r="P306" s="50">
        <f t="shared" si="176"/>
        <v>3733136.0395328226</v>
      </c>
      <c r="Q306" s="50"/>
      <c r="R306" s="50">
        <f t="shared" si="177"/>
        <v>0</v>
      </c>
      <c r="S306" s="50">
        <f t="shared" si="178"/>
        <v>1172985.8169618649</v>
      </c>
      <c r="T306" s="50"/>
      <c r="U306" s="50">
        <f t="shared" si="179"/>
        <v>598560.58645040949</v>
      </c>
      <c r="V306" s="50"/>
      <c r="W306" s="50">
        <f t="shared" si="180"/>
        <v>435290.8758762455</v>
      </c>
      <c r="X306" s="50"/>
      <c r="Y306" s="50">
        <f t="shared" si="181"/>
        <v>0</v>
      </c>
      <c r="Z306" s="50"/>
      <c r="AA306" s="50">
        <f t="shared" si="182"/>
        <v>0</v>
      </c>
      <c r="AB306" s="50">
        <f t="shared" si="183"/>
        <v>10944925.000000002</v>
      </c>
      <c r="AC306" s="31" t="str">
        <f t="shared" si="184"/>
        <v>ok</v>
      </c>
    </row>
    <row r="307" spans="1:29" x14ac:dyDescent="0.2">
      <c r="A307" s="14" t="s">
        <v>81</v>
      </c>
      <c r="C307" s="14" t="s">
        <v>415</v>
      </c>
      <c r="D307" s="14" t="s">
        <v>70</v>
      </c>
      <c r="F307" s="50">
        <v>519724</v>
      </c>
      <c r="H307" s="50">
        <f t="shared" si="171"/>
        <v>0</v>
      </c>
      <c r="I307" s="50">
        <f t="shared" si="172"/>
        <v>0</v>
      </c>
      <c r="J307" s="50"/>
      <c r="K307" s="50">
        <f t="shared" si="173"/>
        <v>0</v>
      </c>
      <c r="L307" s="50"/>
      <c r="M307" s="50">
        <f t="shared" si="174"/>
        <v>3894.355828002364</v>
      </c>
      <c r="N307" s="50"/>
      <c r="O307" s="50">
        <f t="shared" si="175"/>
        <v>233767.71198414764</v>
      </c>
      <c r="P307" s="50">
        <f t="shared" si="176"/>
        <v>177269.4097958786</v>
      </c>
      <c r="Q307" s="50"/>
      <c r="R307" s="50">
        <f t="shared" si="177"/>
        <v>0</v>
      </c>
      <c r="S307" s="50">
        <f t="shared" si="178"/>
        <v>55699.685537789279</v>
      </c>
      <c r="T307" s="50"/>
      <c r="U307" s="50">
        <f t="shared" si="179"/>
        <v>28422.881128226338</v>
      </c>
      <c r="V307" s="50"/>
      <c r="W307" s="50">
        <f t="shared" si="180"/>
        <v>20669.955725955711</v>
      </c>
      <c r="X307" s="50"/>
      <c r="Y307" s="50">
        <f t="shared" si="181"/>
        <v>0</v>
      </c>
      <c r="Z307" s="50"/>
      <c r="AA307" s="50">
        <f t="shared" si="182"/>
        <v>0</v>
      </c>
      <c r="AB307" s="50">
        <f>SUM(H307:AA307)</f>
        <v>519723.99999999988</v>
      </c>
      <c r="AC307" s="31" t="str">
        <f>IF(ABS(AB307-F307)&lt;1,"ok","err")</f>
        <v>ok</v>
      </c>
    </row>
    <row r="308" spans="1:29" x14ac:dyDescent="0.2">
      <c r="A308" s="14" t="s">
        <v>766</v>
      </c>
      <c r="C308" s="14" t="s">
        <v>415</v>
      </c>
      <c r="D308" s="14" t="s">
        <v>70</v>
      </c>
      <c r="F308" s="50">
        <v>0</v>
      </c>
      <c r="H308" s="50">
        <f t="shared" si="171"/>
        <v>0</v>
      </c>
      <c r="I308" s="50">
        <f t="shared" si="172"/>
        <v>0</v>
      </c>
      <c r="J308" s="50"/>
      <c r="K308" s="50">
        <f t="shared" si="173"/>
        <v>0</v>
      </c>
      <c r="L308" s="50"/>
      <c r="M308" s="50">
        <f t="shared" si="174"/>
        <v>0</v>
      </c>
      <c r="N308" s="50"/>
      <c r="O308" s="50">
        <f t="shared" si="175"/>
        <v>0</v>
      </c>
      <c r="P308" s="50">
        <f t="shared" si="176"/>
        <v>0</v>
      </c>
      <c r="Q308" s="50"/>
      <c r="R308" s="50">
        <f t="shared" si="177"/>
        <v>0</v>
      </c>
      <c r="S308" s="50">
        <f t="shared" si="178"/>
        <v>0</v>
      </c>
      <c r="T308" s="50"/>
      <c r="U308" s="50">
        <f t="shared" si="179"/>
        <v>0</v>
      </c>
      <c r="V308" s="50"/>
      <c r="W308" s="50">
        <f t="shared" si="180"/>
        <v>0</v>
      </c>
      <c r="X308" s="50"/>
      <c r="Y308" s="50">
        <f t="shared" si="181"/>
        <v>0</v>
      </c>
      <c r="Z308" s="50"/>
      <c r="AA308" s="50">
        <f t="shared" si="182"/>
        <v>0</v>
      </c>
      <c r="AB308" s="50">
        <f>SUM(H308:AA308)</f>
        <v>0</v>
      </c>
      <c r="AC308" s="31" t="str">
        <f>IF(ABS(AB308-F308)&lt;1,"ok","err")</f>
        <v>ok</v>
      </c>
    </row>
    <row r="309" spans="1:29" x14ac:dyDescent="0.2">
      <c r="A309" s="14" t="s">
        <v>1032</v>
      </c>
      <c r="C309" s="14" t="s">
        <v>416</v>
      </c>
      <c r="D309" s="14" t="s">
        <v>392</v>
      </c>
      <c r="F309" s="50">
        <v>470772</v>
      </c>
      <c r="H309" s="50">
        <f t="shared" si="171"/>
        <v>0</v>
      </c>
      <c r="I309" s="50">
        <f t="shared" si="172"/>
        <v>0</v>
      </c>
      <c r="J309" s="50"/>
      <c r="K309" s="50">
        <f t="shared" si="173"/>
        <v>0</v>
      </c>
      <c r="L309" s="50"/>
      <c r="M309" s="50">
        <f t="shared" si="174"/>
        <v>3527.5524737366932</v>
      </c>
      <c r="N309" s="50"/>
      <c r="O309" s="50">
        <f t="shared" si="175"/>
        <v>211749.49262724287</v>
      </c>
      <c r="P309" s="50">
        <f t="shared" si="176"/>
        <v>160572.67816846128</v>
      </c>
      <c r="Q309" s="50"/>
      <c r="R309" s="50">
        <f t="shared" si="177"/>
        <v>0</v>
      </c>
      <c r="S309" s="50">
        <f t="shared" si="178"/>
        <v>50453.418275846663</v>
      </c>
      <c r="T309" s="50"/>
      <c r="U309" s="50">
        <f t="shared" si="179"/>
        <v>25745.773900180422</v>
      </c>
      <c r="V309" s="50"/>
      <c r="W309" s="50">
        <f t="shared" si="180"/>
        <v>18723.084554532063</v>
      </c>
      <c r="X309" s="50"/>
      <c r="Y309" s="50">
        <f t="shared" si="181"/>
        <v>0</v>
      </c>
      <c r="Z309" s="50"/>
      <c r="AA309" s="50">
        <f t="shared" si="182"/>
        <v>0</v>
      </c>
      <c r="AB309" s="50">
        <f>SUM(H309:AA309)</f>
        <v>470771.99999999994</v>
      </c>
      <c r="AC309" s="31" t="str">
        <f>IF(ABS(AB309-F309)&lt;1,"ok","err")</f>
        <v>ok</v>
      </c>
    </row>
    <row r="310" spans="1:29" x14ac:dyDescent="0.2">
      <c r="A310" s="14" t="s">
        <v>388</v>
      </c>
      <c r="C310" s="14" t="s">
        <v>417</v>
      </c>
      <c r="D310" s="14" t="s">
        <v>16</v>
      </c>
      <c r="F310" s="50">
        <v>0</v>
      </c>
      <c r="H310" s="50">
        <f t="shared" si="171"/>
        <v>0</v>
      </c>
      <c r="I310" s="50">
        <f t="shared" si="172"/>
        <v>0</v>
      </c>
      <c r="J310" s="50"/>
      <c r="K310" s="50">
        <f t="shared" si="173"/>
        <v>0</v>
      </c>
      <c r="L310" s="50"/>
      <c r="M310" s="50">
        <f t="shared" si="174"/>
        <v>0</v>
      </c>
      <c r="N310" s="50"/>
      <c r="O310" s="50">
        <f t="shared" si="175"/>
        <v>0</v>
      </c>
      <c r="P310" s="50">
        <f t="shared" si="176"/>
        <v>0</v>
      </c>
      <c r="Q310" s="50"/>
      <c r="R310" s="50">
        <f t="shared" si="177"/>
        <v>0</v>
      </c>
      <c r="S310" s="50">
        <f t="shared" si="178"/>
        <v>0</v>
      </c>
      <c r="T310" s="50"/>
      <c r="U310" s="50">
        <f t="shared" si="179"/>
        <v>0</v>
      </c>
      <c r="V310" s="50"/>
      <c r="W310" s="50">
        <f t="shared" si="180"/>
        <v>0</v>
      </c>
      <c r="X310" s="50"/>
      <c r="Y310" s="50">
        <f t="shared" si="181"/>
        <v>0</v>
      </c>
      <c r="Z310" s="50"/>
      <c r="AA310" s="50">
        <f t="shared" si="182"/>
        <v>0</v>
      </c>
      <c r="AB310" s="50">
        <f>SUM(H310:AA310)</f>
        <v>0</v>
      </c>
      <c r="AC310" s="31" t="str">
        <f>IF(ABS(AB310-F310)&lt;1,"ok","err")</f>
        <v>ok</v>
      </c>
    </row>
    <row r="311" spans="1:29" x14ac:dyDescent="0.2">
      <c r="F311" s="50"/>
      <c r="AC311" s="31"/>
    </row>
    <row r="312" spans="1:29" x14ac:dyDescent="0.2">
      <c r="A312" s="14" t="s">
        <v>186</v>
      </c>
      <c r="C312" s="14" t="s">
        <v>187</v>
      </c>
      <c r="F312" s="66">
        <f>SUM(F293:F311)</f>
        <v>11935421</v>
      </c>
      <c r="H312" s="50">
        <f>SUM(H293:H311)</f>
        <v>0</v>
      </c>
      <c r="I312" s="50">
        <f>SUM(I293:I311)</f>
        <v>0</v>
      </c>
      <c r="J312" s="50"/>
      <c r="K312" s="50">
        <f>SUM(K293:K311)</f>
        <v>0</v>
      </c>
      <c r="M312" s="50">
        <f>SUM(M293:M311)</f>
        <v>89433.576919695464</v>
      </c>
      <c r="O312" s="50">
        <f>SUM(O293:O311)</f>
        <v>5368457.2171720909</v>
      </c>
      <c r="P312" s="50">
        <f>SUM(P293:P311)</f>
        <v>4070978.1274971622</v>
      </c>
      <c r="R312" s="50">
        <f>SUM(R293:R311)</f>
        <v>0</v>
      </c>
      <c r="S312" s="50">
        <f>SUM(S293:S311)</f>
        <v>1279138.9207755008</v>
      </c>
      <c r="U312" s="50">
        <f>SUM(U293:U311)</f>
        <v>652729.24147881626</v>
      </c>
      <c r="W312" s="50">
        <f>SUM(W293:W311)</f>
        <v>474683.91615673329</v>
      </c>
      <c r="Y312" s="50">
        <f>SUM(Y293:Y311)</f>
        <v>0</v>
      </c>
      <c r="AA312" s="50">
        <f>SUM(AA293:AA311)</f>
        <v>0</v>
      </c>
      <c r="AB312" s="50">
        <f>SUM(H312:AA312)</f>
        <v>11935420.999999998</v>
      </c>
      <c r="AC312" s="31" t="str">
        <f>IF(ABS(AB312-F312)&lt;1,"ok","err")</f>
        <v>ok</v>
      </c>
    </row>
    <row r="313" spans="1:29" x14ac:dyDescent="0.2">
      <c r="D313" s="37"/>
      <c r="F313" s="50"/>
      <c r="AC313" s="31"/>
    </row>
    <row r="314" spans="1:29" x14ac:dyDescent="0.2">
      <c r="A314" s="14" t="s">
        <v>188</v>
      </c>
      <c r="C314" s="14" t="s">
        <v>189</v>
      </c>
      <c r="D314" s="14" t="s">
        <v>84</v>
      </c>
      <c r="F314" s="66">
        <v>0</v>
      </c>
      <c r="H314" s="50">
        <f>IF(VLOOKUP($D314,$C$5:$AA$494,6,)=0,0,((VLOOKUP($D314,$C$5:$AA$494,6,)/VLOOKUP($D314,$C$5:$AA$494,4,))*$F314))</f>
        <v>0</v>
      </c>
      <c r="I314" s="50">
        <f>IF(VLOOKUP($D314,$C$5:$AA$494,7,)=0,0,((VLOOKUP($D314,$C$5:$AA$494,7,)/VLOOKUP($D314,$C$5:$AA$494,4,))*$F314))</f>
        <v>0</v>
      </c>
      <c r="J314" s="50"/>
      <c r="K314" s="50">
        <f>IF(VLOOKUP($D314,$C$5:$AA$494,9,)=0,0,((VLOOKUP($D314,$C$5:$AA$494,9,)/VLOOKUP($D314,$C$5:$AA$494,4,))*$F314))</f>
        <v>0</v>
      </c>
      <c r="L314" s="50"/>
      <c r="M314" s="50">
        <f>IF(VLOOKUP($D314,$C$5:$AA$494,11,)=0,0,((VLOOKUP($D314,$C$5:$AA$494,11,)/VLOOKUP($D314,$C$5:$AA$494,4,))*$F314))</f>
        <v>0</v>
      </c>
      <c r="N314" s="50"/>
      <c r="O314" s="50">
        <f>IF(VLOOKUP($D314,$C$5:$AA$494,13,)=0,0,((VLOOKUP($D314,$C$5:$AA$494,13,)/VLOOKUP($D314,$C$5:$AA$494,4,))*$F314))</f>
        <v>0</v>
      </c>
      <c r="P314" s="50">
        <f>IF(VLOOKUP($D314,$C$5:$AA$494,14,)=0,0,((VLOOKUP($D314,$C$5:$AA$494,14,)/VLOOKUP($D314,$C$5:$AA$494,4,))*$F314))</f>
        <v>0</v>
      </c>
      <c r="Q314" s="50"/>
      <c r="R314" s="50">
        <f>IF(VLOOKUP($D314,$C$5:$AA$494,16,)=0,0,((VLOOKUP($D314,$C$5:$AA$494,16,)/VLOOKUP($D314,$C$5:$AA$494,4,))*$F314))</f>
        <v>0</v>
      </c>
      <c r="S314" s="50">
        <f>IF(VLOOKUP($D314,$C$5:$AA$494,17,)=0,0,((VLOOKUP($D314,$C$5:$AA$494,17,)/VLOOKUP($D314,$C$5:$AA$494,4,))*$F314))</f>
        <v>0</v>
      </c>
      <c r="T314" s="50"/>
      <c r="U314" s="50">
        <f>IF(VLOOKUP($D314,$C$5:$AA$494,19,)=0,0,((VLOOKUP($D314,$C$5:$AA$494,19,)/VLOOKUP($D314,$C$5:$AA$494,4,))*$F314))</f>
        <v>0</v>
      </c>
      <c r="V314" s="50"/>
      <c r="W314" s="50">
        <f>IF(VLOOKUP($D314,$C$5:$AA$494,21,)=0,0,((VLOOKUP($D314,$C$5:$AA$494,21,)/VLOOKUP($D314,$C$5:$AA$494,4,))*$F314))</f>
        <v>0</v>
      </c>
      <c r="X314" s="50"/>
      <c r="Y314" s="50">
        <f>IF(VLOOKUP($D314,$C$5:$AA$494,23,)=0,0,((VLOOKUP($D314,$C$5:$AA$494,23,)/VLOOKUP($D314,$C$5:$AA$494,4,))*$F314))</f>
        <v>0</v>
      </c>
      <c r="Z314" s="50"/>
      <c r="AA314" s="50">
        <f>IF(VLOOKUP($D314,$C$5:$AA$494,25,)=0,0,((VLOOKUP($D314,$C$5:$AA$494,25,)/VLOOKUP($D314,$C$5:$AA$494,4,))*$F314))</f>
        <v>0</v>
      </c>
      <c r="AB314" s="50">
        <f>SUM(H314:AA314)</f>
        <v>0</v>
      </c>
      <c r="AC314" s="31" t="str">
        <f>IF(ABS(AB314-F314)&lt;1,"ok","err")</f>
        <v>ok</v>
      </c>
    </row>
    <row r="315" spans="1:29" x14ac:dyDescent="0.2">
      <c r="AC315" s="31"/>
    </row>
    <row r="316" spans="1:29" x14ac:dyDescent="0.2">
      <c r="A316" s="14" t="s">
        <v>310</v>
      </c>
      <c r="C316" s="14" t="s">
        <v>190</v>
      </c>
      <c r="D316" s="14" t="s">
        <v>84</v>
      </c>
      <c r="F316" s="66">
        <v>110053</v>
      </c>
      <c r="G316" s="66"/>
      <c r="H316" s="50">
        <f>IF(VLOOKUP($D316,$C$5:$AA$494,6,)=0,0,((VLOOKUP($D316,$C$5:$AA$494,6,)/VLOOKUP($D316,$C$5:$AA$494,4,))*$F316))</f>
        <v>0</v>
      </c>
      <c r="I316" s="50">
        <f>IF(VLOOKUP($D316,$C$5:$AA$494,7,)=0,0,((VLOOKUP($D316,$C$5:$AA$494,7,)/VLOOKUP($D316,$C$5:$AA$494,4,))*$F316))</f>
        <v>0</v>
      </c>
      <c r="J316" s="50"/>
      <c r="K316" s="50">
        <f>IF(VLOOKUP($D316,$C$5:$AA$494,9,)=0,0,((VLOOKUP($D316,$C$5:$AA$494,9,)/VLOOKUP($D316,$C$5:$AA$494,4,))*$F316))</f>
        <v>0</v>
      </c>
      <c r="L316" s="50"/>
      <c r="M316" s="50">
        <f>IF(VLOOKUP($D316,$C$5:$AA$494,11,)=0,0,((VLOOKUP($D316,$C$5:$AA$494,11,)/VLOOKUP($D316,$C$5:$AA$494,4,))*$F316))</f>
        <v>1275.7090929540623</v>
      </c>
      <c r="N316" s="50"/>
      <c r="O316" s="50">
        <f>IF(VLOOKUP($D316,$C$5:$AA$494,13,)=0,0,((VLOOKUP($D316,$C$5:$AA$494,13,)/VLOOKUP($D316,$C$5:$AA$494,4,))*$F316))</f>
        <v>47441.923122506269</v>
      </c>
      <c r="P316" s="50">
        <f>IF(VLOOKUP($D316,$C$5:$AA$494,14,)=0,0,((VLOOKUP($D316,$C$5:$AA$494,14,)/VLOOKUP($D316,$C$5:$AA$494,4,))*$F316))</f>
        <v>36697.712876725811</v>
      </c>
      <c r="Q316" s="50"/>
      <c r="R316" s="50">
        <f>IF(VLOOKUP($D316,$C$5:$AA$494,16,)=0,0,((VLOOKUP($D316,$C$5:$AA$494,16,)/VLOOKUP($D316,$C$5:$AA$494,4,))*$F316))</f>
        <v>0</v>
      </c>
      <c r="S316" s="50">
        <f>IF(VLOOKUP($D316,$C$5:$AA$494,17,)=0,0,((VLOOKUP($D316,$C$5:$AA$494,17,)/VLOOKUP($D316,$C$5:$AA$494,4,))*$F316))</f>
        <v>11297.87687716395</v>
      </c>
      <c r="T316" s="50"/>
      <c r="U316" s="50">
        <f>IF(VLOOKUP($D316,$C$5:$AA$494,19,)=0,0,((VLOOKUP($D316,$C$5:$AA$494,19,)/VLOOKUP($D316,$C$5:$AA$494,4,))*$F316))</f>
        <v>6521.5187531420415</v>
      </c>
      <c r="V316" s="50"/>
      <c r="W316" s="50">
        <f>IF(VLOOKUP($D316,$C$5:$AA$494,21,)=0,0,((VLOOKUP($D316,$C$5:$AA$494,21,)/VLOOKUP($D316,$C$5:$AA$494,4,))*$F316))</f>
        <v>6818.2592775078474</v>
      </c>
      <c r="X316" s="50"/>
      <c r="Y316" s="50">
        <f>IF(VLOOKUP($D316,$C$5:$AA$494,23,)=0,0,((VLOOKUP($D316,$C$5:$AA$494,23,)/VLOOKUP($D316,$C$5:$AA$494,4,))*$F316))</f>
        <v>0</v>
      </c>
      <c r="Z316" s="50"/>
      <c r="AA316" s="50">
        <f>IF(VLOOKUP($D316,$C$5:$AA$494,25,)=0,0,((VLOOKUP($D316,$C$5:$AA$494,25,)/VLOOKUP($D316,$C$5:$AA$494,4,))*$F316))</f>
        <v>0</v>
      </c>
      <c r="AB316" s="50">
        <f>SUM(H316:AA316)</f>
        <v>110052.99999999999</v>
      </c>
      <c r="AC316" s="31" t="str">
        <f>IF(ABS(AB316-F316)&lt;1,"ok","err")</f>
        <v>ok</v>
      </c>
    </row>
    <row r="317" spans="1:29" x14ac:dyDescent="0.2">
      <c r="Q317" s="14"/>
    </row>
    <row r="318" spans="1:29" x14ac:dyDescent="0.2">
      <c r="A318" s="14" t="s">
        <v>191</v>
      </c>
      <c r="C318" s="14" t="s">
        <v>192</v>
      </c>
      <c r="D318" s="14" t="s">
        <v>84</v>
      </c>
      <c r="F318" s="66">
        <v>3902135</v>
      </c>
      <c r="H318" s="50">
        <f>IF(VLOOKUP($D318,$C$5:$AA$494,6,)=0,0,((VLOOKUP($D318,$C$5:$AA$494,6,)/VLOOKUP($D318,$C$5:$AA$494,4,))*$F318))</f>
        <v>0</v>
      </c>
      <c r="I318" s="50">
        <f>IF(VLOOKUP($D318,$C$5:$AA$494,7,)=0,0,((VLOOKUP($D318,$C$5:$AA$494,7,)/VLOOKUP($D318,$C$5:$AA$494,4,))*$F318))</f>
        <v>0</v>
      </c>
      <c r="J318" s="50"/>
      <c r="K318" s="50">
        <f>IF(VLOOKUP($D318,$C$5:$AA$494,9,)=0,0,((VLOOKUP($D318,$C$5:$AA$494,9,)/VLOOKUP($D318,$C$5:$AA$494,4,))*$F318))</f>
        <v>0</v>
      </c>
      <c r="L318" s="50"/>
      <c r="M318" s="50">
        <f>IF(VLOOKUP($D318,$C$5:$AA$494,11,)=0,0,((VLOOKUP($D318,$C$5:$AA$494,11,)/VLOOKUP($D318,$C$5:$AA$494,4,))*$F318))</f>
        <v>45232.652462307255</v>
      </c>
      <c r="N318" s="50"/>
      <c r="O318" s="50">
        <f>IF(VLOOKUP($D318,$C$5:$AA$494,13,)=0,0,((VLOOKUP($D318,$C$5:$AA$494,13,)/VLOOKUP($D318,$C$5:$AA$494,4,))*$F318))</f>
        <v>1682142.1377303754</v>
      </c>
      <c r="P318" s="50">
        <f>IF(VLOOKUP($D318,$C$5:$AA$494,14,)=0,0,((VLOOKUP($D318,$C$5:$AA$494,14,)/VLOOKUP($D318,$C$5:$AA$494,4,))*$F318))</f>
        <v>1301186.0634078351</v>
      </c>
      <c r="Q318" s="50"/>
      <c r="R318" s="50">
        <f>IF(VLOOKUP($D318,$C$5:$AA$494,16,)=0,0,((VLOOKUP($D318,$C$5:$AA$494,16,)/VLOOKUP($D318,$C$5:$AA$494,4,))*$F318))</f>
        <v>0</v>
      </c>
      <c r="S318" s="50">
        <f>IF(VLOOKUP($D318,$C$5:$AA$494,17,)=0,0,((VLOOKUP($D318,$C$5:$AA$494,17,)/VLOOKUP($D318,$C$5:$AA$494,4,))*$F318))</f>
        <v>400587.36052694742</v>
      </c>
      <c r="T318" s="50"/>
      <c r="U318" s="50">
        <f>IF(VLOOKUP($D318,$C$5:$AA$494,19,)=0,0,((VLOOKUP($D318,$C$5:$AA$494,19,)/VLOOKUP($D318,$C$5:$AA$494,4,))*$F318))</f>
        <v>231232.6477223876</v>
      </c>
      <c r="V318" s="50"/>
      <c r="W318" s="50">
        <f>IF(VLOOKUP($D318,$C$5:$AA$494,21,)=0,0,((VLOOKUP($D318,$C$5:$AA$494,21,)/VLOOKUP($D318,$C$5:$AA$494,4,))*$F318))</f>
        <v>241754.13815014658</v>
      </c>
      <c r="X318" s="50"/>
      <c r="Y318" s="50">
        <f>IF(VLOOKUP($D318,$C$5:$AA$494,23,)=0,0,((VLOOKUP($D318,$C$5:$AA$494,23,)/VLOOKUP($D318,$C$5:$AA$494,4,))*$F318))</f>
        <v>0</v>
      </c>
      <c r="Z318" s="50"/>
      <c r="AA318" s="50">
        <f>IF(VLOOKUP($D318,$C$5:$AA$494,25,)=0,0,((VLOOKUP($D318,$C$5:$AA$494,25,)/VLOOKUP($D318,$C$5:$AA$494,4,))*$F318))</f>
        <v>0</v>
      </c>
      <c r="AB318" s="50">
        <f>SUM(H318:AA318)</f>
        <v>3902134.9999999995</v>
      </c>
      <c r="AC318" s="31" t="str">
        <f>IF(ABS(AB318-F318)&lt;1,"ok","err")</f>
        <v>ok</v>
      </c>
    </row>
    <row r="319" spans="1:29" x14ac:dyDescent="0.2">
      <c r="AC319" s="31"/>
    </row>
    <row r="320" spans="1:29" x14ac:dyDescent="0.2">
      <c r="A320" s="14" t="s">
        <v>193</v>
      </c>
      <c r="C320" s="14" t="s">
        <v>194</v>
      </c>
      <c r="D320" s="14" t="s">
        <v>84</v>
      </c>
      <c r="F320" s="66">
        <v>71879</v>
      </c>
      <c r="H320" s="50">
        <f>IF(VLOOKUP($D320,$C$5:$AA$494,6,)=0,0,((VLOOKUP($D320,$C$5:$AA$494,6,)/VLOOKUP($D320,$C$5:$AA$494,4,))*$F320))</f>
        <v>0</v>
      </c>
      <c r="I320" s="50">
        <f>IF(VLOOKUP($D320,$C$5:$AA$494,7,)=0,0,((VLOOKUP($D320,$C$5:$AA$494,7,)/VLOOKUP($D320,$C$5:$AA$494,4,))*$F320))</f>
        <v>0</v>
      </c>
      <c r="J320" s="50"/>
      <c r="K320" s="50">
        <f>IF(VLOOKUP($D320,$C$5:$AA$494,9,)=0,0,((VLOOKUP($D320,$C$5:$AA$494,9,)/VLOOKUP($D320,$C$5:$AA$494,4,))*$F320))</f>
        <v>0</v>
      </c>
      <c r="L320" s="50"/>
      <c r="M320" s="50">
        <f>IF(VLOOKUP($D320,$C$5:$AA$494,11,)=0,0,((VLOOKUP($D320,$C$5:$AA$494,11,)/VLOOKUP($D320,$C$5:$AA$494,4,))*$F320))</f>
        <v>833.20485486488371</v>
      </c>
      <c r="N320" s="50"/>
      <c r="O320" s="50">
        <f>IF(VLOOKUP($D320,$C$5:$AA$494,13,)=0,0,((VLOOKUP($D320,$C$5:$AA$494,13,)/VLOOKUP($D320,$C$5:$AA$494,4,))*$F320))</f>
        <v>30985.779507352167</v>
      </c>
      <c r="P320" s="50">
        <f>IF(VLOOKUP($D320,$C$5:$AA$494,14,)=0,0,((VLOOKUP($D320,$C$5:$AA$494,14,)/VLOOKUP($D320,$C$5:$AA$494,4,))*$F320))</f>
        <v>23968.405258068153</v>
      </c>
      <c r="Q320" s="50"/>
      <c r="R320" s="50">
        <f>IF(VLOOKUP($D320,$C$5:$AA$494,16,)=0,0,((VLOOKUP($D320,$C$5:$AA$494,16,)/VLOOKUP($D320,$C$5:$AA$494,4,))*$F320))</f>
        <v>0</v>
      </c>
      <c r="S320" s="50">
        <f>IF(VLOOKUP($D320,$C$5:$AA$494,17,)=0,0,((VLOOKUP($D320,$C$5:$AA$494,17,)/VLOOKUP($D320,$C$5:$AA$494,4,))*$F320))</f>
        <v>7378.9909593892717</v>
      </c>
      <c r="T320" s="50"/>
      <c r="U320" s="50">
        <f>IF(VLOOKUP($D320,$C$5:$AA$494,19,)=0,0,((VLOOKUP($D320,$C$5:$AA$494,19,)/VLOOKUP($D320,$C$5:$AA$494,4,))*$F320))</f>
        <v>4259.4045274285736</v>
      </c>
      <c r="V320" s="50"/>
      <c r="W320" s="50">
        <f>IF(VLOOKUP($D320,$C$5:$AA$494,21,)=0,0,((VLOOKUP($D320,$C$5:$AA$494,21,)/VLOOKUP($D320,$C$5:$AA$494,4,))*$F320))</f>
        <v>4453.2148928969364</v>
      </c>
      <c r="X320" s="50"/>
      <c r="Y320" s="50">
        <f>IF(VLOOKUP($D320,$C$5:$AA$494,23,)=0,0,((VLOOKUP($D320,$C$5:$AA$494,23,)/VLOOKUP($D320,$C$5:$AA$494,4,))*$F320))</f>
        <v>0</v>
      </c>
      <c r="Z320" s="50"/>
      <c r="AA320" s="50">
        <f>IF(VLOOKUP($D320,$C$5:$AA$494,25,)=0,0,((VLOOKUP($D320,$C$5:$AA$494,25,)/VLOOKUP($D320,$C$5:$AA$494,4,))*$F320))</f>
        <v>0</v>
      </c>
      <c r="AB320" s="50">
        <f>SUM(H320:AA320)</f>
        <v>71878.999999999985</v>
      </c>
      <c r="AC320" s="31" t="str">
        <f>IF(ABS(AB320-F320)&lt;1,"ok","err")</f>
        <v>ok</v>
      </c>
    </row>
    <row r="321" spans="1:29" x14ac:dyDescent="0.2"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31"/>
    </row>
    <row r="322" spans="1:29" x14ac:dyDescent="0.2">
      <c r="A322" s="14" t="s">
        <v>858</v>
      </c>
      <c r="C322" s="14" t="s">
        <v>859</v>
      </c>
      <c r="D322" s="14" t="s">
        <v>84</v>
      </c>
      <c r="F322" s="66">
        <v>0</v>
      </c>
      <c r="H322" s="50">
        <f>IF(VLOOKUP($D322,$C$5:$AA$494,6,)=0,0,((VLOOKUP($D322,$C$5:$AA$494,6,)/VLOOKUP($D322,$C$5:$AA$494,4,))*$F322))</f>
        <v>0</v>
      </c>
      <c r="I322" s="50">
        <f>IF(VLOOKUP($D322,$C$5:$AA$494,7,)=0,0,((VLOOKUP($D322,$C$5:$AA$494,7,)/VLOOKUP($D322,$C$5:$AA$494,4,))*$F322))</f>
        <v>0</v>
      </c>
      <c r="J322" s="50"/>
      <c r="K322" s="50">
        <f>IF(VLOOKUP($D322,$C$5:$AA$494,9,)=0,0,((VLOOKUP($D322,$C$5:$AA$494,9,)/VLOOKUP($D322,$C$5:$AA$494,4,))*$F322))</f>
        <v>0</v>
      </c>
      <c r="L322" s="50"/>
      <c r="M322" s="50">
        <f>IF(VLOOKUP($D322,$C$5:$AA$494,11,)=0,0,((VLOOKUP($D322,$C$5:$AA$494,11,)/VLOOKUP($D322,$C$5:$AA$494,4,))*$F322))</f>
        <v>0</v>
      </c>
      <c r="N322" s="50"/>
      <c r="O322" s="50">
        <f>IF(VLOOKUP($D322,$C$5:$AA$494,13,)=0,0,((VLOOKUP($D322,$C$5:$AA$494,13,)/VLOOKUP($D322,$C$5:$AA$494,4,))*$F322))</f>
        <v>0</v>
      </c>
      <c r="P322" s="50">
        <f>IF(VLOOKUP($D322,$C$5:$AA$494,14,)=0,0,((VLOOKUP($D322,$C$5:$AA$494,14,)/VLOOKUP($D322,$C$5:$AA$494,4,))*$F322))</f>
        <v>0</v>
      </c>
      <c r="Q322" s="50"/>
      <c r="R322" s="50">
        <f>IF(VLOOKUP($D322,$C$5:$AA$494,16,)=0,0,((VLOOKUP($D322,$C$5:$AA$494,16,)/VLOOKUP($D322,$C$5:$AA$494,4,))*$F322))</f>
        <v>0</v>
      </c>
      <c r="S322" s="50">
        <f>IF(VLOOKUP($D322,$C$5:$AA$494,17,)=0,0,((VLOOKUP($D322,$C$5:$AA$494,17,)/VLOOKUP($D322,$C$5:$AA$494,4,))*$F322))</f>
        <v>0</v>
      </c>
      <c r="T322" s="50"/>
      <c r="U322" s="50">
        <f>IF(VLOOKUP($D322,$C$5:$AA$494,19,)=0,0,((VLOOKUP($D322,$C$5:$AA$494,19,)/VLOOKUP($D322,$C$5:$AA$494,4,))*$F322))</f>
        <v>0</v>
      </c>
      <c r="V322" s="50"/>
      <c r="W322" s="50">
        <f>IF(VLOOKUP($D322,$C$5:$AA$494,21,)=0,0,((VLOOKUP($D322,$C$5:$AA$494,21,)/VLOOKUP($D322,$C$5:$AA$494,4,))*$F322))</f>
        <v>0</v>
      </c>
      <c r="X322" s="50"/>
      <c r="Y322" s="50">
        <f>IF(VLOOKUP($D322,$C$5:$AA$494,23,)=0,0,((VLOOKUP($D322,$C$5:$AA$494,23,)/VLOOKUP($D322,$C$5:$AA$494,4,))*$F322))</f>
        <v>0</v>
      </c>
      <c r="Z322" s="50"/>
      <c r="AA322" s="50">
        <f>IF(VLOOKUP($D322,$C$5:$AA$494,25,)=0,0,((VLOOKUP($D322,$C$5:$AA$494,25,)/VLOOKUP($D322,$C$5:$AA$494,4,))*$F322))</f>
        <v>0</v>
      </c>
      <c r="AB322" s="50">
        <f>SUM(H322:AA322)</f>
        <v>0</v>
      </c>
      <c r="AC322" s="31" t="str">
        <f>IF(ABS(AB322-F322)&lt;1,"ok","err")</f>
        <v>ok</v>
      </c>
    </row>
    <row r="323" spans="1:29" x14ac:dyDescent="0.2">
      <c r="AC323" s="31"/>
    </row>
    <row r="324" spans="1:29" x14ac:dyDescent="0.2">
      <c r="A324" s="14" t="s">
        <v>195</v>
      </c>
      <c r="C324" s="14" t="s">
        <v>196</v>
      </c>
      <c r="D324" s="14" t="s">
        <v>84</v>
      </c>
      <c r="F324" s="66">
        <v>141356</v>
      </c>
      <c r="H324" s="50">
        <f>IF(VLOOKUP($D324,$C$5:$AA$494,6,)=0,0,((VLOOKUP($D324,$C$5:$AA$494,6,)/VLOOKUP($D324,$C$5:$AA$494,4,))*$F324))</f>
        <v>0</v>
      </c>
      <c r="I324" s="50">
        <f>IF(VLOOKUP($D324,$C$5:$AA$494,7,)=0,0,((VLOOKUP($D324,$C$5:$AA$494,7,)/VLOOKUP($D324,$C$5:$AA$494,4,))*$F324))</f>
        <v>0</v>
      </c>
      <c r="J324" s="50"/>
      <c r="K324" s="50">
        <f>IF(VLOOKUP($D324,$C$5:$AA$494,9,)=0,0,((VLOOKUP($D324,$C$5:$AA$494,9,)/VLOOKUP($D324,$C$5:$AA$494,4,))*$F324))</f>
        <v>0</v>
      </c>
      <c r="L324" s="50"/>
      <c r="M324" s="50">
        <f>IF(VLOOKUP($D324,$C$5:$AA$494,11,)=0,0,((VLOOKUP($D324,$C$5:$AA$494,11,)/VLOOKUP($D324,$C$5:$AA$494,4,))*$F324))</f>
        <v>1638.5662775536737</v>
      </c>
      <c r="N324" s="50"/>
      <c r="O324" s="50">
        <f>IF(VLOOKUP($D324,$C$5:$AA$494,13,)=0,0,((VLOOKUP($D324,$C$5:$AA$494,13,)/VLOOKUP($D324,$C$5:$AA$494,4,))*$F324))</f>
        <v>60936.098833334814</v>
      </c>
      <c r="P324" s="50">
        <f>IF(VLOOKUP($D324,$C$5:$AA$494,14,)=0,0,((VLOOKUP($D324,$C$5:$AA$494,14,)/VLOOKUP($D324,$C$5:$AA$494,4,))*$F324))</f>
        <v>47135.851829595318</v>
      </c>
      <c r="Q324" s="50"/>
      <c r="R324" s="50">
        <f>IF(VLOOKUP($D324,$C$5:$AA$494,16,)=0,0,((VLOOKUP($D324,$C$5:$AA$494,16,)/VLOOKUP($D324,$C$5:$AA$494,4,))*$F324))</f>
        <v>0</v>
      </c>
      <c r="S324" s="50">
        <f>IF(VLOOKUP($D324,$C$5:$AA$494,17,)=0,0,((VLOOKUP($D324,$C$5:$AA$494,17,)/VLOOKUP($D324,$C$5:$AA$494,4,))*$F324))</f>
        <v>14511.396180462025</v>
      </c>
      <c r="T324" s="50"/>
      <c r="U324" s="50">
        <f>IF(VLOOKUP($D324,$C$5:$AA$494,19,)=0,0,((VLOOKUP($D324,$C$5:$AA$494,19,)/VLOOKUP($D324,$C$5:$AA$494,4,))*$F324))</f>
        <v>8376.4713807815006</v>
      </c>
      <c r="V324" s="50"/>
      <c r="W324" s="50">
        <f>IF(VLOOKUP($D324,$C$5:$AA$494,21,)=0,0,((VLOOKUP($D324,$C$5:$AA$494,21,)/VLOOKUP($D324,$C$5:$AA$494,4,))*$F324))</f>
        <v>8757.6154982726439</v>
      </c>
      <c r="X324" s="50"/>
      <c r="Y324" s="50">
        <f>IF(VLOOKUP($D324,$C$5:$AA$494,23,)=0,0,((VLOOKUP($D324,$C$5:$AA$494,23,)/VLOOKUP($D324,$C$5:$AA$494,4,))*$F324))</f>
        <v>0</v>
      </c>
      <c r="Z324" s="50"/>
      <c r="AA324" s="50">
        <f>IF(VLOOKUP($D324,$C$5:$AA$494,25,)=0,0,((VLOOKUP($D324,$C$5:$AA$494,25,)/VLOOKUP($D324,$C$5:$AA$494,4,))*$F324))</f>
        <v>0</v>
      </c>
      <c r="AB324" s="50">
        <f>SUM(H324:AA324)</f>
        <v>141355.99999999997</v>
      </c>
      <c r="AC324" s="31" t="str">
        <f>IF(ABS(AB324-F324)&lt;1,"ok","err")</f>
        <v>ok</v>
      </c>
    </row>
    <row r="325" spans="1:29" x14ac:dyDescent="0.2">
      <c r="AB325" s="50"/>
      <c r="AC325" s="31"/>
    </row>
    <row r="326" spans="1:29" x14ac:dyDescent="0.2">
      <c r="A326" s="13" t="s">
        <v>197</v>
      </c>
      <c r="C326" s="14" t="s">
        <v>198</v>
      </c>
      <c r="F326" s="95">
        <f>SUM(F312:F324)</f>
        <v>16160844</v>
      </c>
      <c r="G326" s="95"/>
      <c r="H326" s="95">
        <f>SUM(H312:H324)</f>
        <v>0</v>
      </c>
      <c r="I326" s="95">
        <f>SUM(I312:I324)</f>
        <v>0</v>
      </c>
      <c r="J326" s="95"/>
      <c r="K326" s="95">
        <f>SUM(K312:K324)</f>
        <v>0</v>
      </c>
      <c r="L326" s="95"/>
      <c r="M326" s="95">
        <f>SUM(M312:M324)</f>
        <v>138413.70960737535</v>
      </c>
      <c r="N326" s="95"/>
      <c r="O326" s="95">
        <f>SUM(O312:O324)</f>
        <v>7189963.15636566</v>
      </c>
      <c r="P326" s="95">
        <f>SUM(P312:P324)</f>
        <v>5479966.160869386</v>
      </c>
      <c r="Q326" s="95"/>
      <c r="R326" s="95">
        <f>SUM(R312:R324)</f>
        <v>0</v>
      </c>
      <c r="S326" s="95">
        <f>SUM(S312:S324)</f>
        <v>1712914.5453194638</v>
      </c>
      <c r="T326" s="95"/>
      <c r="U326" s="95">
        <f>SUM(U312:U324)</f>
        <v>903119.28386255598</v>
      </c>
      <c r="V326" s="95"/>
      <c r="W326" s="95">
        <f>SUM(W312:W324)</f>
        <v>736467.14397555729</v>
      </c>
      <c r="X326" s="95"/>
      <c r="Y326" s="95">
        <f>SUM(Y312:Y324)</f>
        <v>0</v>
      </c>
      <c r="Z326" s="95"/>
      <c r="AA326" s="95">
        <f>SUM(AA312:AA324)</f>
        <v>0</v>
      </c>
      <c r="AB326" s="50">
        <f>SUM(H326:AA326)</f>
        <v>16160844</v>
      </c>
      <c r="AC326" s="31" t="str">
        <f>IF(ABS(AB326-F326)&lt;1,"ok","err")</f>
        <v>ok</v>
      </c>
    </row>
    <row r="327" spans="1:29" x14ac:dyDescent="0.2">
      <c r="AC327" s="31"/>
    </row>
    <row r="328" spans="1:29" x14ac:dyDescent="0.2">
      <c r="A328" s="13" t="s">
        <v>389</v>
      </c>
      <c r="F328" s="95">
        <f>F285+F326</f>
        <v>123338023</v>
      </c>
      <c r="G328" s="95"/>
      <c r="H328" s="95">
        <f>H285+H326</f>
        <v>22680439.375992071</v>
      </c>
      <c r="I328" s="95">
        <f>I285+I326</f>
        <v>59046070.624007918</v>
      </c>
      <c r="J328" s="95"/>
      <c r="K328" s="95">
        <f>K285+K326</f>
        <v>0</v>
      </c>
      <c r="L328" s="95"/>
      <c r="M328" s="95">
        <f>M285+M326</f>
        <v>329175.21864022315</v>
      </c>
      <c r="N328" s="95"/>
      <c r="O328" s="95">
        <f t="shared" ref="O328:AA328" si="185">O285+O326</f>
        <v>17621593.109714158</v>
      </c>
      <c r="P328" s="95">
        <f t="shared" si="185"/>
        <v>12533996.752995117</v>
      </c>
      <c r="Q328" s="95"/>
      <c r="R328" s="95">
        <f t="shared" si="185"/>
        <v>0</v>
      </c>
      <c r="S328" s="95">
        <f t="shared" si="185"/>
        <v>2315309.6974995905</v>
      </c>
      <c r="T328" s="95"/>
      <c r="U328" s="95">
        <f t="shared" si="185"/>
        <v>3232249.1720577567</v>
      </c>
      <c r="V328" s="95"/>
      <c r="W328" s="95">
        <f t="shared" si="185"/>
        <v>862266.07712837122</v>
      </c>
      <c r="X328" s="95"/>
      <c r="Y328" s="95">
        <f t="shared" si="185"/>
        <v>4647943.7601012383</v>
      </c>
      <c r="Z328" s="95"/>
      <c r="AA328" s="95">
        <f t="shared" si="185"/>
        <v>68979.211863543314</v>
      </c>
      <c r="AB328" s="50">
        <f>SUM(H328:AA328)</f>
        <v>123338022.99999999</v>
      </c>
      <c r="AC328" s="31" t="str">
        <f>IF(ABS(AB328-F328)&lt;1,"ok","err")</f>
        <v>ok</v>
      </c>
    </row>
    <row r="329" spans="1:29" x14ac:dyDescent="0.2">
      <c r="F329" s="95"/>
      <c r="AC329" s="31"/>
    </row>
    <row r="330" spans="1:29" x14ac:dyDescent="0.2">
      <c r="AC330" s="31"/>
    </row>
    <row r="331" spans="1:29" x14ac:dyDescent="0.2">
      <c r="AC331" s="31"/>
    </row>
    <row r="332" spans="1:29" x14ac:dyDescent="0.2">
      <c r="A332" s="29" t="s">
        <v>183</v>
      </c>
      <c r="Q332" s="14"/>
      <c r="AC332" s="31"/>
    </row>
    <row r="333" spans="1:29" x14ac:dyDescent="0.2">
      <c r="A333" s="29"/>
      <c r="Q333" s="14"/>
      <c r="AC333" s="31"/>
    </row>
    <row r="334" spans="1:29" x14ac:dyDescent="0.2">
      <c r="A334" s="13" t="s">
        <v>789</v>
      </c>
      <c r="Q334" s="14"/>
      <c r="AC334" s="31"/>
    </row>
    <row r="335" spans="1:29" x14ac:dyDescent="0.2">
      <c r="A335" s="14">
        <v>500</v>
      </c>
      <c r="B335" s="14" t="s">
        <v>794</v>
      </c>
      <c r="C335" s="14" t="s">
        <v>841</v>
      </c>
      <c r="D335" s="14" t="s">
        <v>783</v>
      </c>
      <c r="F335" s="66">
        <v>0</v>
      </c>
      <c r="H335" s="50">
        <f t="shared" ref="H335:H343" si="186">IF(VLOOKUP($D335,$C$5:$AA$494,6,)=0,0,((VLOOKUP($D335,$C$5:$AA$494,6,)/VLOOKUP($D335,$C$5:$AA$494,4,))*$F335))</f>
        <v>0</v>
      </c>
      <c r="I335" s="50">
        <f t="shared" ref="I335:I343" si="187">IF(VLOOKUP($D335,$C$5:$AA$494,7,)=0,0,((VLOOKUP($D335,$C$5:$AA$494,7,)/VLOOKUP($D335,$C$5:$AA$494,4,))*$F335))</f>
        <v>0</v>
      </c>
      <c r="J335" s="50"/>
      <c r="K335" s="50">
        <f t="shared" ref="K335:K343" si="188">IF(VLOOKUP($D335,$C$5:$AA$494,9,)=0,0,((VLOOKUP($D335,$C$5:$AA$494,9,)/VLOOKUP($D335,$C$5:$AA$494,4,))*$F335))</f>
        <v>0</v>
      </c>
      <c r="L335" s="50"/>
      <c r="M335" s="50">
        <f t="shared" ref="M335:M343" si="189">IF(VLOOKUP($D335,$C$5:$AA$494,11,)=0,0,((VLOOKUP($D335,$C$5:$AA$494,11,)/VLOOKUP($D335,$C$5:$AA$494,4,))*$F335))</f>
        <v>0</v>
      </c>
      <c r="N335" s="50"/>
      <c r="O335" s="50">
        <f t="shared" ref="O335:O343" si="190">IF(VLOOKUP($D335,$C$5:$AA$494,13,)=0,0,((VLOOKUP($D335,$C$5:$AA$494,13,)/VLOOKUP($D335,$C$5:$AA$494,4,))*$F335))</f>
        <v>0</v>
      </c>
      <c r="P335" s="50">
        <f t="shared" ref="P335:P343" si="191">IF(VLOOKUP($D335,$C$5:$AA$494,14,)=0,0,((VLOOKUP($D335,$C$5:$AA$494,14,)/VLOOKUP($D335,$C$5:$AA$494,4,))*$F335))</f>
        <v>0</v>
      </c>
      <c r="Q335" s="50"/>
      <c r="R335" s="50">
        <f t="shared" ref="R335:R343" si="192">IF(VLOOKUP($D335,$C$5:$AA$494,16,)=0,0,((VLOOKUP($D335,$C$5:$AA$494,16,)/VLOOKUP($D335,$C$5:$AA$494,4,))*$F335))</f>
        <v>0</v>
      </c>
      <c r="S335" s="50">
        <f t="shared" ref="S335:S343" si="193">IF(VLOOKUP($D335,$C$5:$AA$494,17,)=0,0,((VLOOKUP($D335,$C$5:$AA$494,17,)/VLOOKUP($D335,$C$5:$AA$494,4,))*$F335))</f>
        <v>0</v>
      </c>
      <c r="T335" s="50"/>
      <c r="U335" s="50">
        <f t="shared" ref="U335:U343" si="194">IF(VLOOKUP($D335,$C$5:$AA$494,19,)=0,0,((VLOOKUP($D335,$C$5:$AA$494,19,)/VLOOKUP($D335,$C$5:$AA$494,4,))*$F335))</f>
        <v>0</v>
      </c>
      <c r="V335" s="50"/>
      <c r="W335" s="50">
        <f t="shared" ref="W335:W343" si="195">IF(VLOOKUP($D335,$C$5:$AA$494,21,)=0,0,((VLOOKUP($D335,$C$5:$AA$494,21,)/VLOOKUP($D335,$C$5:$AA$494,4,))*$F335))</f>
        <v>0</v>
      </c>
      <c r="X335" s="50"/>
      <c r="Y335" s="50">
        <f t="shared" ref="Y335:Y343" si="196">IF(VLOOKUP($D335,$C$5:$AA$494,23,)=0,0,((VLOOKUP($D335,$C$5:$AA$494,23,)/VLOOKUP($D335,$C$5:$AA$494,4,))*$F335))</f>
        <v>0</v>
      </c>
      <c r="Z335" s="50"/>
      <c r="AA335" s="50">
        <f t="shared" ref="AA335:AA343" si="197">IF(VLOOKUP($D335,$C$5:$AA$494,25,)=0,0,((VLOOKUP($D335,$C$5:$AA$494,25,)/VLOOKUP($D335,$C$5:$AA$494,4,))*$F335))</f>
        <v>0</v>
      </c>
      <c r="AB335" s="50">
        <f t="shared" ref="AB335:AB343" si="198">SUM(H335:AA335)</f>
        <v>0</v>
      </c>
      <c r="AC335" s="31" t="str">
        <f t="shared" ref="AC335:AC343" si="199">IF(ABS(AB335-F335)&lt;1,"ok","err")</f>
        <v>ok</v>
      </c>
    </row>
    <row r="336" spans="1:29" x14ac:dyDescent="0.2">
      <c r="A336" s="14">
        <v>501</v>
      </c>
      <c r="B336" s="14" t="s">
        <v>795</v>
      </c>
      <c r="C336" s="14" t="s">
        <v>842</v>
      </c>
      <c r="D336" s="14" t="s">
        <v>787</v>
      </c>
      <c r="F336" s="50">
        <v>0</v>
      </c>
      <c r="H336" s="50">
        <f t="shared" si="186"/>
        <v>0</v>
      </c>
      <c r="I336" s="50">
        <f t="shared" si="187"/>
        <v>0</v>
      </c>
      <c r="J336" s="50"/>
      <c r="K336" s="50">
        <f t="shared" si="188"/>
        <v>0</v>
      </c>
      <c r="L336" s="50"/>
      <c r="M336" s="50">
        <f t="shared" si="189"/>
        <v>0</v>
      </c>
      <c r="N336" s="50"/>
      <c r="O336" s="50">
        <f t="shared" si="190"/>
        <v>0</v>
      </c>
      <c r="P336" s="50">
        <f t="shared" si="191"/>
        <v>0</v>
      </c>
      <c r="Q336" s="50"/>
      <c r="R336" s="50">
        <f t="shared" si="192"/>
        <v>0</v>
      </c>
      <c r="S336" s="50">
        <f t="shared" si="193"/>
        <v>0</v>
      </c>
      <c r="T336" s="50"/>
      <c r="U336" s="50">
        <f t="shared" si="194"/>
        <v>0</v>
      </c>
      <c r="V336" s="50"/>
      <c r="W336" s="50">
        <f t="shared" si="195"/>
        <v>0</v>
      </c>
      <c r="X336" s="50"/>
      <c r="Y336" s="50">
        <f t="shared" si="196"/>
        <v>0</v>
      </c>
      <c r="Z336" s="50"/>
      <c r="AA336" s="50">
        <f t="shared" si="197"/>
        <v>0</v>
      </c>
      <c r="AB336" s="50">
        <f t="shared" si="198"/>
        <v>0</v>
      </c>
      <c r="AC336" s="31" t="str">
        <f t="shared" si="199"/>
        <v>ok</v>
      </c>
    </row>
    <row r="337" spans="1:29" x14ac:dyDescent="0.2">
      <c r="A337" s="14">
        <v>502</v>
      </c>
      <c r="B337" s="14" t="s">
        <v>796</v>
      </c>
      <c r="C337" s="14" t="s">
        <v>843</v>
      </c>
      <c r="D337" s="14" t="s">
        <v>552</v>
      </c>
      <c r="F337" s="50">
        <v>0</v>
      </c>
      <c r="H337" s="50">
        <f t="shared" si="186"/>
        <v>0</v>
      </c>
      <c r="I337" s="50">
        <f t="shared" si="187"/>
        <v>0</v>
      </c>
      <c r="J337" s="50"/>
      <c r="K337" s="50">
        <f t="shared" si="188"/>
        <v>0</v>
      </c>
      <c r="L337" s="50"/>
      <c r="M337" s="50">
        <f t="shared" si="189"/>
        <v>0</v>
      </c>
      <c r="N337" s="50"/>
      <c r="O337" s="50">
        <f t="shared" si="190"/>
        <v>0</v>
      </c>
      <c r="P337" s="50">
        <f t="shared" si="191"/>
        <v>0</v>
      </c>
      <c r="Q337" s="50"/>
      <c r="R337" s="50">
        <f t="shared" si="192"/>
        <v>0</v>
      </c>
      <c r="S337" s="50">
        <f t="shared" si="193"/>
        <v>0</v>
      </c>
      <c r="T337" s="50"/>
      <c r="U337" s="50">
        <f t="shared" si="194"/>
        <v>0</v>
      </c>
      <c r="V337" s="50"/>
      <c r="W337" s="50">
        <f t="shared" si="195"/>
        <v>0</v>
      </c>
      <c r="X337" s="50"/>
      <c r="Y337" s="50">
        <f t="shared" si="196"/>
        <v>0</v>
      </c>
      <c r="Z337" s="50"/>
      <c r="AA337" s="50">
        <f t="shared" si="197"/>
        <v>0</v>
      </c>
      <c r="AB337" s="50">
        <f t="shared" si="198"/>
        <v>0</v>
      </c>
      <c r="AC337" s="31" t="str">
        <f t="shared" si="199"/>
        <v>ok</v>
      </c>
    </row>
    <row r="338" spans="1:29" x14ac:dyDescent="0.2">
      <c r="A338" s="14">
        <v>503</v>
      </c>
      <c r="B338" s="14" t="s">
        <v>797</v>
      </c>
      <c r="C338" s="14" t="s">
        <v>844</v>
      </c>
      <c r="D338" s="14" t="s">
        <v>552</v>
      </c>
      <c r="F338" s="50">
        <v>0</v>
      </c>
      <c r="H338" s="50">
        <f t="shared" si="186"/>
        <v>0</v>
      </c>
      <c r="I338" s="50">
        <f t="shared" si="187"/>
        <v>0</v>
      </c>
      <c r="J338" s="50"/>
      <c r="K338" s="50">
        <f t="shared" si="188"/>
        <v>0</v>
      </c>
      <c r="L338" s="50"/>
      <c r="M338" s="50">
        <f t="shared" si="189"/>
        <v>0</v>
      </c>
      <c r="N338" s="50"/>
      <c r="O338" s="50">
        <f t="shared" si="190"/>
        <v>0</v>
      </c>
      <c r="P338" s="50">
        <f t="shared" si="191"/>
        <v>0</v>
      </c>
      <c r="Q338" s="50"/>
      <c r="R338" s="50">
        <f t="shared" si="192"/>
        <v>0</v>
      </c>
      <c r="S338" s="50">
        <f t="shared" si="193"/>
        <v>0</v>
      </c>
      <c r="T338" s="50"/>
      <c r="U338" s="50">
        <f t="shared" si="194"/>
        <v>0</v>
      </c>
      <c r="V338" s="50"/>
      <c r="W338" s="50">
        <f t="shared" si="195"/>
        <v>0</v>
      </c>
      <c r="X338" s="50"/>
      <c r="Y338" s="50">
        <f t="shared" si="196"/>
        <v>0</v>
      </c>
      <c r="Z338" s="50"/>
      <c r="AA338" s="50">
        <f t="shared" si="197"/>
        <v>0</v>
      </c>
      <c r="AB338" s="50">
        <f t="shared" si="198"/>
        <v>0</v>
      </c>
      <c r="AC338" s="31" t="str">
        <f t="shared" si="199"/>
        <v>ok</v>
      </c>
    </row>
    <row r="339" spans="1:29" x14ac:dyDescent="0.2">
      <c r="A339" s="14">
        <v>504</v>
      </c>
      <c r="B339" s="14" t="s">
        <v>798</v>
      </c>
      <c r="C339" s="14" t="s">
        <v>845</v>
      </c>
      <c r="D339" s="14" t="s">
        <v>552</v>
      </c>
      <c r="F339" s="50">
        <v>0</v>
      </c>
      <c r="H339" s="50">
        <f t="shared" si="186"/>
        <v>0</v>
      </c>
      <c r="I339" s="50">
        <f t="shared" si="187"/>
        <v>0</v>
      </c>
      <c r="J339" s="50"/>
      <c r="K339" s="50">
        <f t="shared" si="188"/>
        <v>0</v>
      </c>
      <c r="L339" s="50"/>
      <c r="M339" s="50">
        <f t="shared" si="189"/>
        <v>0</v>
      </c>
      <c r="N339" s="50"/>
      <c r="O339" s="50">
        <f t="shared" si="190"/>
        <v>0</v>
      </c>
      <c r="P339" s="50">
        <f t="shared" si="191"/>
        <v>0</v>
      </c>
      <c r="Q339" s="50"/>
      <c r="R339" s="50">
        <f t="shared" si="192"/>
        <v>0</v>
      </c>
      <c r="S339" s="50">
        <f t="shared" si="193"/>
        <v>0</v>
      </c>
      <c r="T339" s="50"/>
      <c r="U339" s="50">
        <f t="shared" si="194"/>
        <v>0</v>
      </c>
      <c r="V339" s="50"/>
      <c r="W339" s="50">
        <f t="shared" si="195"/>
        <v>0</v>
      </c>
      <c r="X339" s="50"/>
      <c r="Y339" s="50">
        <f t="shared" si="196"/>
        <v>0</v>
      </c>
      <c r="Z339" s="50"/>
      <c r="AA339" s="50">
        <f t="shared" si="197"/>
        <v>0</v>
      </c>
      <c r="AB339" s="50">
        <f t="shared" si="198"/>
        <v>0</v>
      </c>
      <c r="AC339" s="31" t="str">
        <f t="shared" si="199"/>
        <v>ok</v>
      </c>
    </row>
    <row r="340" spans="1:29" x14ac:dyDescent="0.2">
      <c r="A340" s="14">
        <v>505</v>
      </c>
      <c r="B340" s="14" t="s">
        <v>799</v>
      </c>
      <c r="C340" s="14" t="s">
        <v>846</v>
      </c>
      <c r="D340" s="14" t="s">
        <v>552</v>
      </c>
      <c r="F340" s="50">
        <v>0</v>
      </c>
      <c r="H340" s="50">
        <f t="shared" si="186"/>
        <v>0</v>
      </c>
      <c r="I340" s="50">
        <f t="shared" si="187"/>
        <v>0</v>
      </c>
      <c r="J340" s="50"/>
      <c r="K340" s="50">
        <f t="shared" si="188"/>
        <v>0</v>
      </c>
      <c r="L340" s="50"/>
      <c r="M340" s="50">
        <f t="shared" si="189"/>
        <v>0</v>
      </c>
      <c r="N340" s="50"/>
      <c r="O340" s="50">
        <f t="shared" si="190"/>
        <v>0</v>
      </c>
      <c r="P340" s="50">
        <f t="shared" si="191"/>
        <v>0</v>
      </c>
      <c r="Q340" s="50"/>
      <c r="R340" s="50">
        <f t="shared" si="192"/>
        <v>0</v>
      </c>
      <c r="S340" s="50">
        <f t="shared" si="193"/>
        <v>0</v>
      </c>
      <c r="T340" s="50"/>
      <c r="U340" s="50">
        <f t="shared" si="194"/>
        <v>0</v>
      </c>
      <c r="V340" s="50"/>
      <c r="W340" s="50">
        <f t="shared" si="195"/>
        <v>0</v>
      </c>
      <c r="X340" s="50"/>
      <c r="Y340" s="50">
        <f t="shared" si="196"/>
        <v>0</v>
      </c>
      <c r="Z340" s="50"/>
      <c r="AA340" s="50">
        <f t="shared" si="197"/>
        <v>0</v>
      </c>
      <c r="AB340" s="50">
        <f t="shared" si="198"/>
        <v>0</v>
      </c>
      <c r="AC340" s="31" t="str">
        <f t="shared" si="199"/>
        <v>ok</v>
      </c>
    </row>
    <row r="341" spans="1:29" x14ac:dyDescent="0.2">
      <c r="A341" s="14">
        <v>506</v>
      </c>
      <c r="B341" s="14" t="s">
        <v>800</v>
      </c>
      <c r="C341" s="14" t="s">
        <v>847</v>
      </c>
      <c r="D341" s="14" t="s">
        <v>552</v>
      </c>
      <c r="F341" s="50">
        <v>0</v>
      </c>
      <c r="H341" s="50">
        <f t="shared" si="186"/>
        <v>0</v>
      </c>
      <c r="I341" s="50">
        <f t="shared" si="187"/>
        <v>0</v>
      </c>
      <c r="J341" s="50"/>
      <c r="K341" s="50">
        <f t="shared" si="188"/>
        <v>0</v>
      </c>
      <c r="L341" s="50"/>
      <c r="M341" s="50">
        <f t="shared" si="189"/>
        <v>0</v>
      </c>
      <c r="N341" s="50"/>
      <c r="O341" s="50">
        <f t="shared" si="190"/>
        <v>0</v>
      </c>
      <c r="P341" s="50">
        <f t="shared" si="191"/>
        <v>0</v>
      </c>
      <c r="Q341" s="50"/>
      <c r="R341" s="50">
        <f t="shared" si="192"/>
        <v>0</v>
      </c>
      <c r="S341" s="50">
        <f t="shared" si="193"/>
        <v>0</v>
      </c>
      <c r="T341" s="50"/>
      <c r="U341" s="50">
        <f t="shared" si="194"/>
        <v>0</v>
      </c>
      <c r="V341" s="50"/>
      <c r="W341" s="50">
        <f t="shared" si="195"/>
        <v>0</v>
      </c>
      <c r="X341" s="50"/>
      <c r="Y341" s="50">
        <f t="shared" si="196"/>
        <v>0</v>
      </c>
      <c r="Z341" s="50"/>
      <c r="AA341" s="50">
        <f t="shared" si="197"/>
        <v>0</v>
      </c>
      <c r="AB341" s="50">
        <f t="shared" si="198"/>
        <v>0</v>
      </c>
      <c r="AC341" s="31" t="str">
        <f t="shared" si="199"/>
        <v>ok</v>
      </c>
    </row>
    <row r="342" spans="1:29" x14ac:dyDescent="0.2">
      <c r="A342" s="14">
        <v>507</v>
      </c>
      <c r="B342" s="14" t="s">
        <v>115</v>
      </c>
      <c r="C342" s="14" t="s">
        <v>848</v>
      </c>
      <c r="D342" s="14" t="s">
        <v>552</v>
      </c>
      <c r="F342" s="50">
        <v>0</v>
      </c>
      <c r="H342" s="50">
        <f t="shared" si="186"/>
        <v>0</v>
      </c>
      <c r="I342" s="50">
        <f t="shared" si="187"/>
        <v>0</v>
      </c>
      <c r="J342" s="50"/>
      <c r="K342" s="50">
        <f t="shared" si="188"/>
        <v>0</v>
      </c>
      <c r="L342" s="50"/>
      <c r="M342" s="50">
        <f t="shared" si="189"/>
        <v>0</v>
      </c>
      <c r="N342" s="50"/>
      <c r="O342" s="50">
        <f t="shared" si="190"/>
        <v>0</v>
      </c>
      <c r="P342" s="50">
        <f t="shared" si="191"/>
        <v>0</v>
      </c>
      <c r="Q342" s="50"/>
      <c r="R342" s="50">
        <f t="shared" si="192"/>
        <v>0</v>
      </c>
      <c r="S342" s="50">
        <f t="shared" si="193"/>
        <v>0</v>
      </c>
      <c r="T342" s="50"/>
      <c r="U342" s="50">
        <f t="shared" si="194"/>
        <v>0</v>
      </c>
      <c r="V342" s="50"/>
      <c r="W342" s="50">
        <f t="shared" si="195"/>
        <v>0</v>
      </c>
      <c r="X342" s="50"/>
      <c r="Y342" s="50">
        <f t="shared" si="196"/>
        <v>0</v>
      </c>
      <c r="Z342" s="50"/>
      <c r="AA342" s="50">
        <f t="shared" si="197"/>
        <v>0</v>
      </c>
      <c r="AB342" s="50">
        <f t="shared" si="198"/>
        <v>0</v>
      </c>
      <c r="AC342" s="31" t="str">
        <f t="shared" si="199"/>
        <v>ok</v>
      </c>
    </row>
    <row r="343" spans="1:29" x14ac:dyDescent="0.2">
      <c r="A343" s="14">
        <v>509</v>
      </c>
      <c r="B343" s="14" t="s">
        <v>801</v>
      </c>
      <c r="C343" s="14" t="s">
        <v>849</v>
      </c>
      <c r="D343" s="14" t="s">
        <v>787</v>
      </c>
      <c r="F343" s="50">
        <v>0</v>
      </c>
      <c r="H343" s="50">
        <f t="shared" si="186"/>
        <v>0</v>
      </c>
      <c r="I343" s="50">
        <f t="shared" si="187"/>
        <v>0</v>
      </c>
      <c r="J343" s="50"/>
      <c r="K343" s="50">
        <f t="shared" si="188"/>
        <v>0</v>
      </c>
      <c r="L343" s="50"/>
      <c r="M343" s="50">
        <f t="shared" si="189"/>
        <v>0</v>
      </c>
      <c r="N343" s="50"/>
      <c r="O343" s="50">
        <f t="shared" si="190"/>
        <v>0</v>
      </c>
      <c r="P343" s="50">
        <f t="shared" si="191"/>
        <v>0</v>
      </c>
      <c r="Q343" s="50"/>
      <c r="R343" s="50">
        <f t="shared" si="192"/>
        <v>0</v>
      </c>
      <c r="S343" s="50">
        <f t="shared" si="193"/>
        <v>0</v>
      </c>
      <c r="T343" s="50"/>
      <c r="U343" s="50">
        <f t="shared" si="194"/>
        <v>0</v>
      </c>
      <c r="V343" s="50"/>
      <c r="W343" s="50">
        <f t="shared" si="195"/>
        <v>0</v>
      </c>
      <c r="X343" s="50"/>
      <c r="Y343" s="50">
        <f t="shared" si="196"/>
        <v>0</v>
      </c>
      <c r="Z343" s="50"/>
      <c r="AA343" s="50">
        <f t="shared" si="197"/>
        <v>0</v>
      </c>
      <c r="AB343" s="50">
        <f t="shared" si="198"/>
        <v>0</v>
      </c>
      <c r="AC343" s="31" t="str">
        <f t="shared" si="199"/>
        <v>ok</v>
      </c>
    </row>
    <row r="344" spans="1:29" x14ac:dyDescent="0.2"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C344" s="31"/>
    </row>
    <row r="345" spans="1:29" x14ac:dyDescent="0.2">
      <c r="A345" s="14" t="s">
        <v>793</v>
      </c>
      <c r="C345" s="14" t="s">
        <v>850</v>
      </c>
      <c r="F345" s="66">
        <f>SUM(F335:F344)</f>
        <v>0</v>
      </c>
      <c r="H345" s="66">
        <f>SUM(H335:H344)</f>
        <v>0</v>
      </c>
      <c r="I345" s="66">
        <f>SUM(I335:I344)</f>
        <v>0</v>
      </c>
      <c r="J345" s="66"/>
      <c r="K345" s="66">
        <f>SUM(K335:K344)</f>
        <v>0</v>
      </c>
      <c r="L345" s="66"/>
      <c r="M345" s="66">
        <f>SUM(M335:M344)</f>
        <v>0</v>
      </c>
      <c r="N345" s="66"/>
      <c r="O345" s="66">
        <f>SUM(O335:O344)</f>
        <v>0</v>
      </c>
      <c r="P345" s="66">
        <f>SUM(P335:P344)</f>
        <v>0</v>
      </c>
      <c r="Q345" s="66"/>
      <c r="R345" s="66">
        <f>SUM(R335:R344)</f>
        <v>0</v>
      </c>
      <c r="S345" s="66">
        <f>SUM(S335:S344)</f>
        <v>0</v>
      </c>
      <c r="T345" s="66"/>
      <c r="U345" s="66">
        <f>SUM(U335:U344)</f>
        <v>0</v>
      </c>
      <c r="V345" s="66"/>
      <c r="W345" s="66">
        <f>SUM(W335:W344)</f>
        <v>0</v>
      </c>
      <c r="X345" s="66"/>
      <c r="Y345" s="66">
        <f>SUM(Y335:Y344)</f>
        <v>0</v>
      </c>
      <c r="Z345" s="66"/>
      <c r="AA345" s="66">
        <f>SUM(AA335:AA344)</f>
        <v>0</v>
      </c>
      <c r="AB345" s="50">
        <f>SUM(H345:AA345)</f>
        <v>0</v>
      </c>
      <c r="AC345" s="31" t="str">
        <f>IF(ABS(AB345-F345)&lt;1,"ok","err")</f>
        <v>ok</v>
      </c>
    </row>
    <row r="346" spans="1:29" x14ac:dyDescent="0.2">
      <c r="A346" s="13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C346" s="31"/>
    </row>
    <row r="347" spans="1:29" x14ac:dyDescent="0.2">
      <c r="A347" s="13" t="s">
        <v>790</v>
      </c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C347" s="31"/>
    </row>
    <row r="348" spans="1:29" x14ac:dyDescent="0.2">
      <c r="A348" s="14">
        <v>510</v>
      </c>
      <c r="B348" s="14" t="s">
        <v>802</v>
      </c>
      <c r="C348" s="14" t="s">
        <v>851</v>
      </c>
      <c r="D348" s="14" t="s">
        <v>787</v>
      </c>
      <c r="F348" s="66">
        <v>0</v>
      </c>
      <c r="H348" s="50">
        <f>IF(VLOOKUP($D348,$C$5:$AA$494,6,)=0,0,((VLOOKUP($D348,$C$5:$AA$494,6,)/VLOOKUP($D348,$C$5:$AA$494,4,))*$F348))</f>
        <v>0</v>
      </c>
      <c r="I348" s="50">
        <f>IF(VLOOKUP($D348,$C$5:$AA$494,7,)=0,0,((VLOOKUP($D348,$C$5:$AA$494,7,)/VLOOKUP($D348,$C$5:$AA$494,4,))*$F348))</f>
        <v>0</v>
      </c>
      <c r="J348" s="50"/>
      <c r="K348" s="50">
        <f>IF(VLOOKUP($D348,$C$5:$AA$494,9,)=0,0,((VLOOKUP($D348,$C$5:$AA$494,9,)/VLOOKUP($D348,$C$5:$AA$494,4,))*$F348))</f>
        <v>0</v>
      </c>
      <c r="L348" s="50"/>
      <c r="M348" s="50">
        <f>IF(VLOOKUP($D348,$C$5:$AA$494,11,)=0,0,((VLOOKUP($D348,$C$5:$AA$494,11,)/VLOOKUP($D348,$C$5:$AA$494,4,))*$F348))</f>
        <v>0</v>
      </c>
      <c r="N348" s="50"/>
      <c r="O348" s="50">
        <f>IF(VLOOKUP($D348,$C$5:$AA$494,13,)=0,0,((VLOOKUP($D348,$C$5:$AA$494,13,)/VLOOKUP($D348,$C$5:$AA$494,4,))*$F348))</f>
        <v>0</v>
      </c>
      <c r="P348" s="50">
        <f>IF(VLOOKUP($D348,$C$5:$AA$494,14,)=0,0,((VLOOKUP($D348,$C$5:$AA$494,14,)/VLOOKUP($D348,$C$5:$AA$494,4,))*$F348))</f>
        <v>0</v>
      </c>
      <c r="Q348" s="50"/>
      <c r="R348" s="50">
        <f>IF(VLOOKUP($D348,$C$5:$AA$494,16,)=0,0,((VLOOKUP($D348,$C$5:$AA$494,16,)/VLOOKUP($D348,$C$5:$AA$494,4,))*$F348))</f>
        <v>0</v>
      </c>
      <c r="S348" s="50">
        <f>IF(VLOOKUP($D348,$C$5:$AA$494,17,)=0,0,((VLOOKUP($D348,$C$5:$AA$494,17,)/VLOOKUP($D348,$C$5:$AA$494,4,))*$F348))</f>
        <v>0</v>
      </c>
      <c r="T348" s="50"/>
      <c r="U348" s="50">
        <f>IF(VLOOKUP($D348,$C$5:$AA$494,19,)=0,0,((VLOOKUP($D348,$C$5:$AA$494,19,)/VLOOKUP($D348,$C$5:$AA$494,4,))*$F348))</f>
        <v>0</v>
      </c>
      <c r="V348" s="50"/>
      <c r="W348" s="50">
        <f>IF(VLOOKUP($D348,$C$5:$AA$494,21,)=0,0,((VLOOKUP($D348,$C$5:$AA$494,21,)/VLOOKUP($D348,$C$5:$AA$494,4,))*$F348))</f>
        <v>0</v>
      </c>
      <c r="X348" s="50"/>
      <c r="Y348" s="50">
        <f>IF(VLOOKUP($D348,$C$5:$AA$494,23,)=0,0,((VLOOKUP($D348,$C$5:$AA$494,23,)/VLOOKUP($D348,$C$5:$AA$494,4,))*$F348))</f>
        <v>0</v>
      </c>
      <c r="Z348" s="50"/>
      <c r="AA348" s="50">
        <f>IF(VLOOKUP($D348,$C$5:$AA$494,25,)=0,0,((VLOOKUP($D348,$C$5:$AA$494,25,)/VLOOKUP($D348,$C$5:$AA$494,4,))*$F348))</f>
        <v>0</v>
      </c>
      <c r="AB348" s="50">
        <f>SUM(H348:AA348)</f>
        <v>0</v>
      </c>
      <c r="AC348" s="31" t="str">
        <f>IF(ABS(AB348-F348)&lt;1,"ok","err")</f>
        <v>ok</v>
      </c>
    </row>
    <row r="349" spans="1:29" x14ac:dyDescent="0.2">
      <c r="A349" s="14">
        <v>511</v>
      </c>
      <c r="B349" s="14" t="s">
        <v>803</v>
      </c>
      <c r="C349" s="14" t="s">
        <v>852</v>
      </c>
      <c r="D349" s="14" t="s">
        <v>552</v>
      </c>
      <c r="F349" s="50">
        <v>0</v>
      </c>
      <c r="H349" s="50">
        <f>IF(VLOOKUP($D349,$C$5:$AA$494,6,)=0,0,((VLOOKUP($D349,$C$5:$AA$494,6,)/VLOOKUP($D349,$C$5:$AA$494,4,))*$F349))</f>
        <v>0</v>
      </c>
      <c r="I349" s="50">
        <f>IF(VLOOKUP($D349,$C$5:$AA$494,7,)=0,0,((VLOOKUP($D349,$C$5:$AA$494,7,)/VLOOKUP($D349,$C$5:$AA$494,4,))*$F349))</f>
        <v>0</v>
      </c>
      <c r="J349" s="50"/>
      <c r="K349" s="50">
        <f>IF(VLOOKUP($D349,$C$5:$AA$494,9,)=0,0,((VLOOKUP($D349,$C$5:$AA$494,9,)/VLOOKUP($D349,$C$5:$AA$494,4,))*$F349))</f>
        <v>0</v>
      </c>
      <c r="L349" s="50"/>
      <c r="M349" s="50">
        <f>IF(VLOOKUP($D349,$C$5:$AA$494,11,)=0,0,((VLOOKUP($D349,$C$5:$AA$494,11,)/VLOOKUP($D349,$C$5:$AA$494,4,))*$F349))</f>
        <v>0</v>
      </c>
      <c r="N349" s="50"/>
      <c r="O349" s="50">
        <f>IF(VLOOKUP($D349,$C$5:$AA$494,13,)=0,0,((VLOOKUP($D349,$C$5:$AA$494,13,)/VLOOKUP($D349,$C$5:$AA$494,4,))*$F349))</f>
        <v>0</v>
      </c>
      <c r="P349" s="50">
        <f>IF(VLOOKUP($D349,$C$5:$AA$494,14,)=0,0,((VLOOKUP($D349,$C$5:$AA$494,14,)/VLOOKUP($D349,$C$5:$AA$494,4,))*$F349))</f>
        <v>0</v>
      </c>
      <c r="Q349" s="50"/>
      <c r="R349" s="50">
        <f>IF(VLOOKUP($D349,$C$5:$AA$494,16,)=0,0,((VLOOKUP($D349,$C$5:$AA$494,16,)/VLOOKUP($D349,$C$5:$AA$494,4,))*$F349))</f>
        <v>0</v>
      </c>
      <c r="S349" s="50">
        <f>IF(VLOOKUP($D349,$C$5:$AA$494,17,)=0,0,((VLOOKUP($D349,$C$5:$AA$494,17,)/VLOOKUP($D349,$C$5:$AA$494,4,))*$F349))</f>
        <v>0</v>
      </c>
      <c r="T349" s="50"/>
      <c r="U349" s="50">
        <f>IF(VLOOKUP($D349,$C$5:$AA$494,19,)=0,0,((VLOOKUP($D349,$C$5:$AA$494,19,)/VLOOKUP($D349,$C$5:$AA$494,4,))*$F349))</f>
        <v>0</v>
      </c>
      <c r="V349" s="50"/>
      <c r="W349" s="50">
        <f>IF(VLOOKUP($D349,$C$5:$AA$494,21,)=0,0,((VLOOKUP($D349,$C$5:$AA$494,21,)/VLOOKUP($D349,$C$5:$AA$494,4,))*$F349))</f>
        <v>0</v>
      </c>
      <c r="X349" s="50"/>
      <c r="Y349" s="50">
        <f>IF(VLOOKUP($D349,$C$5:$AA$494,23,)=0,0,((VLOOKUP($D349,$C$5:$AA$494,23,)/VLOOKUP($D349,$C$5:$AA$494,4,))*$F349))</f>
        <v>0</v>
      </c>
      <c r="Z349" s="50"/>
      <c r="AA349" s="50">
        <f>IF(VLOOKUP($D349,$C$5:$AA$494,25,)=0,0,((VLOOKUP($D349,$C$5:$AA$494,25,)/VLOOKUP($D349,$C$5:$AA$494,4,))*$F349))</f>
        <v>0</v>
      </c>
      <c r="AB349" s="50">
        <f>SUM(H349:AA349)</f>
        <v>0</v>
      </c>
      <c r="AC349" s="31" t="str">
        <f>IF(ABS(AB349-F349)&lt;1,"ok","err")</f>
        <v>ok</v>
      </c>
    </row>
    <row r="350" spans="1:29" x14ac:dyDescent="0.2">
      <c r="A350" s="14">
        <v>512</v>
      </c>
      <c r="B350" s="14" t="s">
        <v>804</v>
      </c>
      <c r="C350" s="14" t="s">
        <v>853</v>
      </c>
      <c r="D350" s="14" t="s">
        <v>787</v>
      </c>
      <c r="F350" s="50">
        <v>0</v>
      </c>
      <c r="H350" s="50">
        <f>IF(VLOOKUP($D350,$C$5:$AA$494,6,)=0,0,((VLOOKUP($D350,$C$5:$AA$494,6,)/VLOOKUP($D350,$C$5:$AA$494,4,))*$F350))</f>
        <v>0</v>
      </c>
      <c r="I350" s="50">
        <f>IF(VLOOKUP($D350,$C$5:$AA$494,7,)=0,0,((VLOOKUP($D350,$C$5:$AA$494,7,)/VLOOKUP($D350,$C$5:$AA$494,4,))*$F350))</f>
        <v>0</v>
      </c>
      <c r="J350" s="50"/>
      <c r="K350" s="50">
        <f>IF(VLOOKUP($D350,$C$5:$AA$494,9,)=0,0,((VLOOKUP($D350,$C$5:$AA$494,9,)/VLOOKUP($D350,$C$5:$AA$494,4,))*$F350))</f>
        <v>0</v>
      </c>
      <c r="L350" s="50"/>
      <c r="M350" s="50">
        <f>IF(VLOOKUP($D350,$C$5:$AA$494,11,)=0,0,((VLOOKUP($D350,$C$5:$AA$494,11,)/VLOOKUP($D350,$C$5:$AA$494,4,))*$F350))</f>
        <v>0</v>
      </c>
      <c r="N350" s="50"/>
      <c r="O350" s="50">
        <f>IF(VLOOKUP($D350,$C$5:$AA$494,13,)=0,0,((VLOOKUP($D350,$C$5:$AA$494,13,)/VLOOKUP($D350,$C$5:$AA$494,4,))*$F350))</f>
        <v>0</v>
      </c>
      <c r="P350" s="50">
        <f>IF(VLOOKUP($D350,$C$5:$AA$494,14,)=0,0,((VLOOKUP($D350,$C$5:$AA$494,14,)/VLOOKUP($D350,$C$5:$AA$494,4,))*$F350))</f>
        <v>0</v>
      </c>
      <c r="Q350" s="50"/>
      <c r="R350" s="50">
        <f>IF(VLOOKUP($D350,$C$5:$AA$494,16,)=0,0,((VLOOKUP($D350,$C$5:$AA$494,16,)/VLOOKUP($D350,$C$5:$AA$494,4,))*$F350))</f>
        <v>0</v>
      </c>
      <c r="S350" s="50">
        <f>IF(VLOOKUP($D350,$C$5:$AA$494,17,)=0,0,((VLOOKUP($D350,$C$5:$AA$494,17,)/VLOOKUP($D350,$C$5:$AA$494,4,))*$F350))</f>
        <v>0</v>
      </c>
      <c r="T350" s="50"/>
      <c r="U350" s="50">
        <f>IF(VLOOKUP($D350,$C$5:$AA$494,19,)=0,0,((VLOOKUP($D350,$C$5:$AA$494,19,)/VLOOKUP($D350,$C$5:$AA$494,4,))*$F350))</f>
        <v>0</v>
      </c>
      <c r="V350" s="50"/>
      <c r="W350" s="50">
        <f>IF(VLOOKUP($D350,$C$5:$AA$494,21,)=0,0,((VLOOKUP($D350,$C$5:$AA$494,21,)/VLOOKUP($D350,$C$5:$AA$494,4,))*$F350))</f>
        <v>0</v>
      </c>
      <c r="X350" s="50"/>
      <c r="Y350" s="50">
        <f>IF(VLOOKUP($D350,$C$5:$AA$494,23,)=0,0,((VLOOKUP($D350,$C$5:$AA$494,23,)/VLOOKUP($D350,$C$5:$AA$494,4,))*$F350))</f>
        <v>0</v>
      </c>
      <c r="Z350" s="50"/>
      <c r="AA350" s="50">
        <f>IF(VLOOKUP($D350,$C$5:$AA$494,25,)=0,0,((VLOOKUP($D350,$C$5:$AA$494,25,)/VLOOKUP($D350,$C$5:$AA$494,4,))*$F350))</f>
        <v>0</v>
      </c>
      <c r="AB350" s="50">
        <f>SUM(H350:AA350)</f>
        <v>0</v>
      </c>
      <c r="AC350" s="31" t="str">
        <f>IF(ABS(AB350-F350)&lt;1,"ok","err")</f>
        <v>ok</v>
      </c>
    </row>
    <row r="351" spans="1:29" x14ac:dyDescent="0.2">
      <c r="A351" s="14">
        <v>513</v>
      </c>
      <c r="B351" s="14" t="s">
        <v>805</v>
      </c>
      <c r="C351" s="14" t="s">
        <v>854</v>
      </c>
      <c r="D351" s="14" t="s">
        <v>787</v>
      </c>
      <c r="F351" s="50">
        <v>0</v>
      </c>
      <c r="H351" s="50">
        <f>IF(VLOOKUP($D351,$C$5:$AA$494,6,)=0,0,((VLOOKUP($D351,$C$5:$AA$494,6,)/VLOOKUP($D351,$C$5:$AA$494,4,))*$F351))</f>
        <v>0</v>
      </c>
      <c r="I351" s="50">
        <f>IF(VLOOKUP($D351,$C$5:$AA$494,7,)=0,0,((VLOOKUP($D351,$C$5:$AA$494,7,)/VLOOKUP($D351,$C$5:$AA$494,4,))*$F351))</f>
        <v>0</v>
      </c>
      <c r="J351" s="50"/>
      <c r="K351" s="50">
        <f>IF(VLOOKUP($D351,$C$5:$AA$494,9,)=0,0,((VLOOKUP($D351,$C$5:$AA$494,9,)/VLOOKUP($D351,$C$5:$AA$494,4,))*$F351))</f>
        <v>0</v>
      </c>
      <c r="L351" s="50"/>
      <c r="M351" s="50">
        <f>IF(VLOOKUP($D351,$C$5:$AA$494,11,)=0,0,((VLOOKUP($D351,$C$5:$AA$494,11,)/VLOOKUP($D351,$C$5:$AA$494,4,))*$F351))</f>
        <v>0</v>
      </c>
      <c r="N351" s="50"/>
      <c r="O351" s="50">
        <f>IF(VLOOKUP($D351,$C$5:$AA$494,13,)=0,0,((VLOOKUP($D351,$C$5:$AA$494,13,)/VLOOKUP($D351,$C$5:$AA$494,4,))*$F351))</f>
        <v>0</v>
      </c>
      <c r="P351" s="50">
        <f>IF(VLOOKUP($D351,$C$5:$AA$494,14,)=0,0,((VLOOKUP($D351,$C$5:$AA$494,14,)/VLOOKUP($D351,$C$5:$AA$494,4,))*$F351))</f>
        <v>0</v>
      </c>
      <c r="Q351" s="50"/>
      <c r="R351" s="50">
        <f>IF(VLOOKUP($D351,$C$5:$AA$494,16,)=0,0,((VLOOKUP($D351,$C$5:$AA$494,16,)/VLOOKUP($D351,$C$5:$AA$494,4,))*$F351))</f>
        <v>0</v>
      </c>
      <c r="S351" s="50">
        <f>IF(VLOOKUP($D351,$C$5:$AA$494,17,)=0,0,((VLOOKUP($D351,$C$5:$AA$494,17,)/VLOOKUP($D351,$C$5:$AA$494,4,))*$F351))</f>
        <v>0</v>
      </c>
      <c r="T351" s="50"/>
      <c r="U351" s="50">
        <f>IF(VLOOKUP($D351,$C$5:$AA$494,19,)=0,0,((VLOOKUP($D351,$C$5:$AA$494,19,)/VLOOKUP($D351,$C$5:$AA$494,4,))*$F351))</f>
        <v>0</v>
      </c>
      <c r="V351" s="50"/>
      <c r="W351" s="50">
        <f>IF(VLOOKUP($D351,$C$5:$AA$494,21,)=0,0,((VLOOKUP($D351,$C$5:$AA$494,21,)/VLOOKUP($D351,$C$5:$AA$494,4,))*$F351))</f>
        <v>0</v>
      </c>
      <c r="X351" s="50"/>
      <c r="Y351" s="50">
        <f>IF(VLOOKUP($D351,$C$5:$AA$494,23,)=0,0,((VLOOKUP($D351,$C$5:$AA$494,23,)/VLOOKUP($D351,$C$5:$AA$494,4,))*$F351))</f>
        <v>0</v>
      </c>
      <c r="Z351" s="50"/>
      <c r="AA351" s="50">
        <f>IF(VLOOKUP($D351,$C$5:$AA$494,25,)=0,0,((VLOOKUP($D351,$C$5:$AA$494,25,)/VLOOKUP($D351,$C$5:$AA$494,4,))*$F351))</f>
        <v>0</v>
      </c>
      <c r="AB351" s="50">
        <f>SUM(H351:AA351)</f>
        <v>0</v>
      </c>
      <c r="AC351" s="31" t="str">
        <f>IF(ABS(AB351-F351)&lt;1,"ok","err")</f>
        <v>ok</v>
      </c>
    </row>
    <row r="352" spans="1:29" x14ac:dyDescent="0.2">
      <c r="A352" s="14">
        <v>514</v>
      </c>
      <c r="B352" s="14" t="s">
        <v>806</v>
      </c>
      <c r="C352" s="14" t="s">
        <v>855</v>
      </c>
      <c r="D352" s="14" t="s">
        <v>552</v>
      </c>
      <c r="F352" s="50">
        <v>0</v>
      </c>
      <c r="H352" s="50">
        <f>IF(VLOOKUP($D352,$C$5:$AA$494,6,)=0,0,((VLOOKUP($D352,$C$5:$AA$494,6,)/VLOOKUP($D352,$C$5:$AA$494,4,))*$F352))</f>
        <v>0</v>
      </c>
      <c r="I352" s="50">
        <f>IF(VLOOKUP($D352,$C$5:$AA$494,7,)=0,0,((VLOOKUP($D352,$C$5:$AA$494,7,)/VLOOKUP($D352,$C$5:$AA$494,4,))*$F352))</f>
        <v>0</v>
      </c>
      <c r="J352" s="50"/>
      <c r="K352" s="50">
        <f>IF(VLOOKUP($D352,$C$5:$AA$494,9,)=0,0,((VLOOKUP($D352,$C$5:$AA$494,9,)/VLOOKUP($D352,$C$5:$AA$494,4,))*$F352))</f>
        <v>0</v>
      </c>
      <c r="L352" s="50"/>
      <c r="M352" s="50">
        <f>IF(VLOOKUP($D352,$C$5:$AA$494,11,)=0,0,((VLOOKUP($D352,$C$5:$AA$494,11,)/VLOOKUP($D352,$C$5:$AA$494,4,))*$F352))</f>
        <v>0</v>
      </c>
      <c r="N352" s="50"/>
      <c r="O352" s="50">
        <f>IF(VLOOKUP($D352,$C$5:$AA$494,13,)=0,0,((VLOOKUP($D352,$C$5:$AA$494,13,)/VLOOKUP($D352,$C$5:$AA$494,4,))*$F352))</f>
        <v>0</v>
      </c>
      <c r="P352" s="50">
        <f>IF(VLOOKUP($D352,$C$5:$AA$494,14,)=0,0,((VLOOKUP($D352,$C$5:$AA$494,14,)/VLOOKUP($D352,$C$5:$AA$494,4,))*$F352))</f>
        <v>0</v>
      </c>
      <c r="Q352" s="50"/>
      <c r="R352" s="50">
        <f>IF(VLOOKUP($D352,$C$5:$AA$494,16,)=0,0,((VLOOKUP($D352,$C$5:$AA$494,16,)/VLOOKUP($D352,$C$5:$AA$494,4,))*$F352))</f>
        <v>0</v>
      </c>
      <c r="S352" s="50">
        <f>IF(VLOOKUP($D352,$C$5:$AA$494,17,)=0,0,((VLOOKUP($D352,$C$5:$AA$494,17,)/VLOOKUP($D352,$C$5:$AA$494,4,))*$F352))</f>
        <v>0</v>
      </c>
      <c r="T352" s="50"/>
      <c r="U352" s="50">
        <f>IF(VLOOKUP($D352,$C$5:$AA$494,19,)=0,0,((VLOOKUP($D352,$C$5:$AA$494,19,)/VLOOKUP($D352,$C$5:$AA$494,4,))*$F352))</f>
        <v>0</v>
      </c>
      <c r="V352" s="50"/>
      <c r="W352" s="50">
        <f>IF(VLOOKUP($D352,$C$5:$AA$494,21,)=0,0,((VLOOKUP($D352,$C$5:$AA$494,21,)/VLOOKUP($D352,$C$5:$AA$494,4,))*$F352))</f>
        <v>0</v>
      </c>
      <c r="X352" s="50"/>
      <c r="Y352" s="50">
        <f>IF(VLOOKUP($D352,$C$5:$AA$494,23,)=0,0,((VLOOKUP($D352,$C$5:$AA$494,23,)/VLOOKUP($D352,$C$5:$AA$494,4,))*$F352))</f>
        <v>0</v>
      </c>
      <c r="Z352" s="50"/>
      <c r="AA352" s="50">
        <f>IF(VLOOKUP($D352,$C$5:$AA$494,25,)=0,0,((VLOOKUP($D352,$C$5:$AA$494,25,)/VLOOKUP($D352,$C$5:$AA$494,4,))*$F352))</f>
        <v>0</v>
      </c>
      <c r="AB352" s="50">
        <f>SUM(H352:AA352)</f>
        <v>0</v>
      </c>
      <c r="AC352" s="31" t="str">
        <f>IF(ABS(AB352-F352)&lt;1,"ok","err")</f>
        <v>ok</v>
      </c>
    </row>
    <row r="353" spans="1:29" x14ac:dyDescent="0.2"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31"/>
    </row>
    <row r="354" spans="1:29" x14ac:dyDescent="0.2">
      <c r="A354" s="14" t="s">
        <v>791</v>
      </c>
      <c r="C354" s="14" t="s">
        <v>856</v>
      </c>
      <c r="F354" s="66">
        <f>SUM(F348:F353)</f>
        <v>0</v>
      </c>
      <c r="H354" s="66">
        <f>SUM(H348:H353)</f>
        <v>0</v>
      </c>
      <c r="I354" s="66">
        <f>SUM(I348:I353)</f>
        <v>0</v>
      </c>
      <c r="J354" s="66"/>
      <c r="K354" s="66">
        <f>SUM(K348:K353)</f>
        <v>0</v>
      </c>
      <c r="L354" s="66"/>
      <c r="M354" s="66">
        <f>SUM(M348:M353)</f>
        <v>0</v>
      </c>
      <c r="N354" s="66"/>
      <c r="O354" s="66">
        <f>SUM(O348:O353)</f>
        <v>0</v>
      </c>
      <c r="P354" s="66">
        <f>SUM(P348:P353)</f>
        <v>0</v>
      </c>
      <c r="Q354" s="66"/>
      <c r="R354" s="66">
        <f>SUM(R348:R353)</f>
        <v>0</v>
      </c>
      <c r="S354" s="66">
        <f>SUM(S348:S353)</f>
        <v>0</v>
      </c>
      <c r="T354" s="66"/>
      <c r="U354" s="66">
        <f>SUM(U348:U353)</f>
        <v>0</v>
      </c>
      <c r="V354" s="66"/>
      <c r="W354" s="66">
        <f>SUM(W348:W353)</f>
        <v>0</v>
      </c>
      <c r="X354" s="66"/>
      <c r="Y354" s="66">
        <f>SUM(Y348:Y353)</f>
        <v>0</v>
      </c>
      <c r="Z354" s="66"/>
      <c r="AA354" s="66">
        <f>SUM(AA348:AA353)</f>
        <v>0</v>
      </c>
      <c r="AB354" s="50">
        <f>SUM(H354:AA354)</f>
        <v>0</v>
      </c>
      <c r="AC354" s="31" t="str">
        <f>IF(ABS(AB354-F354)&lt;1,"ok","err")</f>
        <v>ok</v>
      </c>
    </row>
    <row r="355" spans="1:29" x14ac:dyDescent="0.2">
      <c r="F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C355" s="31"/>
    </row>
    <row r="356" spans="1:29" x14ac:dyDescent="0.2">
      <c r="A356" s="14" t="s">
        <v>792</v>
      </c>
      <c r="C356" s="14" t="s">
        <v>857</v>
      </c>
      <c r="F356" s="50">
        <f>F345+F354</f>
        <v>0</v>
      </c>
      <c r="H356" s="50">
        <f>H345+H354</f>
        <v>0</v>
      </c>
      <c r="I356" s="50">
        <f>I345+I354</f>
        <v>0</v>
      </c>
      <c r="J356" s="50"/>
      <c r="K356" s="50">
        <f>K345+K354</f>
        <v>0</v>
      </c>
      <c r="L356" s="50"/>
      <c r="M356" s="50">
        <f>M345+M354</f>
        <v>0</v>
      </c>
      <c r="N356" s="50"/>
      <c r="O356" s="50">
        <f>O345+O354</f>
        <v>0</v>
      </c>
      <c r="P356" s="50">
        <f>P345+P354</f>
        <v>0</v>
      </c>
      <c r="Q356" s="50"/>
      <c r="R356" s="50">
        <f>R345+R354</f>
        <v>0</v>
      </c>
      <c r="S356" s="50">
        <f>S345+S354</f>
        <v>0</v>
      </c>
      <c r="T356" s="50"/>
      <c r="U356" s="50">
        <f>U345+U354</f>
        <v>0</v>
      </c>
      <c r="V356" s="50"/>
      <c r="W356" s="50">
        <f>W345+W354</f>
        <v>0</v>
      </c>
      <c r="X356" s="50"/>
      <c r="Y356" s="50">
        <f>Y345+Y354</f>
        <v>0</v>
      </c>
      <c r="Z356" s="50"/>
      <c r="AA356" s="50">
        <f>AA345+AA354</f>
        <v>0</v>
      </c>
      <c r="AB356" s="50">
        <f>SUM(H356:AA356)</f>
        <v>0</v>
      </c>
      <c r="AC356" s="31" t="str">
        <f>IF(ABS(AB356-F356)&lt;1,"ok","err")</f>
        <v>ok</v>
      </c>
    </row>
    <row r="357" spans="1:29" x14ac:dyDescent="0.2">
      <c r="A357" s="29"/>
      <c r="Q357" s="14"/>
      <c r="AC357" s="31"/>
    </row>
    <row r="358" spans="1:29" x14ac:dyDescent="0.2">
      <c r="A358" s="29"/>
      <c r="Q358" s="14"/>
      <c r="AC358" s="31"/>
    </row>
    <row r="359" spans="1:29" x14ac:dyDescent="0.2">
      <c r="A359" s="29" t="s">
        <v>473</v>
      </c>
      <c r="Q359" s="14"/>
      <c r="AC359" s="31"/>
    </row>
    <row r="360" spans="1:29" x14ac:dyDescent="0.2">
      <c r="A360" s="29"/>
      <c r="Q360" s="14"/>
      <c r="AC360" s="31"/>
    </row>
    <row r="361" spans="1:29" x14ac:dyDescent="0.2">
      <c r="A361" s="13" t="s">
        <v>96</v>
      </c>
      <c r="Q361" s="14"/>
      <c r="AC361" s="31"/>
    </row>
    <row r="362" spans="1:29" x14ac:dyDescent="0.2">
      <c r="A362" s="14">
        <v>555</v>
      </c>
      <c r="B362" s="14" t="s">
        <v>379</v>
      </c>
      <c r="C362" s="14" t="s">
        <v>530</v>
      </c>
      <c r="D362" s="14" t="s">
        <v>97</v>
      </c>
      <c r="F362" s="66">
        <v>0</v>
      </c>
      <c r="G362" s="66"/>
      <c r="H362" s="50">
        <f>IF(VLOOKUP($D362,$C$5:$AA$494,6,)=0,0,((VLOOKUP($D362,$C$5:$AA$494,6,)/VLOOKUP($D362,$C$5:$AA$494,4,))*$F362))</f>
        <v>0</v>
      </c>
      <c r="I362" s="50">
        <f>IF(VLOOKUP($D362,$C$5:$AA$494,7,)=0,0,((VLOOKUP($D362,$C$5:$AA$494,7,)/VLOOKUP($D362,$C$5:$AA$494,4,))*$F362))</f>
        <v>0</v>
      </c>
      <c r="J362" s="50"/>
      <c r="K362" s="50">
        <f>IF(VLOOKUP($D362,$C$5:$AA$494,9,)=0,0,((VLOOKUP($D362,$C$5:$AA$494,9,)/VLOOKUP($D362,$C$5:$AA$494,4,))*$F362))</f>
        <v>0</v>
      </c>
      <c r="L362" s="50"/>
      <c r="M362" s="50">
        <f>IF(VLOOKUP($D362,$C$5:$AA$494,11,)=0,0,((VLOOKUP($D362,$C$5:$AA$494,11,)/VLOOKUP($D362,$C$5:$AA$494,4,))*$F362))</f>
        <v>0</v>
      </c>
      <c r="N362" s="50"/>
      <c r="O362" s="50">
        <f>IF(VLOOKUP($D362,$C$5:$AA$494,13,)=0,0,((VLOOKUP($D362,$C$5:$AA$494,13,)/VLOOKUP($D362,$C$5:$AA$494,4,))*$F362))</f>
        <v>0</v>
      </c>
      <c r="P362" s="50">
        <f>IF(VLOOKUP($D362,$C$5:$AA$494,14,)=0,0,((VLOOKUP($D362,$C$5:$AA$494,14,)/VLOOKUP($D362,$C$5:$AA$494,4,))*$F362))</f>
        <v>0</v>
      </c>
      <c r="Q362" s="50"/>
      <c r="R362" s="50">
        <f>IF(VLOOKUP($D362,$C$5:$AA$494,16,)=0,0,((VLOOKUP($D362,$C$5:$AA$494,16,)/VLOOKUP($D362,$C$5:$AA$494,4,))*$F362))</f>
        <v>0</v>
      </c>
      <c r="S362" s="50">
        <f>IF(VLOOKUP($D362,$C$5:$AA$494,17,)=0,0,((VLOOKUP($D362,$C$5:$AA$494,17,)/VLOOKUP($D362,$C$5:$AA$494,4,))*$F362))</f>
        <v>0</v>
      </c>
      <c r="T362" s="50"/>
      <c r="U362" s="50">
        <f>IF(VLOOKUP($D362,$C$5:$AA$494,19,)=0,0,((VLOOKUP($D362,$C$5:$AA$494,19,)/VLOOKUP($D362,$C$5:$AA$494,4,))*$F362))</f>
        <v>0</v>
      </c>
      <c r="V362" s="50"/>
      <c r="W362" s="50">
        <f>IF(VLOOKUP($D362,$C$5:$AA$494,21,)=0,0,((VLOOKUP($D362,$C$5:$AA$494,21,)/VLOOKUP($D362,$C$5:$AA$494,4,))*$F362))</f>
        <v>0</v>
      </c>
      <c r="X362" s="50"/>
      <c r="Y362" s="50">
        <f>IF(VLOOKUP($D362,$C$5:$AA$494,23,)=0,0,((VLOOKUP($D362,$C$5:$AA$494,23,)/VLOOKUP($D362,$C$5:$AA$494,4,))*$F362))</f>
        <v>0</v>
      </c>
      <c r="Z362" s="50"/>
      <c r="AA362" s="50">
        <f>IF(VLOOKUP($D362,$C$5:$AA$494,25,)=0,0,((VLOOKUP($D362,$C$5:$AA$494,25,)/VLOOKUP($D362,$C$5:$AA$494,4,))*$F362))</f>
        <v>0</v>
      </c>
      <c r="AB362" s="50">
        <f>SUM(H362:AA362)</f>
        <v>0</v>
      </c>
      <c r="AC362" s="31" t="str">
        <f>IF(ABS(AB362-F362)&lt;1,"ok","err")</f>
        <v>ok</v>
      </c>
    </row>
    <row r="363" spans="1:29" x14ac:dyDescent="0.2">
      <c r="A363" s="14">
        <v>557</v>
      </c>
      <c r="B363" s="14" t="s">
        <v>398</v>
      </c>
      <c r="C363" s="14" t="s">
        <v>475</v>
      </c>
      <c r="D363" s="14" t="s">
        <v>97</v>
      </c>
      <c r="F363" s="50"/>
      <c r="G363" s="66"/>
      <c r="H363" s="50">
        <f>IF(VLOOKUP($D363,$C$5:$AA$494,6,)=0,0,((VLOOKUP($D363,$C$5:$AA$494,6,)/VLOOKUP($D363,$C$5:$AA$494,4,))*$F363))</f>
        <v>0</v>
      </c>
      <c r="I363" s="50">
        <f>IF(VLOOKUP($D363,$C$5:$AA$494,7,)=0,0,((VLOOKUP($D363,$C$5:$AA$494,7,)/VLOOKUP($D363,$C$5:$AA$494,4,))*$F363))</f>
        <v>0</v>
      </c>
      <c r="J363" s="50"/>
      <c r="K363" s="50">
        <f>IF(VLOOKUP($D363,$C$5:$AA$494,9,)=0,0,((VLOOKUP($D363,$C$5:$AA$494,9,)/VLOOKUP($D363,$C$5:$AA$494,4,))*$F363))</f>
        <v>0</v>
      </c>
      <c r="L363" s="50"/>
      <c r="M363" s="50">
        <f>IF(VLOOKUP($D363,$C$5:$AA$494,11,)=0,0,((VLOOKUP($D363,$C$5:$AA$494,11,)/VLOOKUP($D363,$C$5:$AA$494,4,))*$F363))</f>
        <v>0</v>
      </c>
      <c r="N363" s="50"/>
      <c r="O363" s="50">
        <f>IF(VLOOKUP($D363,$C$5:$AA$494,13,)=0,0,((VLOOKUP($D363,$C$5:$AA$494,13,)/VLOOKUP($D363,$C$5:$AA$494,4,))*$F363))</f>
        <v>0</v>
      </c>
      <c r="P363" s="50">
        <f>IF(VLOOKUP($D363,$C$5:$AA$494,14,)=0,0,((VLOOKUP($D363,$C$5:$AA$494,14,)/VLOOKUP($D363,$C$5:$AA$494,4,))*$F363))</f>
        <v>0</v>
      </c>
      <c r="Q363" s="50"/>
      <c r="R363" s="50">
        <f>IF(VLOOKUP($D363,$C$5:$AA$494,16,)=0,0,((VLOOKUP($D363,$C$5:$AA$494,16,)/VLOOKUP($D363,$C$5:$AA$494,4,))*$F363))</f>
        <v>0</v>
      </c>
      <c r="S363" s="50">
        <f>IF(VLOOKUP($D363,$C$5:$AA$494,17,)=0,0,((VLOOKUP($D363,$C$5:$AA$494,17,)/VLOOKUP($D363,$C$5:$AA$494,4,))*$F363))</f>
        <v>0</v>
      </c>
      <c r="T363" s="50"/>
      <c r="U363" s="50">
        <f>IF(VLOOKUP($D363,$C$5:$AA$494,19,)=0,0,((VLOOKUP($D363,$C$5:$AA$494,19,)/VLOOKUP($D363,$C$5:$AA$494,4,))*$F363))</f>
        <v>0</v>
      </c>
      <c r="V363" s="50"/>
      <c r="W363" s="50">
        <f>IF(VLOOKUP($D363,$C$5:$AA$494,21,)=0,0,((VLOOKUP($D363,$C$5:$AA$494,21,)/VLOOKUP($D363,$C$5:$AA$494,4,))*$F363))</f>
        <v>0</v>
      </c>
      <c r="X363" s="50"/>
      <c r="Y363" s="50">
        <f>IF(VLOOKUP($D363,$C$5:$AA$494,23,)=0,0,((VLOOKUP($D363,$C$5:$AA$494,23,)/VLOOKUP($D363,$C$5:$AA$494,4,))*$F363))</f>
        <v>0</v>
      </c>
      <c r="Z363" s="50"/>
      <c r="AA363" s="50">
        <f>IF(VLOOKUP($D363,$C$5:$AA$494,25,)=0,0,((VLOOKUP($D363,$C$5:$AA$494,25,)/VLOOKUP($D363,$C$5:$AA$494,4,))*$F363))</f>
        <v>0</v>
      </c>
      <c r="AB363" s="50">
        <f>SUM(H363:AA363)</f>
        <v>0</v>
      </c>
      <c r="AC363" s="31" t="str">
        <f>IF(ABS(AB363-F363)&lt;1,"ok","err")</f>
        <v>ok</v>
      </c>
    </row>
    <row r="364" spans="1:29" x14ac:dyDescent="0.2">
      <c r="F364" s="50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50"/>
      <c r="AC364" s="31"/>
    </row>
    <row r="365" spans="1:29" x14ac:dyDescent="0.2">
      <c r="B365" s="14" t="s">
        <v>532</v>
      </c>
      <c r="C365" s="14" t="s">
        <v>474</v>
      </c>
      <c r="F365" s="66">
        <f>SUM(F362:F364)</f>
        <v>0</v>
      </c>
      <c r="G365" s="66"/>
      <c r="H365" s="66">
        <f>SUM(H362:H364)</f>
        <v>0</v>
      </c>
      <c r="I365" s="66">
        <f>SUM(I362:I364)</f>
        <v>0</v>
      </c>
      <c r="J365" s="66"/>
      <c r="K365" s="66">
        <f>SUM(K362:K364)</f>
        <v>0</v>
      </c>
      <c r="L365" s="66"/>
      <c r="M365" s="66">
        <f>SUM(M362:M364)</f>
        <v>0</v>
      </c>
      <c r="N365" s="66"/>
      <c r="O365" s="66">
        <f>SUM(O362:O364)</f>
        <v>0</v>
      </c>
      <c r="P365" s="66">
        <f>SUM(P362:P364)</f>
        <v>0</v>
      </c>
      <c r="Q365" s="66"/>
      <c r="R365" s="66">
        <f>SUM(R362:R364)</f>
        <v>0</v>
      </c>
      <c r="S365" s="66">
        <f>SUM(S362:S364)</f>
        <v>0</v>
      </c>
      <c r="T365" s="66"/>
      <c r="U365" s="66">
        <f>SUM(U362:U364)</f>
        <v>0</v>
      </c>
      <c r="V365" s="66"/>
      <c r="W365" s="66">
        <f>SUM(W362:W364)</f>
        <v>0</v>
      </c>
      <c r="X365" s="66"/>
      <c r="Y365" s="66">
        <f>SUM(Y362:Y364)</f>
        <v>0</v>
      </c>
      <c r="Z365" s="66"/>
      <c r="AA365" s="66">
        <f>SUM(AA362:AA364)</f>
        <v>0</v>
      </c>
      <c r="AB365" s="50">
        <f>SUM(H365:AA365)</f>
        <v>0</v>
      </c>
      <c r="AC365" s="31" t="str">
        <f>IF(ABS(AB365-F365)&lt;1,"ok","err")</f>
        <v>ok</v>
      </c>
    </row>
    <row r="366" spans="1:29" x14ac:dyDescent="0.2"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50"/>
      <c r="AC366" s="31"/>
    </row>
    <row r="367" spans="1:29" x14ac:dyDescent="0.2">
      <c r="A367" s="13" t="s">
        <v>534</v>
      </c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50"/>
      <c r="AC367" s="31"/>
    </row>
    <row r="368" spans="1:29" x14ac:dyDescent="0.2">
      <c r="A368" s="14">
        <v>560</v>
      </c>
      <c r="B368" s="14" t="s">
        <v>374</v>
      </c>
      <c r="C368" s="14" t="s">
        <v>531</v>
      </c>
      <c r="D368" s="14" t="s">
        <v>390</v>
      </c>
      <c r="F368" s="66">
        <v>0</v>
      </c>
      <c r="G368" s="66"/>
      <c r="H368" s="50">
        <f t="shared" ref="H368:H375" si="200">IF((VLOOKUP($D368,$C$5:$AA$494,6,)=0),0,((VLOOKUP($D368,$C$5:$AA$494,6,)/VLOOKUP($D368,$C$5:$AA$494,4,))*$F368))</f>
        <v>0</v>
      </c>
      <c r="I368" s="50">
        <f t="shared" ref="I368:I375" si="201">IF((VLOOKUP($D368,$C$5:$AA$494,7,)=0),0,((VLOOKUP($D368,$C$5:$AA$494,7,)/VLOOKUP($D368,$C$5:$AA$494,4,))*$F368))</f>
        <v>0</v>
      </c>
      <c r="J368" s="50"/>
      <c r="K368" s="50">
        <f t="shared" ref="K368:K375" si="202">IF((VLOOKUP($D368,$C$5:$AA$494,9,)=0),0,((VLOOKUP($D368,$C$5:$AA$494,9,)/VLOOKUP($D368,$C$5:$AA$494,4,))*$F368))</f>
        <v>0</v>
      </c>
      <c r="L368" s="50"/>
      <c r="M368" s="50">
        <f t="shared" ref="M368:M375" si="203">IF((VLOOKUP($D368,$C$5:$AA$494,11,)=0),0,((VLOOKUP($D368,$C$5:$AA$494,11,)/VLOOKUP($D368,$C$5:$AA$494,4,))*$F368))</f>
        <v>0</v>
      </c>
      <c r="N368" s="50"/>
      <c r="O368" s="50">
        <f t="shared" ref="O368:O375" si="204">IF((VLOOKUP($D368,$C$5:$AA$494,13,)=0),0,((VLOOKUP($D368,$C$5:$AA$494,13,)/VLOOKUP($D368,$C$5:$AA$494,4,))*$F368))</f>
        <v>0</v>
      </c>
      <c r="P368" s="50">
        <f t="shared" ref="P368:P375" si="205">IF((VLOOKUP($D368,$C$5:$AA$494,14,)=0),0,((VLOOKUP($D368,$C$5:$AA$494,14,)/VLOOKUP($D368,$C$5:$AA$494,4,))*$F368))</f>
        <v>0</v>
      </c>
      <c r="Q368" s="50"/>
      <c r="R368" s="50">
        <f t="shared" ref="R368:R375" si="206">IF((VLOOKUP($D368,$C$5:$AA$494,16,)=0),0,((VLOOKUP($D368,$C$5:$AA$494,16,)/VLOOKUP($D368,$C$5:$AA$494,4,))*$F368))</f>
        <v>0</v>
      </c>
      <c r="S368" s="50">
        <f t="shared" ref="S368:S375" si="207">IF((VLOOKUP($D368,$C$5:$AA$494,17,)=0),0,((VLOOKUP($D368,$C$5:$AA$494,17,)/VLOOKUP($D368,$C$5:$AA$494,4,))*$F368))</f>
        <v>0</v>
      </c>
      <c r="T368" s="50"/>
      <c r="U368" s="50">
        <f t="shared" ref="U368:U375" si="208">IF((VLOOKUP($D368,$C$5:$AA$494,19,)=0),0,((VLOOKUP($D368,$C$5:$AA$494,19,)/VLOOKUP($D368,$C$5:$AA$494,4,))*$F368))</f>
        <v>0</v>
      </c>
      <c r="V368" s="50"/>
      <c r="W368" s="50">
        <f t="shared" ref="W368:W375" si="209">IF((VLOOKUP($D368,$C$5:$AA$494,21,)=0),0,((VLOOKUP($D368,$C$5:$AA$494,21,)/VLOOKUP($D368,$C$5:$AA$494,4,))*$F368))</f>
        <v>0</v>
      </c>
      <c r="X368" s="50"/>
      <c r="Y368" s="50">
        <f t="shared" ref="Y368:Y375" si="210">IF((VLOOKUP($D368,$C$5:$AA$494,23,)=0),0,((VLOOKUP($D368,$C$5:$AA$494,23,)/VLOOKUP($D368,$C$5:$AA$494,4,))*$F368))</f>
        <v>0</v>
      </c>
      <c r="Z368" s="50"/>
      <c r="AA368" s="50">
        <f t="shared" ref="AA368:AA375" si="211">IF((VLOOKUP($D368,$C$5:$AA$494,25,)=0),0,((VLOOKUP($D368,$C$5:$AA$494,25,)/VLOOKUP($D368,$C$5:$AA$494,4,))*$F368))</f>
        <v>0</v>
      </c>
      <c r="AB368" s="50">
        <f t="shared" ref="AB368:AB375" si="212">SUM(H368:AA368)</f>
        <v>0</v>
      </c>
      <c r="AC368" s="31" t="str">
        <f t="shared" ref="AC368:AC375" si="213">IF(ABS(AB368-F368)&lt;1,"ok","err")</f>
        <v>ok</v>
      </c>
    </row>
    <row r="369" spans="1:29" x14ac:dyDescent="0.2">
      <c r="A369" s="14">
        <v>561</v>
      </c>
      <c r="B369" s="14" t="s">
        <v>101</v>
      </c>
      <c r="C369" s="14" t="s">
        <v>476</v>
      </c>
      <c r="D369" s="14" t="s">
        <v>390</v>
      </c>
      <c r="F369" s="50">
        <v>0</v>
      </c>
      <c r="G369" s="66"/>
      <c r="H369" s="50">
        <f t="shared" si="200"/>
        <v>0</v>
      </c>
      <c r="I369" s="50">
        <f t="shared" si="201"/>
        <v>0</v>
      </c>
      <c r="J369" s="50"/>
      <c r="K369" s="50">
        <f t="shared" si="202"/>
        <v>0</v>
      </c>
      <c r="L369" s="50"/>
      <c r="M369" s="50">
        <f t="shared" si="203"/>
        <v>0</v>
      </c>
      <c r="N369" s="50"/>
      <c r="O369" s="50">
        <f t="shared" si="204"/>
        <v>0</v>
      </c>
      <c r="P369" s="50">
        <f t="shared" si="205"/>
        <v>0</v>
      </c>
      <c r="Q369" s="50"/>
      <c r="R369" s="50">
        <f t="shared" si="206"/>
        <v>0</v>
      </c>
      <c r="S369" s="50">
        <f t="shared" si="207"/>
        <v>0</v>
      </c>
      <c r="T369" s="50"/>
      <c r="U369" s="50">
        <f t="shared" si="208"/>
        <v>0</v>
      </c>
      <c r="V369" s="50"/>
      <c r="W369" s="50">
        <f t="shared" si="209"/>
        <v>0</v>
      </c>
      <c r="X369" s="50"/>
      <c r="Y369" s="50">
        <f t="shared" si="210"/>
        <v>0</v>
      </c>
      <c r="Z369" s="50"/>
      <c r="AA369" s="50">
        <f t="shared" si="211"/>
        <v>0</v>
      </c>
      <c r="AB369" s="50">
        <f t="shared" si="212"/>
        <v>0</v>
      </c>
      <c r="AC369" s="31" t="str">
        <f t="shared" si="213"/>
        <v>ok</v>
      </c>
    </row>
    <row r="370" spans="1:29" x14ac:dyDescent="0.2">
      <c r="A370" s="14">
        <v>562</v>
      </c>
      <c r="B370" s="14" t="s">
        <v>372</v>
      </c>
      <c r="C370" s="14" t="s">
        <v>477</v>
      </c>
      <c r="D370" s="14" t="s">
        <v>390</v>
      </c>
      <c r="F370" s="50">
        <v>0</v>
      </c>
      <c r="G370" s="66"/>
      <c r="H370" s="50">
        <f t="shared" si="200"/>
        <v>0</v>
      </c>
      <c r="I370" s="50">
        <f t="shared" si="201"/>
        <v>0</v>
      </c>
      <c r="J370" s="50"/>
      <c r="K370" s="50">
        <f t="shared" si="202"/>
        <v>0</v>
      </c>
      <c r="L370" s="50"/>
      <c r="M370" s="50">
        <f t="shared" si="203"/>
        <v>0</v>
      </c>
      <c r="N370" s="50"/>
      <c r="O370" s="50">
        <f t="shared" si="204"/>
        <v>0</v>
      </c>
      <c r="P370" s="50">
        <f t="shared" si="205"/>
        <v>0</v>
      </c>
      <c r="Q370" s="50"/>
      <c r="R370" s="50">
        <f t="shared" si="206"/>
        <v>0</v>
      </c>
      <c r="S370" s="50">
        <f t="shared" si="207"/>
        <v>0</v>
      </c>
      <c r="T370" s="50"/>
      <c r="U370" s="50">
        <f t="shared" si="208"/>
        <v>0</v>
      </c>
      <c r="V370" s="50"/>
      <c r="W370" s="50">
        <f t="shared" si="209"/>
        <v>0</v>
      </c>
      <c r="X370" s="50"/>
      <c r="Y370" s="50">
        <f t="shared" si="210"/>
        <v>0</v>
      </c>
      <c r="Z370" s="50"/>
      <c r="AA370" s="50">
        <f t="shared" si="211"/>
        <v>0</v>
      </c>
      <c r="AB370" s="50">
        <f t="shared" si="212"/>
        <v>0</v>
      </c>
      <c r="AC370" s="31" t="str">
        <f t="shared" si="213"/>
        <v>ok</v>
      </c>
    </row>
    <row r="371" spans="1:29" x14ac:dyDescent="0.2">
      <c r="A371" s="14">
        <v>563</v>
      </c>
      <c r="B371" s="14" t="s">
        <v>103</v>
      </c>
      <c r="C371" s="14" t="s">
        <v>478</v>
      </c>
      <c r="D371" s="14" t="s">
        <v>390</v>
      </c>
      <c r="F371" s="50">
        <v>0</v>
      </c>
      <c r="G371" s="66"/>
      <c r="H371" s="50">
        <f t="shared" si="200"/>
        <v>0</v>
      </c>
      <c r="I371" s="50">
        <f t="shared" si="201"/>
        <v>0</v>
      </c>
      <c r="J371" s="50"/>
      <c r="K371" s="50">
        <f t="shared" si="202"/>
        <v>0</v>
      </c>
      <c r="L371" s="50"/>
      <c r="M371" s="50">
        <f t="shared" si="203"/>
        <v>0</v>
      </c>
      <c r="N371" s="50"/>
      <c r="O371" s="50">
        <f t="shared" si="204"/>
        <v>0</v>
      </c>
      <c r="P371" s="50">
        <f t="shared" si="205"/>
        <v>0</v>
      </c>
      <c r="Q371" s="50"/>
      <c r="R371" s="50">
        <f t="shared" si="206"/>
        <v>0</v>
      </c>
      <c r="S371" s="50">
        <f t="shared" si="207"/>
        <v>0</v>
      </c>
      <c r="T371" s="50"/>
      <c r="U371" s="50">
        <f t="shared" si="208"/>
        <v>0</v>
      </c>
      <c r="V371" s="50"/>
      <c r="W371" s="50">
        <f t="shared" si="209"/>
        <v>0</v>
      </c>
      <c r="X371" s="50"/>
      <c r="Y371" s="50">
        <f t="shared" si="210"/>
        <v>0</v>
      </c>
      <c r="Z371" s="50"/>
      <c r="AA371" s="50">
        <f t="shared" si="211"/>
        <v>0</v>
      </c>
      <c r="AB371" s="50">
        <f t="shared" si="212"/>
        <v>0</v>
      </c>
      <c r="AC371" s="31" t="str">
        <f t="shared" si="213"/>
        <v>ok</v>
      </c>
    </row>
    <row r="372" spans="1:29" x14ac:dyDescent="0.2">
      <c r="A372" s="14">
        <v>566</v>
      </c>
      <c r="B372" s="14" t="s">
        <v>585</v>
      </c>
      <c r="C372" s="14" t="s">
        <v>589</v>
      </c>
      <c r="D372" s="14" t="s">
        <v>390</v>
      </c>
      <c r="F372" s="50">
        <v>0</v>
      </c>
      <c r="G372" s="66"/>
      <c r="H372" s="50">
        <f t="shared" si="200"/>
        <v>0</v>
      </c>
      <c r="I372" s="50">
        <f t="shared" si="201"/>
        <v>0</v>
      </c>
      <c r="J372" s="50"/>
      <c r="K372" s="50">
        <f t="shared" si="202"/>
        <v>0</v>
      </c>
      <c r="L372" s="50"/>
      <c r="M372" s="50">
        <f t="shared" si="203"/>
        <v>0</v>
      </c>
      <c r="N372" s="50"/>
      <c r="O372" s="50">
        <f t="shared" si="204"/>
        <v>0</v>
      </c>
      <c r="P372" s="50">
        <f t="shared" si="205"/>
        <v>0</v>
      </c>
      <c r="Q372" s="50"/>
      <c r="R372" s="50">
        <f t="shared" si="206"/>
        <v>0</v>
      </c>
      <c r="S372" s="50">
        <f t="shared" si="207"/>
        <v>0</v>
      </c>
      <c r="T372" s="50"/>
      <c r="U372" s="50">
        <f t="shared" si="208"/>
        <v>0</v>
      </c>
      <c r="V372" s="50"/>
      <c r="W372" s="50">
        <f t="shared" si="209"/>
        <v>0</v>
      </c>
      <c r="X372" s="50"/>
      <c r="Y372" s="50">
        <f t="shared" si="210"/>
        <v>0</v>
      </c>
      <c r="Z372" s="50"/>
      <c r="AA372" s="50">
        <f t="shared" si="211"/>
        <v>0</v>
      </c>
      <c r="AB372" s="50">
        <f>SUM(H372:AA372)</f>
        <v>0</v>
      </c>
      <c r="AC372" s="31" t="str">
        <f>IF(ABS(AB372-F372)&lt;1,"ok","err")</f>
        <v>ok</v>
      </c>
    </row>
    <row r="373" spans="1:29" x14ac:dyDescent="0.2">
      <c r="A373" s="14">
        <v>568</v>
      </c>
      <c r="B373" s="14" t="s">
        <v>373</v>
      </c>
      <c r="C373" s="14" t="s">
        <v>479</v>
      </c>
      <c r="D373" s="14" t="s">
        <v>390</v>
      </c>
      <c r="F373" s="50">
        <v>0</v>
      </c>
      <c r="G373" s="66"/>
      <c r="H373" s="50">
        <f t="shared" si="200"/>
        <v>0</v>
      </c>
      <c r="I373" s="50">
        <f t="shared" si="201"/>
        <v>0</v>
      </c>
      <c r="J373" s="50"/>
      <c r="K373" s="50">
        <f t="shared" si="202"/>
        <v>0</v>
      </c>
      <c r="L373" s="50"/>
      <c r="M373" s="50">
        <f t="shared" si="203"/>
        <v>0</v>
      </c>
      <c r="N373" s="50"/>
      <c r="O373" s="50">
        <f t="shared" si="204"/>
        <v>0</v>
      </c>
      <c r="P373" s="50">
        <f t="shared" si="205"/>
        <v>0</v>
      </c>
      <c r="Q373" s="50"/>
      <c r="R373" s="50">
        <f t="shared" si="206"/>
        <v>0</v>
      </c>
      <c r="S373" s="50">
        <f t="shared" si="207"/>
        <v>0</v>
      </c>
      <c r="T373" s="50"/>
      <c r="U373" s="50">
        <f t="shared" si="208"/>
        <v>0</v>
      </c>
      <c r="V373" s="50"/>
      <c r="W373" s="50">
        <f t="shared" si="209"/>
        <v>0</v>
      </c>
      <c r="X373" s="50"/>
      <c r="Y373" s="50">
        <f t="shared" si="210"/>
        <v>0</v>
      </c>
      <c r="Z373" s="50"/>
      <c r="AA373" s="50">
        <f t="shared" si="211"/>
        <v>0</v>
      </c>
      <c r="AB373" s="50">
        <f t="shared" si="212"/>
        <v>0</v>
      </c>
      <c r="AC373" s="31" t="str">
        <f t="shared" si="213"/>
        <v>ok</v>
      </c>
    </row>
    <row r="374" spans="1:29" x14ac:dyDescent="0.2">
      <c r="A374" s="14">
        <v>570</v>
      </c>
      <c r="B374" s="14" t="s">
        <v>375</v>
      </c>
      <c r="C374" s="14" t="s">
        <v>480</v>
      </c>
      <c r="D374" s="14" t="s">
        <v>390</v>
      </c>
      <c r="F374" s="50">
        <v>0</v>
      </c>
      <c r="G374" s="66"/>
      <c r="H374" s="50">
        <f t="shared" si="200"/>
        <v>0</v>
      </c>
      <c r="I374" s="50">
        <f t="shared" si="201"/>
        <v>0</v>
      </c>
      <c r="J374" s="50"/>
      <c r="K374" s="50">
        <f t="shared" si="202"/>
        <v>0</v>
      </c>
      <c r="L374" s="50"/>
      <c r="M374" s="50">
        <f t="shared" si="203"/>
        <v>0</v>
      </c>
      <c r="N374" s="50"/>
      <c r="O374" s="50">
        <f t="shared" si="204"/>
        <v>0</v>
      </c>
      <c r="P374" s="50">
        <f t="shared" si="205"/>
        <v>0</v>
      </c>
      <c r="Q374" s="50"/>
      <c r="R374" s="50">
        <f t="shared" si="206"/>
        <v>0</v>
      </c>
      <c r="S374" s="50">
        <f t="shared" si="207"/>
        <v>0</v>
      </c>
      <c r="T374" s="50"/>
      <c r="U374" s="50">
        <f t="shared" si="208"/>
        <v>0</v>
      </c>
      <c r="V374" s="50"/>
      <c r="W374" s="50">
        <f t="shared" si="209"/>
        <v>0</v>
      </c>
      <c r="X374" s="50"/>
      <c r="Y374" s="50">
        <f t="shared" si="210"/>
        <v>0</v>
      </c>
      <c r="Z374" s="50"/>
      <c r="AA374" s="50">
        <f t="shared" si="211"/>
        <v>0</v>
      </c>
      <c r="AB374" s="50">
        <f t="shared" si="212"/>
        <v>0</v>
      </c>
      <c r="AC374" s="31" t="str">
        <f t="shared" si="213"/>
        <v>ok</v>
      </c>
    </row>
    <row r="375" spans="1:29" x14ac:dyDescent="0.2">
      <c r="A375" s="14">
        <v>571</v>
      </c>
      <c r="B375" s="14" t="s">
        <v>376</v>
      </c>
      <c r="C375" s="14" t="s">
        <v>481</v>
      </c>
      <c r="D375" s="14" t="s">
        <v>390</v>
      </c>
      <c r="F375" s="50">
        <v>0</v>
      </c>
      <c r="G375" s="66"/>
      <c r="H375" s="50">
        <f t="shared" si="200"/>
        <v>0</v>
      </c>
      <c r="I375" s="50">
        <f t="shared" si="201"/>
        <v>0</v>
      </c>
      <c r="J375" s="50"/>
      <c r="K375" s="50">
        <f t="shared" si="202"/>
        <v>0</v>
      </c>
      <c r="L375" s="50"/>
      <c r="M375" s="50">
        <f t="shared" si="203"/>
        <v>0</v>
      </c>
      <c r="N375" s="50"/>
      <c r="O375" s="50">
        <f t="shared" si="204"/>
        <v>0</v>
      </c>
      <c r="P375" s="50">
        <f t="shared" si="205"/>
        <v>0</v>
      </c>
      <c r="Q375" s="50"/>
      <c r="R375" s="50">
        <f t="shared" si="206"/>
        <v>0</v>
      </c>
      <c r="S375" s="50">
        <f t="shared" si="207"/>
        <v>0</v>
      </c>
      <c r="T375" s="50"/>
      <c r="U375" s="50">
        <f t="shared" si="208"/>
        <v>0</v>
      </c>
      <c r="V375" s="50"/>
      <c r="W375" s="50">
        <f t="shared" si="209"/>
        <v>0</v>
      </c>
      <c r="X375" s="50"/>
      <c r="Y375" s="50">
        <f t="shared" si="210"/>
        <v>0</v>
      </c>
      <c r="Z375" s="50"/>
      <c r="AA375" s="50">
        <f t="shared" si="211"/>
        <v>0</v>
      </c>
      <c r="AB375" s="50">
        <f t="shared" si="212"/>
        <v>0</v>
      </c>
      <c r="AC375" s="31" t="str">
        <f t="shared" si="213"/>
        <v>ok</v>
      </c>
    </row>
    <row r="376" spans="1:29" x14ac:dyDescent="0.2"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50"/>
      <c r="AC376" s="31"/>
    </row>
    <row r="377" spans="1:29" x14ac:dyDescent="0.2">
      <c r="A377" s="14" t="s">
        <v>533</v>
      </c>
      <c r="F377" s="95">
        <f>SUM(F368:F375)</f>
        <v>0</v>
      </c>
      <c r="G377" s="95"/>
      <c r="H377" s="95">
        <f>SUM(H368:H375)</f>
        <v>0</v>
      </c>
      <c r="I377" s="95">
        <f>SUM(I368:I375)</f>
        <v>0</v>
      </c>
      <c r="J377" s="95"/>
      <c r="K377" s="95">
        <f>SUM(K368:K375)</f>
        <v>0</v>
      </c>
      <c r="L377" s="95"/>
      <c r="M377" s="95">
        <f>SUM(M368:M375)</f>
        <v>0</v>
      </c>
      <c r="N377" s="95"/>
      <c r="O377" s="95">
        <f>SUM(O368:O375)</f>
        <v>0</v>
      </c>
      <c r="P377" s="95">
        <f>SUM(P368:P375)</f>
        <v>0</v>
      </c>
      <c r="Q377" s="95"/>
      <c r="R377" s="95">
        <f>SUM(R368:R375)</f>
        <v>0</v>
      </c>
      <c r="S377" s="95">
        <f>SUM(S368:S375)</f>
        <v>0</v>
      </c>
      <c r="T377" s="95"/>
      <c r="U377" s="95">
        <f>SUM(U368:U375)</f>
        <v>0</v>
      </c>
      <c r="V377" s="95"/>
      <c r="W377" s="95">
        <f>SUM(W368:W375)</f>
        <v>0</v>
      </c>
      <c r="X377" s="95"/>
      <c r="Y377" s="95">
        <f>SUM(Y368:Y375)</f>
        <v>0</v>
      </c>
      <c r="Z377" s="95"/>
      <c r="AA377" s="95">
        <f>SUM(AA368:AA375)</f>
        <v>0</v>
      </c>
      <c r="AB377" s="66">
        <f>SUM(H377:AA377)</f>
        <v>0</v>
      </c>
      <c r="AC377" s="31" t="str">
        <f>IF(ABS(AB377-F377)&lt;1,"ok","err")</f>
        <v>ok</v>
      </c>
    </row>
    <row r="378" spans="1:29" x14ac:dyDescent="0.2">
      <c r="Q378" s="14"/>
      <c r="AC378" s="31"/>
    </row>
    <row r="379" spans="1:29" x14ac:dyDescent="0.2">
      <c r="A379" s="13" t="s">
        <v>535</v>
      </c>
      <c r="Q379" s="14"/>
      <c r="AC379" s="31"/>
    </row>
    <row r="380" spans="1:29" x14ac:dyDescent="0.2">
      <c r="A380" s="14">
        <v>580</v>
      </c>
      <c r="B380" s="14" t="s">
        <v>99</v>
      </c>
      <c r="C380" s="14" t="s">
        <v>482</v>
      </c>
      <c r="D380" s="14" t="s">
        <v>16</v>
      </c>
      <c r="F380" s="66">
        <v>70901</v>
      </c>
      <c r="H380" s="50">
        <f t="shared" ref="H380:H390" si="214">IF(VLOOKUP($D380,$C$5:$AA$494,6,)=0,0,((VLOOKUP($D380,$C$5:$AA$494,6,)/VLOOKUP($D380,$C$5:$AA$494,4,))*$F380))</f>
        <v>0</v>
      </c>
      <c r="I380" s="50">
        <f t="shared" ref="I380:I390" si="215">IF(VLOOKUP($D380,$C$5:$AA$494,7,)=0,0,((VLOOKUP($D380,$C$5:$AA$494,7,)/VLOOKUP($D380,$C$5:$AA$494,4,))*$F380))</f>
        <v>0</v>
      </c>
      <c r="J380" s="50"/>
      <c r="K380" s="50">
        <f t="shared" ref="K380:K390" si="216">IF(VLOOKUP($D380,$C$5:$AA$494,9,)=0,0,((VLOOKUP($D380,$C$5:$AA$494,9,)/VLOOKUP($D380,$C$5:$AA$494,4,))*$F380))</f>
        <v>0</v>
      </c>
      <c r="L380" s="50"/>
      <c r="M380" s="50">
        <f t="shared" ref="M380:M390" si="217">IF(VLOOKUP($D380,$C$5:$AA$494,11,)=0,0,((VLOOKUP($D380,$C$5:$AA$494,11,)/VLOOKUP($D380,$C$5:$AA$494,4,))*$F380))</f>
        <v>531.26990972361421</v>
      </c>
      <c r="N380" s="50"/>
      <c r="O380" s="50">
        <f t="shared" ref="O380:O390" si="218">IF(VLOOKUP($D380,$C$5:$AA$494,13,)=0,0,((VLOOKUP($D380,$C$5:$AA$494,13,)/VLOOKUP($D380,$C$5:$AA$494,4,))*$F380))</f>
        <v>31890.704580485133</v>
      </c>
      <c r="P380" s="50">
        <f t="shared" ref="P380:P390" si="219">IF(VLOOKUP($D380,$C$5:$AA$494,14,)=0,0,((VLOOKUP($D380,$C$5:$AA$494,14,)/VLOOKUP($D380,$C$5:$AA$494,4,))*$F380))</f>
        <v>24183.178810171532</v>
      </c>
      <c r="Q380" s="50"/>
      <c r="R380" s="50">
        <f t="shared" ref="R380:R390" si="220">IF(VLOOKUP($D380,$C$5:$AA$494,16,)=0,0,((VLOOKUP($D380,$C$5:$AA$494,16,)/VLOOKUP($D380,$C$5:$AA$494,4,))*$F380))</f>
        <v>0</v>
      </c>
      <c r="S380" s="50">
        <f t="shared" ref="S380:S390" si="221">IF(VLOOKUP($D380,$C$5:$AA$494,17,)=0,0,((VLOOKUP($D380,$C$5:$AA$494,17,)/VLOOKUP($D380,$C$5:$AA$494,4,))*$F380))</f>
        <v>7598.5780997506317</v>
      </c>
      <c r="T380" s="50"/>
      <c r="U380" s="50">
        <f t="shared" ref="U380:U390" si="222">IF(VLOOKUP($D380,$C$5:$AA$494,19,)=0,0,((VLOOKUP($D380,$C$5:$AA$494,19,)/VLOOKUP($D380,$C$5:$AA$494,4,))*$F380))</f>
        <v>3877.4632206178194</v>
      </c>
      <c r="V380" s="50"/>
      <c r="W380" s="50">
        <f t="shared" ref="W380:W390" si="223">IF(VLOOKUP($D380,$C$5:$AA$494,21,)=0,0,((VLOOKUP($D380,$C$5:$AA$494,21,)/VLOOKUP($D380,$C$5:$AA$494,4,))*$F380))</f>
        <v>2819.8053792512678</v>
      </c>
      <c r="X380" s="50"/>
      <c r="Y380" s="50">
        <f t="shared" ref="Y380:Y390" si="224">IF(VLOOKUP($D380,$C$5:$AA$494,23,)=0,0,((VLOOKUP($D380,$C$5:$AA$494,23,)/VLOOKUP($D380,$C$5:$AA$494,4,))*$F380))</f>
        <v>0</v>
      </c>
      <c r="Z380" s="50"/>
      <c r="AA380" s="50">
        <f t="shared" ref="AA380:AA390" si="225">IF(VLOOKUP($D380,$C$5:$AA$494,25,)=0,0,((VLOOKUP($D380,$C$5:$AA$494,25,)/VLOOKUP($D380,$C$5:$AA$494,4,))*$F380))</f>
        <v>0</v>
      </c>
      <c r="AB380" s="50">
        <f t="shared" ref="AB380:AB390" si="226">SUM(H380:AA380)</f>
        <v>70900.999999999985</v>
      </c>
      <c r="AC380" s="31" t="str">
        <f t="shared" ref="AC380:AC390" si="227">IF(ABS(AB380-F380)&lt;1,"ok","err")</f>
        <v>ok</v>
      </c>
    </row>
    <row r="381" spans="1:29" x14ac:dyDescent="0.2">
      <c r="A381" s="14">
        <v>581</v>
      </c>
      <c r="B381" s="14" t="s">
        <v>101</v>
      </c>
      <c r="C381" s="14" t="s">
        <v>483</v>
      </c>
      <c r="D381" s="14" t="s">
        <v>23</v>
      </c>
      <c r="F381" s="50">
        <v>0</v>
      </c>
      <c r="H381" s="50">
        <f t="shared" si="214"/>
        <v>0</v>
      </c>
      <c r="I381" s="50">
        <f t="shared" si="215"/>
        <v>0</v>
      </c>
      <c r="J381" s="50"/>
      <c r="K381" s="50">
        <f t="shared" si="216"/>
        <v>0</v>
      </c>
      <c r="L381" s="50"/>
      <c r="M381" s="50">
        <f t="shared" si="217"/>
        <v>0</v>
      </c>
      <c r="N381" s="50"/>
      <c r="O381" s="50">
        <f t="shared" si="218"/>
        <v>0</v>
      </c>
      <c r="P381" s="50">
        <f t="shared" si="219"/>
        <v>0</v>
      </c>
      <c r="Q381" s="50"/>
      <c r="R381" s="50">
        <f t="shared" si="220"/>
        <v>0</v>
      </c>
      <c r="S381" s="50">
        <f t="shared" si="221"/>
        <v>0</v>
      </c>
      <c r="T381" s="50"/>
      <c r="U381" s="50">
        <f t="shared" si="222"/>
        <v>0</v>
      </c>
      <c r="V381" s="50"/>
      <c r="W381" s="50">
        <f t="shared" si="223"/>
        <v>0</v>
      </c>
      <c r="X381" s="50"/>
      <c r="Y381" s="50">
        <f t="shared" si="224"/>
        <v>0</v>
      </c>
      <c r="Z381" s="50"/>
      <c r="AA381" s="50">
        <f t="shared" si="225"/>
        <v>0</v>
      </c>
      <c r="AB381" s="50">
        <f t="shared" si="226"/>
        <v>0</v>
      </c>
      <c r="AC381" s="31" t="str">
        <f t="shared" si="227"/>
        <v>ok</v>
      </c>
    </row>
    <row r="382" spans="1:29" x14ac:dyDescent="0.2">
      <c r="A382" s="14">
        <v>582</v>
      </c>
      <c r="B382" s="14" t="s">
        <v>372</v>
      </c>
      <c r="C382" s="14" t="s">
        <v>484</v>
      </c>
      <c r="D382" s="14" t="s">
        <v>23</v>
      </c>
      <c r="F382" s="50">
        <v>0</v>
      </c>
      <c r="H382" s="50">
        <f t="shared" si="214"/>
        <v>0</v>
      </c>
      <c r="I382" s="50">
        <f t="shared" si="215"/>
        <v>0</v>
      </c>
      <c r="J382" s="50"/>
      <c r="K382" s="50">
        <f t="shared" si="216"/>
        <v>0</v>
      </c>
      <c r="L382" s="50"/>
      <c r="M382" s="50">
        <f t="shared" si="217"/>
        <v>0</v>
      </c>
      <c r="N382" s="50"/>
      <c r="O382" s="50">
        <f t="shared" si="218"/>
        <v>0</v>
      </c>
      <c r="P382" s="50">
        <f t="shared" si="219"/>
        <v>0</v>
      </c>
      <c r="Q382" s="50"/>
      <c r="R382" s="50">
        <f t="shared" si="220"/>
        <v>0</v>
      </c>
      <c r="S382" s="50">
        <f t="shared" si="221"/>
        <v>0</v>
      </c>
      <c r="T382" s="50"/>
      <c r="U382" s="50">
        <f t="shared" si="222"/>
        <v>0</v>
      </c>
      <c r="V382" s="50"/>
      <c r="W382" s="50">
        <f t="shared" si="223"/>
        <v>0</v>
      </c>
      <c r="X382" s="50"/>
      <c r="Y382" s="50">
        <f t="shared" si="224"/>
        <v>0</v>
      </c>
      <c r="Z382" s="50"/>
      <c r="AA382" s="50">
        <f t="shared" si="225"/>
        <v>0</v>
      </c>
      <c r="AB382" s="50">
        <f t="shared" si="226"/>
        <v>0</v>
      </c>
      <c r="AC382" s="31" t="str">
        <f t="shared" si="227"/>
        <v>ok</v>
      </c>
    </row>
    <row r="383" spans="1:29" x14ac:dyDescent="0.2">
      <c r="A383" s="14">
        <v>583</v>
      </c>
      <c r="B383" s="14" t="s">
        <v>103</v>
      </c>
      <c r="C383" s="14" t="s">
        <v>485</v>
      </c>
      <c r="D383" s="14" t="s">
        <v>29</v>
      </c>
      <c r="F383" s="50">
        <f>92842+171052+145890+30149</f>
        <v>439933</v>
      </c>
      <c r="H383" s="50">
        <f t="shared" si="214"/>
        <v>0</v>
      </c>
      <c r="I383" s="50">
        <f t="shared" si="215"/>
        <v>0</v>
      </c>
      <c r="J383" s="50"/>
      <c r="K383" s="50">
        <f t="shared" si="216"/>
        <v>0</v>
      </c>
      <c r="L383" s="50"/>
      <c r="M383" s="50">
        <f t="shared" si="217"/>
        <v>0</v>
      </c>
      <c r="N383" s="50"/>
      <c r="O383" s="50">
        <f t="shared" si="218"/>
        <v>266936.11666925467</v>
      </c>
      <c r="P383" s="50">
        <f t="shared" si="219"/>
        <v>172996.8833307453</v>
      </c>
      <c r="Q383" s="50"/>
      <c r="R383" s="50">
        <f t="shared" si="220"/>
        <v>0</v>
      </c>
      <c r="S383" s="50">
        <f t="shared" si="221"/>
        <v>0</v>
      </c>
      <c r="T383" s="50"/>
      <c r="U383" s="50">
        <f t="shared" si="222"/>
        <v>0</v>
      </c>
      <c r="V383" s="50"/>
      <c r="W383" s="50">
        <f t="shared" si="223"/>
        <v>0</v>
      </c>
      <c r="X383" s="50"/>
      <c r="Y383" s="50">
        <f t="shared" si="224"/>
        <v>0</v>
      </c>
      <c r="Z383" s="50"/>
      <c r="AA383" s="50">
        <f t="shared" si="225"/>
        <v>0</v>
      </c>
      <c r="AB383" s="50">
        <f t="shared" si="226"/>
        <v>439933</v>
      </c>
      <c r="AC383" s="31" t="str">
        <f t="shared" si="227"/>
        <v>ok</v>
      </c>
    </row>
    <row r="384" spans="1:29" x14ac:dyDescent="0.2">
      <c r="A384" s="14">
        <v>584</v>
      </c>
      <c r="B384" s="14" t="s">
        <v>105</v>
      </c>
      <c r="C384" s="14" t="s">
        <v>486</v>
      </c>
      <c r="D384" s="14" t="s">
        <v>35</v>
      </c>
      <c r="F384" s="50">
        <v>15350</v>
      </c>
      <c r="H384" s="50">
        <f t="shared" si="214"/>
        <v>0</v>
      </c>
      <c r="I384" s="50">
        <f t="shared" si="215"/>
        <v>0</v>
      </c>
      <c r="J384" s="50"/>
      <c r="K384" s="50">
        <f t="shared" si="216"/>
        <v>0</v>
      </c>
      <c r="L384" s="50"/>
      <c r="M384" s="50">
        <f t="shared" si="217"/>
        <v>0</v>
      </c>
      <c r="N384" s="50"/>
      <c r="O384" s="50">
        <f t="shared" si="218"/>
        <v>2916.3413239432093</v>
      </c>
      <c r="P384" s="50">
        <f t="shared" si="219"/>
        <v>12433.658676056792</v>
      </c>
      <c r="Q384" s="50"/>
      <c r="R384" s="50">
        <f t="shared" si="220"/>
        <v>0</v>
      </c>
      <c r="S384" s="50">
        <f t="shared" si="221"/>
        <v>0</v>
      </c>
      <c r="T384" s="50"/>
      <c r="U384" s="50">
        <f t="shared" si="222"/>
        <v>0</v>
      </c>
      <c r="V384" s="50"/>
      <c r="W384" s="50">
        <f t="shared" si="223"/>
        <v>0</v>
      </c>
      <c r="X384" s="50"/>
      <c r="Y384" s="50">
        <f t="shared" si="224"/>
        <v>0</v>
      </c>
      <c r="Z384" s="50"/>
      <c r="AA384" s="50">
        <f t="shared" si="225"/>
        <v>0</v>
      </c>
      <c r="AB384" s="50">
        <f t="shared" si="226"/>
        <v>15350</v>
      </c>
      <c r="AC384" s="31" t="str">
        <f t="shared" si="227"/>
        <v>ok</v>
      </c>
    </row>
    <row r="385" spans="1:29" x14ac:dyDescent="0.2">
      <c r="A385" s="14">
        <v>585</v>
      </c>
      <c r="B385" s="14" t="s">
        <v>107</v>
      </c>
      <c r="C385" s="14" t="s">
        <v>487</v>
      </c>
      <c r="D385" s="14" t="s">
        <v>46</v>
      </c>
      <c r="F385" s="50">
        <v>0</v>
      </c>
      <c r="H385" s="50">
        <f t="shared" si="214"/>
        <v>0</v>
      </c>
      <c r="I385" s="50">
        <f t="shared" si="215"/>
        <v>0</v>
      </c>
      <c r="J385" s="50"/>
      <c r="K385" s="50">
        <f t="shared" si="216"/>
        <v>0</v>
      </c>
      <c r="L385" s="50"/>
      <c r="M385" s="50">
        <f t="shared" si="217"/>
        <v>0</v>
      </c>
      <c r="N385" s="50"/>
      <c r="O385" s="50">
        <f t="shared" si="218"/>
        <v>0</v>
      </c>
      <c r="P385" s="50">
        <f t="shared" si="219"/>
        <v>0</v>
      </c>
      <c r="Q385" s="50"/>
      <c r="R385" s="50">
        <f t="shared" si="220"/>
        <v>0</v>
      </c>
      <c r="S385" s="50">
        <f t="shared" si="221"/>
        <v>0</v>
      </c>
      <c r="T385" s="50"/>
      <c r="U385" s="50">
        <f t="shared" si="222"/>
        <v>0</v>
      </c>
      <c r="V385" s="50"/>
      <c r="W385" s="50">
        <f t="shared" si="223"/>
        <v>0</v>
      </c>
      <c r="X385" s="50"/>
      <c r="Y385" s="50">
        <f t="shared" si="224"/>
        <v>0</v>
      </c>
      <c r="Z385" s="50"/>
      <c r="AA385" s="50">
        <f t="shared" si="225"/>
        <v>0</v>
      </c>
      <c r="AB385" s="50">
        <f t="shared" si="226"/>
        <v>0</v>
      </c>
      <c r="AC385" s="31" t="str">
        <f t="shared" si="227"/>
        <v>ok</v>
      </c>
    </row>
    <row r="386" spans="1:29" x14ac:dyDescent="0.2">
      <c r="A386" s="14">
        <v>586</v>
      </c>
      <c r="B386" s="14" t="s">
        <v>109</v>
      </c>
      <c r="C386" s="14" t="s">
        <v>488</v>
      </c>
      <c r="D386" s="14" t="s">
        <v>43</v>
      </c>
      <c r="F386" s="50">
        <f>743868+563134+179706</f>
        <v>1486708</v>
      </c>
      <c r="H386" s="50">
        <f t="shared" si="214"/>
        <v>0</v>
      </c>
      <c r="I386" s="50">
        <f t="shared" si="215"/>
        <v>0</v>
      </c>
      <c r="J386" s="50"/>
      <c r="K386" s="50">
        <f t="shared" si="216"/>
        <v>0</v>
      </c>
      <c r="L386" s="50"/>
      <c r="M386" s="50">
        <f t="shared" si="217"/>
        <v>0</v>
      </c>
      <c r="N386" s="50"/>
      <c r="O386" s="50">
        <f t="shared" si="218"/>
        <v>0</v>
      </c>
      <c r="P386" s="50">
        <f t="shared" si="219"/>
        <v>0</v>
      </c>
      <c r="Q386" s="50"/>
      <c r="R386" s="50">
        <f t="shared" si="220"/>
        <v>0</v>
      </c>
      <c r="S386" s="50">
        <f t="shared" si="221"/>
        <v>0</v>
      </c>
      <c r="T386" s="50"/>
      <c r="U386" s="50">
        <f t="shared" si="222"/>
        <v>1486708</v>
      </c>
      <c r="V386" s="50"/>
      <c r="W386" s="50">
        <f t="shared" si="223"/>
        <v>0</v>
      </c>
      <c r="X386" s="50"/>
      <c r="Y386" s="50">
        <f t="shared" si="224"/>
        <v>0</v>
      </c>
      <c r="Z386" s="50"/>
      <c r="AA386" s="50">
        <f t="shared" si="225"/>
        <v>0</v>
      </c>
      <c r="AB386" s="50">
        <f t="shared" si="226"/>
        <v>1486708</v>
      </c>
      <c r="AC386" s="31" t="str">
        <f t="shared" si="227"/>
        <v>ok</v>
      </c>
    </row>
    <row r="387" spans="1:29" x14ac:dyDescent="0.2">
      <c r="A387" s="14">
        <v>586</v>
      </c>
      <c r="B387" s="14" t="s">
        <v>450</v>
      </c>
      <c r="C387" s="14" t="s">
        <v>489</v>
      </c>
      <c r="D387" s="14" t="s">
        <v>471</v>
      </c>
      <c r="F387" s="50">
        <v>0</v>
      </c>
      <c r="H387" s="50">
        <f t="shared" si="214"/>
        <v>0</v>
      </c>
      <c r="I387" s="50">
        <f t="shared" si="215"/>
        <v>0</v>
      </c>
      <c r="J387" s="50"/>
      <c r="K387" s="50">
        <f t="shared" si="216"/>
        <v>0</v>
      </c>
      <c r="L387" s="50"/>
      <c r="M387" s="50">
        <f t="shared" si="217"/>
        <v>0</v>
      </c>
      <c r="N387" s="50"/>
      <c r="O387" s="50">
        <f t="shared" si="218"/>
        <v>0</v>
      </c>
      <c r="P387" s="50">
        <f t="shared" si="219"/>
        <v>0</v>
      </c>
      <c r="Q387" s="50"/>
      <c r="R387" s="50">
        <f t="shared" si="220"/>
        <v>0</v>
      </c>
      <c r="S387" s="50">
        <f t="shared" si="221"/>
        <v>0</v>
      </c>
      <c r="T387" s="50"/>
      <c r="U387" s="50">
        <f t="shared" si="222"/>
        <v>0</v>
      </c>
      <c r="V387" s="50"/>
      <c r="W387" s="50">
        <f t="shared" si="223"/>
        <v>0</v>
      </c>
      <c r="X387" s="50"/>
      <c r="Y387" s="50">
        <f t="shared" si="224"/>
        <v>0</v>
      </c>
      <c r="Z387" s="50"/>
      <c r="AA387" s="50">
        <f t="shared" si="225"/>
        <v>0</v>
      </c>
      <c r="AB387" s="50">
        <f t="shared" si="226"/>
        <v>0</v>
      </c>
      <c r="AC387" s="31" t="str">
        <f t="shared" si="227"/>
        <v>ok</v>
      </c>
    </row>
    <row r="388" spans="1:29" x14ac:dyDescent="0.2">
      <c r="A388" s="14">
        <v>587</v>
      </c>
      <c r="B388" s="14" t="s">
        <v>111</v>
      </c>
      <c r="C388" s="14" t="s">
        <v>490</v>
      </c>
      <c r="D388" s="14" t="s">
        <v>40</v>
      </c>
      <c r="F388" s="50">
        <v>0</v>
      </c>
      <c r="H388" s="50">
        <f t="shared" si="214"/>
        <v>0</v>
      </c>
      <c r="I388" s="50">
        <f t="shared" si="215"/>
        <v>0</v>
      </c>
      <c r="J388" s="50"/>
      <c r="K388" s="50">
        <f t="shared" si="216"/>
        <v>0</v>
      </c>
      <c r="L388" s="50"/>
      <c r="M388" s="50">
        <f t="shared" si="217"/>
        <v>0</v>
      </c>
      <c r="N388" s="50"/>
      <c r="O388" s="50">
        <f t="shared" si="218"/>
        <v>0</v>
      </c>
      <c r="P388" s="50">
        <f t="shared" si="219"/>
        <v>0</v>
      </c>
      <c r="Q388" s="50"/>
      <c r="R388" s="50">
        <f t="shared" si="220"/>
        <v>0</v>
      </c>
      <c r="S388" s="50">
        <f t="shared" si="221"/>
        <v>0</v>
      </c>
      <c r="T388" s="50"/>
      <c r="U388" s="50">
        <f t="shared" si="222"/>
        <v>0</v>
      </c>
      <c r="V388" s="50"/>
      <c r="W388" s="50">
        <f t="shared" si="223"/>
        <v>0</v>
      </c>
      <c r="X388" s="50"/>
      <c r="Y388" s="50">
        <f t="shared" si="224"/>
        <v>0</v>
      </c>
      <c r="Z388" s="50"/>
      <c r="AA388" s="50">
        <f t="shared" si="225"/>
        <v>0</v>
      </c>
      <c r="AB388" s="50">
        <f t="shared" si="226"/>
        <v>0</v>
      </c>
      <c r="AC388" s="31" t="str">
        <f t="shared" si="227"/>
        <v>ok</v>
      </c>
    </row>
    <row r="389" spans="1:29" x14ac:dyDescent="0.2">
      <c r="A389" s="14">
        <v>588</v>
      </c>
      <c r="B389" s="14" t="s">
        <v>113</v>
      </c>
      <c r="C389" s="14" t="s">
        <v>491</v>
      </c>
      <c r="D389" s="14" t="s">
        <v>16</v>
      </c>
      <c r="F389" s="50">
        <f>290297+129642+87510</f>
        <v>507449</v>
      </c>
      <c r="H389" s="50">
        <f t="shared" si="214"/>
        <v>0</v>
      </c>
      <c r="I389" s="50">
        <f t="shared" si="215"/>
        <v>0</v>
      </c>
      <c r="J389" s="50"/>
      <c r="K389" s="50">
        <f t="shared" si="216"/>
        <v>0</v>
      </c>
      <c r="L389" s="50"/>
      <c r="M389" s="50">
        <f t="shared" si="217"/>
        <v>3802.3777438870861</v>
      </c>
      <c r="N389" s="50"/>
      <c r="O389" s="50">
        <f t="shared" si="218"/>
        <v>228246.51483988378</v>
      </c>
      <c r="P389" s="50">
        <f t="shared" si="219"/>
        <v>173082.60679035183</v>
      </c>
      <c r="Q389" s="50"/>
      <c r="R389" s="50">
        <f t="shared" si="220"/>
        <v>0</v>
      </c>
      <c r="S389" s="50">
        <f t="shared" si="221"/>
        <v>54384.153370761458</v>
      </c>
      <c r="T389" s="50"/>
      <c r="U389" s="50">
        <f t="shared" si="222"/>
        <v>27751.580849907503</v>
      </c>
      <c r="V389" s="50"/>
      <c r="W389" s="50">
        <f t="shared" si="223"/>
        <v>20181.766405208342</v>
      </c>
      <c r="X389" s="50"/>
      <c r="Y389" s="50">
        <f t="shared" si="224"/>
        <v>0</v>
      </c>
      <c r="Z389" s="50"/>
      <c r="AA389" s="50">
        <f t="shared" si="225"/>
        <v>0</v>
      </c>
      <c r="AB389" s="50">
        <f t="shared" si="226"/>
        <v>507448.99999999994</v>
      </c>
      <c r="AC389" s="31" t="str">
        <f t="shared" si="227"/>
        <v>ok</v>
      </c>
    </row>
    <row r="390" spans="1:29" x14ac:dyDescent="0.2">
      <c r="A390" s="14">
        <v>589</v>
      </c>
      <c r="B390" s="14" t="s">
        <v>115</v>
      </c>
      <c r="C390" s="14" t="s">
        <v>492</v>
      </c>
      <c r="D390" s="14" t="s">
        <v>16</v>
      </c>
      <c r="F390" s="50">
        <v>0</v>
      </c>
      <c r="H390" s="50">
        <f t="shared" si="214"/>
        <v>0</v>
      </c>
      <c r="I390" s="50">
        <f t="shared" si="215"/>
        <v>0</v>
      </c>
      <c r="J390" s="50"/>
      <c r="K390" s="50">
        <f t="shared" si="216"/>
        <v>0</v>
      </c>
      <c r="L390" s="50"/>
      <c r="M390" s="50">
        <f t="shared" si="217"/>
        <v>0</v>
      </c>
      <c r="N390" s="50"/>
      <c r="O390" s="50">
        <f t="shared" si="218"/>
        <v>0</v>
      </c>
      <c r="P390" s="50">
        <f t="shared" si="219"/>
        <v>0</v>
      </c>
      <c r="Q390" s="50"/>
      <c r="R390" s="50">
        <f t="shared" si="220"/>
        <v>0</v>
      </c>
      <c r="S390" s="50">
        <f t="shared" si="221"/>
        <v>0</v>
      </c>
      <c r="T390" s="50"/>
      <c r="U390" s="50">
        <f t="shared" si="222"/>
        <v>0</v>
      </c>
      <c r="V390" s="50"/>
      <c r="W390" s="50">
        <f t="shared" si="223"/>
        <v>0</v>
      </c>
      <c r="X390" s="50"/>
      <c r="Y390" s="50">
        <f t="shared" si="224"/>
        <v>0</v>
      </c>
      <c r="Z390" s="50"/>
      <c r="AA390" s="50">
        <f t="shared" si="225"/>
        <v>0</v>
      </c>
      <c r="AB390" s="50">
        <f t="shared" si="226"/>
        <v>0</v>
      </c>
      <c r="AC390" s="31" t="str">
        <f t="shared" si="227"/>
        <v>ok</v>
      </c>
    </row>
    <row r="391" spans="1:29" x14ac:dyDescent="0.2">
      <c r="F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C391" s="31"/>
    </row>
    <row r="392" spans="1:29" x14ac:dyDescent="0.2">
      <c r="A392" s="14" t="s">
        <v>536</v>
      </c>
      <c r="C392" s="14" t="s">
        <v>493</v>
      </c>
      <c r="F392" s="66">
        <f>SUM(F380:F391)</f>
        <v>2520341</v>
      </c>
      <c r="G392" s="66"/>
      <c r="H392" s="66">
        <f>SUM(H380:H391)</f>
        <v>0</v>
      </c>
      <c r="I392" s="66">
        <f>SUM(I380:I391)</f>
        <v>0</v>
      </c>
      <c r="J392" s="66"/>
      <c r="K392" s="66">
        <f>SUM(K380:K391)</f>
        <v>0</v>
      </c>
      <c r="L392" s="66"/>
      <c r="M392" s="66">
        <f>SUM(M380:M391)</f>
        <v>4333.6476536107002</v>
      </c>
      <c r="N392" s="66"/>
      <c r="O392" s="66">
        <f>SUM(O380:O391)</f>
        <v>529989.67741356674</v>
      </c>
      <c r="P392" s="66">
        <f>SUM(P380:P391)</f>
        <v>382696.32760732545</v>
      </c>
      <c r="Q392" s="66"/>
      <c r="R392" s="66">
        <f>SUM(R380:R391)</f>
        <v>0</v>
      </c>
      <c r="S392" s="66">
        <f>SUM(S380:S391)</f>
        <v>61982.731470512088</v>
      </c>
      <c r="T392" s="66"/>
      <c r="U392" s="66">
        <f>SUM(U380:U391)</f>
        <v>1518337.0440705253</v>
      </c>
      <c r="V392" s="66"/>
      <c r="W392" s="66">
        <f>SUM(W380:W391)</f>
        <v>23001.571784459611</v>
      </c>
      <c r="X392" s="66"/>
      <c r="Y392" s="66">
        <f>SUM(Y380:Y391)</f>
        <v>0</v>
      </c>
      <c r="Z392" s="66"/>
      <c r="AA392" s="66">
        <f>SUM(AA380:AA391)</f>
        <v>0</v>
      </c>
      <c r="AB392" s="50">
        <f>SUM(H392:AA392)</f>
        <v>2520341</v>
      </c>
      <c r="AC392" s="31" t="str">
        <f>IF(ABS(AB392-F392)&lt;1,"ok","err")</f>
        <v>ok</v>
      </c>
    </row>
    <row r="393" spans="1:29" x14ac:dyDescent="0.2"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50"/>
      <c r="AC393" s="31"/>
    </row>
    <row r="394" spans="1:29" x14ac:dyDescent="0.2"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50"/>
      <c r="AC394" s="31"/>
    </row>
    <row r="395" spans="1:29" x14ac:dyDescent="0.2">
      <c r="A395" s="13"/>
      <c r="F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C395" s="31"/>
    </row>
    <row r="396" spans="1:29" x14ac:dyDescent="0.2">
      <c r="A396" s="29" t="s">
        <v>473</v>
      </c>
      <c r="F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C396" s="31"/>
    </row>
    <row r="397" spans="1:29" x14ac:dyDescent="0.2">
      <c r="F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C397" s="31"/>
    </row>
    <row r="398" spans="1:29" x14ac:dyDescent="0.2">
      <c r="A398" s="13" t="s">
        <v>537</v>
      </c>
      <c r="F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C398" s="31"/>
    </row>
    <row r="399" spans="1:29" x14ac:dyDescent="0.2">
      <c r="A399" s="14">
        <v>590</v>
      </c>
      <c r="B399" s="14" t="s">
        <v>120</v>
      </c>
      <c r="C399" s="14" t="s">
        <v>494</v>
      </c>
      <c r="D399" s="14" t="s">
        <v>16</v>
      </c>
      <c r="F399" s="66">
        <v>0</v>
      </c>
      <c r="H399" s="50">
        <f t="shared" ref="H399:H406" si="228">IF(VLOOKUP($D399,$C$5:$AA$494,6,)=0,0,((VLOOKUP($D399,$C$5:$AA$494,6,)/VLOOKUP($D399,$C$5:$AA$494,4,))*$F399))</f>
        <v>0</v>
      </c>
      <c r="I399" s="50">
        <f t="shared" ref="I399:I406" si="229">IF(VLOOKUP($D399,$C$5:$AA$494,7,)=0,0,((VLOOKUP($D399,$C$5:$AA$494,7,)/VLOOKUP($D399,$C$5:$AA$494,4,))*$F399))</f>
        <v>0</v>
      </c>
      <c r="J399" s="50"/>
      <c r="K399" s="50">
        <f t="shared" ref="K399:K406" si="230">IF(VLOOKUP($D399,$C$5:$AA$494,9,)=0,0,((VLOOKUP($D399,$C$5:$AA$494,9,)/VLOOKUP($D399,$C$5:$AA$494,4,))*$F399))</f>
        <v>0</v>
      </c>
      <c r="L399" s="50"/>
      <c r="M399" s="50">
        <f t="shared" ref="M399:M406" si="231">IF(VLOOKUP($D399,$C$5:$AA$494,11,)=0,0,((VLOOKUP($D399,$C$5:$AA$494,11,)/VLOOKUP($D399,$C$5:$AA$494,4,))*$F399))</f>
        <v>0</v>
      </c>
      <c r="N399" s="50"/>
      <c r="O399" s="50">
        <f t="shared" ref="O399:O406" si="232">IF(VLOOKUP($D399,$C$5:$AA$494,13,)=0,0,((VLOOKUP($D399,$C$5:$AA$494,13,)/VLOOKUP($D399,$C$5:$AA$494,4,))*$F399))</f>
        <v>0</v>
      </c>
      <c r="P399" s="50">
        <f t="shared" ref="P399:P406" si="233">IF(VLOOKUP($D399,$C$5:$AA$494,14,)=0,0,((VLOOKUP($D399,$C$5:$AA$494,14,)/VLOOKUP($D399,$C$5:$AA$494,4,))*$F399))</f>
        <v>0</v>
      </c>
      <c r="Q399" s="50"/>
      <c r="R399" s="50">
        <f t="shared" ref="R399:R406" si="234">IF(VLOOKUP($D399,$C$5:$AA$494,16,)=0,0,((VLOOKUP($D399,$C$5:$AA$494,16,)/VLOOKUP($D399,$C$5:$AA$494,4,))*$F399))</f>
        <v>0</v>
      </c>
      <c r="S399" s="50">
        <f t="shared" ref="S399:S406" si="235">IF(VLOOKUP($D399,$C$5:$AA$494,17,)=0,0,((VLOOKUP($D399,$C$5:$AA$494,17,)/VLOOKUP($D399,$C$5:$AA$494,4,))*$F399))</f>
        <v>0</v>
      </c>
      <c r="T399" s="50"/>
      <c r="U399" s="50">
        <f t="shared" ref="U399:U406" si="236">IF(VLOOKUP($D399,$C$5:$AA$494,19,)=0,0,((VLOOKUP($D399,$C$5:$AA$494,19,)/VLOOKUP($D399,$C$5:$AA$494,4,))*$F399))</f>
        <v>0</v>
      </c>
      <c r="V399" s="50"/>
      <c r="W399" s="50">
        <f t="shared" ref="W399:W406" si="237">IF(VLOOKUP($D399,$C$5:$AA$494,21,)=0,0,((VLOOKUP($D399,$C$5:$AA$494,21,)/VLOOKUP($D399,$C$5:$AA$494,4,))*$F399))</f>
        <v>0</v>
      </c>
      <c r="X399" s="50"/>
      <c r="Y399" s="50">
        <f t="shared" ref="Y399:Y406" si="238">IF(VLOOKUP($D399,$C$5:$AA$494,23,)=0,0,((VLOOKUP($D399,$C$5:$AA$494,23,)/VLOOKUP($D399,$C$5:$AA$494,4,))*$F399))</f>
        <v>0</v>
      </c>
      <c r="Z399" s="50"/>
      <c r="AA399" s="50">
        <f t="shared" ref="AA399:AA406" si="239">IF(VLOOKUP($D399,$C$5:$AA$494,25,)=0,0,((VLOOKUP($D399,$C$5:$AA$494,25,)/VLOOKUP($D399,$C$5:$AA$494,4,))*$F399))</f>
        <v>0</v>
      </c>
      <c r="AB399" s="50">
        <f t="shared" ref="AB399:AB406" si="240">SUM(H399:AA399)</f>
        <v>0</v>
      </c>
      <c r="AC399" s="31" t="str">
        <f t="shared" ref="AC399:AC406" si="241">IF(ABS(AB399-F399)&lt;1,"ok","err")</f>
        <v>ok</v>
      </c>
    </row>
    <row r="400" spans="1:29" x14ac:dyDescent="0.2">
      <c r="A400" s="14">
        <v>592</v>
      </c>
      <c r="B400" s="14" t="s">
        <v>122</v>
      </c>
      <c r="C400" s="14" t="s">
        <v>495</v>
      </c>
      <c r="D400" s="14" t="s">
        <v>23</v>
      </c>
      <c r="F400" s="50">
        <v>0</v>
      </c>
      <c r="H400" s="50">
        <f t="shared" si="228"/>
        <v>0</v>
      </c>
      <c r="I400" s="50">
        <f t="shared" si="229"/>
        <v>0</v>
      </c>
      <c r="J400" s="50"/>
      <c r="K400" s="50">
        <f t="shared" si="230"/>
        <v>0</v>
      </c>
      <c r="L400" s="50"/>
      <c r="M400" s="50">
        <f t="shared" si="231"/>
        <v>0</v>
      </c>
      <c r="N400" s="50"/>
      <c r="O400" s="50">
        <f t="shared" si="232"/>
        <v>0</v>
      </c>
      <c r="P400" s="50">
        <f t="shared" si="233"/>
        <v>0</v>
      </c>
      <c r="Q400" s="50"/>
      <c r="R400" s="50">
        <f t="shared" si="234"/>
        <v>0</v>
      </c>
      <c r="S400" s="50">
        <f t="shared" si="235"/>
        <v>0</v>
      </c>
      <c r="T400" s="50"/>
      <c r="U400" s="50">
        <f t="shared" si="236"/>
        <v>0</v>
      </c>
      <c r="V400" s="50"/>
      <c r="W400" s="50">
        <f t="shared" si="237"/>
        <v>0</v>
      </c>
      <c r="X400" s="50"/>
      <c r="Y400" s="50">
        <f t="shared" si="238"/>
        <v>0</v>
      </c>
      <c r="Z400" s="50"/>
      <c r="AA400" s="50">
        <f t="shared" si="239"/>
        <v>0</v>
      </c>
      <c r="AB400" s="50">
        <f t="shared" si="240"/>
        <v>0</v>
      </c>
      <c r="AC400" s="31" t="str">
        <f t="shared" si="241"/>
        <v>ok</v>
      </c>
    </row>
    <row r="401" spans="1:29" x14ac:dyDescent="0.2">
      <c r="A401" s="14">
        <v>593</v>
      </c>
      <c r="B401" s="14" t="s">
        <v>124</v>
      </c>
      <c r="C401" s="14" t="s">
        <v>496</v>
      </c>
      <c r="D401" s="14" t="s">
        <v>29</v>
      </c>
      <c r="F401" s="50">
        <f>590768+1450820+1949+112018+664+253987+596152+259725+181452+104166+81510</f>
        <v>3633211</v>
      </c>
      <c r="H401" s="50">
        <f t="shared" si="228"/>
        <v>0</v>
      </c>
      <c r="I401" s="50">
        <f t="shared" si="229"/>
        <v>0</v>
      </c>
      <c r="J401" s="50"/>
      <c r="K401" s="50">
        <f t="shared" si="230"/>
        <v>0</v>
      </c>
      <c r="L401" s="50"/>
      <c r="M401" s="50">
        <f t="shared" si="231"/>
        <v>0</v>
      </c>
      <c r="N401" s="50"/>
      <c r="O401" s="50">
        <f t="shared" si="232"/>
        <v>2204506.6757438509</v>
      </c>
      <c r="P401" s="50">
        <f t="shared" si="233"/>
        <v>1428704.3242561491</v>
      </c>
      <c r="Q401" s="50"/>
      <c r="R401" s="50">
        <f t="shared" si="234"/>
        <v>0</v>
      </c>
      <c r="S401" s="50">
        <f t="shared" si="235"/>
        <v>0</v>
      </c>
      <c r="T401" s="50"/>
      <c r="U401" s="50">
        <f t="shared" si="236"/>
        <v>0</v>
      </c>
      <c r="V401" s="50"/>
      <c r="W401" s="50">
        <f t="shared" si="237"/>
        <v>0</v>
      </c>
      <c r="X401" s="50"/>
      <c r="Y401" s="50">
        <f t="shared" si="238"/>
        <v>0</v>
      </c>
      <c r="Z401" s="50"/>
      <c r="AA401" s="50">
        <f t="shared" si="239"/>
        <v>0</v>
      </c>
      <c r="AB401" s="50">
        <f t="shared" si="240"/>
        <v>3633211</v>
      </c>
      <c r="AC401" s="31" t="str">
        <f t="shared" si="241"/>
        <v>ok</v>
      </c>
    </row>
    <row r="402" spans="1:29" x14ac:dyDescent="0.2">
      <c r="A402" s="14">
        <v>594</v>
      </c>
      <c r="B402" s="14" t="s">
        <v>126</v>
      </c>
      <c r="C402" s="14" t="s">
        <v>497</v>
      </c>
      <c r="D402" s="14" t="s">
        <v>35</v>
      </c>
      <c r="F402" s="50">
        <v>40991</v>
      </c>
      <c r="H402" s="50">
        <f t="shared" si="228"/>
        <v>0</v>
      </c>
      <c r="I402" s="50">
        <f t="shared" si="229"/>
        <v>0</v>
      </c>
      <c r="J402" s="50"/>
      <c r="K402" s="50">
        <f t="shared" si="230"/>
        <v>0</v>
      </c>
      <c r="L402" s="50"/>
      <c r="M402" s="50">
        <f t="shared" si="231"/>
        <v>0</v>
      </c>
      <c r="N402" s="50"/>
      <c r="O402" s="50">
        <f t="shared" si="232"/>
        <v>7787.8662677365528</v>
      </c>
      <c r="P402" s="50">
        <f t="shared" si="233"/>
        <v>33203.13373226345</v>
      </c>
      <c r="Q402" s="50"/>
      <c r="R402" s="50">
        <f t="shared" si="234"/>
        <v>0</v>
      </c>
      <c r="S402" s="50">
        <f t="shared" si="235"/>
        <v>0</v>
      </c>
      <c r="T402" s="50"/>
      <c r="U402" s="50">
        <f t="shared" si="236"/>
        <v>0</v>
      </c>
      <c r="V402" s="50"/>
      <c r="W402" s="50">
        <f t="shared" si="237"/>
        <v>0</v>
      </c>
      <c r="X402" s="50"/>
      <c r="Y402" s="50">
        <f t="shared" si="238"/>
        <v>0</v>
      </c>
      <c r="Z402" s="50"/>
      <c r="AA402" s="50">
        <f t="shared" si="239"/>
        <v>0</v>
      </c>
      <c r="AB402" s="50">
        <f t="shared" si="240"/>
        <v>40991</v>
      </c>
      <c r="AC402" s="31" t="str">
        <f t="shared" si="241"/>
        <v>ok</v>
      </c>
    </row>
    <row r="403" spans="1:29" x14ac:dyDescent="0.2">
      <c r="A403" s="14">
        <v>595</v>
      </c>
      <c r="B403" s="14" t="s">
        <v>128</v>
      </c>
      <c r="C403" s="14" t="s">
        <v>498</v>
      </c>
      <c r="D403" s="14" t="s">
        <v>37</v>
      </c>
      <c r="F403" s="50">
        <v>0</v>
      </c>
      <c r="H403" s="50">
        <f t="shared" si="228"/>
        <v>0</v>
      </c>
      <c r="I403" s="50">
        <f t="shared" si="229"/>
        <v>0</v>
      </c>
      <c r="J403" s="50"/>
      <c r="K403" s="50">
        <f t="shared" si="230"/>
        <v>0</v>
      </c>
      <c r="L403" s="50"/>
      <c r="M403" s="50">
        <f t="shared" si="231"/>
        <v>0</v>
      </c>
      <c r="N403" s="50"/>
      <c r="O403" s="50">
        <f t="shared" si="232"/>
        <v>0</v>
      </c>
      <c r="P403" s="50">
        <f t="shared" si="233"/>
        <v>0</v>
      </c>
      <c r="Q403" s="50"/>
      <c r="R403" s="50">
        <f t="shared" si="234"/>
        <v>0</v>
      </c>
      <c r="S403" s="50">
        <f t="shared" si="235"/>
        <v>0</v>
      </c>
      <c r="T403" s="50"/>
      <c r="U403" s="50">
        <f t="shared" si="236"/>
        <v>0</v>
      </c>
      <c r="V403" s="50"/>
      <c r="W403" s="50">
        <f t="shared" si="237"/>
        <v>0</v>
      </c>
      <c r="X403" s="50"/>
      <c r="Y403" s="50">
        <f t="shared" si="238"/>
        <v>0</v>
      </c>
      <c r="Z403" s="50"/>
      <c r="AA403" s="50">
        <f t="shared" si="239"/>
        <v>0</v>
      </c>
      <c r="AB403" s="50">
        <f t="shared" si="240"/>
        <v>0</v>
      </c>
      <c r="AC403" s="31" t="str">
        <f t="shared" si="241"/>
        <v>ok</v>
      </c>
    </row>
    <row r="404" spans="1:29" x14ac:dyDescent="0.2">
      <c r="A404" s="14">
        <v>596</v>
      </c>
      <c r="B404" s="14" t="s">
        <v>380</v>
      </c>
      <c r="C404" s="14" t="s">
        <v>499</v>
      </c>
      <c r="D404" s="14" t="s">
        <v>48</v>
      </c>
      <c r="F404" s="50">
        <v>3532</v>
      </c>
      <c r="H404" s="50">
        <f t="shared" si="228"/>
        <v>0</v>
      </c>
      <c r="I404" s="50">
        <f t="shared" si="229"/>
        <v>0</v>
      </c>
      <c r="J404" s="50"/>
      <c r="K404" s="50">
        <f t="shared" si="230"/>
        <v>0</v>
      </c>
      <c r="L404" s="50"/>
      <c r="M404" s="50">
        <f t="shared" si="231"/>
        <v>0</v>
      </c>
      <c r="N404" s="50"/>
      <c r="O404" s="50">
        <f t="shared" si="232"/>
        <v>0</v>
      </c>
      <c r="P404" s="50">
        <f t="shared" si="233"/>
        <v>0</v>
      </c>
      <c r="Q404" s="50"/>
      <c r="R404" s="50">
        <f t="shared" si="234"/>
        <v>0</v>
      </c>
      <c r="S404" s="50">
        <f t="shared" si="235"/>
        <v>0</v>
      </c>
      <c r="T404" s="50"/>
      <c r="U404" s="50">
        <f t="shared" si="236"/>
        <v>0</v>
      </c>
      <c r="V404" s="50"/>
      <c r="W404" s="50">
        <f t="shared" si="237"/>
        <v>3532</v>
      </c>
      <c r="X404" s="50"/>
      <c r="Y404" s="50">
        <f t="shared" si="238"/>
        <v>0</v>
      </c>
      <c r="Z404" s="50"/>
      <c r="AA404" s="50">
        <f t="shared" si="239"/>
        <v>0</v>
      </c>
      <c r="AB404" s="50">
        <f t="shared" si="240"/>
        <v>3532</v>
      </c>
      <c r="AC404" s="31" t="str">
        <f t="shared" si="241"/>
        <v>ok</v>
      </c>
    </row>
    <row r="405" spans="1:29" x14ac:dyDescent="0.2">
      <c r="A405" s="14">
        <v>597</v>
      </c>
      <c r="B405" s="14" t="s">
        <v>130</v>
      </c>
      <c r="C405" s="14" t="s">
        <v>500</v>
      </c>
      <c r="D405" s="14" t="s">
        <v>43</v>
      </c>
      <c r="F405" s="50">
        <v>0</v>
      </c>
      <c r="H405" s="50">
        <f t="shared" si="228"/>
        <v>0</v>
      </c>
      <c r="I405" s="50">
        <f t="shared" si="229"/>
        <v>0</v>
      </c>
      <c r="J405" s="50"/>
      <c r="K405" s="50">
        <f t="shared" si="230"/>
        <v>0</v>
      </c>
      <c r="L405" s="50"/>
      <c r="M405" s="50">
        <f t="shared" si="231"/>
        <v>0</v>
      </c>
      <c r="N405" s="50"/>
      <c r="O405" s="50">
        <f t="shared" si="232"/>
        <v>0</v>
      </c>
      <c r="P405" s="50">
        <f t="shared" si="233"/>
        <v>0</v>
      </c>
      <c r="Q405" s="50"/>
      <c r="R405" s="50">
        <f t="shared" si="234"/>
        <v>0</v>
      </c>
      <c r="S405" s="50">
        <f t="shared" si="235"/>
        <v>0</v>
      </c>
      <c r="T405" s="50"/>
      <c r="U405" s="50">
        <f t="shared" si="236"/>
        <v>0</v>
      </c>
      <c r="V405" s="50"/>
      <c r="W405" s="50">
        <f t="shared" si="237"/>
        <v>0</v>
      </c>
      <c r="X405" s="50"/>
      <c r="Y405" s="50">
        <f t="shared" si="238"/>
        <v>0</v>
      </c>
      <c r="Z405" s="50"/>
      <c r="AA405" s="50">
        <f t="shared" si="239"/>
        <v>0</v>
      </c>
      <c r="AB405" s="50">
        <f t="shared" si="240"/>
        <v>0</v>
      </c>
      <c r="AC405" s="31" t="str">
        <f t="shared" si="241"/>
        <v>ok</v>
      </c>
    </row>
    <row r="406" spans="1:29" x14ac:dyDescent="0.2">
      <c r="A406" s="14">
        <v>598</v>
      </c>
      <c r="B406" s="14" t="s">
        <v>384</v>
      </c>
      <c r="C406" s="14" t="s">
        <v>501</v>
      </c>
      <c r="D406" s="14" t="s">
        <v>16</v>
      </c>
      <c r="F406" s="50">
        <v>215963</v>
      </c>
      <c r="H406" s="50">
        <f t="shared" si="228"/>
        <v>0</v>
      </c>
      <c r="I406" s="50">
        <f t="shared" si="229"/>
        <v>0</v>
      </c>
      <c r="J406" s="50"/>
      <c r="K406" s="50">
        <f t="shared" si="230"/>
        <v>0</v>
      </c>
      <c r="L406" s="50"/>
      <c r="M406" s="50">
        <f t="shared" si="231"/>
        <v>1618.2373099623544</v>
      </c>
      <c r="N406" s="50"/>
      <c r="O406" s="50">
        <f t="shared" si="232"/>
        <v>97138.435752885154</v>
      </c>
      <c r="P406" s="50">
        <f t="shared" si="233"/>
        <v>73661.469448683012</v>
      </c>
      <c r="Q406" s="50"/>
      <c r="R406" s="50">
        <f t="shared" si="234"/>
        <v>0</v>
      </c>
      <c r="S406" s="50">
        <f t="shared" si="235"/>
        <v>23145.113921615291</v>
      </c>
      <c r="T406" s="50"/>
      <c r="U406" s="50">
        <f t="shared" si="236"/>
        <v>11810.673890555649</v>
      </c>
      <c r="V406" s="50"/>
      <c r="W406" s="50">
        <f t="shared" si="237"/>
        <v>8589.0696762985226</v>
      </c>
      <c r="X406" s="50"/>
      <c r="Y406" s="50">
        <f t="shared" si="238"/>
        <v>0</v>
      </c>
      <c r="Z406" s="50"/>
      <c r="AA406" s="50">
        <f t="shared" si="239"/>
        <v>0</v>
      </c>
      <c r="AB406" s="50">
        <f t="shared" si="240"/>
        <v>215963</v>
      </c>
      <c r="AC406" s="31" t="str">
        <f t="shared" si="241"/>
        <v>ok</v>
      </c>
    </row>
    <row r="407" spans="1:29" x14ac:dyDescent="0.2">
      <c r="F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31"/>
    </row>
    <row r="408" spans="1:29" x14ac:dyDescent="0.2">
      <c r="A408" s="14" t="s">
        <v>538</v>
      </c>
      <c r="C408" s="14" t="s">
        <v>502</v>
      </c>
      <c r="F408" s="66">
        <f>SUM(F399:F407)</f>
        <v>3893697</v>
      </c>
      <c r="G408" s="66"/>
      <c r="H408" s="66">
        <f>SUM(H399:H407)</f>
        <v>0</v>
      </c>
      <c r="I408" s="66">
        <f>SUM(I399:I407)</f>
        <v>0</v>
      </c>
      <c r="J408" s="66"/>
      <c r="K408" s="66">
        <f>SUM(K399:K407)</f>
        <v>0</v>
      </c>
      <c r="L408" s="66"/>
      <c r="M408" s="66">
        <f>SUM(M399:M407)</f>
        <v>1618.2373099623544</v>
      </c>
      <c r="N408" s="66"/>
      <c r="O408" s="66">
        <f>SUM(O399:O407)</f>
        <v>2309432.9777644724</v>
      </c>
      <c r="P408" s="66">
        <f>SUM(P399:P407)</f>
        <v>1535568.9274370957</v>
      </c>
      <c r="Q408" s="66"/>
      <c r="R408" s="66">
        <f>SUM(R399:R407)</f>
        <v>0</v>
      </c>
      <c r="S408" s="66">
        <f>SUM(S399:S407)</f>
        <v>23145.113921615291</v>
      </c>
      <c r="T408" s="66"/>
      <c r="U408" s="66">
        <f>SUM(U399:U407)</f>
        <v>11810.673890555649</v>
      </c>
      <c r="V408" s="66"/>
      <c r="W408" s="66">
        <f>SUM(W399:W407)</f>
        <v>12121.069676298523</v>
      </c>
      <c r="X408" s="66"/>
      <c r="Y408" s="66">
        <f>SUM(Y399:Y407)</f>
        <v>0</v>
      </c>
      <c r="Z408" s="66"/>
      <c r="AA408" s="66">
        <f>SUM(AA399:AA407)</f>
        <v>0</v>
      </c>
      <c r="AB408" s="50">
        <f>SUM(H408:AA408)</f>
        <v>3893697.0000000005</v>
      </c>
      <c r="AC408" s="31" t="str">
        <f>IF(ABS(AB408-F408)&lt;1,"ok","err")</f>
        <v>ok</v>
      </c>
    </row>
    <row r="409" spans="1:29" x14ac:dyDescent="0.2">
      <c r="F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C409" s="31"/>
    </row>
    <row r="410" spans="1:29" x14ac:dyDescent="0.2">
      <c r="A410" s="14" t="s">
        <v>539</v>
      </c>
      <c r="F410" s="50">
        <f>F392+F408</f>
        <v>6414038</v>
      </c>
      <c r="G410" s="50"/>
      <c r="H410" s="50">
        <f>H392+H408</f>
        <v>0</v>
      </c>
      <c r="I410" s="50">
        <f>I392+I408</f>
        <v>0</v>
      </c>
      <c r="J410" s="50"/>
      <c r="K410" s="50">
        <f>K392+K408</f>
        <v>0</v>
      </c>
      <c r="L410" s="50"/>
      <c r="M410" s="50">
        <f>M392+M408</f>
        <v>5951.8849635730548</v>
      </c>
      <c r="N410" s="50"/>
      <c r="O410" s="50">
        <f>O392+O408</f>
        <v>2839422.6551780393</v>
      </c>
      <c r="P410" s="50">
        <f>P392+P408</f>
        <v>1918265.2550444212</v>
      </c>
      <c r="Q410" s="50"/>
      <c r="R410" s="50">
        <f>R392+R408</f>
        <v>0</v>
      </c>
      <c r="S410" s="50">
        <f>S392+S408</f>
        <v>85127.845392127376</v>
      </c>
      <c r="T410" s="50"/>
      <c r="U410" s="50">
        <f>U392+U408</f>
        <v>1530147.7179610811</v>
      </c>
      <c r="V410" s="50"/>
      <c r="W410" s="50">
        <f>W392+W408</f>
        <v>35122.641460758132</v>
      </c>
      <c r="X410" s="50"/>
      <c r="Y410" s="50">
        <f>Y392+Y408</f>
        <v>0</v>
      </c>
      <c r="Z410" s="50"/>
      <c r="AA410" s="50">
        <f>AA392+AA408</f>
        <v>0</v>
      </c>
      <c r="AB410" s="50">
        <f>SUM(H410:AA410)</f>
        <v>6414038</v>
      </c>
      <c r="AC410" s="31" t="str">
        <f>IF(ABS(AB410-F410)&lt;1,"ok","err")</f>
        <v>ok</v>
      </c>
    </row>
    <row r="411" spans="1:29" x14ac:dyDescent="0.2"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C411" s="31"/>
    </row>
    <row r="412" spans="1:29" x14ac:dyDescent="0.2">
      <c r="A412" s="14" t="s">
        <v>540</v>
      </c>
      <c r="F412" s="50">
        <f>F410+F377</f>
        <v>6414038</v>
      </c>
      <c r="G412" s="50"/>
      <c r="H412" s="50">
        <f>H410+H377</f>
        <v>0</v>
      </c>
      <c r="I412" s="50">
        <f>I410+I377</f>
        <v>0</v>
      </c>
      <c r="J412" s="50"/>
      <c r="K412" s="50">
        <f>K410+K377</f>
        <v>0</v>
      </c>
      <c r="L412" s="50"/>
      <c r="M412" s="50">
        <f>M410+M377</f>
        <v>5951.8849635730548</v>
      </c>
      <c r="N412" s="50"/>
      <c r="O412" s="50">
        <f>O410+O377</f>
        <v>2839422.6551780393</v>
      </c>
      <c r="P412" s="50">
        <f>P410+P377</f>
        <v>1918265.2550444212</v>
      </c>
      <c r="Q412" s="50"/>
      <c r="R412" s="50">
        <f>R410+R377</f>
        <v>0</v>
      </c>
      <c r="S412" s="50">
        <f>S410+S377</f>
        <v>85127.845392127376</v>
      </c>
      <c r="T412" s="50"/>
      <c r="U412" s="50">
        <f>U410+U377</f>
        <v>1530147.7179610811</v>
      </c>
      <c r="V412" s="50"/>
      <c r="W412" s="50">
        <f>W410+W377</f>
        <v>35122.641460758132</v>
      </c>
      <c r="X412" s="50"/>
      <c r="Y412" s="50">
        <f>Y410+Y377</f>
        <v>0</v>
      </c>
      <c r="Z412" s="50"/>
      <c r="AA412" s="50">
        <f>AA410+AA377</f>
        <v>0</v>
      </c>
      <c r="AB412" s="50">
        <f>SUM(H412:AA412)</f>
        <v>6414038</v>
      </c>
      <c r="AC412" s="31" t="str">
        <f>IF(ABS(AB412-F412)&lt;1,"ok","err")</f>
        <v>ok</v>
      </c>
    </row>
    <row r="413" spans="1:29" x14ac:dyDescent="0.2"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C413" s="31"/>
    </row>
    <row r="414" spans="1:29" x14ac:dyDescent="0.2">
      <c r="A414" s="14" t="s">
        <v>541</v>
      </c>
      <c r="C414" s="14" t="s">
        <v>503</v>
      </c>
      <c r="F414" s="66">
        <f>F412+F365</f>
        <v>6414038</v>
      </c>
      <c r="G414" s="66"/>
      <c r="H414" s="66">
        <f>H412+H365</f>
        <v>0</v>
      </c>
      <c r="I414" s="66">
        <f>I412+I365</f>
        <v>0</v>
      </c>
      <c r="J414" s="66"/>
      <c r="K414" s="66">
        <f>K412+K365</f>
        <v>0</v>
      </c>
      <c r="L414" s="66"/>
      <c r="M414" s="66">
        <f>M412+M365</f>
        <v>5951.8849635730548</v>
      </c>
      <c r="N414" s="66"/>
      <c r="O414" s="66">
        <f>O412+O365</f>
        <v>2839422.6551780393</v>
      </c>
      <c r="P414" s="66">
        <f>P412+P365</f>
        <v>1918265.2550444212</v>
      </c>
      <c r="Q414" s="66"/>
      <c r="R414" s="66">
        <f>R412+R365</f>
        <v>0</v>
      </c>
      <c r="S414" s="66">
        <f>S412+S365</f>
        <v>85127.845392127376</v>
      </c>
      <c r="T414" s="66"/>
      <c r="U414" s="66">
        <f>U412+U365</f>
        <v>1530147.7179610811</v>
      </c>
      <c r="V414" s="66"/>
      <c r="W414" s="66">
        <f>W412+W365</f>
        <v>35122.641460758132</v>
      </c>
      <c r="X414" s="66"/>
      <c r="Y414" s="66">
        <f>Y412+Y365</f>
        <v>0</v>
      </c>
      <c r="Z414" s="66"/>
      <c r="AA414" s="66">
        <f>AA412+AA365</f>
        <v>0</v>
      </c>
      <c r="AB414" s="50">
        <f>SUM(H414:AA414)</f>
        <v>6414038</v>
      </c>
      <c r="AC414" s="31" t="str">
        <f>IF(ABS(AB414-F414)&lt;1,"ok","err")</f>
        <v>ok</v>
      </c>
    </row>
    <row r="415" spans="1:29" x14ac:dyDescent="0.2">
      <c r="A415" s="13"/>
      <c r="F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C415" s="31"/>
    </row>
    <row r="416" spans="1:29" x14ac:dyDescent="0.2">
      <c r="A416" s="13" t="s">
        <v>137</v>
      </c>
      <c r="F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C416" s="31"/>
    </row>
    <row r="417" spans="1:29" x14ac:dyDescent="0.2">
      <c r="A417" s="14">
        <v>901</v>
      </c>
      <c r="B417" s="14" t="s">
        <v>138</v>
      </c>
      <c r="C417" s="14" t="s">
        <v>504</v>
      </c>
      <c r="D417" s="14" t="s">
        <v>140</v>
      </c>
      <c r="F417" s="66">
        <v>0</v>
      </c>
      <c r="H417" s="50">
        <f>IF(VLOOKUP($D417,$C$5:$AA$494,6,)=0,0,((VLOOKUP($D417,$C$5:$AA$494,6,)/VLOOKUP($D417,$C$5:$AA$494,4,))*$F417))</f>
        <v>0</v>
      </c>
      <c r="I417" s="50">
        <f>IF(VLOOKUP($D417,$C$5:$AA$494,7,)=0,0,((VLOOKUP($D417,$C$5:$AA$494,7,)/VLOOKUP($D417,$C$5:$AA$494,4,))*$F417))</f>
        <v>0</v>
      </c>
      <c r="J417" s="50"/>
      <c r="K417" s="50">
        <f>IF(VLOOKUP($D417,$C$5:$AA$494,9,)=0,0,((VLOOKUP($D417,$C$5:$AA$494,9,)/VLOOKUP($D417,$C$5:$AA$494,4,))*$F417))</f>
        <v>0</v>
      </c>
      <c r="L417" s="50"/>
      <c r="M417" s="50">
        <f>IF(VLOOKUP($D417,$C$5:$AA$494,11,)=0,0,((VLOOKUP($D417,$C$5:$AA$494,11,)/VLOOKUP($D417,$C$5:$AA$494,4,))*$F417))</f>
        <v>0</v>
      </c>
      <c r="N417" s="50"/>
      <c r="O417" s="50">
        <f>IF(VLOOKUP($D417,$C$5:$AA$494,13,)=0,0,((VLOOKUP($D417,$C$5:$AA$494,13,)/VLOOKUP($D417,$C$5:$AA$494,4,))*$F417))</f>
        <v>0</v>
      </c>
      <c r="P417" s="50">
        <f>IF(VLOOKUP($D417,$C$5:$AA$494,14,)=0,0,((VLOOKUP($D417,$C$5:$AA$494,14,)/VLOOKUP($D417,$C$5:$AA$494,4,))*$F417))</f>
        <v>0</v>
      </c>
      <c r="Q417" s="50"/>
      <c r="R417" s="50">
        <f>IF(VLOOKUP($D417,$C$5:$AA$494,16,)=0,0,((VLOOKUP($D417,$C$5:$AA$494,16,)/VLOOKUP($D417,$C$5:$AA$494,4,))*$F417))</f>
        <v>0</v>
      </c>
      <c r="S417" s="50">
        <f>IF(VLOOKUP($D417,$C$5:$AA$494,17,)=0,0,((VLOOKUP($D417,$C$5:$AA$494,17,)/VLOOKUP($D417,$C$5:$AA$494,4,))*$F417))</f>
        <v>0</v>
      </c>
      <c r="T417" s="50"/>
      <c r="U417" s="50">
        <f>IF(VLOOKUP($D417,$C$5:$AA$494,19,)=0,0,((VLOOKUP($D417,$C$5:$AA$494,19,)/VLOOKUP($D417,$C$5:$AA$494,4,))*$F417))</f>
        <v>0</v>
      </c>
      <c r="V417" s="50"/>
      <c r="W417" s="50">
        <f>IF(VLOOKUP($D417,$C$5:$AA$494,21,)=0,0,((VLOOKUP($D417,$C$5:$AA$494,21,)/VLOOKUP($D417,$C$5:$AA$494,4,))*$F417))</f>
        <v>0</v>
      </c>
      <c r="X417" s="50"/>
      <c r="Y417" s="50">
        <f>IF(VLOOKUP($D417,$C$5:$AA$494,23,)=0,0,((VLOOKUP($D417,$C$5:$AA$494,23,)/VLOOKUP($D417,$C$5:$AA$494,4,))*$F417))</f>
        <v>0</v>
      </c>
      <c r="Z417" s="50"/>
      <c r="AA417" s="50">
        <f>IF(VLOOKUP($D417,$C$5:$AA$494,25,)=0,0,((VLOOKUP($D417,$C$5:$AA$494,25,)/VLOOKUP($D417,$C$5:$AA$494,4,))*$F417))</f>
        <v>0</v>
      </c>
      <c r="AB417" s="50">
        <f>SUM(H417:AA417)</f>
        <v>0</v>
      </c>
      <c r="AC417" s="31" t="str">
        <f>IF(ABS(AB417-F417)&lt;1,"ok","err")</f>
        <v>ok</v>
      </c>
    </row>
    <row r="418" spans="1:29" x14ac:dyDescent="0.2">
      <c r="A418" s="14">
        <v>902</v>
      </c>
      <c r="B418" s="14" t="s">
        <v>141</v>
      </c>
      <c r="C418" s="14" t="s">
        <v>505</v>
      </c>
      <c r="D418" s="14" t="s">
        <v>140</v>
      </c>
      <c r="F418" s="50">
        <v>0</v>
      </c>
      <c r="H418" s="50">
        <f>IF(VLOOKUP($D418,$C$5:$AA$494,6,)=0,0,((VLOOKUP($D418,$C$5:$AA$494,6,)/VLOOKUP($D418,$C$5:$AA$494,4,))*$F418))</f>
        <v>0</v>
      </c>
      <c r="I418" s="50">
        <f>IF(VLOOKUP($D418,$C$5:$AA$494,7,)=0,0,((VLOOKUP($D418,$C$5:$AA$494,7,)/VLOOKUP($D418,$C$5:$AA$494,4,))*$F418))</f>
        <v>0</v>
      </c>
      <c r="J418" s="50"/>
      <c r="K418" s="50">
        <f>IF(VLOOKUP($D418,$C$5:$AA$494,9,)=0,0,((VLOOKUP($D418,$C$5:$AA$494,9,)/VLOOKUP($D418,$C$5:$AA$494,4,))*$F418))</f>
        <v>0</v>
      </c>
      <c r="L418" s="50"/>
      <c r="M418" s="50">
        <f>IF(VLOOKUP($D418,$C$5:$AA$494,11,)=0,0,((VLOOKUP($D418,$C$5:$AA$494,11,)/VLOOKUP($D418,$C$5:$AA$494,4,))*$F418))</f>
        <v>0</v>
      </c>
      <c r="N418" s="50"/>
      <c r="O418" s="50">
        <f>IF(VLOOKUP($D418,$C$5:$AA$494,13,)=0,0,((VLOOKUP($D418,$C$5:$AA$494,13,)/VLOOKUP($D418,$C$5:$AA$494,4,))*$F418))</f>
        <v>0</v>
      </c>
      <c r="P418" s="50">
        <f>IF(VLOOKUP($D418,$C$5:$AA$494,14,)=0,0,((VLOOKUP($D418,$C$5:$AA$494,14,)/VLOOKUP($D418,$C$5:$AA$494,4,))*$F418))</f>
        <v>0</v>
      </c>
      <c r="Q418" s="50"/>
      <c r="R418" s="50">
        <f>IF(VLOOKUP($D418,$C$5:$AA$494,16,)=0,0,((VLOOKUP($D418,$C$5:$AA$494,16,)/VLOOKUP($D418,$C$5:$AA$494,4,))*$F418))</f>
        <v>0</v>
      </c>
      <c r="S418" s="50">
        <f>IF(VLOOKUP($D418,$C$5:$AA$494,17,)=0,0,((VLOOKUP($D418,$C$5:$AA$494,17,)/VLOOKUP($D418,$C$5:$AA$494,4,))*$F418))</f>
        <v>0</v>
      </c>
      <c r="T418" s="50"/>
      <c r="U418" s="50">
        <f>IF(VLOOKUP($D418,$C$5:$AA$494,19,)=0,0,((VLOOKUP($D418,$C$5:$AA$494,19,)/VLOOKUP($D418,$C$5:$AA$494,4,))*$F418))</f>
        <v>0</v>
      </c>
      <c r="V418" s="50"/>
      <c r="W418" s="50">
        <f>IF(VLOOKUP($D418,$C$5:$AA$494,21,)=0,0,((VLOOKUP($D418,$C$5:$AA$494,21,)/VLOOKUP($D418,$C$5:$AA$494,4,))*$F418))</f>
        <v>0</v>
      </c>
      <c r="X418" s="50"/>
      <c r="Y418" s="50">
        <f>IF(VLOOKUP($D418,$C$5:$AA$494,23,)=0,0,((VLOOKUP($D418,$C$5:$AA$494,23,)/VLOOKUP($D418,$C$5:$AA$494,4,))*$F418))</f>
        <v>0</v>
      </c>
      <c r="Z418" s="50"/>
      <c r="AA418" s="50">
        <f>IF(VLOOKUP($D418,$C$5:$AA$494,25,)=0,0,((VLOOKUP($D418,$C$5:$AA$494,25,)/VLOOKUP($D418,$C$5:$AA$494,4,))*$F418))</f>
        <v>0</v>
      </c>
      <c r="AB418" s="50">
        <f>SUM(H418:AA418)</f>
        <v>0</v>
      </c>
      <c r="AC418" s="31" t="str">
        <f>IF(ABS(AB418-F418)&lt;1,"ok","err")</f>
        <v>ok</v>
      </c>
    </row>
    <row r="419" spans="1:29" x14ac:dyDescent="0.2">
      <c r="A419" s="14">
        <v>903</v>
      </c>
      <c r="B419" s="14" t="s">
        <v>452</v>
      </c>
      <c r="C419" s="14" t="s">
        <v>506</v>
      </c>
      <c r="D419" s="14" t="s">
        <v>140</v>
      </c>
      <c r="F419" s="50">
        <f>276+5334+86868+443797+606568+12917+8803+5121+102451+138907+22380+871267</f>
        <v>2304689</v>
      </c>
      <c r="H419" s="50">
        <f>IF(VLOOKUP($D419,$C$5:$AA$494,6,)=0,0,((VLOOKUP($D419,$C$5:$AA$494,6,)/VLOOKUP($D419,$C$5:$AA$494,4,))*$F419))</f>
        <v>0</v>
      </c>
      <c r="I419" s="50">
        <f>IF(VLOOKUP($D419,$C$5:$AA$494,7,)=0,0,((VLOOKUP($D419,$C$5:$AA$494,7,)/VLOOKUP($D419,$C$5:$AA$494,4,))*$F419))</f>
        <v>0</v>
      </c>
      <c r="J419" s="50"/>
      <c r="K419" s="50">
        <f>IF(VLOOKUP($D419,$C$5:$AA$494,9,)=0,0,((VLOOKUP($D419,$C$5:$AA$494,9,)/VLOOKUP($D419,$C$5:$AA$494,4,))*$F419))</f>
        <v>0</v>
      </c>
      <c r="L419" s="50"/>
      <c r="M419" s="50">
        <f>IF(VLOOKUP($D419,$C$5:$AA$494,11,)=0,0,((VLOOKUP($D419,$C$5:$AA$494,11,)/VLOOKUP($D419,$C$5:$AA$494,4,))*$F419))</f>
        <v>0</v>
      </c>
      <c r="N419" s="50"/>
      <c r="O419" s="50">
        <f>IF(VLOOKUP($D419,$C$5:$AA$494,13,)=0,0,((VLOOKUP($D419,$C$5:$AA$494,13,)/VLOOKUP($D419,$C$5:$AA$494,4,))*$F419))</f>
        <v>0</v>
      </c>
      <c r="P419" s="50">
        <f>IF(VLOOKUP($D419,$C$5:$AA$494,14,)=0,0,((VLOOKUP($D419,$C$5:$AA$494,14,)/VLOOKUP($D419,$C$5:$AA$494,4,))*$F419))</f>
        <v>0</v>
      </c>
      <c r="Q419" s="50"/>
      <c r="R419" s="50">
        <f>IF(VLOOKUP($D419,$C$5:$AA$494,16,)=0,0,((VLOOKUP($D419,$C$5:$AA$494,16,)/VLOOKUP($D419,$C$5:$AA$494,4,))*$F419))</f>
        <v>0</v>
      </c>
      <c r="S419" s="50">
        <f>IF(VLOOKUP($D419,$C$5:$AA$494,17,)=0,0,((VLOOKUP($D419,$C$5:$AA$494,17,)/VLOOKUP($D419,$C$5:$AA$494,4,))*$F419))</f>
        <v>0</v>
      </c>
      <c r="T419" s="50"/>
      <c r="U419" s="50">
        <f>IF(VLOOKUP($D419,$C$5:$AA$494,19,)=0,0,((VLOOKUP($D419,$C$5:$AA$494,19,)/VLOOKUP($D419,$C$5:$AA$494,4,))*$F419))</f>
        <v>0</v>
      </c>
      <c r="V419" s="50"/>
      <c r="W419" s="50">
        <f>IF(VLOOKUP($D419,$C$5:$AA$494,21,)=0,0,((VLOOKUP($D419,$C$5:$AA$494,21,)/VLOOKUP($D419,$C$5:$AA$494,4,))*$F419))</f>
        <v>0</v>
      </c>
      <c r="X419" s="50"/>
      <c r="Y419" s="50">
        <f>IF(VLOOKUP($D419,$C$5:$AA$494,23,)=0,0,((VLOOKUP($D419,$C$5:$AA$494,23,)/VLOOKUP($D419,$C$5:$AA$494,4,))*$F419))</f>
        <v>2304689</v>
      </c>
      <c r="Z419" s="50"/>
      <c r="AA419" s="50">
        <f>IF(VLOOKUP($D419,$C$5:$AA$494,25,)=0,0,((VLOOKUP($D419,$C$5:$AA$494,25,)/VLOOKUP($D419,$C$5:$AA$494,4,))*$F419))</f>
        <v>0</v>
      </c>
      <c r="AB419" s="50">
        <f>SUM(H419:AA419)</f>
        <v>2304689</v>
      </c>
      <c r="AC419" s="31" t="str">
        <f>IF(ABS(AB419-F419)&lt;1,"ok","err")</f>
        <v>ok</v>
      </c>
    </row>
    <row r="420" spans="1:29" x14ac:dyDescent="0.2">
      <c r="A420" s="14">
        <v>904</v>
      </c>
      <c r="B420" s="14" t="s">
        <v>144</v>
      </c>
      <c r="C420" s="14" t="s">
        <v>507</v>
      </c>
      <c r="D420" s="14" t="s">
        <v>140</v>
      </c>
      <c r="F420" s="50">
        <v>0</v>
      </c>
      <c r="H420" s="50">
        <f>IF(VLOOKUP($D420,$C$5:$AA$494,6,)=0,0,((VLOOKUP($D420,$C$5:$AA$494,6,)/VLOOKUP($D420,$C$5:$AA$494,4,))*$F420))</f>
        <v>0</v>
      </c>
      <c r="I420" s="50">
        <f>IF(VLOOKUP($D420,$C$5:$AA$494,7,)=0,0,((VLOOKUP($D420,$C$5:$AA$494,7,)/VLOOKUP($D420,$C$5:$AA$494,4,))*$F420))</f>
        <v>0</v>
      </c>
      <c r="J420" s="50"/>
      <c r="K420" s="50">
        <f>IF(VLOOKUP($D420,$C$5:$AA$494,9,)=0,0,((VLOOKUP($D420,$C$5:$AA$494,9,)/VLOOKUP($D420,$C$5:$AA$494,4,))*$F420))</f>
        <v>0</v>
      </c>
      <c r="L420" s="50"/>
      <c r="M420" s="50">
        <f>IF(VLOOKUP($D420,$C$5:$AA$494,11,)=0,0,((VLOOKUP($D420,$C$5:$AA$494,11,)/VLOOKUP($D420,$C$5:$AA$494,4,))*$F420))</f>
        <v>0</v>
      </c>
      <c r="N420" s="50"/>
      <c r="O420" s="50">
        <f>IF(VLOOKUP($D420,$C$5:$AA$494,13,)=0,0,((VLOOKUP($D420,$C$5:$AA$494,13,)/VLOOKUP($D420,$C$5:$AA$494,4,))*$F420))</f>
        <v>0</v>
      </c>
      <c r="P420" s="50">
        <f>IF(VLOOKUP($D420,$C$5:$AA$494,14,)=0,0,((VLOOKUP($D420,$C$5:$AA$494,14,)/VLOOKUP($D420,$C$5:$AA$494,4,))*$F420))</f>
        <v>0</v>
      </c>
      <c r="Q420" s="50"/>
      <c r="R420" s="50">
        <f>IF(VLOOKUP($D420,$C$5:$AA$494,16,)=0,0,((VLOOKUP($D420,$C$5:$AA$494,16,)/VLOOKUP($D420,$C$5:$AA$494,4,))*$F420))</f>
        <v>0</v>
      </c>
      <c r="S420" s="50">
        <f>IF(VLOOKUP($D420,$C$5:$AA$494,17,)=0,0,((VLOOKUP($D420,$C$5:$AA$494,17,)/VLOOKUP($D420,$C$5:$AA$494,4,))*$F420))</f>
        <v>0</v>
      </c>
      <c r="T420" s="50"/>
      <c r="U420" s="50">
        <f>IF(VLOOKUP($D420,$C$5:$AA$494,19,)=0,0,((VLOOKUP($D420,$C$5:$AA$494,19,)/VLOOKUP($D420,$C$5:$AA$494,4,))*$F420))</f>
        <v>0</v>
      </c>
      <c r="V420" s="50"/>
      <c r="W420" s="50">
        <f>IF(VLOOKUP($D420,$C$5:$AA$494,21,)=0,0,((VLOOKUP($D420,$C$5:$AA$494,21,)/VLOOKUP($D420,$C$5:$AA$494,4,))*$F420))</f>
        <v>0</v>
      </c>
      <c r="X420" s="50"/>
      <c r="Y420" s="50">
        <f>IF(VLOOKUP($D420,$C$5:$AA$494,23,)=0,0,((VLOOKUP($D420,$C$5:$AA$494,23,)/VLOOKUP($D420,$C$5:$AA$494,4,))*$F420))</f>
        <v>0</v>
      </c>
      <c r="Z420" s="50"/>
      <c r="AA420" s="50">
        <f>IF(VLOOKUP($D420,$C$5:$AA$494,25,)=0,0,((VLOOKUP($D420,$C$5:$AA$494,25,)/VLOOKUP($D420,$C$5:$AA$494,4,))*$F420))</f>
        <v>0</v>
      </c>
      <c r="AB420" s="50">
        <f>SUM(H420:AA420)</f>
        <v>0</v>
      </c>
      <c r="AC420" s="31" t="str">
        <f>IF(ABS(AB420-F420)&lt;1,"ok","err")</f>
        <v>ok</v>
      </c>
    </row>
    <row r="421" spans="1:29" x14ac:dyDescent="0.2">
      <c r="A421" s="14">
        <v>905</v>
      </c>
      <c r="B421" s="14" t="s">
        <v>453</v>
      </c>
      <c r="C421" s="14" t="s">
        <v>506</v>
      </c>
      <c r="D421" s="14" t="s">
        <v>140</v>
      </c>
      <c r="F421" s="50">
        <v>0</v>
      </c>
      <c r="H421" s="50">
        <f>IF(VLOOKUP($D421,$C$5:$AA$494,6,)=0,0,((VLOOKUP($D421,$C$5:$AA$494,6,)/VLOOKUP($D421,$C$5:$AA$494,4,))*$F421))</f>
        <v>0</v>
      </c>
      <c r="I421" s="50">
        <f>IF(VLOOKUP($D421,$C$5:$AA$494,7,)=0,0,((VLOOKUP($D421,$C$5:$AA$494,7,)/VLOOKUP($D421,$C$5:$AA$494,4,))*$F421))</f>
        <v>0</v>
      </c>
      <c r="J421" s="50"/>
      <c r="K421" s="50">
        <f>IF(VLOOKUP($D421,$C$5:$AA$494,9,)=0,0,((VLOOKUP($D421,$C$5:$AA$494,9,)/VLOOKUP($D421,$C$5:$AA$494,4,))*$F421))</f>
        <v>0</v>
      </c>
      <c r="L421" s="50"/>
      <c r="M421" s="50">
        <f>IF(VLOOKUP($D421,$C$5:$AA$494,11,)=0,0,((VLOOKUP($D421,$C$5:$AA$494,11,)/VLOOKUP($D421,$C$5:$AA$494,4,))*$F421))</f>
        <v>0</v>
      </c>
      <c r="N421" s="50"/>
      <c r="O421" s="50">
        <f>IF(VLOOKUP($D421,$C$5:$AA$494,13,)=0,0,((VLOOKUP($D421,$C$5:$AA$494,13,)/VLOOKUP($D421,$C$5:$AA$494,4,))*$F421))</f>
        <v>0</v>
      </c>
      <c r="P421" s="50">
        <f>IF(VLOOKUP($D421,$C$5:$AA$494,14,)=0,0,((VLOOKUP($D421,$C$5:$AA$494,14,)/VLOOKUP($D421,$C$5:$AA$494,4,))*$F421))</f>
        <v>0</v>
      </c>
      <c r="Q421" s="50"/>
      <c r="R421" s="50">
        <f>IF(VLOOKUP($D421,$C$5:$AA$494,16,)=0,0,((VLOOKUP($D421,$C$5:$AA$494,16,)/VLOOKUP($D421,$C$5:$AA$494,4,))*$F421))</f>
        <v>0</v>
      </c>
      <c r="S421" s="50">
        <f>IF(VLOOKUP($D421,$C$5:$AA$494,17,)=0,0,((VLOOKUP($D421,$C$5:$AA$494,17,)/VLOOKUP($D421,$C$5:$AA$494,4,))*$F421))</f>
        <v>0</v>
      </c>
      <c r="T421" s="50"/>
      <c r="U421" s="50">
        <f>IF(VLOOKUP($D421,$C$5:$AA$494,19,)=0,0,((VLOOKUP($D421,$C$5:$AA$494,19,)/VLOOKUP($D421,$C$5:$AA$494,4,))*$F421))</f>
        <v>0</v>
      </c>
      <c r="V421" s="50"/>
      <c r="W421" s="50">
        <f>IF(VLOOKUP($D421,$C$5:$AA$494,21,)=0,0,((VLOOKUP($D421,$C$5:$AA$494,21,)/VLOOKUP($D421,$C$5:$AA$494,4,))*$F421))</f>
        <v>0</v>
      </c>
      <c r="X421" s="50"/>
      <c r="Y421" s="50">
        <f>IF(VLOOKUP($D421,$C$5:$AA$494,23,)=0,0,((VLOOKUP($D421,$C$5:$AA$494,23,)/VLOOKUP($D421,$C$5:$AA$494,4,))*$F421))</f>
        <v>0</v>
      </c>
      <c r="Z421" s="50"/>
      <c r="AA421" s="50">
        <f>IF(VLOOKUP($D421,$C$5:$AA$494,25,)=0,0,((VLOOKUP($D421,$C$5:$AA$494,25,)/VLOOKUP($D421,$C$5:$AA$494,4,))*$F421))</f>
        <v>0</v>
      </c>
      <c r="AB421" s="50">
        <f>SUM(H421:AA421)</f>
        <v>0</v>
      </c>
      <c r="AC421" s="31" t="str">
        <f>IF(ABS(AB421-F421)&lt;1,"ok","err")</f>
        <v>ok</v>
      </c>
    </row>
    <row r="422" spans="1:29" x14ac:dyDescent="0.2">
      <c r="A422" s="13"/>
      <c r="F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31"/>
    </row>
    <row r="423" spans="1:29" x14ac:dyDescent="0.2">
      <c r="A423" s="14" t="s">
        <v>542</v>
      </c>
      <c r="C423" s="14" t="s">
        <v>508</v>
      </c>
      <c r="F423" s="66">
        <f>SUM(F417:F422)</f>
        <v>2304689</v>
      </c>
      <c r="G423" s="66"/>
      <c r="H423" s="66">
        <f>SUM(H417:H422)</f>
        <v>0</v>
      </c>
      <c r="I423" s="66">
        <f>SUM(I417:I422)</f>
        <v>0</v>
      </c>
      <c r="J423" s="66"/>
      <c r="K423" s="66">
        <f>SUM(K417:K422)</f>
        <v>0</v>
      </c>
      <c r="L423" s="66"/>
      <c r="M423" s="66">
        <f>SUM(M417:M422)</f>
        <v>0</v>
      </c>
      <c r="N423" s="66"/>
      <c r="O423" s="66">
        <f>SUM(O417:O422)</f>
        <v>0</v>
      </c>
      <c r="P423" s="66">
        <f>SUM(P417:P422)</f>
        <v>0</v>
      </c>
      <c r="Q423" s="66"/>
      <c r="R423" s="66">
        <f>SUM(R417:R422)</f>
        <v>0</v>
      </c>
      <c r="S423" s="66">
        <f>SUM(S417:S422)</f>
        <v>0</v>
      </c>
      <c r="T423" s="66"/>
      <c r="U423" s="66">
        <f>SUM(U417:U422)</f>
        <v>0</v>
      </c>
      <c r="V423" s="66"/>
      <c r="W423" s="66">
        <f>SUM(W417:W422)</f>
        <v>0</v>
      </c>
      <c r="X423" s="66"/>
      <c r="Y423" s="66">
        <f>SUM(Y417:Y422)</f>
        <v>2304689</v>
      </c>
      <c r="Z423" s="66"/>
      <c r="AA423" s="66">
        <f>SUM(AA417:AA422)</f>
        <v>0</v>
      </c>
      <c r="AB423" s="50">
        <f>SUM(H423:AA423)</f>
        <v>2304689</v>
      </c>
      <c r="AC423" s="31" t="str">
        <f>IF(ABS(AB423-F423)&lt;1,"ok","err")</f>
        <v>ok</v>
      </c>
    </row>
    <row r="424" spans="1:29" x14ac:dyDescent="0.2">
      <c r="F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C424" s="31"/>
    </row>
    <row r="425" spans="1:29" x14ac:dyDescent="0.2">
      <c r="A425" s="13" t="s">
        <v>148</v>
      </c>
      <c r="F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C425" s="31"/>
    </row>
    <row r="426" spans="1:29" x14ac:dyDescent="0.2">
      <c r="A426" s="14">
        <v>907</v>
      </c>
      <c r="B426" s="14" t="s">
        <v>385</v>
      </c>
      <c r="C426" s="14" t="s">
        <v>509</v>
      </c>
      <c r="D426" s="14" t="s">
        <v>150</v>
      </c>
      <c r="F426" s="66">
        <v>110091</v>
      </c>
      <c r="H426" s="50">
        <f t="shared" ref="H426:H436" si="242">IF(VLOOKUP($D426,$C$5:$AA$494,6,)=0,0,((VLOOKUP($D426,$C$5:$AA$494,6,)/VLOOKUP($D426,$C$5:$AA$494,4,))*$F426))</f>
        <v>0</v>
      </c>
      <c r="I426" s="50">
        <f t="shared" ref="I426:I436" si="243">IF(VLOOKUP($D426,$C$5:$AA$494,7,)=0,0,((VLOOKUP($D426,$C$5:$AA$494,7,)/VLOOKUP($D426,$C$5:$AA$494,4,))*$F426))</f>
        <v>0</v>
      </c>
      <c r="J426" s="50"/>
      <c r="K426" s="50">
        <f t="shared" ref="K426:K436" si="244">IF(VLOOKUP($D426,$C$5:$AA$494,9,)=0,0,((VLOOKUP($D426,$C$5:$AA$494,9,)/VLOOKUP($D426,$C$5:$AA$494,4,))*$F426))</f>
        <v>0</v>
      </c>
      <c r="L426" s="50"/>
      <c r="M426" s="50">
        <f t="shared" ref="M426:M436" si="245">IF(VLOOKUP($D426,$C$5:$AA$494,11,)=0,0,((VLOOKUP($D426,$C$5:$AA$494,11,)/VLOOKUP($D426,$C$5:$AA$494,4,))*$F426))</f>
        <v>0</v>
      </c>
      <c r="N426" s="50"/>
      <c r="O426" s="50">
        <f t="shared" ref="O426:O436" si="246">IF(VLOOKUP($D426,$C$5:$AA$494,13,)=0,0,((VLOOKUP($D426,$C$5:$AA$494,13,)/VLOOKUP($D426,$C$5:$AA$494,4,))*$F426))</f>
        <v>0</v>
      </c>
      <c r="P426" s="50">
        <f t="shared" ref="P426:P436" si="247">IF(VLOOKUP($D426,$C$5:$AA$494,14,)=0,0,((VLOOKUP($D426,$C$5:$AA$494,14,)/VLOOKUP($D426,$C$5:$AA$494,4,))*$F426))</f>
        <v>0</v>
      </c>
      <c r="Q426" s="50"/>
      <c r="R426" s="50">
        <f t="shared" ref="R426:R436" si="248">IF(VLOOKUP($D426,$C$5:$AA$494,16,)=0,0,((VLOOKUP($D426,$C$5:$AA$494,16,)/VLOOKUP($D426,$C$5:$AA$494,4,))*$F426))</f>
        <v>0</v>
      </c>
      <c r="S426" s="50">
        <f t="shared" ref="S426:S436" si="249">IF(VLOOKUP($D426,$C$5:$AA$494,17,)=0,0,((VLOOKUP($D426,$C$5:$AA$494,17,)/VLOOKUP($D426,$C$5:$AA$494,4,))*$F426))</f>
        <v>0</v>
      </c>
      <c r="T426" s="50"/>
      <c r="U426" s="50">
        <f t="shared" ref="U426:U436" si="250">IF(VLOOKUP($D426,$C$5:$AA$494,19,)=0,0,((VLOOKUP($D426,$C$5:$AA$494,19,)/VLOOKUP($D426,$C$5:$AA$494,4,))*$F426))</f>
        <v>0</v>
      </c>
      <c r="V426" s="50"/>
      <c r="W426" s="50">
        <f t="shared" ref="W426:W436" si="251">IF(VLOOKUP($D426,$C$5:$AA$494,21,)=0,0,((VLOOKUP($D426,$C$5:$AA$494,21,)/VLOOKUP($D426,$C$5:$AA$494,4,))*$F426))</f>
        <v>0</v>
      </c>
      <c r="X426" s="50"/>
      <c r="Y426" s="50">
        <f t="shared" ref="Y426:Y436" si="252">IF(VLOOKUP($D426,$C$5:$AA$494,23,)=0,0,((VLOOKUP($D426,$C$5:$AA$494,23,)/VLOOKUP($D426,$C$5:$AA$494,4,))*$F426))</f>
        <v>110091</v>
      </c>
      <c r="Z426" s="50"/>
      <c r="AA426" s="50">
        <f t="shared" ref="AA426:AA436" si="253">IF(VLOOKUP($D426,$C$5:$AA$494,25,)=0,0,((VLOOKUP($D426,$C$5:$AA$494,25,)/VLOOKUP($D426,$C$5:$AA$494,4,))*$F426))</f>
        <v>0</v>
      </c>
      <c r="AB426" s="50">
        <f t="shared" ref="AB426:AB436" si="254">SUM(H426:AA426)</f>
        <v>110091</v>
      </c>
      <c r="AC426" s="31" t="str">
        <f t="shared" ref="AC426:AC436" si="255">IF(ABS(AB426-F426)&lt;1,"ok","err")</f>
        <v>ok</v>
      </c>
    </row>
    <row r="427" spans="1:29" x14ac:dyDescent="0.2">
      <c r="A427" s="14">
        <v>908</v>
      </c>
      <c r="B427" s="14" t="s">
        <v>151</v>
      </c>
      <c r="C427" s="14" t="s">
        <v>510</v>
      </c>
      <c r="D427" s="14" t="s">
        <v>150</v>
      </c>
      <c r="F427" s="50">
        <f>249+371+87481+50758</f>
        <v>138859</v>
      </c>
      <c r="H427" s="50">
        <f t="shared" si="242"/>
        <v>0</v>
      </c>
      <c r="I427" s="50">
        <f t="shared" si="243"/>
        <v>0</v>
      </c>
      <c r="J427" s="50"/>
      <c r="K427" s="50">
        <f t="shared" si="244"/>
        <v>0</v>
      </c>
      <c r="L427" s="50"/>
      <c r="M427" s="50">
        <f t="shared" si="245"/>
        <v>0</v>
      </c>
      <c r="N427" s="50"/>
      <c r="O427" s="50">
        <f t="shared" si="246"/>
        <v>0</v>
      </c>
      <c r="P427" s="50">
        <f t="shared" si="247"/>
        <v>0</v>
      </c>
      <c r="Q427" s="50"/>
      <c r="R427" s="50">
        <f t="shared" si="248"/>
        <v>0</v>
      </c>
      <c r="S427" s="50">
        <f t="shared" si="249"/>
        <v>0</v>
      </c>
      <c r="T427" s="50"/>
      <c r="U427" s="50">
        <f t="shared" si="250"/>
        <v>0</v>
      </c>
      <c r="V427" s="50"/>
      <c r="W427" s="50">
        <f t="shared" si="251"/>
        <v>0</v>
      </c>
      <c r="X427" s="50"/>
      <c r="Y427" s="50">
        <f t="shared" si="252"/>
        <v>138859</v>
      </c>
      <c r="Z427" s="50"/>
      <c r="AA427" s="50">
        <f t="shared" si="253"/>
        <v>0</v>
      </c>
      <c r="AB427" s="50">
        <f t="shared" si="254"/>
        <v>138859</v>
      </c>
      <c r="AC427" s="31" t="str">
        <f t="shared" si="255"/>
        <v>ok</v>
      </c>
    </row>
    <row r="428" spans="1:29" x14ac:dyDescent="0.2">
      <c r="A428" s="14">
        <v>908</v>
      </c>
      <c r="B428" s="14" t="s">
        <v>454</v>
      </c>
      <c r="C428" s="14" t="s">
        <v>511</v>
      </c>
      <c r="D428" s="14" t="s">
        <v>471</v>
      </c>
      <c r="F428" s="50">
        <v>0</v>
      </c>
      <c r="H428" s="50">
        <f t="shared" si="242"/>
        <v>0</v>
      </c>
      <c r="I428" s="50">
        <f t="shared" si="243"/>
        <v>0</v>
      </c>
      <c r="J428" s="50"/>
      <c r="K428" s="50">
        <f t="shared" si="244"/>
        <v>0</v>
      </c>
      <c r="L428" s="50"/>
      <c r="M428" s="50">
        <f t="shared" si="245"/>
        <v>0</v>
      </c>
      <c r="N428" s="50"/>
      <c r="O428" s="50">
        <f t="shared" si="246"/>
        <v>0</v>
      </c>
      <c r="P428" s="50">
        <f t="shared" si="247"/>
        <v>0</v>
      </c>
      <c r="Q428" s="50"/>
      <c r="R428" s="50">
        <f t="shared" si="248"/>
        <v>0</v>
      </c>
      <c r="S428" s="50">
        <f t="shared" si="249"/>
        <v>0</v>
      </c>
      <c r="T428" s="50"/>
      <c r="U428" s="50">
        <f t="shared" si="250"/>
        <v>0</v>
      </c>
      <c r="V428" s="50"/>
      <c r="W428" s="50">
        <f t="shared" si="251"/>
        <v>0</v>
      </c>
      <c r="X428" s="50"/>
      <c r="Y428" s="50">
        <f t="shared" si="252"/>
        <v>0</v>
      </c>
      <c r="Z428" s="50"/>
      <c r="AA428" s="50">
        <f t="shared" si="253"/>
        <v>0</v>
      </c>
      <c r="AB428" s="50">
        <f t="shared" si="254"/>
        <v>0</v>
      </c>
      <c r="AC428" s="31" t="str">
        <f t="shared" si="255"/>
        <v>ok</v>
      </c>
    </row>
    <row r="429" spans="1:29" x14ac:dyDescent="0.2">
      <c r="A429" s="14">
        <v>909</v>
      </c>
      <c r="B429" s="14" t="s">
        <v>153</v>
      </c>
      <c r="C429" s="14" t="s">
        <v>512</v>
      </c>
      <c r="D429" s="14" t="s">
        <v>150</v>
      </c>
      <c r="F429" s="50">
        <v>0</v>
      </c>
      <c r="H429" s="50">
        <f t="shared" si="242"/>
        <v>0</v>
      </c>
      <c r="I429" s="50">
        <f t="shared" si="243"/>
        <v>0</v>
      </c>
      <c r="J429" s="50"/>
      <c r="K429" s="50">
        <f t="shared" si="244"/>
        <v>0</v>
      </c>
      <c r="L429" s="50"/>
      <c r="M429" s="50">
        <f t="shared" si="245"/>
        <v>0</v>
      </c>
      <c r="N429" s="50"/>
      <c r="O429" s="50">
        <f t="shared" si="246"/>
        <v>0</v>
      </c>
      <c r="P429" s="50">
        <f t="shared" si="247"/>
        <v>0</v>
      </c>
      <c r="Q429" s="50"/>
      <c r="R429" s="50">
        <f t="shared" si="248"/>
        <v>0</v>
      </c>
      <c r="S429" s="50">
        <f t="shared" si="249"/>
        <v>0</v>
      </c>
      <c r="T429" s="50"/>
      <c r="U429" s="50">
        <f t="shared" si="250"/>
        <v>0</v>
      </c>
      <c r="V429" s="50"/>
      <c r="W429" s="50">
        <f t="shared" si="251"/>
        <v>0</v>
      </c>
      <c r="X429" s="50"/>
      <c r="Y429" s="50">
        <f t="shared" si="252"/>
        <v>0</v>
      </c>
      <c r="Z429" s="50"/>
      <c r="AA429" s="50">
        <f t="shared" si="253"/>
        <v>0</v>
      </c>
      <c r="AB429" s="50">
        <f t="shared" si="254"/>
        <v>0</v>
      </c>
      <c r="AC429" s="31" t="str">
        <f t="shared" si="255"/>
        <v>ok</v>
      </c>
    </row>
    <row r="430" spans="1:29" x14ac:dyDescent="0.2">
      <c r="A430" s="14">
        <v>909</v>
      </c>
      <c r="B430" s="14" t="s">
        <v>456</v>
      </c>
      <c r="C430" s="14" t="s">
        <v>513</v>
      </c>
      <c r="D430" s="14" t="s">
        <v>471</v>
      </c>
      <c r="F430" s="50">
        <v>0</v>
      </c>
      <c r="H430" s="50">
        <f t="shared" si="242"/>
        <v>0</v>
      </c>
      <c r="I430" s="50">
        <f t="shared" si="243"/>
        <v>0</v>
      </c>
      <c r="J430" s="50"/>
      <c r="K430" s="50">
        <f t="shared" si="244"/>
        <v>0</v>
      </c>
      <c r="L430" s="50"/>
      <c r="M430" s="50">
        <f t="shared" si="245"/>
        <v>0</v>
      </c>
      <c r="N430" s="50"/>
      <c r="O430" s="50">
        <f t="shared" si="246"/>
        <v>0</v>
      </c>
      <c r="P430" s="50">
        <f t="shared" si="247"/>
        <v>0</v>
      </c>
      <c r="Q430" s="50"/>
      <c r="R430" s="50">
        <f t="shared" si="248"/>
        <v>0</v>
      </c>
      <c r="S430" s="50">
        <f t="shared" si="249"/>
        <v>0</v>
      </c>
      <c r="T430" s="50"/>
      <c r="U430" s="50">
        <f t="shared" si="250"/>
        <v>0</v>
      </c>
      <c r="V430" s="50"/>
      <c r="W430" s="50">
        <f t="shared" si="251"/>
        <v>0</v>
      </c>
      <c r="X430" s="50"/>
      <c r="Y430" s="50">
        <f t="shared" si="252"/>
        <v>0</v>
      </c>
      <c r="Z430" s="50"/>
      <c r="AA430" s="50">
        <f t="shared" si="253"/>
        <v>0</v>
      </c>
      <c r="AB430" s="50">
        <f t="shared" si="254"/>
        <v>0</v>
      </c>
      <c r="AC430" s="31" t="str">
        <f t="shared" si="255"/>
        <v>ok</v>
      </c>
    </row>
    <row r="431" spans="1:29" x14ac:dyDescent="0.2">
      <c r="A431" s="14">
        <v>910</v>
      </c>
      <c r="B431" s="14" t="s">
        <v>155</v>
      </c>
      <c r="C431" s="14" t="s">
        <v>514</v>
      </c>
      <c r="D431" s="14" t="s">
        <v>150</v>
      </c>
      <c r="F431" s="50">
        <f>559+632+37385+10119+52758+4540</f>
        <v>105993</v>
      </c>
      <c r="H431" s="50">
        <f t="shared" si="242"/>
        <v>0</v>
      </c>
      <c r="I431" s="50">
        <f t="shared" si="243"/>
        <v>0</v>
      </c>
      <c r="J431" s="50"/>
      <c r="K431" s="50">
        <f t="shared" si="244"/>
        <v>0</v>
      </c>
      <c r="L431" s="50"/>
      <c r="M431" s="50">
        <f t="shared" si="245"/>
        <v>0</v>
      </c>
      <c r="N431" s="50"/>
      <c r="O431" s="50">
        <f t="shared" si="246"/>
        <v>0</v>
      </c>
      <c r="P431" s="50">
        <f t="shared" si="247"/>
        <v>0</v>
      </c>
      <c r="Q431" s="50"/>
      <c r="R431" s="50">
        <f t="shared" si="248"/>
        <v>0</v>
      </c>
      <c r="S431" s="50">
        <f t="shared" si="249"/>
        <v>0</v>
      </c>
      <c r="T431" s="50"/>
      <c r="U431" s="50">
        <f t="shared" si="250"/>
        <v>0</v>
      </c>
      <c r="V431" s="50"/>
      <c r="W431" s="50">
        <f t="shared" si="251"/>
        <v>0</v>
      </c>
      <c r="X431" s="50"/>
      <c r="Y431" s="50">
        <f t="shared" si="252"/>
        <v>105993</v>
      </c>
      <c r="Z431" s="50"/>
      <c r="AA431" s="50">
        <f t="shared" si="253"/>
        <v>0</v>
      </c>
      <c r="AB431" s="50">
        <f t="shared" si="254"/>
        <v>105993</v>
      </c>
      <c r="AC431" s="31" t="str">
        <f t="shared" si="255"/>
        <v>ok</v>
      </c>
    </row>
    <row r="432" spans="1:29" x14ac:dyDescent="0.2">
      <c r="A432" s="14">
        <v>911</v>
      </c>
      <c r="B432" s="14" t="s">
        <v>385</v>
      </c>
      <c r="C432" s="14" t="s">
        <v>711</v>
      </c>
      <c r="D432" s="14" t="s">
        <v>150</v>
      </c>
      <c r="F432" s="50">
        <v>0</v>
      </c>
      <c r="H432" s="50">
        <f t="shared" si="242"/>
        <v>0</v>
      </c>
      <c r="I432" s="50">
        <f t="shared" si="243"/>
        <v>0</v>
      </c>
      <c r="J432" s="50"/>
      <c r="K432" s="50">
        <f t="shared" si="244"/>
        <v>0</v>
      </c>
      <c r="L432" s="50"/>
      <c r="M432" s="50">
        <f t="shared" si="245"/>
        <v>0</v>
      </c>
      <c r="N432" s="50"/>
      <c r="O432" s="50">
        <f t="shared" si="246"/>
        <v>0</v>
      </c>
      <c r="P432" s="50">
        <f t="shared" si="247"/>
        <v>0</v>
      </c>
      <c r="Q432" s="50"/>
      <c r="R432" s="50">
        <f t="shared" si="248"/>
        <v>0</v>
      </c>
      <c r="S432" s="50">
        <f t="shared" si="249"/>
        <v>0</v>
      </c>
      <c r="T432" s="50"/>
      <c r="U432" s="50">
        <f t="shared" si="250"/>
        <v>0</v>
      </c>
      <c r="V432" s="50"/>
      <c r="W432" s="50">
        <f t="shared" si="251"/>
        <v>0</v>
      </c>
      <c r="X432" s="50"/>
      <c r="Y432" s="50">
        <f t="shared" si="252"/>
        <v>0</v>
      </c>
      <c r="Z432" s="50"/>
      <c r="AA432" s="50">
        <f t="shared" si="253"/>
        <v>0</v>
      </c>
      <c r="AB432" s="50">
        <f>SUM(H432:AA432)</f>
        <v>0</v>
      </c>
      <c r="AC432" s="31" t="str">
        <f>IF(ABS(AB432-F432)&lt;1,"ok","err")</f>
        <v>ok</v>
      </c>
    </row>
    <row r="433" spans="1:29" x14ac:dyDescent="0.2">
      <c r="A433" s="14">
        <v>912</v>
      </c>
      <c r="B433" s="14" t="s">
        <v>587</v>
      </c>
      <c r="C433" s="14" t="s">
        <v>590</v>
      </c>
      <c r="D433" s="14" t="s">
        <v>471</v>
      </c>
      <c r="F433" s="50">
        <v>0</v>
      </c>
      <c r="H433" s="50">
        <f t="shared" si="242"/>
        <v>0</v>
      </c>
      <c r="I433" s="50">
        <f t="shared" si="243"/>
        <v>0</v>
      </c>
      <c r="J433" s="50"/>
      <c r="K433" s="50">
        <f t="shared" si="244"/>
        <v>0</v>
      </c>
      <c r="L433" s="50"/>
      <c r="M433" s="50">
        <f t="shared" si="245"/>
        <v>0</v>
      </c>
      <c r="N433" s="50"/>
      <c r="O433" s="50">
        <f t="shared" si="246"/>
        <v>0</v>
      </c>
      <c r="P433" s="50">
        <f t="shared" si="247"/>
        <v>0</v>
      </c>
      <c r="Q433" s="50"/>
      <c r="R433" s="50">
        <f t="shared" si="248"/>
        <v>0</v>
      </c>
      <c r="S433" s="50">
        <f t="shared" si="249"/>
        <v>0</v>
      </c>
      <c r="T433" s="50"/>
      <c r="U433" s="50">
        <f t="shared" si="250"/>
        <v>0</v>
      </c>
      <c r="V433" s="50"/>
      <c r="W433" s="50">
        <f t="shared" si="251"/>
        <v>0</v>
      </c>
      <c r="X433" s="50"/>
      <c r="Y433" s="50">
        <f t="shared" si="252"/>
        <v>0</v>
      </c>
      <c r="Z433" s="50"/>
      <c r="AA433" s="50">
        <f t="shared" si="253"/>
        <v>0</v>
      </c>
      <c r="AB433" s="50">
        <f t="shared" si="254"/>
        <v>0</v>
      </c>
      <c r="AC433" s="31" t="str">
        <f t="shared" si="255"/>
        <v>ok</v>
      </c>
    </row>
    <row r="434" spans="1:29" x14ac:dyDescent="0.2">
      <c r="A434" s="14">
        <v>913</v>
      </c>
      <c r="B434" s="14" t="s">
        <v>576</v>
      </c>
      <c r="C434" s="14" t="s">
        <v>591</v>
      </c>
      <c r="D434" s="14" t="s">
        <v>471</v>
      </c>
      <c r="F434" s="50">
        <v>2947</v>
      </c>
      <c r="H434" s="50">
        <f t="shared" si="242"/>
        <v>0</v>
      </c>
      <c r="I434" s="50">
        <f t="shared" si="243"/>
        <v>0</v>
      </c>
      <c r="J434" s="50"/>
      <c r="K434" s="50">
        <f t="shared" si="244"/>
        <v>0</v>
      </c>
      <c r="L434" s="50"/>
      <c r="M434" s="50">
        <f t="shared" si="245"/>
        <v>0</v>
      </c>
      <c r="N434" s="50"/>
      <c r="O434" s="50">
        <f t="shared" si="246"/>
        <v>0</v>
      </c>
      <c r="P434" s="50">
        <f t="shared" si="247"/>
        <v>0</v>
      </c>
      <c r="Q434" s="50"/>
      <c r="R434" s="50">
        <f t="shared" si="248"/>
        <v>0</v>
      </c>
      <c r="S434" s="50">
        <f t="shared" si="249"/>
        <v>0</v>
      </c>
      <c r="T434" s="50"/>
      <c r="U434" s="50">
        <f t="shared" si="250"/>
        <v>0</v>
      </c>
      <c r="V434" s="50"/>
      <c r="W434" s="50">
        <f t="shared" si="251"/>
        <v>0</v>
      </c>
      <c r="X434" s="50"/>
      <c r="Y434" s="50">
        <f t="shared" si="252"/>
        <v>0</v>
      </c>
      <c r="Z434" s="50"/>
      <c r="AA434" s="50">
        <f t="shared" si="253"/>
        <v>2947</v>
      </c>
      <c r="AB434" s="50">
        <f t="shared" si="254"/>
        <v>2947</v>
      </c>
      <c r="AC434" s="31" t="str">
        <f t="shared" si="255"/>
        <v>ok</v>
      </c>
    </row>
    <row r="435" spans="1:29" x14ac:dyDescent="0.2">
      <c r="A435" s="14">
        <v>915</v>
      </c>
      <c r="B435" s="14" t="s">
        <v>639</v>
      </c>
      <c r="C435" s="14" t="s">
        <v>642</v>
      </c>
      <c r="D435" s="14" t="s">
        <v>471</v>
      </c>
      <c r="F435" s="50">
        <v>0</v>
      </c>
      <c r="H435" s="50">
        <f t="shared" si="242"/>
        <v>0</v>
      </c>
      <c r="I435" s="50">
        <f t="shared" si="243"/>
        <v>0</v>
      </c>
      <c r="J435" s="50"/>
      <c r="K435" s="50">
        <f t="shared" si="244"/>
        <v>0</v>
      </c>
      <c r="L435" s="50"/>
      <c r="M435" s="50">
        <f t="shared" si="245"/>
        <v>0</v>
      </c>
      <c r="N435" s="50"/>
      <c r="O435" s="50">
        <f t="shared" si="246"/>
        <v>0</v>
      </c>
      <c r="P435" s="50">
        <f t="shared" si="247"/>
        <v>0</v>
      </c>
      <c r="Q435" s="50"/>
      <c r="R435" s="50">
        <f t="shared" si="248"/>
        <v>0</v>
      </c>
      <c r="S435" s="50">
        <f t="shared" si="249"/>
        <v>0</v>
      </c>
      <c r="T435" s="50"/>
      <c r="U435" s="50">
        <f t="shared" si="250"/>
        <v>0</v>
      </c>
      <c r="V435" s="50"/>
      <c r="W435" s="50">
        <f t="shared" si="251"/>
        <v>0</v>
      </c>
      <c r="X435" s="50"/>
      <c r="Y435" s="50">
        <f t="shared" si="252"/>
        <v>0</v>
      </c>
      <c r="Z435" s="50"/>
      <c r="AA435" s="50">
        <f t="shared" si="253"/>
        <v>0</v>
      </c>
      <c r="AB435" s="50">
        <f t="shared" si="254"/>
        <v>0</v>
      </c>
      <c r="AC435" s="31" t="str">
        <f t="shared" si="255"/>
        <v>ok</v>
      </c>
    </row>
    <row r="436" spans="1:29" x14ac:dyDescent="0.2">
      <c r="A436" s="14">
        <v>916</v>
      </c>
      <c r="B436" s="14" t="s">
        <v>640</v>
      </c>
      <c r="C436" s="14" t="s">
        <v>643</v>
      </c>
      <c r="D436" s="14" t="s">
        <v>471</v>
      </c>
      <c r="F436" s="50">
        <v>0</v>
      </c>
      <c r="H436" s="50">
        <f t="shared" si="242"/>
        <v>0</v>
      </c>
      <c r="I436" s="50">
        <f t="shared" si="243"/>
        <v>0</v>
      </c>
      <c r="J436" s="50"/>
      <c r="K436" s="50">
        <f t="shared" si="244"/>
        <v>0</v>
      </c>
      <c r="L436" s="50"/>
      <c r="M436" s="50">
        <f t="shared" si="245"/>
        <v>0</v>
      </c>
      <c r="N436" s="50"/>
      <c r="O436" s="50">
        <f t="shared" si="246"/>
        <v>0</v>
      </c>
      <c r="P436" s="50">
        <f t="shared" si="247"/>
        <v>0</v>
      </c>
      <c r="Q436" s="50"/>
      <c r="R436" s="50">
        <f t="shared" si="248"/>
        <v>0</v>
      </c>
      <c r="S436" s="50">
        <f t="shared" si="249"/>
        <v>0</v>
      </c>
      <c r="T436" s="50"/>
      <c r="U436" s="50">
        <f t="shared" si="250"/>
        <v>0</v>
      </c>
      <c r="V436" s="50"/>
      <c r="W436" s="50">
        <f t="shared" si="251"/>
        <v>0</v>
      </c>
      <c r="X436" s="50"/>
      <c r="Y436" s="50">
        <f t="shared" si="252"/>
        <v>0</v>
      </c>
      <c r="Z436" s="50"/>
      <c r="AA436" s="50">
        <f t="shared" si="253"/>
        <v>0</v>
      </c>
      <c r="AB436" s="50">
        <f t="shared" si="254"/>
        <v>0</v>
      </c>
      <c r="AC436" s="31" t="str">
        <f t="shared" si="255"/>
        <v>ok</v>
      </c>
    </row>
    <row r="437" spans="1:29" x14ac:dyDescent="0.2">
      <c r="F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31"/>
    </row>
    <row r="438" spans="1:29" x14ac:dyDescent="0.2">
      <c r="A438" s="14" t="s">
        <v>543</v>
      </c>
      <c r="C438" s="14" t="s">
        <v>515</v>
      </c>
      <c r="F438" s="66">
        <f>SUM(F426:F437)</f>
        <v>357890</v>
      </c>
      <c r="G438" s="66"/>
      <c r="H438" s="66">
        <f>SUM(H426:H437)</f>
        <v>0</v>
      </c>
      <c r="I438" s="66">
        <f>SUM(I426:I437)</f>
        <v>0</v>
      </c>
      <c r="J438" s="66"/>
      <c r="K438" s="66">
        <f>SUM(K426:K437)</f>
        <v>0</v>
      </c>
      <c r="L438" s="66"/>
      <c r="M438" s="66">
        <f>SUM(M426:M437)</f>
        <v>0</v>
      </c>
      <c r="N438" s="66"/>
      <c r="O438" s="66">
        <f>SUM(O426:O437)</f>
        <v>0</v>
      </c>
      <c r="P438" s="66">
        <f>SUM(P426:P437)</f>
        <v>0</v>
      </c>
      <c r="Q438" s="66"/>
      <c r="R438" s="66">
        <f>SUM(R426:R437)</f>
        <v>0</v>
      </c>
      <c r="S438" s="66">
        <f>SUM(S426:S437)</f>
        <v>0</v>
      </c>
      <c r="T438" s="66"/>
      <c r="U438" s="66">
        <f>SUM(U426:U437)</f>
        <v>0</v>
      </c>
      <c r="V438" s="66"/>
      <c r="W438" s="66">
        <f>SUM(W426:W437)</f>
        <v>0</v>
      </c>
      <c r="X438" s="66"/>
      <c r="Y438" s="66">
        <f>SUM(Y426:Y437)</f>
        <v>354943</v>
      </c>
      <c r="Z438" s="66"/>
      <c r="AA438" s="66">
        <f>SUM(AA426:AA437)</f>
        <v>2947</v>
      </c>
      <c r="AB438" s="50">
        <f>SUM(H438:AA438)</f>
        <v>357890</v>
      </c>
      <c r="AC438" s="31" t="str">
        <f>IF(ABS(AB438-F438)&lt;1,"ok","err")</f>
        <v>ok</v>
      </c>
    </row>
    <row r="439" spans="1:29" x14ac:dyDescent="0.2">
      <c r="F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C439" s="31"/>
    </row>
    <row r="440" spans="1:29" x14ac:dyDescent="0.2">
      <c r="A440" s="14" t="s">
        <v>544</v>
      </c>
      <c r="C440" s="14" t="s">
        <v>516</v>
      </c>
      <c r="F440" s="50">
        <f>F412+F423+F438</f>
        <v>9076617</v>
      </c>
      <c r="G440" s="50"/>
      <c r="H440" s="50">
        <f>H412+H423+H438</f>
        <v>0</v>
      </c>
      <c r="I440" s="50">
        <f>I412+I423+I438</f>
        <v>0</v>
      </c>
      <c r="J440" s="50"/>
      <c r="K440" s="50">
        <f>K412+K423+K438</f>
        <v>0</v>
      </c>
      <c r="L440" s="50"/>
      <c r="M440" s="50">
        <f>M412+M423+M438</f>
        <v>5951.8849635730548</v>
      </c>
      <c r="N440" s="50"/>
      <c r="O440" s="50">
        <f>O412+O423+O438</f>
        <v>2839422.6551780393</v>
      </c>
      <c r="P440" s="50">
        <f>P412+P423+P438</f>
        <v>1918265.2550444212</v>
      </c>
      <c r="Q440" s="50"/>
      <c r="R440" s="50">
        <f>R412+R423+R438</f>
        <v>0</v>
      </c>
      <c r="S440" s="50">
        <f>S412+S423+S438</f>
        <v>85127.845392127376</v>
      </c>
      <c r="T440" s="50"/>
      <c r="U440" s="50">
        <f>U412+U423+U438</f>
        <v>1530147.7179610811</v>
      </c>
      <c r="V440" s="50"/>
      <c r="W440" s="50">
        <f>W412+W423+W438</f>
        <v>35122.641460758132</v>
      </c>
      <c r="X440" s="50"/>
      <c r="Y440" s="50">
        <f>Y412+Y423+Y438</f>
        <v>2659632</v>
      </c>
      <c r="Z440" s="50"/>
      <c r="AA440" s="50">
        <f>AA412+AA423+AA438</f>
        <v>2947</v>
      </c>
      <c r="AB440" s="50">
        <f>SUM(H440:AA440)</f>
        <v>9076617</v>
      </c>
      <c r="AC440" s="31" t="str">
        <f>IF(ABS(AB440-F440)&lt;1,"ok","err")</f>
        <v>ok</v>
      </c>
    </row>
    <row r="441" spans="1:29" x14ac:dyDescent="0.2">
      <c r="F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C441" s="31"/>
    </row>
    <row r="442" spans="1:29" x14ac:dyDescent="0.2">
      <c r="F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C442" s="31"/>
    </row>
    <row r="443" spans="1:29" x14ac:dyDescent="0.2">
      <c r="A443" s="29" t="s">
        <v>473</v>
      </c>
      <c r="F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C443" s="31"/>
    </row>
    <row r="444" spans="1:29" x14ac:dyDescent="0.2">
      <c r="F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C444" s="31"/>
    </row>
    <row r="445" spans="1:29" x14ac:dyDescent="0.2">
      <c r="A445" s="13" t="s">
        <v>159</v>
      </c>
      <c r="F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C445" s="31"/>
    </row>
    <row r="446" spans="1:29" x14ac:dyDescent="0.2">
      <c r="A446" s="14">
        <v>920</v>
      </c>
      <c r="B446" s="14" t="s">
        <v>160</v>
      </c>
      <c r="C446" s="14" t="s">
        <v>517</v>
      </c>
      <c r="D446" s="14" t="s">
        <v>411</v>
      </c>
      <c r="F446" s="66">
        <f>85111+143236+21739+11411+39+869679+37254+361106+6391+154446+5596+438324+14804</f>
        <v>2149136</v>
      </c>
      <c r="H446" s="50">
        <f t="shared" ref="H446:H457" si="256">IF(VLOOKUP($D446,$C$5:$AA$494,6,)=0,0,((VLOOKUP($D446,$C$5:$AA$494,6,)/VLOOKUP($D446,$C$5:$AA$494,4,))*$F446))</f>
        <v>0</v>
      </c>
      <c r="I446" s="50">
        <f t="shared" ref="I446:I457" si="257">IF(VLOOKUP($D446,$C$5:$AA$494,7,)=0,0,((VLOOKUP($D446,$C$5:$AA$494,7,)/VLOOKUP($D446,$C$5:$AA$494,4,))*$F446))</f>
        <v>0</v>
      </c>
      <c r="J446" s="50"/>
      <c r="K446" s="50">
        <f t="shared" ref="K446:K457" si="258">IF(VLOOKUP($D446,$C$5:$AA$494,9,)=0,0,((VLOOKUP($D446,$C$5:$AA$494,9,)/VLOOKUP($D446,$C$5:$AA$494,4,))*$F446))</f>
        <v>0</v>
      </c>
      <c r="L446" s="50"/>
      <c r="M446" s="50">
        <f t="shared" ref="M446:M457" si="259">IF(VLOOKUP($D446,$C$5:$AA$494,11,)=0,0,((VLOOKUP($D446,$C$5:$AA$494,11,)/VLOOKUP($D446,$C$5:$AA$494,4,))*$F446))</f>
        <v>16470.405958212199</v>
      </c>
      <c r="N446" s="50"/>
      <c r="O446" s="50">
        <f t="shared" ref="O446:O457" si="260">IF(VLOOKUP($D446,$C$5:$AA$494,13,)=0,0,((VLOOKUP($D446,$C$5:$AA$494,13,)/VLOOKUP($D446,$C$5:$AA$494,4,))*$F446))</f>
        <v>888833.59938757191</v>
      </c>
      <c r="P446" s="50">
        <f t="shared" ref="P446:P457" si="261">IF(VLOOKUP($D446,$C$5:$AA$494,14,)=0,0,((VLOOKUP($D446,$C$5:$AA$494,14,)/VLOOKUP($D446,$C$5:$AA$494,4,))*$F446))</f>
        <v>597860.13411486114</v>
      </c>
      <c r="Q446" s="50"/>
      <c r="R446" s="50">
        <f t="shared" ref="R446:R457" si="262">IF(VLOOKUP($D446,$C$5:$AA$494,16,)=0,0,((VLOOKUP($D446,$C$5:$AA$494,16,)/VLOOKUP($D446,$C$5:$AA$494,4,))*$F446))</f>
        <v>0</v>
      </c>
      <c r="S446" s="50">
        <f t="shared" ref="S446:S457" si="263">IF(VLOOKUP($D446,$C$5:$AA$494,17,)=0,0,((VLOOKUP($D446,$C$5:$AA$494,17,)/VLOOKUP($D446,$C$5:$AA$494,4,))*$F446))</f>
        <v>46247.582771065798</v>
      </c>
      <c r="T446" s="50"/>
      <c r="U446" s="50">
        <f t="shared" ref="U446:U457" si="264">IF(VLOOKUP($D446,$C$5:$AA$494,19,)=0,0,((VLOOKUP($D446,$C$5:$AA$494,19,)/VLOOKUP($D446,$C$5:$AA$494,4,))*$F446))</f>
        <v>191540.44105626058</v>
      </c>
      <c r="V446" s="50"/>
      <c r="W446" s="50">
        <f t="shared" ref="W446:W457" si="265">IF(VLOOKUP($D446,$C$5:$AA$494,21,)=0,0,((VLOOKUP($D446,$C$5:$AA$494,21,)/VLOOKUP($D446,$C$5:$AA$494,4,))*$F446))</f>
        <v>6376.4316011850224</v>
      </c>
      <c r="X446" s="50"/>
      <c r="Y446" s="50">
        <f t="shared" ref="Y446:Y457" si="266">IF(VLOOKUP($D446,$C$5:$AA$494,23,)=0,0,((VLOOKUP($D446,$C$5:$AA$494,23,)/VLOOKUP($D446,$C$5:$AA$494,4,))*$F446))</f>
        <v>395540.36850187526</v>
      </c>
      <c r="Z446" s="50"/>
      <c r="AA446" s="50">
        <f t="shared" ref="AA446:AA457" si="267">IF(VLOOKUP($D446,$C$5:$AA$494,25,)=0,0,((VLOOKUP($D446,$C$5:$AA$494,25,)/VLOOKUP($D446,$C$5:$AA$494,4,))*$F446))</f>
        <v>6267.0366089680374</v>
      </c>
      <c r="AB446" s="50">
        <f t="shared" ref="AB446:AB457" si="268">SUM(H446:AA446)</f>
        <v>2149136</v>
      </c>
      <c r="AC446" s="31" t="str">
        <f t="shared" ref="AC446:AC457" si="269">IF(ABS(AB446-F446)&lt;1,"ok","err")</f>
        <v>ok</v>
      </c>
    </row>
    <row r="447" spans="1:29" x14ac:dyDescent="0.2">
      <c r="A447" s="14">
        <v>921</v>
      </c>
      <c r="B447" s="14" t="s">
        <v>162</v>
      </c>
      <c r="C447" s="14" t="s">
        <v>518</v>
      </c>
      <c r="D447" s="14" t="s">
        <v>516</v>
      </c>
      <c r="F447" s="50">
        <v>0</v>
      </c>
      <c r="H447" s="50">
        <f t="shared" si="256"/>
        <v>0</v>
      </c>
      <c r="I447" s="50">
        <f t="shared" si="257"/>
        <v>0</v>
      </c>
      <c r="J447" s="50"/>
      <c r="K447" s="50">
        <f t="shared" si="258"/>
        <v>0</v>
      </c>
      <c r="L447" s="50"/>
      <c r="M447" s="50">
        <f t="shared" si="259"/>
        <v>0</v>
      </c>
      <c r="N447" s="50"/>
      <c r="O447" s="50">
        <f t="shared" si="260"/>
        <v>0</v>
      </c>
      <c r="P447" s="50">
        <f t="shared" si="261"/>
        <v>0</v>
      </c>
      <c r="Q447" s="50"/>
      <c r="R447" s="50">
        <f t="shared" si="262"/>
        <v>0</v>
      </c>
      <c r="S447" s="50">
        <f t="shared" si="263"/>
        <v>0</v>
      </c>
      <c r="T447" s="50"/>
      <c r="U447" s="50">
        <f t="shared" si="264"/>
        <v>0</v>
      </c>
      <c r="V447" s="50"/>
      <c r="W447" s="50">
        <f t="shared" si="265"/>
        <v>0</v>
      </c>
      <c r="X447" s="50"/>
      <c r="Y447" s="50">
        <f t="shared" si="266"/>
        <v>0</v>
      </c>
      <c r="Z447" s="50"/>
      <c r="AA447" s="50">
        <f t="shared" si="267"/>
        <v>0</v>
      </c>
      <c r="AB447" s="50">
        <f t="shared" si="268"/>
        <v>0</v>
      </c>
      <c r="AC447" s="31" t="str">
        <f t="shared" si="269"/>
        <v>ok</v>
      </c>
    </row>
    <row r="448" spans="1:29" x14ac:dyDescent="0.2">
      <c r="A448" s="14">
        <v>923</v>
      </c>
      <c r="B448" s="14" t="s">
        <v>164</v>
      </c>
      <c r="C448" s="14" t="s">
        <v>519</v>
      </c>
      <c r="D448" s="14" t="s">
        <v>411</v>
      </c>
      <c r="F448" s="50">
        <v>0</v>
      </c>
      <c r="H448" s="50">
        <f t="shared" si="256"/>
        <v>0</v>
      </c>
      <c r="I448" s="50">
        <f t="shared" si="257"/>
        <v>0</v>
      </c>
      <c r="J448" s="50"/>
      <c r="K448" s="50">
        <f t="shared" si="258"/>
        <v>0</v>
      </c>
      <c r="L448" s="50"/>
      <c r="M448" s="50">
        <f t="shared" si="259"/>
        <v>0</v>
      </c>
      <c r="N448" s="50"/>
      <c r="O448" s="50">
        <f t="shared" si="260"/>
        <v>0</v>
      </c>
      <c r="P448" s="50">
        <f t="shared" si="261"/>
        <v>0</v>
      </c>
      <c r="Q448" s="50"/>
      <c r="R448" s="50">
        <f t="shared" si="262"/>
        <v>0</v>
      </c>
      <c r="S448" s="50">
        <f t="shared" si="263"/>
        <v>0</v>
      </c>
      <c r="T448" s="50"/>
      <c r="U448" s="50">
        <f t="shared" si="264"/>
        <v>0</v>
      </c>
      <c r="V448" s="50"/>
      <c r="W448" s="50">
        <f t="shared" si="265"/>
        <v>0</v>
      </c>
      <c r="X448" s="50"/>
      <c r="Y448" s="50">
        <f t="shared" si="266"/>
        <v>0</v>
      </c>
      <c r="Z448" s="50"/>
      <c r="AA448" s="50">
        <f t="shared" si="267"/>
        <v>0</v>
      </c>
      <c r="AB448" s="50">
        <f t="shared" si="268"/>
        <v>0</v>
      </c>
      <c r="AC448" s="31" t="str">
        <f t="shared" si="269"/>
        <v>ok</v>
      </c>
    </row>
    <row r="449" spans="1:29" x14ac:dyDescent="0.2">
      <c r="A449" s="14">
        <v>924</v>
      </c>
      <c r="B449" s="14" t="s">
        <v>166</v>
      </c>
      <c r="C449" s="14" t="s">
        <v>520</v>
      </c>
      <c r="D449" s="14" t="s">
        <v>84</v>
      </c>
      <c r="F449" s="50">
        <v>0</v>
      </c>
      <c r="H449" s="50">
        <f t="shared" si="256"/>
        <v>0</v>
      </c>
      <c r="I449" s="50">
        <f t="shared" si="257"/>
        <v>0</v>
      </c>
      <c r="J449" s="50"/>
      <c r="K449" s="50">
        <f t="shared" si="258"/>
        <v>0</v>
      </c>
      <c r="L449" s="50"/>
      <c r="M449" s="50">
        <f t="shared" si="259"/>
        <v>0</v>
      </c>
      <c r="N449" s="50"/>
      <c r="O449" s="50">
        <f t="shared" si="260"/>
        <v>0</v>
      </c>
      <c r="P449" s="50">
        <f t="shared" si="261"/>
        <v>0</v>
      </c>
      <c r="Q449" s="50"/>
      <c r="R449" s="50">
        <f t="shared" si="262"/>
        <v>0</v>
      </c>
      <c r="S449" s="50">
        <f t="shared" si="263"/>
        <v>0</v>
      </c>
      <c r="T449" s="50"/>
      <c r="U449" s="50">
        <f t="shared" si="264"/>
        <v>0</v>
      </c>
      <c r="V449" s="50"/>
      <c r="W449" s="50">
        <f t="shared" si="265"/>
        <v>0</v>
      </c>
      <c r="X449" s="50"/>
      <c r="Y449" s="50">
        <f t="shared" si="266"/>
        <v>0</v>
      </c>
      <c r="Z449" s="50"/>
      <c r="AA449" s="50">
        <f t="shared" si="267"/>
        <v>0</v>
      </c>
      <c r="AB449" s="50">
        <f t="shared" si="268"/>
        <v>0</v>
      </c>
      <c r="AC449" s="31" t="str">
        <f t="shared" si="269"/>
        <v>ok</v>
      </c>
    </row>
    <row r="450" spans="1:29" x14ac:dyDescent="0.2">
      <c r="A450" s="14">
        <v>925</v>
      </c>
      <c r="B450" s="14" t="s">
        <v>168</v>
      </c>
      <c r="C450" s="14" t="s">
        <v>521</v>
      </c>
      <c r="D450" s="14" t="s">
        <v>516</v>
      </c>
      <c r="F450" s="50">
        <v>17685</v>
      </c>
      <c r="H450" s="50">
        <f t="shared" si="256"/>
        <v>0</v>
      </c>
      <c r="I450" s="50">
        <f t="shared" si="257"/>
        <v>0</v>
      </c>
      <c r="J450" s="50"/>
      <c r="K450" s="50">
        <f t="shared" si="258"/>
        <v>0</v>
      </c>
      <c r="L450" s="50"/>
      <c r="M450" s="50">
        <f t="shared" si="259"/>
        <v>11.596730982566465</v>
      </c>
      <c r="N450" s="50"/>
      <c r="O450" s="50">
        <f t="shared" si="260"/>
        <v>5532.3684646849842</v>
      </c>
      <c r="P450" s="50">
        <f t="shared" si="261"/>
        <v>3737.573264957703</v>
      </c>
      <c r="Q450" s="50"/>
      <c r="R450" s="50">
        <f t="shared" si="262"/>
        <v>0</v>
      </c>
      <c r="S450" s="50">
        <f t="shared" si="263"/>
        <v>165.86421414055178</v>
      </c>
      <c r="T450" s="50"/>
      <c r="U450" s="50">
        <f t="shared" si="264"/>
        <v>2981.3599485515056</v>
      </c>
      <c r="V450" s="50"/>
      <c r="W450" s="50">
        <f t="shared" si="265"/>
        <v>68.433416793228972</v>
      </c>
      <c r="X450" s="50"/>
      <c r="Y450" s="50">
        <f t="shared" si="266"/>
        <v>5182.0619863105385</v>
      </c>
      <c r="Z450" s="50"/>
      <c r="AA450" s="50">
        <f t="shared" si="267"/>
        <v>5.7419735789226314</v>
      </c>
      <c r="AB450" s="50">
        <f t="shared" si="268"/>
        <v>17685</v>
      </c>
      <c r="AC450" s="31" t="str">
        <f t="shared" si="269"/>
        <v>ok</v>
      </c>
    </row>
    <row r="451" spans="1:29" x14ac:dyDescent="0.2">
      <c r="A451" s="14">
        <v>926</v>
      </c>
      <c r="B451" s="14" t="s">
        <v>170</v>
      </c>
      <c r="C451" s="14" t="s">
        <v>522</v>
      </c>
      <c r="D451" s="14" t="s">
        <v>516</v>
      </c>
      <c r="F451" s="50">
        <v>69920</v>
      </c>
      <c r="H451" s="50">
        <f t="shared" si="256"/>
        <v>0</v>
      </c>
      <c r="I451" s="50">
        <f t="shared" si="257"/>
        <v>0</v>
      </c>
      <c r="J451" s="50"/>
      <c r="K451" s="50">
        <f t="shared" si="258"/>
        <v>0</v>
      </c>
      <c r="L451" s="50"/>
      <c r="M451" s="50">
        <f t="shared" si="259"/>
        <v>45.849218563813807</v>
      </c>
      <c r="N451" s="50"/>
      <c r="O451" s="50">
        <f t="shared" si="260"/>
        <v>21872.954653705066</v>
      </c>
      <c r="P451" s="50">
        <f t="shared" si="261"/>
        <v>14776.993083734384</v>
      </c>
      <c r="Q451" s="50"/>
      <c r="R451" s="50">
        <f t="shared" si="262"/>
        <v>0</v>
      </c>
      <c r="S451" s="50">
        <f t="shared" si="263"/>
        <v>655.76623424978118</v>
      </c>
      <c r="T451" s="50"/>
      <c r="U451" s="50">
        <f t="shared" si="264"/>
        <v>11787.203144061141</v>
      </c>
      <c r="V451" s="50"/>
      <c r="W451" s="50">
        <f t="shared" si="265"/>
        <v>270.56061646494601</v>
      </c>
      <c r="X451" s="50"/>
      <c r="Y451" s="50">
        <f t="shared" si="266"/>
        <v>20487.971392865868</v>
      </c>
      <c r="Z451" s="50"/>
      <c r="AA451" s="50">
        <f t="shared" si="267"/>
        <v>22.701656355005394</v>
      </c>
      <c r="AB451" s="50">
        <f t="shared" si="268"/>
        <v>69920</v>
      </c>
      <c r="AC451" s="31" t="str">
        <f t="shared" si="269"/>
        <v>ok</v>
      </c>
    </row>
    <row r="452" spans="1:29" x14ac:dyDescent="0.2">
      <c r="A452" s="14">
        <v>928</v>
      </c>
      <c r="B452" s="14" t="s">
        <v>172</v>
      </c>
      <c r="C452" s="14" t="s">
        <v>523</v>
      </c>
      <c r="D452" s="14" t="s">
        <v>411</v>
      </c>
      <c r="F452" s="50">
        <v>42216</v>
      </c>
      <c r="H452" s="50">
        <f t="shared" si="256"/>
        <v>0</v>
      </c>
      <c r="I452" s="50">
        <f t="shared" si="257"/>
        <v>0</v>
      </c>
      <c r="J452" s="50"/>
      <c r="K452" s="50">
        <f t="shared" si="258"/>
        <v>0</v>
      </c>
      <c r="L452" s="50"/>
      <c r="M452" s="50">
        <f t="shared" si="259"/>
        <v>323.53218127279342</v>
      </c>
      <c r="N452" s="50"/>
      <c r="O452" s="50">
        <f t="shared" si="260"/>
        <v>17459.57409477378</v>
      </c>
      <c r="P452" s="50">
        <f t="shared" si="261"/>
        <v>11743.911703025298</v>
      </c>
      <c r="Q452" s="50"/>
      <c r="R452" s="50">
        <f t="shared" si="262"/>
        <v>0</v>
      </c>
      <c r="S452" s="50">
        <f t="shared" si="263"/>
        <v>908.4524917284499</v>
      </c>
      <c r="T452" s="50"/>
      <c r="U452" s="50">
        <f t="shared" si="264"/>
        <v>3762.4753666734427</v>
      </c>
      <c r="V452" s="50"/>
      <c r="W452" s="50">
        <f t="shared" si="265"/>
        <v>125.25379337353566</v>
      </c>
      <c r="X452" s="50"/>
      <c r="Y452" s="50">
        <f t="shared" si="266"/>
        <v>7769.6954481592447</v>
      </c>
      <c r="Z452" s="50"/>
      <c r="AA452" s="50">
        <f t="shared" si="267"/>
        <v>123.10492099345721</v>
      </c>
      <c r="AB452" s="50">
        <f t="shared" si="268"/>
        <v>42216</v>
      </c>
      <c r="AC452" s="31" t="str">
        <f t="shared" si="269"/>
        <v>ok</v>
      </c>
    </row>
    <row r="453" spans="1:29" x14ac:dyDescent="0.2">
      <c r="A453" s="14">
        <v>929</v>
      </c>
      <c r="B453" s="14" t="s">
        <v>386</v>
      </c>
      <c r="C453" s="14" t="s">
        <v>524</v>
      </c>
      <c r="D453" s="14" t="s">
        <v>411</v>
      </c>
      <c r="F453" s="50">
        <v>0</v>
      </c>
      <c r="H453" s="50">
        <f t="shared" si="256"/>
        <v>0</v>
      </c>
      <c r="I453" s="50">
        <f t="shared" si="257"/>
        <v>0</v>
      </c>
      <c r="J453" s="50"/>
      <c r="K453" s="50">
        <f t="shared" si="258"/>
        <v>0</v>
      </c>
      <c r="L453" s="50"/>
      <c r="M453" s="50">
        <f t="shared" si="259"/>
        <v>0</v>
      </c>
      <c r="N453" s="50"/>
      <c r="O453" s="50">
        <f t="shared" si="260"/>
        <v>0</v>
      </c>
      <c r="P453" s="50">
        <f t="shared" si="261"/>
        <v>0</v>
      </c>
      <c r="Q453" s="50"/>
      <c r="R453" s="50">
        <f t="shared" si="262"/>
        <v>0</v>
      </c>
      <c r="S453" s="50">
        <f t="shared" si="263"/>
        <v>0</v>
      </c>
      <c r="T453" s="50"/>
      <c r="U453" s="50">
        <f t="shared" si="264"/>
        <v>0</v>
      </c>
      <c r="V453" s="50"/>
      <c r="W453" s="50">
        <f t="shared" si="265"/>
        <v>0</v>
      </c>
      <c r="X453" s="50"/>
      <c r="Y453" s="50">
        <f t="shared" si="266"/>
        <v>0</v>
      </c>
      <c r="Z453" s="50"/>
      <c r="AA453" s="50">
        <f t="shared" si="267"/>
        <v>0</v>
      </c>
      <c r="AB453" s="50">
        <f t="shared" si="268"/>
        <v>0</v>
      </c>
      <c r="AC453" s="31" t="str">
        <f t="shared" si="269"/>
        <v>ok</v>
      </c>
    </row>
    <row r="454" spans="1:29" x14ac:dyDescent="0.2">
      <c r="A454" s="14">
        <v>930</v>
      </c>
      <c r="B454" s="14" t="s">
        <v>174</v>
      </c>
      <c r="C454" s="14" t="s">
        <v>525</v>
      </c>
      <c r="D454" s="14" t="s">
        <v>411</v>
      </c>
      <c r="F454" s="50">
        <f>17390+7562+32704+5916+1954</f>
        <v>65526</v>
      </c>
      <c r="H454" s="50">
        <f t="shared" si="256"/>
        <v>0</v>
      </c>
      <c r="I454" s="50">
        <f t="shared" si="257"/>
        <v>0</v>
      </c>
      <c r="J454" s="50"/>
      <c r="K454" s="50">
        <f t="shared" si="258"/>
        <v>0</v>
      </c>
      <c r="L454" s="50"/>
      <c r="M454" s="50">
        <f t="shared" si="259"/>
        <v>502.17381348495974</v>
      </c>
      <c r="N454" s="50"/>
      <c r="O454" s="50">
        <f t="shared" si="260"/>
        <v>27100.058085421322</v>
      </c>
      <c r="P454" s="50">
        <f t="shared" si="261"/>
        <v>18228.433727791256</v>
      </c>
      <c r="Q454" s="50"/>
      <c r="R454" s="50">
        <f t="shared" si="262"/>
        <v>0</v>
      </c>
      <c r="S454" s="50">
        <f t="shared" si="263"/>
        <v>1410.0639087786244</v>
      </c>
      <c r="T454" s="50"/>
      <c r="U454" s="50">
        <f t="shared" si="264"/>
        <v>5839.9649629676906</v>
      </c>
      <c r="V454" s="50"/>
      <c r="W454" s="50">
        <f t="shared" si="265"/>
        <v>194.4139677988037</v>
      </c>
      <c r="X454" s="50"/>
      <c r="Y454" s="50">
        <f t="shared" si="266"/>
        <v>12059.812960396121</v>
      </c>
      <c r="Z454" s="50"/>
      <c r="AA454" s="50">
        <f t="shared" si="267"/>
        <v>191.07857336122032</v>
      </c>
      <c r="AB454" s="50">
        <f t="shared" si="268"/>
        <v>65526</v>
      </c>
      <c r="AC454" s="31" t="str">
        <f t="shared" si="269"/>
        <v>ok</v>
      </c>
    </row>
    <row r="455" spans="1:29" x14ac:dyDescent="0.2">
      <c r="A455" s="14">
        <v>931</v>
      </c>
      <c r="B455" s="14" t="s">
        <v>176</v>
      </c>
      <c r="C455" s="14" t="s">
        <v>526</v>
      </c>
      <c r="D455" s="14" t="s">
        <v>84</v>
      </c>
      <c r="F455" s="50">
        <v>0</v>
      </c>
      <c r="H455" s="50">
        <f t="shared" si="256"/>
        <v>0</v>
      </c>
      <c r="I455" s="50">
        <f t="shared" si="257"/>
        <v>0</v>
      </c>
      <c r="J455" s="50"/>
      <c r="K455" s="50">
        <f t="shared" si="258"/>
        <v>0</v>
      </c>
      <c r="L455" s="50"/>
      <c r="M455" s="50">
        <f t="shared" si="259"/>
        <v>0</v>
      </c>
      <c r="N455" s="50"/>
      <c r="O455" s="50">
        <f t="shared" si="260"/>
        <v>0</v>
      </c>
      <c r="P455" s="50">
        <f t="shared" si="261"/>
        <v>0</v>
      </c>
      <c r="Q455" s="50"/>
      <c r="R455" s="50">
        <f t="shared" si="262"/>
        <v>0</v>
      </c>
      <c r="S455" s="50">
        <f t="shared" si="263"/>
        <v>0</v>
      </c>
      <c r="T455" s="50"/>
      <c r="U455" s="50">
        <f t="shared" si="264"/>
        <v>0</v>
      </c>
      <c r="V455" s="50"/>
      <c r="W455" s="50">
        <f t="shared" si="265"/>
        <v>0</v>
      </c>
      <c r="X455" s="50"/>
      <c r="Y455" s="50">
        <f t="shared" si="266"/>
        <v>0</v>
      </c>
      <c r="Z455" s="50"/>
      <c r="AA455" s="50">
        <f t="shared" si="267"/>
        <v>0</v>
      </c>
      <c r="AB455" s="50">
        <f t="shared" si="268"/>
        <v>0</v>
      </c>
      <c r="AC455" s="31" t="str">
        <f t="shared" si="269"/>
        <v>ok</v>
      </c>
    </row>
    <row r="456" spans="1:29" x14ac:dyDescent="0.2">
      <c r="A456" s="14">
        <v>935</v>
      </c>
      <c r="B456" s="14" t="s">
        <v>178</v>
      </c>
      <c r="C456" s="14" t="s">
        <v>712</v>
      </c>
      <c r="D456" s="14" t="s">
        <v>70</v>
      </c>
      <c r="F456" s="50">
        <f>104663+23423+16956+8526+1955</f>
        <v>155523</v>
      </c>
      <c r="H456" s="50">
        <f t="shared" si="256"/>
        <v>0</v>
      </c>
      <c r="I456" s="50">
        <f t="shared" si="257"/>
        <v>0</v>
      </c>
      <c r="J456" s="50"/>
      <c r="K456" s="50">
        <f t="shared" si="258"/>
        <v>0</v>
      </c>
      <c r="L456" s="50"/>
      <c r="M456" s="50">
        <f t="shared" si="259"/>
        <v>1165.3529593369012</v>
      </c>
      <c r="N456" s="50"/>
      <c r="O456" s="50">
        <f t="shared" si="260"/>
        <v>69953.005577788586</v>
      </c>
      <c r="P456" s="50">
        <f t="shared" si="261"/>
        <v>53046.36772533966</v>
      </c>
      <c r="Q456" s="50"/>
      <c r="R456" s="50">
        <f t="shared" si="262"/>
        <v>0</v>
      </c>
      <c r="S456" s="50">
        <f t="shared" si="263"/>
        <v>16667.658591663272</v>
      </c>
      <c r="T456" s="50"/>
      <c r="U456" s="50">
        <f t="shared" si="264"/>
        <v>8505.3061657825001</v>
      </c>
      <c r="V456" s="50"/>
      <c r="W456" s="50">
        <f t="shared" si="265"/>
        <v>6185.3089800890666</v>
      </c>
      <c r="X456" s="50"/>
      <c r="Y456" s="50">
        <f t="shared" si="266"/>
        <v>0</v>
      </c>
      <c r="Z456" s="50"/>
      <c r="AA456" s="50">
        <f t="shared" si="267"/>
        <v>0</v>
      </c>
      <c r="AB456" s="50">
        <f t="shared" si="268"/>
        <v>155522.99999999997</v>
      </c>
      <c r="AC456" s="31" t="str">
        <f t="shared" si="269"/>
        <v>ok</v>
      </c>
    </row>
    <row r="457" spans="1:29" x14ac:dyDescent="0.2">
      <c r="A457" s="14">
        <v>950</v>
      </c>
      <c r="B457" s="14" t="s">
        <v>592</v>
      </c>
      <c r="C457" s="14" t="s">
        <v>593</v>
      </c>
      <c r="D457" s="14" t="s">
        <v>70</v>
      </c>
      <c r="F457" s="50">
        <v>0</v>
      </c>
      <c r="H457" s="50">
        <f t="shared" si="256"/>
        <v>0</v>
      </c>
      <c r="I457" s="50">
        <f t="shared" si="257"/>
        <v>0</v>
      </c>
      <c r="J457" s="50"/>
      <c r="K457" s="50">
        <f t="shared" si="258"/>
        <v>0</v>
      </c>
      <c r="L457" s="50"/>
      <c r="M457" s="50">
        <f t="shared" si="259"/>
        <v>0</v>
      </c>
      <c r="N457" s="50"/>
      <c r="O457" s="50">
        <f t="shared" si="260"/>
        <v>0</v>
      </c>
      <c r="P457" s="50">
        <f t="shared" si="261"/>
        <v>0</v>
      </c>
      <c r="Q457" s="50"/>
      <c r="R457" s="50">
        <f t="shared" si="262"/>
        <v>0</v>
      </c>
      <c r="S457" s="50">
        <f t="shared" si="263"/>
        <v>0</v>
      </c>
      <c r="T457" s="50"/>
      <c r="U457" s="50">
        <f t="shared" si="264"/>
        <v>0</v>
      </c>
      <c r="V457" s="50"/>
      <c r="W457" s="50">
        <f t="shared" si="265"/>
        <v>0</v>
      </c>
      <c r="X457" s="50"/>
      <c r="Y457" s="50">
        <f t="shared" si="266"/>
        <v>0</v>
      </c>
      <c r="Z457" s="50"/>
      <c r="AA457" s="50">
        <f t="shared" si="267"/>
        <v>0</v>
      </c>
      <c r="AB457" s="50">
        <f t="shared" si="268"/>
        <v>0</v>
      </c>
      <c r="AC457" s="31" t="str">
        <f t="shared" si="269"/>
        <v>ok</v>
      </c>
    </row>
    <row r="458" spans="1:29" x14ac:dyDescent="0.2">
      <c r="F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31"/>
    </row>
    <row r="459" spans="1:29" x14ac:dyDescent="0.2">
      <c r="A459" s="14" t="s">
        <v>179</v>
      </c>
      <c r="C459" s="14" t="s">
        <v>527</v>
      </c>
      <c r="F459" s="66">
        <f>SUM(F446:F458)</f>
        <v>2500006</v>
      </c>
      <c r="G459" s="66"/>
      <c r="H459" s="66">
        <f>SUM(H446:H458)</f>
        <v>0</v>
      </c>
      <c r="I459" s="66">
        <f>SUM(I446:I458)</f>
        <v>0</v>
      </c>
      <c r="J459" s="66"/>
      <c r="K459" s="66">
        <f>SUM(K446:K458)</f>
        <v>0</v>
      </c>
      <c r="L459" s="66"/>
      <c r="M459" s="66">
        <f>SUM(M446:M458)</f>
        <v>18518.910861853234</v>
      </c>
      <c r="N459" s="66"/>
      <c r="O459" s="66">
        <f>SUM(O446:O458)</f>
        <v>1030751.5602639456</v>
      </c>
      <c r="P459" s="66">
        <f>SUM(P446:P458)</f>
        <v>699393.41361970967</v>
      </c>
      <c r="Q459" s="66"/>
      <c r="R459" s="66">
        <f>SUM(R446:R458)</f>
        <v>0</v>
      </c>
      <c r="S459" s="66">
        <f>SUM(S446:S458)</f>
        <v>66055.388211626472</v>
      </c>
      <c r="T459" s="66"/>
      <c r="U459" s="66">
        <f>SUM(U446:U458)</f>
        <v>224416.75064429687</v>
      </c>
      <c r="V459" s="66"/>
      <c r="W459" s="66">
        <f>SUM(W446:W458)</f>
        <v>13220.402375704603</v>
      </c>
      <c r="X459" s="66"/>
      <c r="Y459" s="66">
        <f>SUM(Y446:Y458)</f>
        <v>441039.91028960701</v>
      </c>
      <c r="Z459" s="66"/>
      <c r="AA459" s="66">
        <f>SUM(AA446:AA458)</f>
        <v>6609.6637332566424</v>
      </c>
      <c r="AB459" s="50">
        <f>SUM(H459:AA459)</f>
        <v>2500006</v>
      </c>
      <c r="AC459" s="31" t="str">
        <f>IF(ABS(AB459-F459)&lt;1,"ok","err")</f>
        <v>ok</v>
      </c>
    </row>
    <row r="460" spans="1:29" x14ac:dyDescent="0.2">
      <c r="D460" s="95"/>
      <c r="F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31"/>
    </row>
    <row r="461" spans="1:29" x14ac:dyDescent="0.2">
      <c r="A461" s="14" t="s">
        <v>181</v>
      </c>
      <c r="C461" s="14" t="s">
        <v>528</v>
      </c>
      <c r="F461" s="66">
        <f>F356+F414+F423+F438+F459</f>
        <v>11576623</v>
      </c>
      <c r="G461" s="66"/>
      <c r="H461" s="66">
        <f>H356+H414+H423+H438+H459</f>
        <v>0</v>
      </c>
      <c r="I461" s="66">
        <f>I356+I414+I423+I438+I459</f>
        <v>0</v>
      </c>
      <c r="J461" s="66"/>
      <c r="K461" s="66">
        <f>K356+K414+K423+K438+K459</f>
        <v>0</v>
      </c>
      <c r="L461" s="66"/>
      <c r="M461" s="66">
        <f>M356+M414+M423+M438+M459</f>
        <v>24470.795825426289</v>
      </c>
      <c r="N461" s="66"/>
      <c r="O461" s="66">
        <f>O356+O414+O423+O438+O459</f>
        <v>3870174.2154419851</v>
      </c>
      <c r="P461" s="66">
        <f>P356+P414+P423+P438+P459</f>
        <v>2617658.6686641308</v>
      </c>
      <c r="Q461" s="66"/>
      <c r="R461" s="66">
        <f>R356+R414+R423+R438+R459</f>
        <v>0</v>
      </c>
      <c r="S461" s="66">
        <f>S356+S414+S423+S438+S459</f>
        <v>151183.23360375385</v>
      </c>
      <c r="T461" s="66"/>
      <c r="U461" s="66">
        <f>U356+U414+U423+U438+U459</f>
        <v>1754564.4686053779</v>
      </c>
      <c r="V461" s="66"/>
      <c r="W461" s="66">
        <f>W356+W414+W423+W438+W459</f>
        <v>48343.043836462733</v>
      </c>
      <c r="X461" s="66"/>
      <c r="Y461" s="66">
        <f>Y356+Y414+Y423+Y438+Y459</f>
        <v>3100671.910289607</v>
      </c>
      <c r="Z461" s="66"/>
      <c r="AA461" s="66">
        <f>AA356+AA414+AA423+AA438+AA459</f>
        <v>9556.6637332566424</v>
      </c>
      <c r="AB461" s="50">
        <f>SUM(H461:AA461)</f>
        <v>11576623.000000002</v>
      </c>
      <c r="AC461" s="31" t="str">
        <f>IF(ABS(AB461-F461)&lt;1,"ok","err")</f>
        <v>ok</v>
      </c>
    </row>
    <row r="462" spans="1:29" x14ac:dyDescent="0.2">
      <c r="F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31"/>
    </row>
    <row r="463" spans="1:29" x14ac:dyDescent="0.2">
      <c r="A463" s="14" t="s">
        <v>412</v>
      </c>
      <c r="C463" s="14" t="s">
        <v>529</v>
      </c>
      <c r="F463" s="95">
        <f>F461-F362</f>
        <v>11576623</v>
      </c>
      <c r="G463" s="95"/>
      <c r="H463" s="95">
        <f>H461-H362</f>
        <v>0</v>
      </c>
      <c r="I463" s="95">
        <f>I461-I362</f>
        <v>0</v>
      </c>
      <c r="J463" s="95"/>
      <c r="K463" s="95">
        <f>K461-K362</f>
        <v>0</v>
      </c>
      <c r="L463" s="95"/>
      <c r="M463" s="95">
        <f>M461-M362</f>
        <v>24470.795825426289</v>
      </c>
      <c r="N463" s="95"/>
      <c r="O463" s="95">
        <f>O461-O362</f>
        <v>3870174.2154419851</v>
      </c>
      <c r="P463" s="95">
        <f>P461-P362</f>
        <v>2617658.6686641308</v>
      </c>
      <c r="Q463" s="95"/>
      <c r="R463" s="95">
        <f>R461-R362</f>
        <v>0</v>
      </c>
      <c r="S463" s="95">
        <f>S461-S362</f>
        <v>151183.23360375385</v>
      </c>
      <c r="T463" s="95"/>
      <c r="U463" s="95">
        <f>U461-U362</f>
        <v>1754564.4686053779</v>
      </c>
      <c r="V463" s="95"/>
      <c r="W463" s="95">
        <f>W461-W362</f>
        <v>48343.043836462733</v>
      </c>
      <c r="X463" s="95"/>
      <c r="Y463" s="95">
        <f>Y461-Y362</f>
        <v>3100671.910289607</v>
      </c>
      <c r="Z463" s="95"/>
      <c r="AA463" s="95">
        <f>AA461-AA362</f>
        <v>9556.6637332566424</v>
      </c>
      <c r="AB463" s="50">
        <f>SUM(H463:AA463)</f>
        <v>11576623.000000002</v>
      </c>
      <c r="AC463" s="31" t="str">
        <f>IF(ABS(AB463-F463)&lt;1,"ok","err")</f>
        <v>ok</v>
      </c>
    </row>
    <row r="464" spans="1:29" x14ac:dyDescent="0.2"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50"/>
      <c r="AC464" s="31"/>
    </row>
    <row r="465" spans="1:29" x14ac:dyDescent="0.2">
      <c r="A465" s="29" t="s">
        <v>199</v>
      </c>
      <c r="AC465" s="31"/>
    </row>
    <row r="466" spans="1:29" x14ac:dyDescent="0.2">
      <c r="AC466" s="31"/>
    </row>
    <row r="467" spans="1:29" x14ac:dyDescent="0.2">
      <c r="A467" s="14" t="s">
        <v>1</v>
      </c>
      <c r="C467" s="14" t="s">
        <v>24</v>
      </c>
      <c r="F467" s="99">
        <v>1</v>
      </c>
      <c r="G467" s="99"/>
      <c r="H467" s="100">
        <v>0</v>
      </c>
      <c r="I467" s="100">
        <v>0</v>
      </c>
      <c r="J467" s="100"/>
      <c r="K467" s="100">
        <v>0</v>
      </c>
      <c r="L467" s="99"/>
      <c r="M467" s="100">
        <v>1</v>
      </c>
      <c r="N467" s="99"/>
      <c r="O467" s="100">
        <v>0</v>
      </c>
      <c r="P467" s="100">
        <v>0</v>
      </c>
      <c r="Q467" s="101"/>
      <c r="R467" s="99">
        <v>0</v>
      </c>
      <c r="S467" s="99">
        <v>0</v>
      </c>
      <c r="T467" s="99"/>
      <c r="U467" s="99">
        <v>0</v>
      </c>
      <c r="V467" s="99"/>
      <c r="W467" s="99">
        <v>0</v>
      </c>
      <c r="X467" s="99"/>
      <c r="Y467" s="99">
        <v>0</v>
      </c>
      <c r="Z467" s="99"/>
      <c r="AA467" s="99">
        <v>0</v>
      </c>
      <c r="AB467" s="100">
        <f>SUM(H467:AA467)</f>
        <v>1</v>
      </c>
      <c r="AC467" s="31" t="str">
        <f t="shared" ref="AC467:AC477" si="270">IF(ABS(AB467-F467)&lt;0.0000001,"ok","err")</f>
        <v>ok</v>
      </c>
    </row>
    <row r="468" spans="1:29" x14ac:dyDescent="0.2">
      <c r="A468" s="14" t="s">
        <v>200</v>
      </c>
      <c r="C468" s="14" t="s">
        <v>27</v>
      </c>
      <c r="F468" s="99">
        <v>1</v>
      </c>
      <c r="G468" s="99"/>
      <c r="H468" s="100">
        <v>0</v>
      </c>
      <c r="I468" s="100">
        <v>0</v>
      </c>
      <c r="J468" s="100"/>
      <c r="K468" s="100">
        <v>0</v>
      </c>
      <c r="L468" s="99"/>
      <c r="M468" s="100">
        <v>0</v>
      </c>
      <c r="N468" s="99"/>
      <c r="O468" s="49">
        <f>O469</f>
        <v>0.6067653862503033</v>
      </c>
      <c r="P468" s="49">
        <f>P469</f>
        <v>0.39323461374969665</v>
      </c>
      <c r="Q468" s="101"/>
      <c r="R468" s="99">
        <v>0</v>
      </c>
      <c r="S468" s="99">
        <v>0</v>
      </c>
      <c r="T468" s="99"/>
      <c r="U468" s="99">
        <v>0</v>
      </c>
      <c r="V468" s="99"/>
      <c r="W468" s="99">
        <v>0</v>
      </c>
      <c r="X468" s="99"/>
      <c r="Y468" s="99">
        <v>0</v>
      </c>
      <c r="Z468" s="99"/>
      <c r="AA468" s="99">
        <v>0</v>
      </c>
      <c r="AB468" s="100">
        <f t="shared" ref="AB468:AB476" si="271">SUM(H468:AA468)</f>
        <v>1</v>
      </c>
      <c r="AC468" s="31" t="str">
        <f t="shared" si="270"/>
        <v>ok</v>
      </c>
    </row>
    <row r="469" spans="1:29" x14ac:dyDescent="0.2">
      <c r="A469" s="14" t="s">
        <v>201</v>
      </c>
      <c r="C469" s="14" t="s">
        <v>30</v>
      </c>
      <c r="F469" s="99">
        <v>1</v>
      </c>
      <c r="G469" s="99"/>
      <c r="H469" s="100">
        <v>0</v>
      </c>
      <c r="I469" s="100">
        <v>0</v>
      </c>
      <c r="J469" s="100"/>
      <c r="K469" s="100">
        <v>0</v>
      </c>
      <c r="L469" s="99"/>
      <c r="M469" s="100">
        <v>0</v>
      </c>
      <c r="N469" s="99"/>
      <c r="O469" s="49">
        <f>ZeroInt!D170</f>
        <v>0.6067653862503033</v>
      </c>
      <c r="P469" s="49">
        <f>ZeroInt!E170</f>
        <v>0.39323461374969665</v>
      </c>
      <c r="Q469" s="101"/>
      <c r="R469" s="99">
        <v>0</v>
      </c>
      <c r="S469" s="99">
        <v>0</v>
      </c>
      <c r="T469" s="99"/>
      <c r="U469" s="99">
        <v>0</v>
      </c>
      <c r="V469" s="99"/>
      <c r="W469" s="99">
        <v>0</v>
      </c>
      <c r="X469" s="99"/>
      <c r="Y469" s="99">
        <v>0</v>
      </c>
      <c r="Z469" s="99"/>
      <c r="AA469" s="99">
        <v>0</v>
      </c>
      <c r="AB469" s="100">
        <f t="shared" si="271"/>
        <v>1</v>
      </c>
      <c r="AC469" s="31" t="str">
        <f t="shared" si="270"/>
        <v>ok</v>
      </c>
    </row>
    <row r="470" spans="1:29" x14ac:dyDescent="0.2">
      <c r="A470" s="14" t="s">
        <v>202</v>
      </c>
      <c r="C470" s="14" t="s">
        <v>33</v>
      </c>
      <c r="F470" s="99">
        <v>1</v>
      </c>
      <c r="G470" s="99"/>
      <c r="H470" s="100">
        <v>0</v>
      </c>
      <c r="I470" s="100">
        <v>0</v>
      </c>
      <c r="J470" s="100"/>
      <c r="K470" s="100">
        <v>0</v>
      </c>
      <c r="L470" s="99"/>
      <c r="M470" s="100">
        <v>0</v>
      </c>
      <c r="N470" s="99"/>
      <c r="O470" s="49">
        <f>ZeroInt!D171</f>
        <v>0.18998966279760321</v>
      </c>
      <c r="P470" s="49">
        <f>ZeroInt!E171</f>
        <v>0.81001033720239679</v>
      </c>
      <c r="Q470" s="101"/>
      <c r="R470" s="99">
        <v>0</v>
      </c>
      <c r="S470" s="99">
        <v>0</v>
      </c>
      <c r="T470" s="99"/>
      <c r="U470" s="99">
        <v>0</v>
      </c>
      <c r="V470" s="99"/>
      <c r="W470" s="99">
        <v>0</v>
      </c>
      <c r="X470" s="99"/>
      <c r="Y470" s="99">
        <v>0</v>
      </c>
      <c r="Z470" s="99"/>
      <c r="AA470" s="99">
        <v>0</v>
      </c>
      <c r="AB470" s="100">
        <f t="shared" si="271"/>
        <v>1</v>
      </c>
      <c r="AC470" s="31" t="str">
        <f t="shared" si="270"/>
        <v>ok</v>
      </c>
    </row>
    <row r="471" spans="1:29" x14ac:dyDescent="0.2">
      <c r="A471" s="14" t="s">
        <v>203</v>
      </c>
      <c r="C471" s="14" t="s">
        <v>38</v>
      </c>
      <c r="F471" s="99">
        <v>1</v>
      </c>
      <c r="G471" s="99"/>
      <c r="H471" s="100">
        <v>0</v>
      </c>
      <c r="I471" s="100">
        <v>0</v>
      </c>
      <c r="J471" s="100"/>
      <c r="K471" s="100">
        <v>0</v>
      </c>
      <c r="L471" s="99"/>
      <c r="M471" s="100">
        <v>0</v>
      </c>
      <c r="N471" s="99"/>
      <c r="O471" s="49">
        <f>ZeroInt!D172</f>
        <v>0.42691045903791558</v>
      </c>
      <c r="P471" s="49">
        <f>ZeroInt!E172</f>
        <v>0.57308954096208442</v>
      </c>
      <c r="Q471" s="101"/>
      <c r="R471" s="99">
        <v>0</v>
      </c>
      <c r="S471" s="99">
        <v>0</v>
      </c>
      <c r="T471" s="99"/>
      <c r="U471" s="99">
        <v>0</v>
      </c>
      <c r="V471" s="99"/>
      <c r="W471" s="99">
        <v>0</v>
      </c>
      <c r="X471" s="99"/>
      <c r="Y471" s="99">
        <v>0</v>
      </c>
      <c r="Z471" s="99"/>
      <c r="AA471" s="99">
        <v>0</v>
      </c>
      <c r="AB471" s="100">
        <f t="shared" si="271"/>
        <v>1</v>
      </c>
      <c r="AC471" s="31" t="str">
        <f t="shared" si="270"/>
        <v>ok</v>
      </c>
    </row>
    <row r="472" spans="1:29" x14ac:dyDescent="0.2">
      <c r="A472" s="14" t="s">
        <v>204</v>
      </c>
      <c r="C472" s="14" t="s">
        <v>41</v>
      </c>
      <c r="F472" s="99">
        <v>1</v>
      </c>
      <c r="G472" s="99"/>
      <c r="H472" s="100">
        <v>0</v>
      </c>
      <c r="I472" s="100">
        <v>0</v>
      </c>
      <c r="J472" s="100"/>
      <c r="K472" s="100">
        <v>0</v>
      </c>
      <c r="L472" s="99"/>
      <c r="M472" s="100">
        <v>0</v>
      </c>
      <c r="N472" s="99"/>
      <c r="O472" s="100">
        <v>0</v>
      </c>
      <c r="P472" s="100">
        <v>0</v>
      </c>
      <c r="Q472" s="101"/>
      <c r="R472" s="99">
        <v>0</v>
      </c>
      <c r="S472" s="99">
        <v>1</v>
      </c>
      <c r="T472" s="99"/>
      <c r="U472" s="99">
        <v>0</v>
      </c>
      <c r="V472" s="99"/>
      <c r="W472" s="99">
        <v>0</v>
      </c>
      <c r="X472" s="99"/>
      <c r="Y472" s="99">
        <v>0</v>
      </c>
      <c r="Z472" s="99"/>
      <c r="AA472" s="99">
        <v>0</v>
      </c>
      <c r="AB472" s="100">
        <f t="shared" si="271"/>
        <v>1</v>
      </c>
      <c r="AC472" s="31" t="str">
        <f t="shared" si="270"/>
        <v>ok</v>
      </c>
    </row>
    <row r="473" spans="1:29" x14ac:dyDescent="0.2">
      <c r="A473" s="14" t="s">
        <v>4</v>
      </c>
      <c r="C473" s="14" t="s">
        <v>44</v>
      </c>
      <c r="F473" s="99">
        <v>1</v>
      </c>
      <c r="G473" s="99"/>
      <c r="H473" s="100">
        <v>0</v>
      </c>
      <c r="I473" s="100">
        <v>0</v>
      </c>
      <c r="J473" s="100"/>
      <c r="K473" s="100">
        <v>0</v>
      </c>
      <c r="L473" s="99"/>
      <c r="M473" s="100">
        <v>0</v>
      </c>
      <c r="N473" s="99"/>
      <c r="O473" s="100">
        <v>0</v>
      </c>
      <c r="P473" s="100">
        <v>0</v>
      </c>
      <c r="Q473" s="101"/>
      <c r="R473" s="99">
        <v>0</v>
      </c>
      <c r="S473" s="99">
        <v>0</v>
      </c>
      <c r="T473" s="99"/>
      <c r="U473" s="99">
        <v>1</v>
      </c>
      <c r="V473" s="99"/>
      <c r="W473" s="99">
        <v>0</v>
      </c>
      <c r="X473" s="99"/>
      <c r="Y473" s="99">
        <v>0</v>
      </c>
      <c r="Z473" s="99"/>
      <c r="AA473" s="99">
        <v>0</v>
      </c>
      <c r="AB473" s="100">
        <f t="shared" si="271"/>
        <v>1</v>
      </c>
      <c r="AC473" s="31" t="str">
        <f t="shared" si="270"/>
        <v>ok</v>
      </c>
    </row>
    <row r="474" spans="1:29" x14ac:dyDescent="0.2">
      <c r="A474" s="14" t="s">
        <v>205</v>
      </c>
      <c r="C474" s="14" t="s">
        <v>49</v>
      </c>
      <c r="F474" s="99">
        <v>1</v>
      </c>
      <c r="G474" s="99"/>
      <c r="H474" s="100">
        <v>0</v>
      </c>
      <c r="I474" s="100">
        <v>0</v>
      </c>
      <c r="J474" s="100"/>
      <c r="K474" s="100">
        <v>0</v>
      </c>
      <c r="L474" s="99"/>
      <c r="M474" s="100">
        <v>0</v>
      </c>
      <c r="N474" s="99"/>
      <c r="O474" s="100">
        <v>0</v>
      </c>
      <c r="P474" s="100">
        <v>0</v>
      </c>
      <c r="Q474" s="101"/>
      <c r="R474" s="99">
        <v>0</v>
      </c>
      <c r="S474" s="99">
        <v>0</v>
      </c>
      <c r="T474" s="99"/>
      <c r="U474" s="99">
        <v>0</v>
      </c>
      <c r="V474" s="99"/>
      <c r="W474" s="99">
        <v>1</v>
      </c>
      <c r="X474" s="99"/>
      <c r="Y474" s="99">
        <v>0</v>
      </c>
      <c r="Z474" s="99"/>
      <c r="AA474" s="99">
        <v>0</v>
      </c>
      <c r="AB474" s="100">
        <f t="shared" si="271"/>
        <v>1</v>
      </c>
      <c r="AC474" s="31" t="str">
        <f t="shared" si="270"/>
        <v>ok</v>
      </c>
    </row>
    <row r="475" spans="1:29" x14ac:dyDescent="0.2">
      <c r="A475" s="14" t="s">
        <v>206</v>
      </c>
      <c r="C475" s="14" t="s">
        <v>140</v>
      </c>
      <c r="F475" s="99">
        <v>1</v>
      </c>
      <c r="G475" s="99"/>
      <c r="H475" s="100">
        <v>0</v>
      </c>
      <c r="I475" s="100">
        <v>0</v>
      </c>
      <c r="J475" s="100"/>
      <c r="K475" s="100">
        <v>0</v>
      </c>
      <c r="L475" s="99"/>
      <c r="M475" s="100">
        <v>0</v>
      </c>
      <c r="N475" s="99"/>
      <c r="O475" s="100">
        <v>0</v>
      </c>
      <c r="P475" s="100">
        <v>0</v>
      </c>
      <c r="Q475" s="101"/>
      <c r="R475" s="99">
        <v>0</v>
      </c>
      <c r="S475" s="99">
        <v>0</v>
      </c>
      <c r="T475" s="99"/>
      <c r="U475" s="99">
        <v>0</v>
      </c>
      <c r="V475" s="99"/>
      <c r="W475" s="99">
        <v>0</v>
      </c>
      <c r="X475" s="99"/>
      <c r="Y475" s="99">
        <v>1</v>
      </c>
      <c r="Z475" s="99"/>
      <c r="AA475" s="99">
        <v>0</v>
      </c>
      <c r="AB475" s="100">
        <f t="shared" si="271"/>
        <v>1</v>
      </c>
      <c r="AC475" s="31" t="str">
        <f t="shared" si="270"/>
        <v>ok</v>
      </c>
    </row>
    <row r="476" spans="1:29" x14ac:dyDescent="0.2">
      <c r="A476" s="14" t="s">
        <v>207</v>
      </c>
      <c r="C476" s="14" t="s">
        <v>150</v>
      </c>
      <c r="F476" s="99">
        <v>1</v>
      </c>
      <c r="G476" s="99"/>
      <c r="H476" s="100">
        <v>0</v>
      </c>
      <c r="I476" s="100">
        <v>0</v>
      </c>
      <c r="J476" s="100"/>
      <c r="K476" s="100">
        <v>0</v>
      </c>
      <c r="L476" s="99"/>
      <c r="M476" s="100">
        <v>0</v>
      </c>
      <c r="N476" s="99"/>
      <c r="O476" s="100">
        <v>0</v>
      </c>
      <c r="P476" s="100">
        <v>0</v>
      </c>
      <c r="Q476" s="101"/>
      <c r="R476" s="99">
        <v>0</v>
      </c>
      <c r="S476" s="99">
        <v>0</v>
      </c>
      <c r="T476" s="99"/>
      <c r="U476" s="99">
        <v>0</v>
      </c>
      <c r="V476" s="99"/>
      <c r="W476" s="99">
        <v>0</v>
      </c>
      <c r="X476" s="99"/>
      <c r="Y476" s="99">
        <v>1</v>
      </c>
      <c r="Z476" s="99"/>
      <c r="AA476" s="99">
        <v>0</v>
      </c>
      <c r="AB476" s="100">
        <f t="shared" si="271"/>
        <v>1</v>
      </c>
      <c r="AC476" s="31" t="str">
        <f t="shared" si="270"/>
        <v>ok</v>
      </c>
    </row>
    <row r="477" spans="1:29" x14ac:dyDescent="0.2">
      <c r="A477" s="14" t="s">
        <v>350</v>
      </c>
      <c r="C477" s="14" t="s">
        <v>391</v>
      </c>
      <c r="F477" s="99">
        <v>1</v>
      </c>
      <c r="G477" s="99"/>
      <c r="H477" s="100">
        <v>0</v>
      </c>
      <c r="I477" s="100">
        <v>0</v>
      </c>
      <c r="J477" s="100"/>
      <c r="K477" s="100">
        <v>1</v>
      </c>
      <c r="L477" s="99"/>
      <c r="M477" s="100">
        <v>0</v>
      </c>
      <c r="N477" s="99"/>
      <c r="O477" s="100">
        <v>0</v>
      </c>
      <c r="P477" s="100">
        <v>0</v>
      </c>
      <c r="Q477" s="101"/>
      <c r="R477" s="99">
        <v>0</v>
      </c>
      <c r="S477" s="99">
        <v>0</v>
      </c>
      <c r="T477" s="99"/>
      <c r="U477" s="99">
        <v>0</v>
      </c>
      <c r="V477" s="99"/>
      <c r="W477" s="99">
        <v>0</v>
      </c>
      <c r="X477" s="99"/>
      <c r="Y477" s="99">
        <v>0</v>
      </c>
      <c r="Z477" s="99"/>
      <c r="AA477" s="99">
        <v>0</v>
      </c>
      <c r="AB477" s="100">
        <f>SUM(H477:AA477)</f>
        <v>1</v>
      </c>
      <c r="AC477" s="31" t="str">
        <f t="shared" si="270"/>
        <v>ok</v>
      </c>
    </row>
    <row r="478" spans="1:29" x14ac:dyDescent="0.2">
      <c r="A478" s="14" t="s">
        <v>470</v>
      </c>
      <c r="C478" s="14" t="s">
        <v>471</v>
      </c>
      <c r="F478" s="99">
        <v>1</v>
      </c>
      <c r="G478" s="99"/>
      <c r="H478" s="100">
        <v>0</v>
      </c>
      <c r="I478" s="100">
        <v>0</v>
      </c>
      <c r="J478" s="100"/>
      <c r="K478" s="100">
        <v>0</v>
      </c>
      <c r="L478" s="99"/>
      <c r="M478" s="100">
        <v>0</v>
      </c>
      <c r="N478" s="99"/>
      <c r="O478" s="100">
        <v>0</v>
      </c>
      <c r="P478" s="100">
        <v>0</v>
      </c>
      <c r="Q478" s="101"/>
      <c r="R478" s="99">
        <v>0</v>
      </c>
      <c r="S478" s="99">
        <v>0</v>
      </c>
      <c r="T478" s="99"/>
      <c r="U478" s="99">
        <v>0</v>
      </c>
      <c r="V478" s="99"/>
      <c r="W478" s="99">
        <v>0</v>
      </c>
      <c r="X478" s="99"/>
      <c r="Y478" s="99">
        <v>0</v>
      </c>
      <c r="Z478" s="99"/>
      <c r="AA478" s="99">
        <v>1</v>
      </c>
      <c r="AB478" s="100">
        <f>SUM(H478:AA478)</f>
        <v>1</v>
      </c>
      <c r="AC478" s="31" t="str">
        <f>IF(ABS(AB478-F478)&lt;0.0000001,"ok","err")</f>
        <v>ok</v>
      </c>
    </row>
    <row r="479" spans="1:29" x14ac:dyDescent="0.2">
      <c r="F479" s="99"/>
      <c r="H479" s="100"/>
      <c r="I479" s="100"/>
      <c r="J479" s="100"/>
      <c r="K479" s="100"/>
      <c r="L479" s="100"/>
      <c r="M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31"/>
    </row>
    <row r="480" spans="1:29" x14ac:dyDescent="0.2">
      <c r="AC480" s="31"/>
    </row>
    <row r="481" spans="1:29" x14ac:dyDescent="0.2">
      <c r="A481" s="13" t="s">
        <v>402</v>
      </c>
      <c r="C481" s="14" t="s">
        <v>97</v>
      </c>
      <c r="F481" s="99">
        <v>1</v>
      </c>
      <c r="G481" s="99"/>
      <c r="H481" s="100">
        <f>'Purchased Power'!P21</f>
        <v>0.27751630867379595</v>
      </c>
      <c r="I481" s="100">
        <f>'Purchased Power'!P22</f>
        <v>0.72248369132620394</v>
      </c>
      <c r="J481" s="50"/>
      <c r="K481" s="50">
        <v>0</v>
      </c>
      <c r="L481" s="50"/>
      <c r="M481" s="50">
        <v>0</v>
      </c>
      <c r="N481" s="50"/>
      <c r="O481" s="50">
        <v>0</v>
      </c>
      <c r="P481" s="50">
        <v>0</v>
      </c>
      <c r="Q481" s="102"/>
      <c r="R481" s="50">
        <v>0</v>
      </c>
      <c r="S481" s="50">
        <v>0</v>
      </c>
      <c r="T481" s="50"/>
      <c r="U481" s="50">
        <v>0</v>
      </c>
      <c r="V481" s="50"/>
      <c r="W481" s="50">
        <v>0</v>
      </c>
      <c r="X481" s="50"/>
      <c r="Y481" s="50">
        <v>0</v>
      </c>
      <c r="Z481" s="50"/>
      <c r="AA481" s="50">
        <v>0</v>
      </c>
      <c r="AB481" s="50">
        <f>SUM(H481:AA481)</f>
        <v>0.99999999999999989</v>
      </c>
      <c r="AC481" s="31" t="str">
        <f>IF(ABS(AB481-F481)&lt;1,"ok","err")</f>
        <v>ok</v>
      </c>
    </row>
    <row r="482" spans="1:29" x14ac:dyDescent="0.2">
      <c r="AC482" s="31"/>
    </row>
    <row r="483" spans="1:29" x14ac:dyDescent="0.2">
      <c r="A483" s="14" t="s">
        <v>548</v>
      </c>
      <c r="C483" s="14" t="s">
        <v>546</v>
      </c>
      <c r="F483" s="103">
        <v>1</v>
      </c>
      <c r="H483" s="50">
        <v>0</v>
      </c>
      <c r="I483" s="50">
        <v>0</v>
      </c>
      <c r="K483" s="50">
        <v>0</v>
      </c>
      <c r="M483" s="50">
        <v>0</v>
      </c>
      <c r="O483" s="50">
        <v>0</v>
      </c>
      <c r="P483" s="50">
        <v>0</v>
      </c>
      <c r="R483" s="50">
        <v>0</v>
      </c>
      <c r="S483" s="50">
        <v>0</v>
      </c>
      <c r="U483" s="50">
        <v>0</v>
      </c>
      <c r="W483" s="103">
        <v>1</v>
      </c>
      <c r="Y483" s="50">
        <v>0</v>
      </c>
      <c r="AA483" s="50">
        <v>0</v>
      </c>
      <c r="AB483" s="100">
        <f>SUM(H483:AA483)</f>
        <v>1</v>
      </c>
      <c r="AC483" s="31" t="str">
        <f>IF(ABS(AB483-F483)&lt;1,"ok","err")</f>
        <v>ok</v>
      </c>
    </row>
    <row r="484" spans="1:29" x14ac:dyDescent="0.2">
      <c r="A484" s="14" t="s">
        <v>549</v>
      </c>
      <c r="C484" s="14" t="s">
        <v>547</v>
      </c>
      <c r="F484" s="103">
        <v>1</v>
      </c>
      <c r="H484" s="50">
        <v>0</v>
      </c>
      <c r="I484" s="50">
        <v>0</v>
      </c>
      <c r="K484" s="50">
        <v>0</v>
      </c>
      <c r="M484" s="50">
        <v>0</v>
      </c>
      <c r="O484" s="50">
        <v>0</v>
      </c>
      <c r="P484" s="50">
        <v>0</v>
      </c>
      <c r="R484" s="50">
        <v>0</v>
      </c>
      <c r="S484" s="50">
        <v>0</v>
      </c>
      <c r="U484" s="50">
        <v>0</v>
      </c>
      <c r="W484" s="103">
        <v>1</v>
      </c>
      <c r="Y484" s="50">
        <v>0</v>
      </c>
      <c r="AA484" s="50">
        <v>0</v>
      </c>
      <c r="AB484" s="100">
        <f>SUM(H484:AA484)</f>
        <v>1</v>
      </c>
      <c r="AC484" s="31" t="str">
        <f>IF(ABS(AB484-F484)&lt;1,"ok","err")</f>
        <v>ok</v>
      </c>
    </row>
    <row r="485" spans="1:29" x14ac:dyDescent="0.2">
      <c r="A485" s="14" t="s">
        <v>707</v>
      </c>
      <c r="C485" s="14" t="s">
        <v>551</v>
      </c>
      <c r="F485" s="99">
        <v>1</v>
      </c>
      <c r="G485" s="99"/>
      <c r="H485" s="100">
        <v>0</v>
      </c>
      <c r="I485" s="100">
        <v>0</v>
      </c>
      <c r="J485" s="100"/>
      <c r="K485" s="100">
        <v>0</v>
      </c>
      <c r="L485" s="99"/>
      <c r="M485" s="100">
        <v>0</v>
      </c>
      <c r="N485" s="99"/>
      <c r="O485" s="100">
        <v>0</v>
      </c>
      <c r="P485" s="100">
        <v>1</v>
      </c>
      <c r="Q485" s="101"/>
      <c r="R485" s="99">
        <v>0</v>
      </c>
      <c r="S485" s="99">
        <v>0</v>
      </c>
      <c r="T485" s="99"/>
      <c r="U485" s="99">
        <v>0</v>
      </c>
      <c r="V485" s="99"/>
      <c r="W485" s="99">
        <v>0</v>
      </c>
      <c r="X485" s="99"/>
      <c r="Y485" s="99">
        <v>0</v>
      </c>
      <c r="Z485" s="99"/>
      <c r="AA485" s="99">
        <v>0</v>
      </c>
      <c r="AB485" s="100">
        <f>SUM(H485:AA485)</f>
        <v>1</v>
      </c>
      <c r="AC485" s="31" t="str">
        <f>IF(ABS(AB485-F485)&lt;0.0000001,"ok","err")</f>
        <v>ok</v>
      </c>
    </row>
    <row r="486" spans="1:29" x14ac:dyDescent="0.2">
      <c r="A486" s="14" t="s">
        <v>823</v>
      </c>
      <c r="C486" s="14" t="s">
        <v>552</v>
      </c>
      <c r="F486" s="99">
        <v>1</v>
      </c>
      <c r="G486" s="99"/>
      <c r="H486" s="100">
        <v>1</v>
      </c>
      <c r="I486" s="100">
        <v>0</v>
      </c>
      <c r="J486" s="100"/>
      <c r="K486" s="100">
        <v>0</v>
      </c>
      <c r="L486" s="99"/>
      <c r="M486" s="100">
        <v>0</v>
      </c>
      <c r="N486" s="99"/>
      <c r="O486" s="100">
        <v>0</v>
      </c>
      <c r="P486" s="100">
        <v>0</v>
      </c>
      <c r="Q486" s="101"/>
      <c r="R486" s="99">
        <v>0</v>
      </c>
      <c r="S486" s="99">
        <v>0</v>
      </c>
      <c r="T486" s="99"/>
      <c r="U486" s="99">
        <v>0</v>
      </c>
      <c r="V486" s="99"/>
      <c r="W486" s="99">
        <v>0</v>
      </c>
      <c r="X486" s="99"/>
      <c r="Y486" s="99">
        <v>0</v>
      </c>
      <c r="Z486" s="99"/>
      <c r="AA486" s="99">
        <v>0</v>
      </c>
      <c r="AB486" s="100">
        <f>SUM(H486:AA486)</f>
        <v>1</v>
      </c>
      <c r="AC486" s="31" t="str">
        <f>IF(ABS(AB486-F486)&lt;0.0000001,"ok","err")</f>
        <v>ok</v>
      </c>
    </row>
    <row r="487" spans="1:29" x14ac:dyDescent="0.2">
      <c r="A487" s="14" t="s">
        <v>824</v>
      </c>
      <c r="C487" s="14" t="s">
        <v>787</v>
      </c>
      <c r="F487" s="99">
        <v>1</v>
      </c>
      <c r="G487" s="99"/>
      <c r="H487" s="100">
        <v>0</v>
      </c>
      <c r="I487" s="100">
        <v>1</v>
      </c>
      <c r="J487" s="100"/>
      <c r="K487" s="100">
        <v>0</v>
      </c>
      <c r="L487" s="99"/>
      <c r="M487" s="100">
        <v>0</v>
      </c>
      <c r="N487" s="99"/>
      <c r="O487" s="100">
        <v>0</v>
      </c>
      <c r="P487" s="100">
        <v>0</v>
      </c>
      <c r="Q487" s="101"/>
      <c r="R487" s="99">
        <v>0</v>
      </c>
      <c r="S487" s="99">
        <v>0</v>
      </c>
      <c r="T487" s="99"/>
      <c r="U487" s="99">
        <v>0</v>
      </c>
      <c r="V487" s="99"/>
      <c r="W487" s="99">
        <v>0</v>
      </c>
      <c r="X487" s="99"/>
      <c r="Y487" s="99">
        <v>0</v>
      </c>
      <c r="Z487" s="99"/>
      <c r="AA487" s="99">
        <v>0</v>
      </c>
      <c r="AB487" s="100">
        <f>SUM(H487:AA487)</f>
        <v>1</v>
      </c>
      <c r="AC487" s="31" t="str">
        <f>IF(ABS(AB487-F487)&lt;0.0000001,"ok","err")</f>
        <v>ok</v>
      </c>
    </row>
    <row r="488" spans="1:29" x14ac:dyDescent="0.2">
      <c r="F488" s="99"/>
      <c r="AC488" s="31"/>
    </row>
    <row r="489" spans="1:29" x14ac:dyDescent="0.2">
      <c r="AC489" s="31"/>
    </row>
    <row r="490" spans="1:29" x14ac:dyDescent="0.2"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50"/>
      <c r="AC490" s="31"/>
    </row>
    <row r="491" spans="1:29" x14ac:dyDescent="0.2">
      <c r="F491" s="95"/>
      <c r="G491" s="95"/>
      <c r="H491" s="95"/>
      <c r="I491" s="95"/>
      <c r="J491" s="95"/>
      <c r="K491" s="95"/>
      <c r="L491" s="95"/>
      <c r="M491" s="95"/>
      <c r="N491" s="95"/>
      <c r="O491" s="48"/>
      <c r="P491" s="48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50"/>
      <c r="AC491" s="31"/>
    </row>
    <row r="492" spans="1:29" x14ac:dyDescent="0.2">
      <c r="O492" s="48"/>
      <c r="P492" s="48"/>
      <c r="AC492" s="31"/>
    </row>
    <row r="493" spans="1:29" x14ac:dyDescent="0.2">
      <c r="F493" s="50"/>
      <c r="O493" s="48"/>
      <c r="P493" s="48"/>
      <c r="AC493" s="31"/>
    </row>
    <row r="494" spans="1:29" x14ac:dyDescent="0.2">
      <c r="F494" s="50"/>
      <c r="O494" s="48"/>
      <c r="P494" s="48"/>
      <c r="AC494" s="31"/>
    </row>
    <row r="495" spans="1:29" x14ac:dyDescent="0.2">
      <c r="F495" s="50"/>
      <c r="AC495" s="31"/>
    </row>
    <row r="496" spans="1:29" x14ac:dyDescent="0.2">
      <c r="F496" s="50"/>
      <c r="AC496" s="31"/>
    </row>
    <row r="497" spans="6:29" x14ac:dyDescent="0.2">
      <c r="F497" s="50"/>
      <c r="AC497" s="31"/>
    </row>
    <row r="498" spans="6:29" x14ac:dyDescent="0.2">
      <c r="F498" s="50"/>
      <c r="AC498" s="31"/>
    </row>
    <row r="499" spans="6:29" x14ac:dyDescent="0.2">
      <c r="F499" s="50"/>
      <c r="AC499" s="31"/>
    </row>
    <row r="500" spans="6:29" x14ac:dyDescent="0.2">
      <c r="F500" s="50"/>
      <c r="AC500" s="31"/>
    </row>
    <row r="501" spans="6:29" x14ac:dyDescent="0.2">
      <c r="F501" s="37"/>
      <c r="AC501" s="31"/>
    </row>
    <row r="502" spans="6:29" x14ac:dyDescent="0.2">
      <c r="AC502" s="31"/>
    </row>
    <row r="503" spans="6:29" x14ac:dyDescent="0.2">
      <c r="F503" s="66"/>
      <c r="AC503" s="31"/>
    </row>
    <row r="504" spans="6:29" x14ac:dyDescent="0.2">
      <c r="AC504" s="31"/>
    </row>
    <row r="505" spans="6:29" x14ac:dyDescent="0.2">
      <c r="AC505" s="31"/>
    </row>
    <row r="506" spans="6:29" x14ac:dyDescent="0.2">
      <c r="AC506" s="31"/>
    </row>
  </sheetData>
  <phoneticPr fontId="0" type="noConversion"/>
  <conditionalFormatting sqref="AC1:AC65534">
    <cfRule type="cellIs" dxfId="5" priority="2" operator="equal">
      <formula>"err"</formula>
    </cfRule>
  </conditionalFormatting>
  <conditionalFormatting sqref="AC8:AC491">
    <cfRule type="containsText" dxfId="4" priority="1" operator="containsText" text="err">
      <formula>NOT(ISERROR(SEARCH("err",AC8)))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Roman,Bold"JACKSON ENERGY COOPERATIVE
Cost of Service Study
Functionalization and Classification
12 Months Ended December 31, 2023</oddHeader>
    <oddFooter>&amp;RExhibit JW-4
Page &amp;P of &amp;N</oddFooter>
  </headerFooter>
  <rowBreaks count="13" manualBreakCount="13">
    <brk id="36" max="26" man="1"/>
    <brk id="59" max="16383" man="1"/>
    <brk id="94" max="16383" man="1"/>
    <brk id="145" max="16383" man="1"/>
    <brk id="171" max="26" man="1"/>
    <brk id="216" max="16383" man="1"/>
    <brk id="265" max="26" man="1"/>
    <brk id="289" max="16383" man="1"/>
    <brk id="331" max="16383" man="1"/>
    <brk id="358" max="26" man="1"/>
    <brk id="395" max="16383" man="1"/>
    <brk id="442" max="26" man="1"/>
    <brk id="464" max="16383" man="1"/>
  </rowBreaks>
  <colBreaks count="1" manualBreakCount="1">
    <brk id="14" max="497" man="1"/>
  </colBreaks>
  <ignoredErrors>
    <ignoredError sqref="H270:I270 K270 M270 O270:P270 R270:S270 U270 W270 Y270 AA2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P678"/>
  <sheetViews>
    <sheetView view="pageBreakPreview" zoomScale="75" zoomScaleNormal="100" zoomScaleSheetLayoutView="75" workbookViewId="0">
      <pane xSplit="2" ySplit="3" topLeftCell="C495" activePane="bottomRight" state="frozen"/>
      <selection pane="topRight" activeCell="C1" sqref="C1"/>
      <selection pane="bottomLeft" activeCell="A4" sqref="A4"/>
      <selection pane="bottomRight" activeCell="F532" sqref="F532"/>
    </sheetView>
  </sheetViews>
  <sheetFormatPr defaultColWidth="9.140625" defaultRowHeight="12.75" x14ac:dyDescent="0.2"/>
  <cols>
    <col min="1" max="1" width="7.7109375" style="14" customWidth="1"/>
    <col min="2" max="2" width="56.42578125" style="14" customWidth="1"/>
    <col min="3" max="3" width="14" style="14" customWidth="1"/>
    <col min="4" max="4" width="12.42578125" style="14" customWidth="1"/>
    <col min="5" max="5" width="20.7109375" style="14" customWidth="1"/>
    <col min="6" max="7" width="18.7109375" style="14" customWidth="1"/>
    <col min="8" max="8" width="17.7109375" style="14" customWidth="1"/>
    <col min="9" max="9" width="17.28515625" style="14" customWidth="1"/>
    <col min="10" max="10" width="16.5703125" style="14" customWidth="1"/>
    <col min="11" max="11" width="15" style="14" customWidth="1"/>
    <col min="12" max="15" width="20.7109375" style="14" customWidth="1"/>
    <col min="16" max="16" width="16.140625" style="14" hidden="1" customWidth="1"/>
    <col min="17" max="17" width="15.7109375" style="14" hidden="1" customWidth="1"/>
    <col min="18" max="18" width="20.7109375" style="14" hidden="1" customWidth="1"/>
    <col min="19" max="22" width="14.5703125" style="14" hidden="1" customWidth="1"/>
    <col min="23" max="23" width="13.5703125" style="14" hidden="1" customWidth="1"/>
    <col min="24" max="24" width="12" style="14" hidden="1" customWidth="1"/>
    <col min="25" max="30" width="17.7109375" style="14" hidden="1" customWidth="1"/>
    <col min="31" max="31" width="17.42578125" style="14" hidden="1" customWidth="1"/>
    <col min="32" max="32" width="18" style="14" hidden="1" customWidth="1"/>
    <col min="33" max="33" width="17.7109375" style="14" customWidth="1"/>
    <col min="34" max="34" width="10.7109375" style="14" customWidth="1"/>
    <col min="35" max="35" width="11.5703125" style="14" bestFit="1" customWidth="1"/>
    <col min="36" max="36" width="9.28515625" style="14" bestFit="1" customWidth="1"/>
    <col min="37" max="37" width="17.42578125" style="50" bestFit="1" customWidth="1"/>
    <col min="38" max="38" width="9.85546875" style="14" bestFit="1" customWidth="1"/>
    <col min="39" max="39" width="9.42578125" style="14" bestFit="1" customWidth="1"/>
    <col min="40" max="40" width="10.85546875" style="14" bestFit="1" customWidth="1"/>
    <col min="41" max="41" width="9.28515625" style="14" bestFit="1" customWidth="1"/>
    <col min="42" max="42" width="10.42578125" style="14" bestFit="1" customWidth="1"/>
    <col min="43" max="16384" width="9.140625" style="14"/>
  </cols>
  <sheetData>
    <row r="1" spans="1:37" x14ac:dyDescent="0.2">
      <c r="A1" s="83"/>
      <c r="B1" s="83"/>
      <c r="C1" s="83"/>
      <c r="D1" s="83"/>
      <c r="AH1" s="31" t="str">
        <f>IF(COUNTIF(AH4:AH536,"err"),"err","ok")</f>
        <v>ok</v>
      </c>
    </row>
    <row r="2" spans="1:37" s="190" customFormat="1" ht="77.25" customHeight="1" x14ac:dyDescent="0.2">
      <c r="A2" s="188"/>
      <c r="B2" s="188"/>
      <c r="C2" s="86"/>
      <c r="D2" s="189" t="s">
        <v>208</v>
      </c>
      <c r="E2" s="86" t="s">
        <v>0</v>
      </c>
      <c r="F2" s="86" t="str">
        <f>'Summary of Returns'!B10</f>
        <v>Residential Service</v>
      </c>
      <c r="G2" s="86" t="str">
        <f>'Summary of Returns'!B11</f>
        <v>Residential Off Peak ETS</v>
      </c>
      <c r="H2" s="86" t="str">
        <f>'Summary of Returns'!B12</f>
        <v>Commercial Service &lt; 50 KW</v>
      </c>
      <c r="I2" s="86" t="str">
        <f>'Summary of Returns'!B13</f>
        <v>Commercial Off Peak ETS</v>
      </c>
      <c r="J2" s="86" t="str">
        <f>'Summary of Returns'!B14</f>
        <v>Large Power Loads 50 KW and Over</v>
      </c>
      <c r="K2" s="86" t="str">
        <f>'Summary of Returns'!B15</f>
        <v>Large Power Rate 500 KW and Over</v>
      </c>
      <c r="L2" s="86" t="str">
        <f>'Summary of Returns'!B16</f>
        <v>Large Power Rate 500 kW and Over</v>
      </c>
      <c r="M2" s="86" t="str">
        <f>'Summary of Returns'!B17</f>
        <v>Schools, Churches, Halls &amp; Parks</v>
      </c>
      <c r="N2" s="86" t="str">
        <f>'Summary of Returns'!B18</f>
        <v>All Electric Schools AES</v>
      </c>
      <c r="O2" s="86" t="str">
        <f>'Summary of Returns'!B19</f>
        <v>Outdoor Lighting</v>
      </c>
      <c r="P2" s="86">
        <f>'Summary of Returns'!B20</f>
        <v>0</v>
      </c>
      <c r="Q2" s="86" t="s">
        <v>702</v>
      </c>
      <c r="R2" s="86" t="s">
        <v>702</v>
      </c>
      <c r="S2" s="86" t="s">
        <v>702</v>
      </c>
      <c r="T2" s="86" t="s">
        <v>702</v>
      </c>
      <c r="U2" s="86" t="s">
        <v>702</v>
      </c>
      <c r="V2" s="86" t="s">
        <v>702</v>
      </c>
      <c r="W2" s="86" t="s">
        <v>702</v>
      </c>
      <c r="X2" s="86" t="s">
        <v>702</v>
      </c>
      <c r="Y2" s="86" t="s">
        <v>702</v>
      </c>
      <c r="Z2" s="86" t="s">
        <v>702</v>
      </c>
      <c r="AA2" s="86" t="s">
        <v>702</v>
      </c>
      <c r="AB2" s="86" t="s">
        <v>702</v>
      </c>
      <c r="AC2" s="86" t="s">
        <v>702</v>
      </c>
      <c r="AD2" s="86" t="s">
        <v>702</v>
      </c>
      <c r="AE2" s="86" t="s">
        <v>702</v>
      </c>
      <c r="AF2" s="86" t="s">
        <v>702</v>
      </c>
      <c r="AG2" s="188"/>
      <c r="AH2" s="188"/>
      <c r="AK2" s="191"/>
    </row>
    <row r="3" spans="1:37" ht="13.5" thickBot="1" x14ac:dyDescent="0.25">
      <c r="A3" s="88" t="s">
        <v>6</v>
      </c>
      <c r="B3" s="88"/>
      <c r="C3" s="89" t="s">
        <v>7</v>
      </c>
      <c r="D3" s="89" t="s">
        <v>8</v>
      </c>
      <c r="E3" s="87" t="s">
        <v>9</v>
      </c>
      <c r="F3" s="87">
        <f>'Summary of Returns'!C10</f>
        <v>10</v>
      </c>
      <c r="G3" s="87">
        <f>'Summary of Returns'!C11</f>
        <v>11</v>
      </c>
      <c r="H3" s="87">
        <f>'Summary of Returns'!C12</f>
        <v>20</v>
      </c>
      <c r="I3" s="87">
        <f>'Summary of Returns'!C13</f>
        <v>22</v>
      </c>
      <c r="J3" s="87">
        <f>'Summary of Returns'!C14</f>
        <v>40</v>
      </c>
      <c r="K3" s="87">
        <f>'Summary of Returns'!C15</f>
        <v>46</v>
      </c>
      <c r="L3" s="87">
        <f>'Summary of Returns'!C16</f>
        <v>47</v>
      </c>
      <c r="M3" s="87">
        <f>'Summary of Returns'!C17</f>
        <v>50</v>
      </c>
      <c r="N3" s="87">
        <f>'Summary of Returns'!C18</f>
        <v>52</v>
      </c>
      <c r="O3" s="87" t="str">
        <f>'Summary of Returns'!C19</f>
        <v>OL</v>
      </c>
      <c r="P3" s="87">
        <f>'Summary of Returns'!C20</f>
        <v>0</v>
      </c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 t="s">
        <v>13</v>
      </c>
      <c r="AH3" s="87" t="s">
        <v>14</v>
      </c>
    </row>
    <row r="5" spans="1:37" x14ac:dyDescent="0.2">
      <c r="A5" s="29" t="s">
        <v>15</v>
      </c>
    </row>
    <row r="7" spans="1:37" x14ac:dyDescent="0.2">
      <c r="A7" s="13" t="s">
        <v>894</v>
      </c>
    </row>
    <row r="8" spans="1:37" x14ac:dyDescent="0.2">
      <c r="A8" s="98" t="s">
        <v>209</v>
      </c>
      <c r="C8" s="14" t="s">
        <v>210</v>
      </c>
      <c r="D8" s="14" t="s">
        <v>657</v>
      </c>
      <c r="E8" s="66">
        <f>'Func &amp; Classif'!H82</f>
        <v>0</v>
      </c>
      <c r="F8" s="66">
        <f>IF(VLOOKUP($D8,$C$5:$AU$501,3,)=0,0,(VLOOKUP($D8,$C$5:$AU$501,4,)/VLOOKUP($D8,$C$5:$AU$501,3,))*$E8)</f>
        <v>0</v>
      </c>
      <c r="G8" s="66">
        <f>IF(VLOOKUP($D8,$C$5:$AU$501,3,)=0,0,(VLOOKUP($D8,$C$5:$AU$501,5,)/VLOOKUP($D8,$C$5:$AU$501,3,))*$E8)</f>
        <v>0</v>
      </c>
      <c r="H8" s="66">
        <f>IF(VLOOKUP($D8,$C$5:$AU$501,3,)=0,0,(VLOOKUP($D8,$C$5:$AU$501,6,)/VLOOKUP($D8,$C$5:$AU$501,3,))*$E8)</f>
        <v>0</v>
      </c>
      <c r="I8" s="66">
        <f>IF(VLOOKUP($D8,$C$5:$AU$501,3,)=0,0,(VLOOKUP($D8,$C$5:$AU$501,7,)/VLOOKUP($D8,$C$5:$AU$501,3,))*$E8)</f>
        <v>0</v>
      </c>
      <c r="J8" s="66">
        <f>IF(VLOOKUP($D8,$C$5:$AU$501,3,)=0,0,(VLOOKUP($D8,$C$5:$AU$501,8,)/VLOOKUP($D8,$C$5:$AU$501,3,))*$E8)</f>
        <v>0</v>
      </c>
      <c r="K8" s="66">
        <f>IF(VLOOKUP($D8,$C$5:$AU$501,3,)=0,0,(VLOOKUP($D8,$C$5:$AU$501,9,)/VLOOKUP($D8,$C$5:$AU$501,3,))*$E8)</f>
        <v>0</v>
      </c>
      <c r="L8" s="66">
        <f>IF(VLOOKUP($D8,$C$5:$AU$501,3,)=0,0,(VLOOKUP($D8,$C$5:$AU$501,10,)/VLOOKUP($D8,$C$5:$AU$501,3,))*$E8)</f>
        <v>0</v>
      </c>
      <c r="M8" s="66">
        <f>IF(VLOOKUP($D8,$C$5:$AU$501,3,)=0,0,(VLOOKUP($D8,$C$5:$AU$501,11,)/VLOOKUP($D8,$C$5:$AU$501,3,))*$E8)</f>
        <v>0</v>
      </c>
      <c r="N8" s="66">
        <f>IF(VLOOKUP($D8,$C$5:$AU$501,3,)=0,0,(VLOOKUP($D8,$C$5:$AU$501,12,)/VLOOKUP($D8,$C$5:$AU$501,3,))*$E8)</f>
        <v>0</v>
      </c>
      <c r="O8" s="66">
        <f>IF(VLOOKUP($D8,$C$5:$AU$501,3,)=0,0,(VLOOKUP($D8,$C$5:$AU$501,13,)/VLOOKUP($D8,$C$5:$AU$501,3,))*$E8)</f>
        <v>0</v>
      </c>
      <c r="P8" s="66">
        <f>IF(VLOOKUP($D8,$C$5:$AU$501,3,)=0,0,(VLOOKUP($D8,$C$5:$AU$501,14,)/VLOOKUP($D8,$C$5:$AU$501,3,))*$E8)</f>
        <v>0</v>
      </c>
      <c r="Q8" s="66">
        <f>IF(VLOOKUP($D8,$C$5:$AU$501,3,)=0,0,(VLOOKUP($D8,$C$5:$AU$501,15,)/VLOOKUP($D8,$C$5:$AU$501,3,))*$E8)</f>
        <v>0</v>
      </c>
      <c r="R8" s="66">
        <f>IF(VLOOKUP($D8,$C$5:$AU$501,3,)=0,0,(VLOOKUP($D8,$C$5:$AU$501,16,)/VLOOKUP($D8,$C$5:$AU$501,3,))*$E8)</f>
        <v>0</v>
      </c>
      <c r="S8" s="66">
        <f>IF(VLOOKUP($D8,$C$5:$AU$501,3,)=0,0,(VLOOKUP($D8,$C$5:$AU$501,17,)/VLOOKUP($D8,$C$5:$AU$501,3,))*$E8)</f>
        <v>0</v>
      </c>
      <c r="T8" s="66">
        <f>IF(VLOOKUP($D8,$C$5:$AU$501,3,)=0,0,(VLOOKUP($D8,$C$5:$AU$501,18,)/VLOOKUP($D8,$C$5:$AU$501,3,))*$E8)</f>
        <v>0</v>
      </c>
      <c r="U8" s="66">
        <f>IF(VLOOKUP($D8,$C$5:$AU$501,3,)=0,0,(VLOOKUP($D8,$C$5:$AU$501,19,)/VLOOKUP($D8,$C$5:$AU$501,3,))*$E8)</f>
        <v>0</v>
      </c>
      <c r="V8" s="66">
        <f>IF(VLOOKUP($D8,$C$5:$AU$501,3,)=0,0,(VLOOKUP($D8,$C$5:$AU$501,20,)/VLOOKUP($D8,$C$5:$AU$501,3,))*$E8)</f>
        <v>0</v>
      </c>
      <c r="W8" s="66">
        <f>IF(VLOOKUP($D8,$C$5:$AU$501,3,)=0,0,(VLOOKUP($D8,$C$5:$AU$501,21,)/VLOOKUP($D8,$C$5:$AU$501,3,))*$E8)</f>
        <v>0</v>
      </c>
      <c r="X8" s="66">
        <f>IF(VLOOKUP($D8,$C$5:$AU$501,3,)=0,0,(VLOOKUP($D8,$C$5:$AU$501,22,)/VLOOKUP($D8,$C$5:$AU$501,3,))*$E8)</f>
        <v>0</v>
      </c>
      <c r="Y8" s="66">
        <f>IF(VLOOKUP($D8,$C$5:$AU$501,3,)=0,0,(VLOOKUP($D8,$C$5:$AU$501,23,)/VLOOKUP($D8,$C$5:$AU$501,3,))*$E8)</f>
        <v>0</v>
      </c>
      <c r="Z8" s="66">
        <f>IF(VLOOKUP($D8,$C$5:$AU$501,3,)=0,0,(VLOOKUP($D8,$C$5:$AU$501,24,)/VLOOKUP($D8,$C$5:$AU$501,3,))*$E8)</f>
        <v>0</v>
      </c>
      <c r="AA8" s="66">
        <f>IF(VLOOKUP($D8,$C$5:$AU$501,3,)=0,0,(VLOOKUP($D8,$C$5:$AU$501,25,)/VLOOKUP($D8,$C$5:$AU$501,3,))*$E8)</f>
        <v>0</v>
      </c>
      <c r="AB8" s="66">
        <f>IF(VLOOKUP($D8,$C$5:$AU$501,3,)=0,0,(VLOOKUP($D8,$C$5:$AU$501,26,)/VLOOKUP($D8,$C$5:$AU$501,3,))*$E8)</f>
        <v>0</v>
      </c>
      <c r="AC8" s="66">
        <f>IF(VLOOKUP($D8,$C$5:$AU$501,3,)=0,0,(VLOOKUP($D8,$C$5:$AU$501,27,)/VLOOKUP($D8,$C$5:$AU$501,3,))*$E8)</f>
        <v>0</v>
      </c>
      <c r="AD8" s="66">
        <f>IF(VLOOKUP($D8,$C$5:$AU$501,3,)=0,0,(VLOOKUP($D8,$C$5:$AU$501,28,)/VLOOKUP($D8,$C$5:$AU$501,3,))*$E8)</f>
        <v>0</v>
      </c>
      <c r="AE8" s="66">
        <f>IF(VLOOKUP($D8,$C$5:$AU$501,3,)=0,0,(VLOOKUP($D8,$C$5:$AU$501,29,)/VLOOKUP($D8,$C$5:$AU$501,3,))*$E8)</f>
        <v>0</v>
      </c>
      <c r="AF8" s="66">
        <f>IF(VLOOKUP($D8,$C$5:$AU$501,3,)=0,0,(VLOOKUP($D8,$C$5:$AU$501,30,)/VLOOKUP($D8,$C$5:$AU$501,3,))*$E8)</f>
        <v>0</v>
      </c>
      <c r="AG8" s="95">
        <f>SUM(F8:AF8)</f>
        <v>0</v>
      </c>
      <c r="AH8" s="31" t="str">
        <f>IF(ABS(E8-AG8)&lt;0.01,"ok","err")</f>
        <v>ok</v>
      </c>
    </row>
    <row r="9" spans="1:37" x14ac:dyDescent="0.2">
      <c r="A9" s="98" t="s">
        <v>212</v>
      </c>
      <c r="C9" s="14" t="s">
        <v>213</v>
      </c>
      <c r="D9" s="14" t="s">
        <v>666</v>
      </c>
      <c r="E9" s="50">
        <f>'Func &amp; Classif'!I82</f>
        <v>0</v>
      </c>
      <c r="F9" s="66">
        <f>IF(VLOOKUP($D9,$C$5:$AU$501,3,)=0,0,(VLOOKUP($D9,$C$5:$AU$501,4,)/VLOOKUP($D9,$C$5:$AU$501,3,))*$E9)</f>
        <v>0</v>
      </c>
      <c r="G9" s="66">
        <f>IF(VLOOKUP($D9,$C$5:$AU$501,3,)=0,0,(VLOOKUP($D9,$C$5:$AU$501,5,)/VLOOKUP($D9,$C$5:$AU$501,3,))*$E9)</f>
        <v>0</v>
      </c>
      <c r="H9" s="66">
        <f>IF(VLOOKUP($D9,$C$5:$AU$501,3,)=0,0,(VLOOKUP($D9,$C$5:$AU$501,6,)/VLOOKUP($D9,$C$5:$AU$501,3,))*$E9)</f>
        <v>0</v>
      </c>
      <c r="I9" s="66">
        <f>IF(VLOOKUP($D9,$C$5:$AU$501,3,)=0,0,(VLOOKUP($D9,$C$5:$AU$501,7,)/VLOOKUP($D9,$C$5:$AU$501,3,))*$E9)</f>
        <v>0</v>
      </c>
      <c r="J9" s="66">
        <f>IF(VLOOKUP($D9,$C$5:$AU$501,3,)=0,0,(VLOOKUP($D9,$C$5:$AU$501,8,)/VLOOKUP($D9,$C$5:$AU$501,3,))*$E9)</f>
        <v>0</v>
      </c>
      <c r="K9" s="66">
        <f>IF(VLOOKUP($D9,$C$5:$AU$501,3,)=0,0,(VLOOKUP($D9,$C$5:$AU$501,9,)/VLOOKUP($D9,$C$5:$AU$501,3,))*$E9)</f>
        <v>0</v>
      </c>
      <c r="L9" s="66">
        <f>IF(VLOOKUP($D9,$C$5:$AU$501,3,)=0,0,(VLOOKUP($D9,$C$5:$AU$501,10,)/VLOOKUP($D9,$C$5:$AU$501,3,))*$E9)</f>
        <v>0</v>
      </c>
      <c r="M9" s="66">
        <f>IF(VLOOKUP($D9,$C$5:$AU$501,3,)=0,0,(VLOOKUP($D9,$C$5:$AU$501,11,)/VLOOKUP($D9,$C$5:$AU$501,3,))*$E9)</f>
        <v>0</v>
      </c>
      <c r="N9" s="66">
        <f>IF(VLOOKUP($D9,$C$5:$AU$501,3,)=0,0,(VLOOKUP($D9,$C$5:$AU$501,12,)/VLOOKUP($D9,$C$5:$AU$501,3,))*$E9)</f>
        <v>0</v>
      </c>
      <c r="O9" s="66">
        <f>IF(VLOOKUP($D9,$C$5:$AU$501,3,)=0,0,(VLOOKUP($D9,$C$5:$AU$501,13,)/VLOOKUP($D9,$C$5:$AU$501,3,))*$E9)</f>
        <v>0</v>
      </c>
      <c r="P9" s="66">
        <f>IF(VLOOKUP($D9,$C$5:$AU$501,3,)=0,0,(VLOOKUP($D9,$C$5:$AU$501,14,)/VLOOKUP($D9,$C$5:$AU$501,3,))*$E9)</f>
        <v>0</v>
      </c>
      <c r="Q9" s="66">
        <f>IF(VLOOKUP($D9,$C$5:$AU$501,3,)=0,0,(VLOOKUP($D9,$C$5:$AU$501,15,)/VLOOKUP($D9,$C$5:$AU$501,3,))*$E9)</f>
        <v>0</v>
      </c>
      <c r="R9" s="66">
        <f>IF(VLOOKUP($D9,$C$5:$AU$501,3,)=0,0,(VLOOKUP($D9,$C$5:$AU$501,16,)/VLOOKUP($D9,$C$5:$AU$501,3,))*$E9)</f>
        <v>0</v>
      </c>
      <c r="S9" s="66">
        <f>IF(VLOOKUP($D9,$C$5:$AU$501,3,)=0,0,(VLOOKUP($D9,$C$5:$AU$501,17,)/VLOOKUP($D9,$C$5:$AU$501,3,))*$E9)</f>
        <v>0</v>
      </c>
      <c r="T9" s="66">
        <f>IF(VLOOKUP($D9,$C$5:$AU$501,3,)=0,0,(VLOOKUP($D9,$C$5:$AU$501,18,)/VLOOKUP($D9,$C$5:$AU$501,3,))*$E9)</f>
        <v>0</v>
      </c>
      <c r="U9" s="66">
        <f>IF(VLOOKUP($D9,$C$5:$AU$501,3,)=0,0,(VLOOKUP($D9,$C$5:$AU$501,19,)/VLOOKUP($D9,$C$5:$AU$501,3,))*$E9)</f>
        <v>0</v>
      </c>
      <c r="V9" s="66">
        <f>IF(VLOOKUP($D9,$C$5:$AU$501,3,)=0,0,(VLOOKUP($D9,$C$5:$AU$501,20,)/VLOOKUP($D9,$C$5:$AU$501,3,))*$E9)</f>
        <v>0</v>
      </c>
      <c r="W9" s="66">
        <f>IF(VLOOKUP($D9,$C$5:$AU$501,3,)=0,0,(VLOOKUP($D9,$C$5:$AU$501,21,)/VLOOKUP($D9,$C$5:$AU$501,3,))*$E9)</f>
        <v>0</v>
      </c>
      <c r="X9" s="66">
        <f>IF(VLOOKUP($D9,$C$5:$AU$501,3,)=0,0,(VLOOKUP($D9,$C$5:$AU$501,22,)/VLOOKUP($D9,$C$5:$AU$501,3,))*$E9)</f>
        <v>0</v>
      </c>
      <c r="Y9" s="66">
        <f>IF(VLOOKUP($D9,$C$5:$AU$501,3,)=0,0,(VLOOKUP($D9,$C$5:$AU$501,23,)/VLOOKUP($D9,$C$5:$AU$501,3,))*$E9)</f>
        <v>0</v>
      </c>
      <c r="Z9" s="66">
        <f>IF(VLOOKUP($D9,$C$5:$AU$501,3,)=0,0,(VLOOKUP($D9,$C$5:$AU$501,24,)/VLOOKUP($D9,$C$5:$AU$501,3,))*$E9)</f>
        <v>0</v>
      </c>
      <c r="AA9" s="66">
        <f>IF(VLOOKUP($D9,$C$5:$AU$501,3,)=0,0,(VLOOKUP($D9,$C$5:$AU$501,25,)/VLOOKUP($D9,$C$5:$AU$501,3,))*$E9)</f>
        <v>0</v>
      </c>
      <c r="AB9" s="66">
        <f>IF(VLOOKUP($D9,$C$5:$AU$501,3,)=0,0,(VLOOKUP($D9,$C$5:$AU$501,26,)/VLOOKUP($D9,$C$5:$AU$501,3,))*$E9)</f>
        <v>0</v>
      </c>
      <c r="AC9" s="66">
        <f>IF(VLOOKUP($D9,$C$5:$AU$501,3,)=0,0,(VLOOKUP($D9,$C$5:$AU$501,27,)/VLOOKUP($D9,$C$5:$AU$501,3,))*$E9)</f>
        <v>0</v>
      </c>
      <c r="AD9" s="66">
        <f>IF(VLOOKUP($D9,$C$5:$AU$501,3,)=0,0,(VLOOKUP($D9,$C$5:$AU$501,28,)/VLOOKUP($D9,$C$5:$AU$501,3,))*$E9)</f>
        <v>0</v>
      </c>
      <c r="AE9" s="66">
        <f>IF(VLOOKUP($D9,$C$5:$AU$501,3,)=0,0,(VLOOKUP($D9,$C$5:$AU$501,29,)/VLOOKUP($D9,$C$5:$AU$501,3,))*$E9)</f>
        <v>0</v>
      </c>
      <c r="AF9" s="66">
        <f>IF(VLOOKUP($D9,$C$5:$AU$501,3,)=0,0,(VLOOKUP($D9,$C$5:$AU$501,30,)/VLOOKUP($D9,$C$5:$AU$501,3,))*$E9)</f>
        <v>0</v>
      </c>
      <c r="AG9" s="95">
        <f>SUM(F9:AF9)</f>
        <v>0</v>
      </c>
      <c r="AH9" s="31" t="str">
        <f>IF(ABS(E9-AG9)&lt;0.01,"ok","err")</f>
        <v>ok</v>
      </c>
    </row>
    <row r="10" spans="1:37" x14ac:dyDescent="0.2">
      <c r="A10" s="14" t="s">
        <v>215</v>
      </c>
      <c r="C10" s="14" t="s">
        <v>216</v>
      </c>
      <c r="E10" s="66">
        <f t="shared" ref="E10:T10" si="0">E8+E9</f>
        <v>0</v>
      </c>
      <c r="F10" s="66">
        <f t="shared" si="0"/>
        <v>0</v>
      </c>
      <c r="G10" s="66">
        <f t="shared" si="0"/>
        <v>0</v>
      </c>
      <c r="H10" s="66">
        <f t="shared" si="0"/>
        <v>0</v>
      </c>
      <c r="I10" s="66">
        <f t="shared" si="0"/>
        <v>0</v>
      </c>
      <c r="J10" s="66">
        <f t="shared" si="0"/>
        <v>0</v>
      </c>
      <c r="K10" s="66">
        <f t="shared" si="0"/>
        <v>0</v>
      </c>
      <c r="L10" s="66">
        <f t="shared" si="0"/>
        <v>0</v>
      </c>
      <c r="M10" s="66">
        <f t="shared" si="0"/>
        <v>0</v>
      </c>
      <c r="N10" s="66">
        <f t="shared" si="0"/>
        <v>0</v>
      </c>
      <c r="O10" s="66">
        <f t="shared" si="0"/>
        <v>0</v>
      </c>
      <c r="P10" s="66">
        <f t="shared" si="0"/>
        <v>0</v>
      </c>
      <c r="Q10" s="66">
        <f t="shared" si="0"/>
        <v>0</v>
      </c>
      <c r="R10" s="66">
        <f t="shared" si="0"/>
        <v>0</v>
      </c>
      <c r="S10" s="66">
        <f t="shared" si="0"/>
        <v>0</v>
      </c>
      <c r="T10" s="66">
        <f t="shared" si="0"/>
        <v>0</v>
      </c>
      <c r="U10" s="66">
        <f t="shared" ref="U10:AF10" si="1">U8+U9</f>
        <v>0</v>
      </c>
      <c r="V10" s="66">
        <f t="shared" si="1"/>
        <v>0</v>
      </c>
      <c r="W10" s="66">
        <f t="shared" si="1"/>
        <v>0</v>
      </c>
      <c r="X10" s="66">
        <f t="shared" si="1"/>
        <v>0</v>
      </c>
      <c r="Y10" s="66">
        <f t="shared" si="1"/>
        <v>0</v>
      </c>
      <c r="Z10" s="66">
        <f t="shared" si="1"/>
        <v>0</v>
      </c>
      <c r="AA10" s="66">
        <f t="shared" si="1"/>
        <v>0</v>
      </c>
      <c r="AB10" s="66">
        <f t="shared" si="1"/>
        <v>0</v>
      </c>
      <c r="AC10" s="66">
        <f t="shared" si="1"/>
        <v>0</v>
      </c>
      <c r="AD10" s="66">
        <f t="shared" si="1"/>
        <v>0</v>
      </c>
      <c r="AE10" s="66">
        <f t="shared" si="1"/>
        <v>0</v>
      </c>
      <c r="AF10" s="66">
        <f t="shared" si="1"/>
        <v>0</v>
      </c>
      <c r="AG10" s="95">
        <f>SUM(F10:AF10)</f>
        <v>0</v>
      </c>
      <c r="AH10" s="31" t="str">
        <f>IF(ABS(E10-AG10)&lt;0.01,"ok","err")</f>
        <v>ok</v>
      </c>
    </row>
    <row r="11" spans="1:37" x14ac:dyDescent="0.2">
      <c r="E11" s="50"/>
      <c r="F11" s="50"/>
    </row>
    <row r="12" spans="1:37" x14ac:dyDescent="0.2">
      <c r="A12" s="13" t="s">
        <v>350</v>
      </c>
      <c r="E12" s="50"/>
      <c r="F12" s="50"/>
    </row>
    <row r="13" spans="1:37" x14ac:dyDescent="0.2">
      <c r="A13" s="98" t="s">
        <v>209</v>
      </c>
      <c r="C13" s="14" t="s">
        <v>884</v>
      </c>
      <c r="D13" s="14" t="s">
        <v>599</v>
      </c>
      <c r="E13" s="66">
        <f>'Func &amp; Classif'!K82</f>
        <v>0</v>
      </c>
      <c r="F13" s="66">
        <f>IF(VLOOKUP($D13,$C$5:$AU$501,3,)=0,0,(VLOOKUP($D13,$C$5:$AU$501,4,)/VLOOKUP($D13,$C$5:$AU$501,3,))*$E13)</f>
        <v>0</v>
      </c>
      <c r="G13" s="66">
        <f>IF(VLOOKUP($D13,$C$5:$AU$501,3,)=0,0,(VLOOKUP($D13,$C$5:$AU$501,5,)/VLOOKUP($D13,$C$5:$AU$501,3,))*$E13)</f>
        <v>0</v>
      </c>
      <c r="H13" s="66">
        <f>IF(VLOOKUP($D13,$C$5:$AU$501,3,)=0,0,(VLOOKUP($D13,$C$5:$AU$501,6,)/VLOOKUP($D13,$C$5:$AU$501,3,))*$E13)</f>
        <v>0</v>
      </c>
      <c r="I13" s="66">
        <f>IF(VLOOKUP($D13,$C$5:$AU$501,3,)=0,0,(VLOOKUP($D13,$C$5:$AU$501,7,)/VLOOKUP($D13,$C$5:$AU$501,3,))*$E13)</f>
        <v>0</v>
      </c>
      <c r="J13" s="66">
        <f>IF(VLOOKUP($D13,$C$5:$AU$501,3,)=0,0,(VLOOKUP($D13,$C$5:$AU$501,8,)/VLOOKUP($D13,$C$5:$AU$501,3,))*$E13)</f>
        <v>0</v>
      </c>
      <c r="K13" s="66">
        <f>IF(VLOOKUP($D13,$C$5:$AU$501,3,)=0,0,(VLOOKUP($D13,$C$5:$AU$501,9,)/VLOOKUP($D13,$C$5:$AU$501,3,))*$E13)</f>
        <v>0</v>
      </c>
      <c r="L13" s="66">
        <f>IF(VLOOKUP($D13,$C$5:$AU$501,3,)=0,0,(VLOOKUP($D13,$C$5:$AU$501,10,)/VLOOKUP($D13,$C$5:$AU$501,3,))*$E13)</f>
        <v>0</v>
      </c>
      <c r="M13" s="66">
        <f>IF(VLOOKUP($D13,$C$5:$AU$501,3,)=0,0,(VLOOKUP($D13,$C$5:$AU$501,11,)/VLOOKUP($D13,$C$5:$AU$501,3,))*$E13)</f>
        <v>0</v>
      </c>
      <c r="N13" s="66">
        <f>IF(VLOOKUP($D13,$C$5:$AU$501,3,)=0,0,(VLOOKUP($D13,$C$5:$AU$501,12,)/VLOOKUP($D13,$C$5:$AU$501,3,))*$E13)</f>
        <v>0</v>
      </c>
      <c r="O13" s="66">
        <f>IF(VLOOKUP($D13,$C$5:$AU$501,3,)=0,0,(VLOOKUP($D13,$C$5:$AU$501,13,)/VLOOKUP($D13,$C$5:$AU$501,3,))*$E13)</f>
        <v>0</v>
      </c>
      <c r="P13" s="66">
        <f>IF(VLOOKUP($D13,$C$5:$AU$501,3,)=0,0,(VLOOKUP($D13,$C$5:$AU$501,14,)/VLOOKUP($D13,$C$5:$AU$501,3,))*$E13)</f>
        <v>0</v>
      </c>
      <c r="Q13" s="66">
        <f>IF(VLOOKUP($D13,$C$5:$AU$501,3,)=0,0,(VLOOKUP($D13,$C$5:$AU$501,15,)/VLOOKUP($D13,$C$5:$AU$501,3,))*$E13)</f>
        <v>0</v>
      </c>
      <c r="R13" s="66">
        <f>IF(VLOOKUP($D13,$C$5:$AU$501,3,)=0,0,(VLOOKUP($D13,$C$5:$AU$501,16,)/VLOOKUP($D13,$C$5:$AU$501,3,))*$E13)</f>
        <v>0</v>
      </c>
      <c r="S13" s="66">
        <f>IF(VLOOKUP($D13,$C$5:$AU$501,3,)=0,0,(VLOOKUP($D13,$C$5:$AU$501,17,)/VLOOKUP($D13,$C$5:$AU$501,3,))*$E13)</f>
        <v>0</v>
      </c>
      <c r="T13" s="66">
        <f>IF(VLOOKUP($D13,$C$5:$AU$501,3,)=0,0,(VLOOKUP($D13,$C$5:$AU$501,18,)/VLOOKUP($D13,$C$5:$AU$501,3,))*$E13)</f>
        <v>0</v>
      </c>
      <c r="U13" s="66">
        <f>IF(VLOOKUP($D13,$C$5:$AU$501,3,)=0,0,(VLOOKUP($D13,$C$5:$AU$501,19,)/VLOOKUP($D13,$C$5:$AU$501,3,))*$E13)</f>
        <v>0</v>
      </c>
      <c r="V13" s="66">
        <f>IF(VLOOKUP($D13,$C$5:$AU$501,3,)=0,0,(VLOOKUP($D13,$C$5:$AU$501,20,)/VLOOKUP($D13,$C$5:$AU$501,3,))*$E13)</f>
        <v>0</v>
      </c>
      <c r="W13" s="66">
        <f>IF(VLOOKUP($D13,$C$5:$AU$501,3,)=0,0,(VLOOKUP($D13,$C$5:$AU$501,21,)/VLOOKUP($D13,$C$5:$AU$501,3,))*$E13)</f>
        <v>0</v>
      </c>
      <c r="X13" s="66">
        <f>IF(VLOOKUP($D13,$C$5:$AU$501,3,)=0,0,(VLOOKUP($D13,$C$5:$AU$501,22,)/VLOOKUP($D13,$C$5:$AU$501,3,))*$E13)</f>
        <v>0</v>
      </c>
      <c r="Y13" s="66">
        <f>IF(VLOOKUP($D13,$C$5:$AU$501,3,)=0,0,(VLOOKUP($D13,$C$5:$AU$501,23,)/VLOOKUP($D13,$C$5:$AU$501,3,))*$E13)</f>
        <v>0</v>
      </c>
      <c r="Z13" s="66">
        <f>IF(VLOOKUP($D13,$C$5:$AU$501,3,)=0,0,(VLOOKUP($D13,$C$5:$AU$501,24,)/VLOOKUP($D13,$C$5:$AU$501,3,))*$E13)</f>
        <v>0</v>
      </c>
      <c r="AA13" s="66">
        <f>IF(VLOOKUP($D13,$C$5:$AU$501,3,)=0,0,(VLOOKUP($D13,$C$5:$AU$501,25,)/VLOOKUP($D13,$C$5:$AU$501,3,))*$E13)</f>
        <v>0</v>
      </c>
      <c r="AB13" s="66">
        <f>IF(VLOOKUP($D13,$C$5:$AU$501,3,)=0,0,(VLOOKUP($D13,$C$5:$AU$501,26,)/VLOOKUP($D13,$C$5:$AU$501,3,))*$E13)</f>
        <v>0</v>
      </c>
      <c r="AC13" s="66">
        <f>IF(VLOOKUP($D13,$C$5:$AU$501,3,)=0,0,(VLOOKUP($D13,$C$5:$AU$501,27,)/VLOOKUP($D13,$C$5:$AU$501,3,))*$E13)</f>
        <v>0</v>
      </c>
      <c r="AD13" s="66">
        <f>IF(VLOOKUP($D13,$C$5:$AU$501,3,)=0,0,(VLOOKUP($D13,$C$5:$AU$501,28,)/VLOOKUP($D13,$C$5:$AU$501,3,))*$E13)</f>
        <v>0</v>
      </c>
      <c r="AE13" s="66">
        <f>IF(VLOOKUP($D13,$C$5:$AU$501,3,)=0,0,(VLOOKUP($D13,$C$5:$AU$501,29,)/VLOOKUP($D13,$C$5:$AU$501,3,))*$E13)</f>
        <v>0</v>
      </c>
      <c r="AF13" s="66">
        <f>IF(VLOOKUP($D13,$C$5:$AU$501,3,)=0,0,(VLOOKUP($D13,$C$5:$AU$501,30,)/VLOOKUP($D13,$C$5:$AU$501,3,))*$E13)</f>
        <v>0</v>
      </c>
      <c r="AG13" s="95">
        <f>SUM(F13:AF13)</f>
        <v>0</v>
      </c>
      <c r="AH13" s="31" t="str">
        <f>IF(ABS(E13-AG13)&lt;0.01,"ok","err")</f>
        <v>ok</v>
      </c>
    </row>
    <row r="14" spans="1:37" x14ac:dyDescent="0.2">
      <c r="E14" s="50"/>
    </row>
    <row r="15" spans="1:37" x14ac:dyDescent="0.2">
      <c r="A15" s="13" t="s">
        <v>1</v>
      </c>
      <c r="E15" s="50"/>
      <c r="F15" s="50"/>
    </row>
    <row r="16" spans="1:37" x14ac:dyDescent="0.2">
      <c r="A16" s="98" t="s">
        <v>209</v>
      </c>
      <c r="C16" s="14" t="s">
        <v>217</v>
      </c>
      <c r="D16" s="14" t="s">
        <v>615</v>
      </c>
      <c r="E16" s="66">
        <f>'Func &amp; Classif'!M82</f>
        <v>2296523.8953398801</v>
      </c>
      <c r="F16" s="66">
        <f>IF(VLOOKUP($D16,$C$5:$AU$501,3,)=0,0,(VLOOKUP($D16,$C$5:$AU$501,4,)/VLOOKUP($D16,$C$5:$AU$501,3,))*$E16)</f>
        <v>1714093.6974807316</v>
      </c>
      <c r="G16" s="66">
        <f>IF(VLOOKUP($D16,$C$5:$AU$501,3,)=0,0,(VLOOKUP($D16,$C$5:$AU$501,5,)/VLOOKUP($D16,$C$5:$AU$501,3,))*$E16)</f>
        <v>0</v>
      </c>
      <c r="H16" s="66">
        <f>IF(VLOOKUP($D16,$C$5:$AU$501,3,)=0,0,(VLOOKUP($D16,$C$5:$AU$501,6,)/VLOOKUP($D16,$C$5:$AU$501,3,))*$E16)</f>
        <v>111097.62981934483</v>
      </c>
      <c r="I16" s="66">
        <f>IF(VLOOKUP($D16,$C$5:$AU$501,3,)=0,0,(VLOOKUP($D16,$C$5:$AU$501,7,)/VLOOKUP($D16,$C$5:$AU$501,3,))*$E16)</f>
        <v>0</v>
      </c>
      <c r="J16" s="66">
        <f>IF(VLOOKUP($D16,$C$5:$AU$501,3,)=0,0,(VLOOKUP($D16,$C$5:$AU$501,8,)/VLOOKUP($D16,$C$5:$AU$501,3,))*$E16)</f>
        <v>140157.85726324734</v>
      </c>
      <c r="K16" s="66">
        <f>IF(VLOOKUP($D16,$C$5:$AU$501,3,)=0,0,(VLOOKUP($D16,$C$5:$AU$501,9,)/VLOOKUP($D16,$C$5:$AU$501,3,))*$E16)</f>
        <v>182915.1914515433</v>
      </c>
      <c r="L16" s="66">
        <f>IF(VLOOKUP($D16,$C$5:$AU$501,3,)=0,0,(VLOOKUP($D16,$C$5:$AU$501,10,)/VLOOKUP($D16,$C$5:$AU$501,3,))*$E16)</f>
        <v>118412.87242707179</v>
      </c>
      <c r="M16" s="66">
        <f>IF(VLOOKUP($D16,$C$5:$AU$501,3,)=0,0,(VLOOKUP($D16,$C$5:$AU$501,11,)/VLOOKUP($D16,$C$5:$AU$501,3,))*$E16)</f>
        <v>15916.46492311948</v>
      </c>
      <c r="N16" s="66">
        <f>IF(VLOOKUP($D16,$C$5:$AU$501,3,)=0,0,(VLOOKUP($D16,$C$5:$AU$501,12,)/VLOOKUP($D16,$C$5:$AU$501,3,))*$E16)</f>
        <v>13930.181974821935</v>
      </c>
      <c r="O16" s="66">
        <f>IF(VLOOKUP($D16,$C$5:$AU$501,3,)=0,0,(VLOOKUP($D16,$C$5:$AU$501,13,)/VLOOKUP($D16,$C$5:$AU$501,3,))*$E16)</f>
        <v>0</v>
      </c>
      <c r="P16" s="66">
        <f>IF(VLOOKUP($D16,$C$5:$AU$501,3,)=0,0,(VLOOKUP($D16,$C$5:$AU$501,14,)/VLOOKUP($D16,$C$5:$AU$501,3,))*$E16)</f>
        <v>0</v>
      </c>
      <c r="Q16" s="66">
        <f>IF(VLOOKUP($D16,$C$5:$AU$501,3,)=0,0,(VLOOKUP($D16,$C$5:$AU$501,15,)/VLOOKUP($D16,$C$5:$AU$501,3,))*$E16)</f>
        <v>0</v>
      </c>
      <c r="R16" s="66">
        <f>IF(VLOOKUP($D16,$C$5:$AU$501,3,)=0,0,(VLOOKUP($D16,$C$5:$AU$501,16,)/VLOOKUP($D16,$C$5:$AU$501,3,))*$E16)</f>
        <v>0</v>
      </c>
      <c r="S16" s="66">
        <f>IF(VLOOKUP($D16,$C$5:$AU$501,3,)=0,0,(VLOOKUP($D16,$C$5:$AU$501,17,)/VLOOKUP($D16,$C$5:$AU$501,3,))*$E16)</f>
        <v>0</v>
      </c>
      <c r="T16" s="66">
        <f>IF(VLOOKUP($D16,$C$5:$AU$501,3,)=0,0,(VLOOKUP($D16,$C$5:$AU$501,18,)/VLOOKUP($D16,$C$5:$AU$501,3,))*$E16)</f>
        <v>0</v>
      </c>
      <c r="U16" s="66">
        <f>IF(VLOOKUP($D16,$C$5:$AU$501,3,)=0,0,(VLOOKUP($D16,$C$5:$AU$501,19,)/VLOOKUP($D16,$C$5:$AU$501,3,))*$E16)</f>
        <v>0</v>
      </c>
      <c r="V16" s="66">
        <f>IF(VLOOKUP($D16,$C$5:$AU$501,3,)=0,0,(VLOOKUP($D16,$C$5:$AU$501,20,)/VLOOKUP($D16,$C$5:$AU$501,3,))*$E16)</f>
        <v>0</v>
      </c>
      <c r="W16" s="66">
        <f>IF(VLOOKUP($D16,$C$5:$AU$501,3,)=0,0,(VLOOKUP($D16,$C$5:$AU$501,21,)/VLOOKUP($D16,$C$5:$AU$501,3,))*$E16)</f>
        <v>0</v>
      </c>
      <c r="X16" s="66">
        <f>IF(VLOOKUP($D16,$C$5:$AU$501,3,)=0,0,(VLOOKUP($D16,$C$5:$AU$501,22,)/VLOOKUP($D16,$C$5:$AU$501,3,))*$E16)</f>
        <v>0</v>
      </c>
      <c r="Y16" s="66">
        <f>IF(VLOOKUP($D16,$C$5:$AU$501,3,)=0,0,(VLOOKUP($D16,$C$5:$AU$501,23,)/VLOOKUP($D16,$C$5:$AU$501,3,))*$E16)</f>
        <v>0</v>
      </c>
      <c r="Z16" s="66">
        <f>IF(VLOOKUP($D16,$C$5:$AU$501,3,)=0,0,(VLOOKUP($D16,$C$5:$AU$501,24,)/VLOOKUP($D16,$C$5:$AU$501,3,))*$E16)</f>
        <v>0</v>
      </c>
      <c r="AA16" s="66">
        <f>IF(VLOOKUP($D16,$C$5:$AU$501,3,)=0,0,(VLOOKUP($D16,$C$5:$AU$501,25,)/VLOOKUP($D16,$C$5:$AU$501,3,))*$E16)</f>
        <v>0</v>
      </c>
      <c r="AB16" s="66">
        <f>IF(VLOOKUP($D16,$C$5:$AU$501,3,)=0,0,(VLOOKUP($D16,$C$5:$AU$501,26,)/VLOOKUP($D16,$C$5:$AU$501,3,))*$E16)</f>
        <v>0</v>
      </c>
      <c r="AC16" s="66">
        <f>IF(VLOOKUP($D16,$C$5:$AU$501,3,)=0,0,(VLOOKUP($D16,$C$5:$AU$501,27,)/VLOOKUP($D16,$C$5:$AU$501,3,))*$E16)</f>
        <v>0</v>
      </c>
      <c r="AD16" s="66">
        <f>IF(VLOOKUP($D16,$C$5:$AU$501,3,)=0,0,(VLOOKUP($D16,$C$5:$AU$501,28,)/VLOOKUP($D16,$C$5:$AU$501,3,))*$E16)</f>
        <v>0</v>
      </c>
      <c r="AE16" s="66">
        <f>IF(VLOOKUP($D16,$C$5:$AU$501,3,)=0,0,(VLOOKUP($D16,$C$5:$AU$501,29,)/VLOOKUP($D16,$C$5:$AU$501,3,))*$E16)</f>
        <v>0</v>
      </c>
      <c r="AF16" s="66">
        <f>IF(VLOOKUP($D16,$C$5:$AU$501,3,)=0,0,(VLOOKUP($D16,$C$5:$AU$501,30,)/VLOOKUP($D16,$C$5:$AU$501,3,))*$E16)</f>
        <v>0</v>
      </c>
      <c r="AG16" s="95">
        <f>SUM(F16:AF16)</f>
        <v>2296523.8953398801</v>
      </c>
      <c r="AH16" s="31" t="str">
        <f>IF(ABS(E16-AG16)&lt;0.01,"ok","err")</f>
        <v>ok</v>
      </c>
    </row>
    <row r="17" spans="1:35" x14ac:dyDescent="0.2">
      <c r="E17" s="50"/>
    </row>
    <row r="18" spans="1:35" x14ac:dyDescent="0.2">
      <c r="A18" s="13" t="s">
        <v>357</v>
      </c>
      <c r="E18" s="50"/>
    </row>
    <row r="19" spans="1:35" x14ac:dyDescent="0.2">
      <c r="A19" s="98" t="s">
        <v>209</v>
      </c>
      <c r="C19" s="14" t="s">
        <v>219</v>
      </c>
      <c r="D19" s="14" t="s">
        <v>607</v>
      </c>
      <c r="E19" s="66">
        <f>'Func &amp; Classif'!O82</f>
        <v>137854156.17912561</v>
      </c>
      <c r="F19" s="66">
        <f>IF(VLOOKUP($D19,$C$5:$AU$501,3,)=0,0,(VLOOKUP($D19,$C$5:$AU$501,4,)/VLOOKUP($D19,$C$5:$AU$501,3,))*$E19)</f>
        <v>113567030.33909927</v>
      </c>
      <c r="G19" s="66">
        <f>IF(VLOOKUP($D19,$C$5:$AU$501,3,)=0,0,(VLOOKUP($D19,$C$5:$AU$501,5,)/VLOOKUP($D19,$C$5:$AU$501,3,))*$E19)</f>
        <v>0</v>
      </c>
      <c r="H19" s="66">
        <f>IF(VLOOKUP($D19,$C$5:$AU$501,3,)=0,0,(VLOOKUP($D19,$C$5:$AU$501,6,)/VLOOKUP($D19,$C$5:$AU$501,3,))*$E19)</f>
        <v>2548589.5274818982</v>
      </c>
      <c r="I19" s="66">
        <f>IF(VLOOKUP($D19,$C$5:$AU$501,3,)=0,0,(VLOOKUP($D19,$C$5:$AU$501,7,)/VLOOKUP($D19,$C$5:$AU$501,3,))*$E19)</f>
        <v>0</v>
      </c>
      <c r="J19" s="66">
        <f>IF(VLOOKUP($D19,$C$5:$AU$501,3,)=0,0,(VLOOKUP($D19,$C$5:$AU$501,8,)/VLOOKUP($D19,$C$5:$AU$501,3,))*$E19)</f>
        <v>6017927.1248835959</v>
      </c>
      <c r="K19" s="66">
        <f>IF(VLOOKUP($D19,$C$5:$AU$501,3,)=0,0,(VLOOKUP($D19,$C$5:$AU$501,9,)/VLOOKUP($D19,$C$5:$AU$501,3,))*$E19)</f>
        <v>4232441.1247764323</v>
      </c>
      <c r="L19" s="66">
        <f>IF(VLOOKUP($D19,$C$5:$AU$501,3,)=0,0,(VLOOKUP($D19,$C$5:$AU$501,10,)/VLOOKUP($D19,$C$5:$AU$501,3,))*$E19)</f>
        <v>3327811.4227422825</v>
      </c>
      <c r="M19" s="66">
        <f>IF(VLOOKUP($D19,$C$5:$AU$501,3,)=0,0,(VLOOKUP($D19,$C$5:$AU$501,11,)/VLOOKUP($D19,$C$5:$AU$501,3,))*$E19)</f>
        <v>5359561.1559788575</v>
      </c>
      <c r="N19" s="66">
        <f>IF(VLOOKUP($D19,$C$5:$AU$501,3,)=0,0,(VLOOKUP($D19,$C$5:$AU$501,12,)/VLOOKUP($D19,$C$5:$AU$501,3,))*$E19)</f>
        <v>1529582.2371320471</v>
      </c>
      <c r="O19" s="66">
        <f>IF(VLOOKUP($D19,$C$5:$AU$501,3,)=0,0,(VLOOKUP($D19,$C$5:$AU$501,13,)/VLOOKUP($D19,$C$5:$AU$501,3,))*$E19)</f>
        <v>1271213.2470312356</v>
      </c>
      <c r="P19" s="66">
        <f>IF(VLOOKUP($D19,$C$5:$AU$501,3,)=0,0,(VLOOKUP($D19,$C$5:$AU$501,14,)/VLOOKUP($D19,$C$5:$AU$501,3,))*$E19)</f>
        <v>0</v>
      </c>
      <c r="Q19" s="66">
        <f>IF(VLOOKUP($D19,$C$5:$AU$501,3,)=0,0,(VLOOKUP($D19,$C$5:$AU$501,15,)/VLOOKUP($D19,$C$5:$AU$501,3,))*$E19)</f>
        <v>0</v>
      </c>
      <c r="R19" s="66">
        <f>IF(VLOOKUP($D19,$C$5:$AU$501,3,)=0,0,(VLOOKUP($D19,$C$5:$AU$501,16,)/VLOOKUP($D19,$C$5:$AU$501,3,))*$E19)</f>
        <v>0</v>
      </c>
      <c r="S19" s="66">
        <f>IF(VLOOKUP($D19,$C$5:$AU$501,3,)=0,0,(VLOOKUP($D19,$C$5:$AU$501,17,)/VLOOKUP($D19,$C$5:$AU$501,3,))*$E19)</f>
        <v>0</v>
      </c>
      <c r="T19" s="66">
        <f>IF(VLOOKUP($D19,$C$5:$AU$501,3,)=0,0,(VLOOKUP($D19,$C$5:$AU$501,18,)/VLOOKUP($D19,$C$5:$AU$501,3,))*$E19)</f>
        <v>0</v>
      </c>
      <c r="U19" s="66">
        <f>IF(VLOOKUP($D19,$C$5:$AU$501,3,)=0,0,(VLOOKUP($D19,$C$5:$AU$501,19,)/VLOOKUP($D19,$C$5:$AU$501,3,))*$E19)</f>
        <v>0</v>
      </c>
      <c r="V19" s="66">
        <f>IF(VLOOKUP($D19,$C$5:$AU$501,3,)=0,0,(VLOOKUP($D19,$C$5:$AU$501,20,)/VLOOKUP($D19,$C$5:$AU$501,3,))*$E19)</f>
        <v>0</v>
      </c>
      <c r="W19" s="66">
        <f>IF(VLOOKUP($D19,$C$5:$AU$501,3,)=0,0,(VLOOKUP($D19,$C$5:$AU$501,21,)/VLOOKUP($D19,$C$5:$AU$501,3,))*$E19)</f>
        <v>0</v>
      </c>
      <c r="X19" s="66">
        <f>IF(VLOOKUP($D19,$C$5:$AU$501,3,)=0,0,(VLOOKUP($D19,$C$5:$AU$501,22,)/VLOOKUP($D19,$C$5:$AU$501,3,))*$E19)</f>
        <v>0</v>
      </c>
      <c r="Y19" s="66">
        <f>IF(VLOOKUP($D19,$C$5:$AU$501,3,)=0,0,(VLOOKUP($D19,$C$5:$AU$501,23,)/VLOOKUP($D19,$C$5:$AU$501,3,))*$E19)</f>
        <v>0</v>
      </c>
      <c r="Z19" s="66">
        <f>IF(VLOOKUP($D19,$C$5:$AU$501,3,)=0,0,(VLOOKUP($D19,$C$5:$AU$501,24,)/VLOOKUP($D19,$C$5:$AU$501,3,))*$E19)</f>
        <v>0</v>
      </c>
      <c r="AA19" s="66">
        <f>IF(VLOOKUP($D19,$C$5:$AU$501,3,)=0,0,(VLOOKUP($D19,$C$5:$AU$501,25,)/VLOOKUP($D19,$C$5:$AU$501,3,))*$E19)</f>
        <v>0</v>
      </c>
      <c r="AB19" s="66">
        <f>IF(VLOOKUP($D19,$C$5:$AU$501,3,)=0,0,(VLOOKUP($D19,$C$5:$AU$501,26,)/VLOOKUP($D19,$C$5:$AU$501,3,))*$E19)</f>
        <v>0</v>
      </c>
      <c r="AC19" s="66">
        <f>IF(VLOOKUP($D19,$C$5:$AU$501,3,)=0,0,(VLOOKUP($D19,$C$5:$AU$501,27,)/VLOOKUP($D19,$C$5:$AU$501,3,))*$E19)</f>
        <v>0</v>
      </c>
      <c r="AD19" s="66">
        <f>IF(VLOOKUP($D19,$C$5:$AU$501,3,)=0,0,(VLOOKUP($D19,$C$5:$AU$501,28,)/VLOOKUP($D19,$C$5:$AU$501,3,))*$E19)</f>
        <v>0</v>
      </c>
      <c r="AE19" s="66">
        <f>IF(VLOOKUP($D19,$C$5:$AU$501,3,)=0,0,(VLOOKUP($D19,$C$5:$AU$501,29,)/VLOOKUP($D19,$C$5:$AU$501,3,))*$E19)</f>
        <v>0</v>
      </c>
      <c r="AF19" s="66">
        <f>IF(VLOOKUP($D19,$C$5:$AU$501,3,)=0,0,(VLOOKUP($D19,$C$5:$AU$501,30,)/VLOOKUP($D19,$C$5:$AU$501,3,))*$E19)</f>
        <v>0</v>
      </c>
      <c r="AG19" s="95">
        <f>SUM(F19:AF19)</f>
        <v>137854156.17912561</v>
      </c>
      <c r="AH19" s="31" t="str">
        <f>IF(ABS(E19-AG19)&lt;0.01,"ok","err")</f>
        <v>ok</v>
      </c>
      <c r="AI19" s="95"/>
    </row>
    <row r="20" spans="1:35" x14ac:dyDescent="0.2">
      <c r="A20" s="98" t="s">
        <v>221</v>
      </c>
      <c r="C20" s="14" t="s">
        <v>222</v>
      </c>
      <c r="D20" s="14" t="s">
        <v>223</v>
      </c>
      <c r="E20" s="50">
        <f>'Func &amp; Classif'!P82</f>
        <v>104536784.38466139</v>
      </c>
      <c r="F20" s="66">
        <f>IF(VLOOKUP($D20,$C$5:$AU$501,3,)=0,0,(VLOOKUP($D20,$C$5:$AU$501,4,)/VLOOKUP($D20,$C$5:$AU$501,3,))*$E20)</f>
        <v>95031106.742989346</v>
      </c>
      <c r="G20" s="66">
        <f>IF(VLOOKUP($D20,$C$5:$AU$501,3,)=0,0,(VLOOKUP($D20,$C$5:$AU$501,5,)/VLOOKUP($D20,$C$5:$AU$501,3,))*$E20)</f>
        <v>0</v>
      </c>
      <c r="H20" s="66">
        <f>IF(VLOOKUP($D20,$C$5:$AU$501,3,)=0,0,(VLOOKUP($D20,$C$5:$AU$501,6,)/VLOOKUP($D20,$C$5:$AU$501,3,))*$E20)</f>
        <v>7163813.5612767329</v>
      </c>
      <c r="I20" s="66">
        <f>IF(VLOOKUP($D20,$C$5:$AU$501,3,)=0,0,(VLOOKUP($D20,$C$5:$AU$501,7,)/VLOOKUP($D20,$C$5:$AU$501,3,))*$E20)</f>
        <v>0</v>
      </c>
      <c r="J20" s="66">
        <f>IF(VLOOKUP($D20,$C$5:$AU$501,3,)=0,0,(VLOOKUP($D20,$C$5:$AU$501,8,)/VLOOKUP($D20,$C$5:$AU$501,3,))*$E20)</f>
        <v>304086.90419972903</v>
      </c>
      <c r="K20" s="66">
        <f>IF(VLOOKUP($D20,$C$5:$AU$501,3,)=0,0,(VLOOKUP($D20,$C$5:$AU$501,9,)/VLOOKUP($D20,$C$5:$AU$501,3,))*$E20)</f>
        <v>15796.72229608982</v>
      </c>
      <c r="L20" s="66">
        <f>IF(VLOOKUP($D20,$C$5:$AU$501,3,)=0,0,(VLOOKUP($D20,$C$5:$AU$501,10,)/VLOOKUP($D20,$C$5:$AU$501,3,))*$E20)</f>
        <v>11847.541722067364</v>
      </c>
      <c r="M20" s="66">
        <f>IF(VLOOKUP($D20,$C$5:$AU$501,3,)=0,0,(VLOOKUP($D20,$C$5:$AU$501,11,)/VLOOKUP($D20,$C$5:$AU$501,3,))*$E20)</f>
        <v>1964717.3355761713</v>
      </c>
      <c r="N20" s="66">
        <f>IF(VLOOKUP($D20,$C$5:$AU$501,3,)=0,0,(VLOOKUP($D20,$C$5:$AU$501,12,)/VLOOKUP($D20,$C$5:$AU$501,3,))*$E20)</f>
        <v>45415.576601258232</v>
      </c>
      <c r="O20" s="66">
        <f>IF(VLOOKUP($D20,$C$5:$AU$501,3,)=0,0,(VLOOKUP($D20,$C$5:$AU$501,13,)/VLOOKUP($D20,$C$5:$AU$501,3,))*$E20)</f>
        <v>0</v>
      </c>
      <c r="P20" s="66">
        <f>IF(VLOOKUP($D20,$C$5:$AU$501,3,)=0,0,(VLOOKUP($D20,$C$5:$AU$501,14,)/VLOOKUP($D20,$C$5:$AU$501,3,))*$E20)</f>
        <v>0</v>
      </c>
      <c r="Q20" s="66">
        <f>IF(VLOOKUP($D20,$C$5:$AU$501,3,)=0,0,(VLOOKUP($D20,$C$5:$AU$501,15,)/VLOOKUP($D20,$C$5:$AU$501,3,))*$E20)</f>
        <v>0</v>
      </c>
      <c r="R20" s="66">
        <f>IF(VLOOKUP($D20,$C$5:$AU$501,3,)=0,0,(VLOOKUP($D20,$C$5:$AU$501,16,)/VLOOKUP($D20,$C$5:$AU$501,3,))*$E20)</f>
        <v>0</v>
      </c>
      <c r="S20" s="66">
        <f>IF(VLOOKUP($D20,$C$5:$AU$501,3,)=0,0,(VLOOKUP($D20,$C$5:$AU$501,17,)/VLOOKUP($D20,$C$5:$AU$501,3,))*$E20)</f>
        <v>0</v>
      </c>
      <c r="T20" s="66">
        <f>IF(VLOOKUP($D20,$C$5:$AU$501,3,)=0,0,(VLOOKUP($D20,$C$5:$AU$501,18,)/VLOOKUP($D20,$C$5:$AU$501,3,))*$E20)</f>
        <v>0</v>
      </c>
      <c r="U20" s="66">
        <f>IF(VLOOKUP($D20,$C$5:$AU$501,3,)=0,0,(VLOOKUP($D20,$C$5:$AU$501,19,)/VLOOKUP($D20,$C$5:$AU$501,3,))*$E20)</f>
        <v>0</v>
      </c>
      <c r="V20" s="66">
        <f>IF(VLOOKUP($D20,$C$5:$AU$501,3,)=0,0,(VLOOKUP($D20,$C$5:$AU$501,20,)/VLOOKUP($D20,$C$5:$AU$501,3,))*$E20)</f>
        <v>0</v>
      </c>
      <c r="W20" s="66">
        <f>IF(VLOOKUP($D20,$C$5:$AU$501,3,)=0,0,(VLOOKUP($D20,$C$5:$AU$501,21,)/VLOOKUP($D20,$C$5:$AU$501,3,))*$E20)</f>
        <v>0</v>
      </c>
      <c r="X20" s="66">
        <f>IF(VLOOKUP($D20,$C$5:$AU$501,3,)=0,0,(VLOOKUP($D20,$C$5:$AU$501,22,)/VLOOKUP($D20,$C$5:$AU$501,3,))*$E20)</f>
        <v>0</v>
      </c>
      <c r="Y20" s="66">
        <f>IF(VLOOKUP($D20,$C$5:$AU$501,3,)=0,0,(VLOOKUP($D20,$C$5:$AU$501,23,)/VLOOKUP($D20,$C$5:$AU$501,3,))*$E20)</f>
        <v>0</v>
      </c>
      <c r="Z20" s="66">
        <f>IF(VLOOKUP($D20,$C$5:$AU$501,3,)=0,0,(VLOOKUP($D20,$C$5:$AU$501,24,)/VLOOKUP($D20,$C$5:$AU$501,3,))*$E20)</f>
        <v>0</v>
      </c>
      <c r="AA20" s="66">
        <f>IF(VLOOKUP($D20,$C$5:$AU$501,3,)=0,0,(VLOOKUP($D20,$C$5:$AU$501,25,)/VLOOKUP($D20,$C$5:$AU$501,3,))*$E20)</f>
        <v>0</v>
      </c>
      <c r="AB20" s="66">
        <f>IF(VLOOKUP($D20,$C$5:$AU$501,3,)=0,0,(VLOOKUP($D20,$C$5:$AU$501,26,)/VLOOKUP($D20,$C$5:$AU$501,3,))*$E20)</f>
        <v>0</v>
      </c>
      <c r="AC20" s="66">
        <f>IF(VLOOKUP($D20,$C$5:$AU$501,3,)=0,0,(VLOOKUP($D20,$C$5:$AU$501,27,)/VLOOKUP($D20,$C$5:$AU$501,3,))*$E20)</f>
        <v>0</v>
      </c>
      <c r="AD20" s="66">
        <f>IF(VLOOKUP($D20,$C$5:$AU$501,3,)=0,0,(VLOOKUP($D20,$C$5:$AU$501,28,)/VLOOKUP($D20,$C$5:$AU$501,3,))*$E20)</f>
        <v>0</v>
      </c>
      <c r="AE20" s="66">
        <f>IF(VLOOKUP($D20,$C$5:$AU$501,3,)=0,0,(VLOOKUP($D20,$C$5:$AU$501,29,)/VLOOKUP($D20,$C$5:$AU$501,3,))*$E20)</f>
        <v>0</v>
      </c>
      <c r="AF20" s="66">
        <f>IF(VLOOKUP($D20,$C$5:$AU$501,3,)=0,0,(VLOOKUP($D20,$C$5:$AU$501,30,)/VLOOKUP($D20,$C$5:$AU$501,3,))*$E20)</f>
        <v>0</v>
      </c>
      <c r="AG20" s="95">
        <f>SUM(F20:AF20)</f>
        <v>104536784.38466141</v>
      </c>
      <c r="AH20" s="31" t="str">
        <f>IF(ABS(E20-AG20)&lt;0.01,"ok","err")</f>
        <v>ok</v>
      </c>
    </row>
    <row r="21" spans="1:35" x14ac:dyDescent="0.2">
      <c r="A21" s="14" t="s">
        <v>224</v>
      </c>
      <c r="C21" s="14" t="s">
        <v>472</v>
      </c>
      <c r="E21" s="66">
        <f t="shared" ref="E21:T21" si="2">E19+E20</f>
        <v>242390940.56378698</v>
      </c>
      <c r="F21" s="66">
        <f t="shared" si="2"/>
        <v>208598137.08208862</v>
      </c>
      <c r="G21" s="66">
        <f t="shared" si="2"/>
        <v>0</v>
      </c>
      <c r="H21" s="66">
        <f t="shared" si="2"/>
        <v>9712403.0887586307</v>
      </c>
      <c r="I21" s="66">
        <f t="shared" si="2"/>
        <v>0</v>
      </c>
      <c r="J21" s="66">
        <f t="shared" si="2"/>
        <v>6322014.0290833246</v>
      </c>
      <c r="K21" s="66">
        <f t="shared" si="2"/>
        <v>4248237.8470725222</v>
      </c>
      <c r="L21" s="66">
        <f t="shared" si="2"/>
        <v>3339658.9644643497</v>
      </c>
      <c r="M21" s="66">
        <f t="shared" si="2"/>
        <v>7324278.4915550286</v>
      </c>
      <c r="N21" s="66">
        <f t="shared" si="2"/>
        <v>1574997.8137333053</v>
      </c>
      <c r="O21" s="66">
        <f t="shared" si="2"/>
        <v>1271213.2470312356</v>
      </c>
      <c r="P21" s="66">
        <f t="shared" si="2"/>
        <v>0</v>
      </c>
      <c r="Q21" s="66">
        <f t="shared" si="2"/>
        <v>0</v>
      </c>
      <c r="R21" s="66">
        <f t="shared" si="2"/>
        <v>0</v>
      </c>
      <c r="S21" s="66">
        <f t="shared" si="2"/>
        <v>0</v>
      </c>
      <c r="T21" s="66">
        <f t="shared" si="2"/>
        <v>0</v>
      </c>
      <c r="U21" s="66">
        <f t="shared" ref="U21:AF21" si="3">U19+U20</f>
        <v>0</v>
      </c>
      <c r="V21" s="66">
        <f t="shared" si="3"/>
        <v>0</v>
      </c>
      <c r="W21" s="66">
        <f t="shared" si="3"/>
        <v>0</v>
      </c>
      <c r="X21" s="66">
        <f t="shared" si="3"/>
        <v>0</v>
      </c>
      <c r="Y21" s="66">
        <f t="shared" si="3"/>
        <v>0</v>
      </c>
      <c r="Z21" s="66">
        <f t="shared" si="3"/>
        <v>0</v>
      </c>
      <c r="AA21" s="66">
        <f t="shared" si="3"/>
        <v>0</v>
      </c>
      <c r="AB21" s="66">
        <f t="shared" si="3"/>
        <v>0</v>
      </c>
      <c r="AC21" s="66">
        <f t="shared" si="3"/>
        <v>0</v>
      </c>
      <c r="AD21" s="66">
        <f t="shared" si="3"/>
        <v>0</v>
      </c>
      <c r="AE21" s="66">
        <f t="shared" si="3"/>
        <v>0</v>
      </c>
      <c r="AF21" s="66">
        <f t="shared" si="3"/>
        <v>0</v>
      </c>
      <c r="AG21" s="95">
        <f>SUM(F21:AF21)</f>
        <v>242390940.56378698</v>
      </c>
      <c r="AH21" s="31" t="str">
        <f>IF(ABS(E21-AG21)&lt;0.01,"ok","err")</f>
        <v>ok</v>
      </c>
    </row>
    <row r="22" spans="1:35" x14ac:dyDescent="0.2">
      <c r="E22" s="50"/>
    </row>
    <row r="23" spans="1:35" x14ac:dyDescent="0.2">
      <c r="A23" s="13" t="s">
        <v>3</v>
      </c>
      <c r="E23" s="50"/>
    </row>
    <row r="24" spans="1:35" x14ac:dyDescent="0.2">
      <c r="A24" s="98" t="s">
        <v>209</v>
      </c>
      <c r="C24" s="14" t="s">
        <v>225</v>
      </c>
      <c r="D24" s="14" t="s">
        <v>619</v>
      </c>
      <c r="E24" s="66">
        <f>'Func &amp; Classif'!R82</f>
        <v>0</v>
      </c>
      <c r="F24" s="66">
        <f>IF(VLOOKUP($D24,$C$5:$AU$501,3,)=0,0,(VLOOKUP($D24,$C$5:$AU$501,4,)/VLOOKUP($D24,$C$5:$AU$501,3,))*$E24)</f>
        <v>0</v>
      </c>
      <c r="G24" s="66">
        <f>IF(VLOOKUP($D24,$C$5:$AU$501,3,)=0,0,(VLOOKUP($D24,$C$5:$AU$501,5,)/VLOOKUP($D24,$C$5:$AU$501,3,))*$E24)</f>
        <v>0</v>
      </c>
      <c r="H24" s="66">
        <f>IF(VLOOKUP($D24,$C$5:$AU$501,3,)=0,0,(VLOOKUP($D24,$C$5:$AU$501,6,)/VLOOKUP($D24,$C$5:$AU$501,3,))*$E24)</f>
        <v>0</v>
      </c>
      <c r="I24" s="66">
        <f>IF(VLOOKUP($D24,$C$5:$AU$501,3,)=0,0,(VLOOKUP($D24,$C$5:$AU$501,7,)/VLOOKUP($D24,$C$5:$AU$501,3,))*$E24)</f>
        <v>0</v>
      </c>
      <c r="J24" s="66">
        <f>IF(VLOOKUP($D24,$C$5:$AU$501,3,)=0,0,(VLOOKUP($D24,$C$5:$AU$501,8,)/VLOOKUP($D24,$C$5:$AU$501,3,))*$E24)</f>
        <v>0</v>
      </c>
      <c r="K24" s="66">
        <f>IF(VLOOKUP($D24,$C$5:$AU$501,3,)=0,0,(VLOOKUP($D24,$C$5:$AU$501,9,)/VLOOKUP($D24,$C$5:$AU$501,3,))*$E24)</f>
        <v>0</v>
      </c>
      <c r="L24" s="66">
        <f>IF(VLOOKUP($D24,$C$5:$AU$501,3,)=0,0,(VLOOKUP($D24,$C$5:$AU$501,10,)/VLOOKUP($D24,$C$5:$AU$501,3,))*$E24)</f>
        <v>0</v>
      </c>
      <c r="M24" s="66">
        <f>IF(VLOOKUP($D24,$C$5:$AU$501,3,)=0,0,(VLOOKUP($D24,$C$5:$AU$501,11,)/VLOOKUP($D24,$C$5:$AU$501,3,))*$E24)</f>
        <v>0</v>
      </c>
      <c r="N24" s="66">
        <f>IF(VLOOKUP($D24,$C$5:$AU$501,3,)=0,0,(VLOOKUP($D24,$C$5:$AU$501,12,)/VLOOKUP($D24,$C$5:$AU$501,3,))*$E24)</f>
        <v>0</v>
      </c>
      <c r="O24" s="66">
        <f>IF(VLOOKUP($D24,$C$5:$AU$501,3,)=0,0,(VLOOKUP($D24,$C$5:$AU$501,13,)/VLOOKUP($D24,$C$5:$AU$501,3,))*$E24)</f>
        <v>0</v>
      </c>
      <c r="P24" s="66">
        <f>IF(VLOOKUP($D24,$C$5:$AU$501,3,)=0,0,(VLOOKUP($D24,$C$5:$AU$501,14,)/VLOOKUP($D24,$C$5:$AU$501,3,))*$E24)</f>
        <v>0</v>
      </c>
      <c r="Q24" s="66">
        <f>IF(VLOOKUP($D24,$C$5:$AU$501,3,)=0,0,(VLOOKUP($D24,$C$5:$AU$501,15,)/VLOOKUP($D24,$C$5:$AU$501,3,))*$E24)</f>
        <v>0</v>
      </c>
      <c r="R24" s="66">
        <f>IF(VLOOKUP($D24,$C$5:$AU$501,3,)=0,0,(VLOOKUP($D24,$C$5:$AU$501,16,)/VLOOKUP($D24,$C$5:$AU$501,3,))*$E24)</f>
        <v>0</v>
      </c>
      <c r="S24" s="66">
        <f>IF(VLOOKUP($D24,$C$5:$AU$501,3,)=0,0,(VLOOKUP($D24,$C$5:$AU$501,17,)/VLOOKUP($D24,$C$5:$AU$501,3,))*$E24)</f>
        <v>0</v>
      </c>
      <c r="T24" s="66">
        <f>IF(VLOOKUP($D24,$C$5:$AU$501,3,)=0,0,(VLOOKUP($D24,$C$5:$AU$501,18,)/VLOOKUP($D24,$C$5:$AU$501,3,))*$E24)</f>
        <v>0</v>
      </c>
      <c r="U24" s="66">
        <f>IF(VLOOKUP($D24,$C$5:$AU$501,3,)=0,0,(VLOOKUP($D24,$C$5:$AU$501,19,)/VLOOKUP($D24,$C$5:$AU$501,3,))*$E24)</f>
        <v>0</v>
      </c>
      <c r="V24" s="66">
        <f>IF(VLOOKUP($D24,$C$5:$AU$501,3,)=0,0,(VLOOKUP($D24,$C$5:$AU$501,20,)/VLOOKUP($D24,$C$5:$AU$501,3,))*$E24)</f>
        <v>0</v>
      </c>
      <c r="W24" s="66">
        <f>IF(VLOOKUP($D24,$C$5:$AU$501,3,)=0,0,(VLOOKUP($D24,$C$5:$AU$501,21,)/VLOOKUP($D24,$C$5:$AU$501,3,))*$E24)</f>
        <v>0</v>
      </c>
      <c r="X24" s="66">
        <f>IF(VLOOKUP($D24,$C$5:$AU$501,3,)=0,0,(VLOOKUP($D24,$C$5:$AU$501,22,)/VLOOKUP($D24,$C$5:$AU$501,3,))*$E24)</f>
        <v>0</v>
      </c>
      <c r="Y24" s="66">
        <f>IF(VLOOKUP($D24,$C$5:$AU$501,3,)=0,0,(VLOOKUP($D24,$C$5:$AU$501,23,)/VLOOKUP($D24,$C$5:$AU$501,3,))*$E24)</f>
        <v>0</v>
      </c>
      <c r="Z24" s="66">
        <f>IF(VLOOKUP($D24,$C$5:$AU$501,3,)=0,0,(VLOOKUP($D24,$C$5:$AU$501,24,)/VLOOKUP($D24,$C$5:$AU$501,3,))*$E24)</f>
        <v>0</v>
      </c>
      <c r="AA24" s="66">
        <f>IF(VLOOKUP($D24,$C$5:$AU$501,3,)=0,0,(VLOOKUP($D24,$C$5:$AU$501,25,)/VLOOKUP($D24,$C$5:$AU$501,3,))*$E24)</f>
        <v>0</v>
      </c>
      <c r="AB24" s="66">
        <f>IF(VLOOKUP($D24,$C$5:$AU$501,3,)=0,0,(VLOOKUP($D24,$C$5:$AU$501,26,)/VLOOKUP($D24,$C$5:$AU$501,3,))*$E24)</f>
        <v>0</v>
      </c>
      <c r="AC24" s="66">
        <f>IF(VLOOKUP($D24,$C$5:$AU$501,3,)=0,0,(VLOOKUP($D24,$C$5:$AU$501,27,)/VLOOKUP($D24,$C$5:$AU$501,3,))*$E24)</f>
        <v>0</v>
      </c>
      <c r="AD24" s="66">
        <f>IF(VLOOKUP($D24,$C$5:$AU$501,3,)=0,0,(VLOOKUP($D24,$C$5:$AU$501,28,)/VLOOKUP($D24,$C$5:$AU$501,3,))*$E24)</f>
        <v>0</v>
      </c>
      <c r="AE24" s="66">
        <f>IF(VLOOKUP($D24,$C$5:$AU$501,3,)=0,0,(VLOOKUP($D24,$C$5:$AU$501,29,)/VLOOKUP($D24,$C$5:$AU$501,3,))*$E24)</f>
        <v>0</v>
      </c>
      <c r="AF24" s="66">
        <f>IF(VLOOKUP($D24,$C$5:$AU$501,3,)=0,0,(VLOOKUP($D24,$C$5:$AU$501,30,)/VLOOKUP($D24,$C$5:$AU$501,3,))*$E24)</f>
        <v>0</v>
      </c>
      <c r="AG24" s="95">
        <f>SUM(F24:AF24)</f>
        <v>0</v>
      </c>
      <c r="AH24" s="31" t="str">
        <f>IF(ABS(E24-AG24)&lt;0.01,"ok","err")</f>
        <v>ok</v>
      </c>
    </row>
    <row r="25" spans="1:35" x14ac:dyDescent="0.2">
      <c r="A25" s="98" t="s">
        <v>221</v>
      </c>
      <c r="C25" s="14" t="s">
        <v>226</v>
      </c>
      <c r="D25" s="14" t="s">
        <v>700</v>
      </c>
      <c r="E25" s="50">
        <f>'Func &amp; Classif'!S82</f>
        <v>32846422.990080338</v>
      </c>
      <c r="F25" s="66">
        <f>IF(VLOOKUP($D25,$C$5:$AU$501,3,)=0,0,(VLOOKUP($D25,$C$5:$AU$501,4,)/VLOOKUP($D25,$C$5:$AU$501,3,))*$E25)</f>
        <v>27482172.006938845</v>
      </c>
      <c r="G25" s="66">
        <f>IF(VLOOKUP($D25,$C$5:$AU$501,3,)=0,0,(VLOOKUP($D25,$C$5:$AU$501,5,)/VLOOKUP($D25,$C$5:$AU$501,3,))*$E25)</f>
        <v>20557.237979716141</v>
      </c>
      <c r="H25" s="66">
        <f>IF(VLOOKUP($D25,$C$5:$AU$501,3,)=0,0,(VLOOKUP($D25,$C$5:$AU$501,6,)/VLOOKUP($D25,$C$5:$AU$501,3,))*$E25)</f>
        <v>4661353.7119006338</v>
      </c>
      <c r="I25" s="66">
        <f>IF(VLOOKUP($D25,$C$5:$AU$501,3,)=0,0,(VLOOKUP($D25,$C$5:$AU$501,7,)/VLOOKUP($D25,$C$5:$AU$501,3,))*$E25)</f>
        <v>171.31031649763449</v>
      </c>
      <c r="J25" s="66">
        <f>IF(VLOOKUP($D25,$C$5:$AU$501,3,)=0,0,(VLOOKUP($D25,$C$5:$AU$501,8,)/VLOOKUP($D25,$C$5:$AU$501,3,))*$E25)</f>
        <v>87939.295802119028</v>
      </c>
      <c r="K25" s="66">
        <f>IF(VLOOKUP($D25,$C$5:$AU$501,3,)=0,0,(VLOOKUP($D25,$C$5:$AU$501,9,)/VLOOKUP($D25,$C$5:$AU$501,3,))*$E25)</f>
        <v>0</v>
      </c>
      <c r="L25" s="66">
        <f>IF(VLOOKUP($D25,$C$5:$AU$501,3,)=0,0,(VLOOKUP($D25,$C$5:$AU$501,10,)/VLOOKUP($D25,$C$5:$AU$501,3,))*$E25)</f>
        <v>0</v>
      </c>
      <c r="M25" s="66">
        <f>IF(VLOOKUP($D25,$C$5:$AU$501,3,)=0,0,(VLOOKUP($D25,$C$5:$AU$501,11,)/VLOOKUP($D25,$C$5:$AU$501,3,))*$E25)</f>
        <v>568179.21638382098</v>
      </c>
      <c r="N25" s="66">
        <f>IF(VLOOKUP($D25,$C$5:$AU$501,3,)=0,0,(VLOOKUP($D25,$C$5:$AU$501,12,)/VLOOKUP($D25,$C$5:$AU$501,3,))*$E25)</f>
        <v>26050.210758703874</v>
      </c>
      <c r="O25" s="66">
        <f>IF(VLOOKUP($D25,$C$5:$AU$501,3,)=0,0,(VLOOKUP($D25,$C$5:$AU$501,13,)/VLOOKUP($D25,$C$5:$AU$501,3,))*$E25)</f>
        <v>0</v>
      </c>
      <c r="P25" s="66">
        <f>IF(VLOOKUP($D25,$C$5:$AU$501,3,)=0,0,(VLOOKUP($D25,$C$5:$AU$501,14,)/VLOOKUP($D25,$C$5:$AU$501,3,))*$E25)</f>
        <v>0</v>
      </c>
      <c r="Q25" s="66">
        <f>IF(VLOOKUP($D25,$C$5:$AU$501,3,)=0,0,(VLOOKUP($D25,$C$5:$AU$501,15,)/VLOOKUP($D25,$C$5:$AU$501,3,))*$E25)</f>
        <v>0</v>
      </c>
      <c r="R25" s="66">
        <f>IF(VLOOKUP($D25,$C$5:$AU$501,3,)=0,0,(VLOOKUP($D25,$C$5:$AU$501,16,)/VLOOKUP($D25,$C$5:$AU$501,3,))*$E25)</f>
        <v>0</v>
      </c>
      <c r="S25" s="66">
        <f>IF(VLOOKUP($D25,$C$5:$AU$501,3,)=0,0,(VLOOKUP($D25,$C$5:$AU$501,17,)/VLOOKUP($D25,$C$5:$AU$501,3,))*$E25)</f>
        <v>0</v>
      </c>
      <c r="T25" s="66">
        <f>IF(VLOOKUP($D25,$C$5:$AU$501,3,)=0,0,(VLOOKUP($D25,$C$5:$AU$501,18,)/VLOOKUP($D25,$C$5:$AU$501,3,))*$E25)</f>
        <v>0</v>
      </c>
      <c r="U25" s="66">
        <f>IF(VLOOKUP($D25,$C$5:$AU$501,3,)=0,0,(VLOOKUP($D25,$C$5:$AU$501,19,)/VLOOKUP($D25,$C$5:$AU$501,3,))*$E25)</f>
        <v>0</v>
      </c>
      <c r="V25" s="66">
        <f>IF(VLOOKUP($D25,$C$5:$AU$501,3,)=0,0,(VLOOKUP($D25,$C$5:$AU$501,20,)/VLOOKUP($D25,$C$5:$AU$501,3,))*$E25)</f>
        <v>0</v>
      </c>
      <c r="W25" s="66">
        <f>IF(VLOOKUP($D25,$C$5:$AU$501,3,)=0,0,(VLOOKUP($D25,$C$5:$AU$501,21,)/VLOOKUP($D25,$C$5:$AU$501,3,))*$E25)</f>
        <v>0</v>
      </c>
      <c r="X25" s="66">
        <f>IF(VLOOKUP($D25,$C$5:$AU$501,3,)=0,0,(VLOOKUP($D25,$C$5:$AU$501,22,)/VLOOKUP($D25,$C$5:$AU$501,3,))*$E25)</f>
        <v>0</v>
      </c>
      <c r="Y25" s="66">
        <f>IF(VLOOKUP($D25,$C$5:$AU$501,3,)=0,0,(VLOOKUP($D25,$C$5:$AU$501,23,)/VLOOKUP($D25,$C$5:$AU$501,3,))*$E25)</f>
        <v>0</v>
      </c>
      <c r="Z25" s="66">
        <f>IF(VLOOKUP($D25,$C$5:$AU$501,3,)=0,0,(VLOOKUP($D25,$C$5:$AU$501,24,)/VLOOKUP($D25,$C$5:$AU$501,3,))*$E25)</f>
        <v>0</v>
      </c>
      <c r="AA25" s="66">
        <f>IF(VLOOKUP($D25,$C$5:$AU$501,3,)=0,0,(VLOOKUP($D25,$C$5:$AU$501,25,)/VLOOKUP($D25,$C$5:$AU$501,3,))*$E25)</f>
        <v>0</v>
      </c>
      <c r="AB25" s="66">
        <f>IF(VLOOKUP($D25,$C$5:$AU$501,3,)=0,0,(VLOOKUP($D25,$C$5:$AU$501,26,)/VLOOKUP($D25,$C$5:$AU$501,3,))*$E25)</f>
        <v>0</v>
      </c>
      <c r="AC25" s="66">
        <f>IF(VLOOKUP($D25,$C$5:$AU$501,3,)=0,0,(VLOOKUP($D25,$C$5:$AU$501,27,)/VLOOKUP($D25,$C$5:$AU$501,3,))*$E25)</f>
        <v>0</v>
      </c>
      <c r="AD25" s="66">
        <f>IF(VLOOKUP($D25,$C$5:$AU$501,3,)=0,0,(VLOOKUP($D25,$C$5:$AU$501,28,)/VLOOKUP($D25,$C$5:$AU$501,3,))*$E25)</f>
        <v>0</v>
      </c>
      <c r="AE25" s="66">
        <f>IF(VLOOKUP($D25,$C$5:$AU$501,3,)=0,0,(VLOOKUP($D25,$C$5:$AU$501,29,)/VLOOKUP($D25,$C$5:$AU$501,3,))*$E25)</f>
        <v>0</v>
      </c>
      <c r="AF25" s="66">
        <f>IF(VLOOKUP($D25,$C$5:$AU$501,3,)=0,0,(VLOOKUP($D25,$C$5:$AU$501,30,)/VLOOKUP($D25,$C$5:$AU$501,3,))*$E25)</f>
        <v>0</v>
      </c>
      <c r="AG25" s="95">
        <f>SUM(F25:AF25)</f>
        <v>32846422.990080342</v>
      </c>
      <c r="AH25" s="31" t="str">
        <f>IF(ABS(E25-AG25)&lt;0.01,"ok","err")</f>
        <v>ok</v>
      </c>
    </row>
    <row r="26" spans="1:35" x14ac:dyDescent="0.2">
      <c r="A26" s="14" t="s">
        <v>228</v>
      </c>
      <c r="E26" s="66">
        <f t="shared" ref="E26:T26" si="4">E24+E25</f>
        <v>32846422.990080338</v>
      </c>
      <c r="F26" s="66">
        <f t="shared" si="4"/>
        <v>27482172.006938845</v>
      </c>
      <c r="G26" s="66">
        <f t="shared" si="4"/>
        <v>20557.237979716141</v>
      </c>
      <c r="H26" s="66">
        <f t="shared" si="4"/>
        <v>4661353.7119006338</v>
      </c>
      <c r="I26" s="66">
        <f t="shared" si="4"/>
        <v>171.31031649763449</v>
      </c>
      <c r="J26" s="66">
        <f t="shared" si="4"/>
        <v>87939.295802119028</v>
      </c>
      <c r="K26" s="66">
        <f t="shared" si="4"/>
        <v>0</v>
      </c>
      <c r="L26" s="66">
        <f t="shared" si="4"/>
        <v>0</v>
      </c>
      <c r="M26" s="66">
        <f t="shared" si="4"/>
        <v>568179.21638382098</v>
      </c>
      <c r="N26" s="66">
        <f t="shared" si="4"/>
        <v>26050.210758703874</v>
      </c>
      <c r="O26" s="66">
        <f t="shared" si="4"/>
        <v>0</v>
      </c>
      <c r="P26" s="66">
        <f t="shared" si="4"/>
        <v>0</v>
      </c>
      <c r="Q26" s="66">
        <f t="shared" si="4"/>
        <v>0</v>
      </c>
      <c r="R26" s="66">
        <f t="shared" si="4"/>
        <v>0</v>
      </c>
      <c r="S26" s="66">
        <f t="shared" si="4"/>
        <v>0</v>
      </c>
      <c r="T26" s="66">
        <f t="shared" si="4"/>
        <v>0</v>
      </c>
      <c r="U26" s="66">
        <f t="shared" ref="U26:AF26" si="5">U24+U25</f>
        <v>0</v>
      </c>
      <c r="V26" s="66">
        <f t="shared" si="5"/>
        <v>0</v>
      </c>
      <c r="W26" s="66">
        <f t="shared" si="5"/>
        <v>0</v>
      </c>
      <c r="X26" s="66">
        <f t="shared" si="5"/>
        <v>0</v>
      </c>
      <c r="Y26" s="66">
        <f t="shared" si="5"/>
        <v>0</v>
      </c>
      <c r="Z26" s="66">
        <f t="shared" si="5"/>
        <v>0</v>
      </c>
      <c r="AA26" s="66">
        <f t="shared" si="5"/>
        <v>0</v>
      </c>
      <c r="AB26" s="66">
        <f t="shared" si="5"/>
        <v>0</v>
      </c>
      <c r="AC26" s="66">
        <f t="shared" si="5"/>
        <v>0</v>
      </c>
      <c r="AD26" s="66">
        <f t="shared" si="5"/>
        <v>0</v>
      </c>
      <c r="AE26" s="66">
        <f t="shared" si="5"/>
        <v>0</v>
      </c>
      <c r="AF26" s="66">
        <f t="shared" si="5"/>
        <v>0</v>
      </c>
      <c r="AG26" s="95">
        <f>SUM(F26:AF26)</f>
        <v>32846422.990080342</v>
      </c>
      <c r="AH26" s="31" t="str">
        <f>IF(ABS(E26-AG26)&lt;0.01,"ok","err")</f>
        <v>ok</v>
      </c>
    </row>
    <row r="27" spans="1:35" x14ac:dyDescent="0.2">
      <c r="E27" s="50"/>
    </row>
    <row r="28" spans="1:35" x14ac:dyDescent="0.2">
      <c r="A28" s="13" t="s">
        <v>4</v>
      </c>
      <c r="E28" s="50"/>
    </row>
    <row r="29" spans="1:35" x14ac:dyDescent="0.2">
      <c r="A29" s="98" t="s">
        <v>221</v>
      </c>
      <c r="C29" s="14" t="s">
        <v>229</v>
      </c>
      <c r="D29" s="14" t="s">
        <v>230</v>
      </c>
      <c r="E29" s="66">
        <f>'Func &amp; Classif'!U82</f>
        <v>16761135.491529891</v>
      </c>
      <c r="F29" s="66">
        <f>IF(VLOOKUP($D29,$C$5:$AU$501,3,)=0,0,(VLOOKUP($D29,$C$5:$AU$501,4,)/VLOOKUP($D29,$C$5:$AU$501,3,))*$E29)</f>
        <v>14222532.747436928</v>
      </c>
      <c r="G29" s="66">
        <f>IF(VLOOKUP($D29,$C$5:$AU$501,3,)=0,0,(VLOOKUP($D29,$C$5:$AU$501,5,)/VLOOKUP($D29,$C$5:$AU$501,3,))*$E29)</f>
        <v>106387.51198032901</v>
      </c>
      <c r="H29" s="66">
        <f>IF(VLOOKUP($D29,$C$5:$AU$501,3,)=0,0,(VLOOKUP($D29,$C$5:$AU$501,6,)/VLOOKUP($D29,$C$5:$AU$501,3,))*$E29)</f>
        <v>1793885.6213960275</v>
      </c>
      <c r="I29" s="66">
        <f>IF(VLOOKUP($D29,$C$5:$AU$501,3,)=0,0,(VLOOKUP($D29,$C$5:$AU$501,7,)/VLOOKUP($D29,$C$5:$AU$501,3,))*$E29)</f>
        <v>1483.3673826317759</v>
      </c>
      <c r="J29" s="66">
        <f>IF(VLOOKUP($D29,$C$5:$AU$501,3,)=0,0,(VLOOKUP($D29,$C$5:$AU$501,8,)/VLOOKUP($D29,$C$5:$AU$501,3,))*$E29)</f>
        <v>122366.05775862621</v>
      </c>
      <c r="K29" s="66">
        <f>IF(VLOOKUP($D29,$C$5:$AU$501,3,)=0,0,(VLOOKUP($D29,$C$5:$AU$501,9,)/VLOOKUP($D29,$C$5:$AU$501,3,))*$E29)</f>
        <v>6356.6783251234401</v>
      </c>
      <c r="L29" s="66">
        <f>IF(VLOOKUP($D29,$C$5:$AU$501,3,)=0,0,(VLOOKUP($D29,$C$5:$AU$501,10,)/VLOOKUP($D29,$C$5:$AU$501,3,))*$E29)</f>
        <v>4767.5087438425799</v>
      </c>
      <c r="M29" s="66">
        <f>IF(VLOOKUP($D29,$C$5:$AU$501,3,)=0,0,(VLOOKUP($D29,$C$5:$AU$501,11,)/VLOOKUP($D29,$C$5:$AU$501,3,))*$E29)</f>
        <v>491983.51523953897</v>
      </c>
      <c r="N29" s="66">
        <f>IF(VLOOKUP($D29,$C$5:$AU$501,3,)=0,0,(VLOOKUP($D29,$C$5:$AU$501,12,)/VLOOKUP($D29,$C$5:$AU$501,3,))*$E29)</f>
        <v>11372.483266843616</v>
      </c>
      <c r="O29" s="66">
        <f>IF(VLOOKUP($D29,$C$5:$AU$501,3,)=0,0,(VLOOKUP($D29,$C$5:$AU$501,13,)/VLOOKUP($D29,$C$5:$AU$501,3,))*$E29)</f>
        <v>0</v>
      </c>
      <c r="P29" s="66">
        <f>IF(VLOOKUP($D29,$C$5:$AU$501,3,)=0,0,(VLOOKUP($D29,$C$5:$AU$501,14,)/VLOOKUP($D29,$C$5:$AU$501,3,))*$E29)</f>
        <v>0</v>
      </c>
      <c r="Q29" s="66">
        <f>IF(VLOOKUP($D29,$C$5:$AU$501,3,)=0,0,(VLOOKUP($D29,$C$5:$AU$501,15,)/VLOOKUP($D29,$C$5:$AU$501,3,))*$E29)</f>
        <v>0</v>
      </c>
      <c r="R29" s="66">
        <f>IF(VLOOKUP($D29,$C$5:$AU$501,3,)=0,0,(VLOOKUP($D29,$C$5:$AU$501,16,)/VLOOKUP($D29,$C$5:$AU$501,3,))*$E29)</f>
        <v>0</v>
      </c>
      <c r="S29" s="66">
        <f>IF(VLOOKUP($D29,$C$5:$AU$501,3,)=0,0,(VLOOKUP($D29,$C$5:$AU$501,17,)/VLOOKUP($D29,$C$5:$AU$501,3,))*$E29)</f>
        <v>0</v>
      </c>
      <c r="T29" s="66">
        <f>IF(VLOOKUP($D29,$C$5:$AU$501,3,)=0,0,(VLOOKUP($D29,$C$5:$AU$501,18,)/VLOOKUP($D29,$C$5:$AU$501,3,))*$E29)</f>
        <v>0</v>
      </c>
      <c r="U29" s="66">
        <f>IF(VLOOKUP($D29,$C$5:$AU$501,3,)=0,0,(VLOOKUP($D29,$C$5:$AU$501,19,)/VLOOKUP($D29,$C$5:$AU$501,3,))*$E29)</f>
        <v>0</v>
      </c>
      <c r="V29" s="66">
        <f>IF(VLOOKUP($D29,$C$5:$AU$501,3,)=0,0,(VLOOKUP($D29,$C$5:$AU$501,20,)/VLOOKUP($D29,$C$5:$AU$501,3,))*$E29)</f>
        <v>0</v>
      </c>
      <c r="W29" s="66">
        <f>IF(VLOOKUP($D29,$C$5:$AU$501,3,)=0,0,(VLOOKUP($D29,$C$5:$AU$501,21,)/VLOOKUP($D29,$C$5:$AU$501,3,))*$E29)</f>
        <v>0</v>
      </c>
      <c r="X29" s="66">
        <f>IF(VLOOKUP($D29,$C$5:$AU$501,3,)=0,0,(VLOOKUP($D29,$C$5:$AU$501,22,)/VLOOKUP($D29,$C$5:$AU$501,3,))*$E29)</f>
        <v>0</v>
      </c>
      <c r="Y29" s="66">
        <f>IF(VLOOKUP($D29,$C$5:$AU$501,3,)=0,0,(VLOOKUP($D29,$C$5:$AU$501,23,)/VLOOKUP($D29,$C$5:$AU$501,3,))*$E29)</f>
        <v>0</v>
      </c>
      <c r="Z29" s="66">
        <f>IF(VLOOKUP($D29,$C$5:$AU$501,3,)=0,0,(VLOOKUP($D29,$C$5:$AU$501,24,)/VLOOKUP($D29,$C$5:$AU$501,3,))*$E29)</f>
        <v>0</v>
      </c>
      <c r="AA29" s="66">
        <f>IF(VLOOKUP($D29,$C$5:$AU$501,3,)=0,0,(VLOOKUP($D29,$C$5:$AU$501,25,)/VLOOKUP($D29,$C$5:$AU$501,3,))*$E29)</f>
        <v>0</v>
      </c>
      <c r="AB29" s="66">
        <f>IF(VLOOKUP($D29,$C$5:$AU$501,3,)=0,0,(VLOOKUP($D29,$C$5:$AU$501,26,)/VLOOKUP($D29,$C$5:$AU$501,3,))*$E29)</f>
        <v>0</v>
      </c>
      <c r="AC29" s="66">
        <f>IF(VLOOKUP($D29,$C$5:$AU$501,3,)=0,0,(VLOOKUP($D29,$C$5:$AU$501,27,)/VLOOKUP($D29,$C$5:$AU$501,3,))*$E29)</f>
        <v>0</v>
      </c>
      <c r="AD29" s="66">
        <f>IF(VLOOKUP($D29,$C$5:$AU$501,3,)=0,0,(VLOOKUP($D29,$C$5:$AU$501,28,)/VLOOKUP($D29,$C$5:$AU$501,3,))*$E29)</f>
        <v>0</v>
      </c>
      <c r="AE29" s="66">
        <f>IF(VLOOKUP($D29,$C$5:$AU$501,3,)=0,0,(VLOOKUP($D29,$C$5:$AU$501,29,)/VLOOKUP($D29,$C$5:$AU$501,3,))*$E29)</f>
        <v>0</v>
      </c>
      <c r="AF29" s="66">
        <f>IF(VLOOKUP($D29,$C$5:$AU$501,3,)=0,0,(VLOOKUP($D29,$C$5:$AU$501,30,)/VLOOKUP($D29,$C$5:$AU$501,3,))*$E29)</f>
        <v>0</v>
      </c>
      <c r="AG29" s="95">
        <f>SUM(F29:AF29)</f>
        <v>16761135.491529891</v>
      </c>
      <c r="AH29" s="31" t="str">
        <f>IF(ABS(E29-AG29)&lt;0.01,"ok","err")</f>
        <v>ok</v>
      </c>
    </row>
    <row r="30" spans="1:35" x14ac:dyDescent="0.2">
      <c r="E30" s="50"/>
    </row>
    <row r="31" spans="1:35" x14ac:dyDescent="0.2">
      <c r="A31" s="13" t="s">
        <v>5</v>
      </c>
      <c r="E31" s="50"/>
    </row>
    <row r="32" spans="1:35" x14ac:dyDescent="0.2">
      <c r="A32" s="98" t="s">
        <v>221</v>
      </c>
      <c r="C32" s="14" t="s">
        <v>231</v>
      </c>
      <c r="D32" s="14" t="s">
        <v>232</v>
      </c>
      <c r="E32" s="66">
        <f>'Func &amp; Classif'!W82</f>
        <v>12189191.05926287</v>
      </c>
      <c r="F32" s="66">
        <f>IF(VLOOKUP($D32,$C$5:$AU$501,3,)=0,0,(VLOOKUP($D32,$C$5:$AU$501,4,)/VLOOKUP($D32,$C$5:$AU$501,3,))*$E32)</f>
        <v>0</v>
      </c>
      <c r="G32" s="66">
        <f>IF(VLOOKUP($D32,$C$5:$AU$501,3,)=0,0,(VLOOKUP($D32,$C$5:$AU$501,5,)/VLOOKUP($D32,$C$5:$AU$501,3,))*$E32)</f>
        <v>0</v>
      </c>
      <c r="H32" s="66">
        <f>IF(VLOOKUP($D32,$C$5:$AU$501,3,)=0,0,(VLOOKUP($D32,$C$5:$AU$501,6,)/VLOOKUP($D32,$C$5:$AU$501,3,))*$E32)</f>
        <v>0</v>
      </c>
      <c r="I32" s="66">
        <f>IF(VLOOKUP($D32,$C$5:$AU$501,3,)=0,0,(VLOOKUP($D32,$C$5:$AU$501,7,)/VLOOKUP($D32,$C$5:$AU$501,3,))*$E32)</f>
        <v>0</v>
      </c>
      <c r="J32" s="66">
        <f>IF(VLOOKUP($D32,$C$5:$AU$501,3,)=0,0,(VLOOKUP($D32,$C$5:$AU$501,8,)/VLOOKUP($D32,$C$5:$AU$501,3,))*$E32)</f>
        <v>0</v>
      </c>
      <c r="K32" s="66">
        <f>IF(VLOOKUP($D32,$C$5:$AU$501,3,)=0,0,(VLOOKUP($D32,$C$5:$AU$501,9,)/VLOOKUP($D32,$C$5:$AU$501,3,))*$E32)</f>
        <v>0</v>
      </c>
      <c r="L32" s="66">
        <f>IF(VLOOKUP($D32,$C$5:$AU$501,3,)=0,0,(VLOOKUP($D32,$C$5:$AU$501,10,)/VLOOKUP($D32,$C$5:$AU$501,3,))*$E32)</f>
        <v>0</v>
      </c>
      <c r="M32" s="66">
        <f>IF(VLOOKUP($D32,$C$5:$AU$501,3,)=0,0,(VLOOKUP($D32,$C$5:$AU$501,11,)/VLOOKUP($D32,$C$5:$AU$501,3,))*$E32)</f>
        <v>0</v>
      </c>
      <c r="N32" s="66">
        <f>IF(VLOOKUP($D32,$C$5:$AU$501,3,)=0,0,(VLOOKUP($D32,$C$5:$AU$501,12,)/VLOOKUP($D32,$C$5:$AU$501,3,))*$E32)</f>
        <v>0</v>
      </c>
      <c r="O32" s="66">
        <f>IF(VLOOKUP($D32,$C$5:$AU$501,3,)=0,0,(VLOOKUP($D32,$C$5:$AU$501,13,)/VLOOKUP($D32,$C$5:$AU$501,3,))*$E32)</f>
        <v>12189191.05926287</v>
      </c>
      <c r="P32" s="66">
        <f>IF(VLOOKUP($D32,$C$5:$AU$501,3,)=0,0,(VLOOKUP($D32,$C$5:$AU$501,14,)/VLOOKUP($D32,$C$5:$AU$501,3,))*$E32)</f>
        <v>0</v>
      </c>
      <c r="Q32" s="66">
        <f>IF(VLOOKUP($D32,$C$5:$AU$501,3,)=0,0,(VLOOKUP($D32,$C$5:$AU$501,15,)/VLOOKUP($D32,$C$5:$AU$501,3,))*$E32)</f>
        <v>0</v>
      </c>
      <c r="R32" s="66">
        <f>IF(VLOOKUP($D32,$C$5:$AU$501,3,)=0,0,(VLOOKUP($D32,$C$5:$AU$501,16,)/VLOOKUP($D32,$C$5:$AU$501,3,))*$E32)</f>
        <v>0</v>
      </c>
      <c r="S32" s="66">
        <f>IF(VLOOKUP($D32,$C$5:$AU$501,3,)=0,0,(VLOOKUP($D32,$C$5:$AU$501,17,)/VLOOKUP($D32,$C$5:$AU$501,3,))*$E32)</f>
        <v>0</v>
      </c>
      <c r="T32" s="66">
        <f>IF(VLOOKUP($D32,$C$5:$AU$501,3,)=0,0,(VLOOKUP($D32,$C$5:$AU$501,18,)/VLOOKUP($D32,$C$5:$AU$501,3,))*$E32)</f>
        <v>0</v>
      </c>
      <c r="U32" s="66">
        <f>IF(VLOOKUP($D32,$C$5:$AU$501,3,)=0,0,(VLOOKUP($D32,$C$5:$AU$501,19,)/VLOOKUP($D32,$C$5:$AU$501,3,))*$E32)</f>
        <v>0</v>
      </c>
      <c r="V32" s="66">
        <f>IF(VLOOKUP($D32,$C$5:$AU$501,3,)=0,0,(VLOOKUP($D32,$C$5:$AU$501,20,)/VLOOKUP($D32,$C$5:$AU$501,3,))*$E32)</f>
        <v>0</v>
      </c>
      <c r="W32" s="66">
        <f>IF(VLOOKUP($D32,$C$5:$AU$501,3,)=0,0,(VLOOKUP($D32,$C$5:$AU$501,21,)/VLOOKUP($D32,$C$5:$AU$501,3,))*$E32)</f>
        <v>0</v>
      </c>
      <c r="X32" s="66">
        <f>IF(VLOOKUP($D32,$C$5:$AU$501,3,)=0,0,(VLOOKUP($D32,$C$5:$AU$501,22,)/VLOOKUP($D32,$C$5:$AU$501,3,))*$E32)</f>
        <v>0</v>
      </c>
      <c r="Y32" s="66">
        <f>IF(VLOOKUP($D32,$C$5:$AU$501,3,)=0,0,(VLOOKUP($D32,$C$5:$AU$501,23,)/VLOOKUP($D32,$C$5:$AU$501,3,))*$E32)</f>
        <v>0</v>
      </c>
      <c r="Z32" s="66">
        <f>IF(VLOOKUP($D32,$C$5:$AU$501,3,)=0,0,(VLOOKUP($D32,$C$5:$AU$501,24,)/VLOOKUP($D32,$C$5:$AU$501,3,))*$E32)</f>
        <v>0</v>
      </c>
      <c r="AA32" s="66">
        <f>IF(VLOOKUP($D32,$C$5:$AU$501,3,)=0,0,(VLOOKUP($D32,$C$5:$AU$501,25,)/VLOOKUP($D32,$C$5:$AU$501,3,))*$E32)</f>
        <v>0</v>
      </c>
      <c r="AB32" s="66">
        <f>IF(VLOOKUP($D32,$C$5:$AU$501,3,)=0,0,(VLOOKUP($D32,$C$5:$AU$501,26,)/VLOOKUP($D32,$C$5:$AU$501,3,))*$E32)</f>
        <v>0</v>
      </c>
      <c r="AC32" s="66">
        <f>IF(VLOOKUP($D32,$C$5:$AU$501,3,)=0,0,(VLOOKUP($D32,$C$5:$AU$501,27,)/VLOOKUP($D32,$C$5:$AU$501,3,))*$E32)</f>
        <v>0</v>
      </c>
      <c r="AD32" s="66">
        <f>IF(VLOOKUP($D32,$C$5:$AU$501,3,)=0,0,(VLOOKUP($D32,$C$5:$AU$501,28,)/VLOOKUP($D32,$C$5:$AU$501,3,))*$E32)</f>
        <v>0</v>
      </c>
      <c r="AE32" s="66">
        <f>IF(VLOOKUP($D32,$C$5:$AU$501,3,)=0,0,(VLOOKUP($D32,$C$5:$AU$501,29,)/VLOOKUP($D32,$C$5:$AU$501,3,))*$E32)</f>
        <v>0</v>
      </c>
      <c r="AF32" s="66">
        <f>IF(VLOOKUP($D32,$C$5:$AU$501,3,)=0,0,(VLOOKUP($D32,$C$5:$AU$501,30,)/VLOOKUP($D32,$C$5:$AU$501,3,))*$E32)</f>
        <v>0</v>
      </c>
      <c r="AG32" s="95">
        <f>SUM(F32:AF32)</f>
        <v>12189191.05926287</v>
      </c>
      <c r="AH32" s="31" t="str">
        <f>IF(ABS(E32-AG32)&lt;0.01,"ok","err")</f>
        <v>ok</v>
      </c>
    </row>
    <row r="33" spans="1:35" x14ac:dyDescent="0.2">
      <c r="E33" s="50"/>
    </row>
    <row r="34" spans="1:35" x14ac:dyDescent="0.2">
      <c r="A34" s="13" t="s">
        <v>545</v>
      </c>
      <c r="E34" s="50"/>
    </row>
    <row r="35" spans="1:35" x14ac:dyDescent="0.2">
      <c r="A35" s="98" t="s">
        <v>221</v>
      </c>
      <c r="C35" s="14" t="s">
        <v>233</v>
      </c>
      <c r="D35" s="14" t="s">
        <v>234</v>
      </c>
      <c r="E35" s="66">
        <f>'Func &amp; Classif'!Y82</f>
        <v>0</v>
      </c>
      <c r="F35" s="66">
        <f>IF(VLOOKUP($D35,$C$5:$AU$501,3,)=0,0,(VLOOKUP($D35,$C$5:$AU$501,4,)/VLOOKUP($D35,$C$5:$AU$501,3,))*$E35)</f>
        <v>0</v>
      </c>
      <c r="G35" s="66">
        <f>IF(VLOOKUP($D35,$C$5:$AU$501,3,)=0,0,(VLOOKUP($D35,$C$5:$AU$501,5,)/VLOOKUP($D35,$C$5:$AU$501,3,))*$E35)</f>
        <v>0</v>
      </c>
      <c r="H35" s="66">
        <f>IF(VLOOKUP($D35,$C$5:$AU$501,3,)=0,0,(VLOOKUP($D35,$C$5:$AU$501,6,)/VLOOKUP($D35,$C$5:$AU$501,3,))*$E35)</f>
        <v>0</v>
      </c>
      <c r="I35" s="66">
        <f>IF(VLOOKUP($D35,$C$5:$AU$501,3,)=0,0,(VLOOKUP($D35,$C$5:$AU$501,7,)/VLOOKUP($D35,$C$5:$AU$501,3,))*$E35)</f>
        <v>0</v>
      </c>
      <c r="J35" s="66">
        <f>IF(VLOOKUP($D35,$C$5:$AU$501,3,)=0,0,(VLOOKUP($D35,$C$5:$AU$501,8,)/VLOOKUP($D35,$C$5:$AU$501,3,))*$E35)</f>
        <v>0</v>
      </c>
      <c r="K35" s="66">
        <f>IF(VLOOKUP($D35,$C$5:$AU$501,3,)=0,0,(VLOOKUP($D35,$C$5:$AU$501,9,)/VLOOKUP($D35,$C$5:$AU$501,3,))*$E35)</f>
        <v>0</v>
      </c>
      <c r="L35" s="66">
        <f>IF(VLOOKUP($D35,$C$5:$AU$501,3,)=0,0,(VLOOKUP($D35,$C$5:$AU$501,10,)/VLOOKUP($D35,$C$5:$AU$501,3,))*$E35)</f>
        <v>0</v>
      </c>
      <c r="M35" s="66">
        <f>IF(VLOOKUP($D35,$C$5:$AU$501,3,)=0,0,(VLOOKUP($D35,$C$5:$AU$501,11,)/VLOOKUP($D35,$C$5:$AU$501,3,))*$E35)</f>
        <v>0</v>
      </c>
      <c r="N35" s="66">
        <f>IF(VLOOKUP($D35,$C$5:$AU$501,3,)=0,0,(VLOOKUP($D35,$C$5:$AU$501,12,)/VLOOKUP($D35,$C$5:$AU$501,3,))*$E35)</f>
        <v>0</v>
      </c>
      <c r="O35" s="66">
        <f>IF(VLOOKUP($D35,$C$5:$AU$501,3,)=0,0,(VLOOKUP($D35,$C$5:$AU$501,13,)/VLOOKUP($D35,$C$5:$AU$501,3,))*$E35)</f>
        <v>0</v>
      </c>
      <c r="P35" s="66">
        <f>IF(VLOOKUP($D35,$C$5:$AU$501,3,)=0,0,(VLOOKUP($D35,$C$5:$AU$501,14,)/VLOOKUP($D35,$C$5:$AU$501,3,))*$E35)</f>
        <v>0</v>
      </c>
      <c r="Q35" s="66">
        <f>IF(VLOOKUP($D35,$C$5:$AU$501,3,)=0,0,(VLOOKUP($D35,$C$5:$AU$501,15,)/VLOOKUP($D35,$C$5:$AU$501,3,))*$E35)</f>
        <v>0</v>
      </c>
      <c r="R35" s="66">
        <f>IF(VLOOKUP($D35,$C$5:$AU$501,3,)=0,0,(VLOOKUP($D35,$C$5:$AU$501,16,)/VLOOKUP($D35,$C$5:$AU$501,3,))*$E35)</f>
        <v>0</v>
      </c>
      <c r="S35" s="66">
        <f>IF(VLOOKUP($D35,$C$5:$AU$501,3,)=0,0,(VLOOKUP($D35,$C$5:$AU$501,17,)/VLOOKUP($D35,$C$5:$AU$501,3,))*$E35)</f>
        <v>0</v>
      </c>
      <c r="T35" s="66">
        <f>IF(VLOOKUP($D35,$C$5:$AU$501,3,)=0,0,(VLOOKUP($D35,$C$5:$AU$501,18,)/VLOOKUP($D35,$C$5:$AU$501,3,))*$E35)</f>
        <v>0</v>
      </c>
      <c r="U35" s="66">
        <f>IF(VLOOKUP($D35,$C$5:$AU$501,3,)=0,0,(VLOOKUP($D35,$C$5:$AU$501,19,)/VLOOKUP($D35,$C$5:$AU$501,3,))*$E35)</f>
        <v>0</v>
      </c>
      <c r="V35" s="66">
        <f>IF(VLOOKUP($D35,$C$5:$AU$501,3,)=0,0,(VLOOKUP($D35,$C$5:$AU$501,20,)/VLOOKUP($D35,$C$5:$AU$501,3,))*$E35)</f>
        <v>0</v>
      </c>
      <c r="W35" s="66">
        <f>IF(VLOOKUP($D35,$C$5:$AU$501,3,)=0,0,(VLOOKUP($D35,$C$5:$AU$501,21,)/VLOOKUP($D35,$C$5:$AU$501,3,))*$E35)</f>
        <v>0</v>
      </c>
      <c r="X35" s="66">
        <f>IF(VLOOKUP($D35,$C$5:$AU$501,3,)=0,0,(VLOOKUP($D35,$C$5:$AU$501,22,)/VLOOKUP($D35,$C$5:$AU$501,3,))*$E35)</f>
        <v>0</v>
      </c>
      <c r="Y35" s="66">
        <f>IF(VLOOKUP($D35,$C$5:$AU$501,3,)=0,0,(VLOOKUP($D35,$C$5:$AU$501,23,)/VLOOKUP($D35,$C$5:$AU$501,3,))*$E35)</f>
        <v>0</v>
      </c>
      <c r="Z35" s="66">
        <f>IF(VLOOKUP($D35,$C$5:$AU$501,3,)=0,0,(VLOOKUP($D35,$C$5:$AU$501,24,)/VLOOKUP($D35,$C$5:$AU$501,3,))*$E35)</f>
        <v>0</v>
      </c>
      <c r="AA35" s="66">
        <f>IF(VLOOKUP($D35,$C$5:$AU$501,3,)=0,0,(VLOOKUP($D35,$C$5:$AU$501,25,)/VLOOKUP($D35,$C$5:$AU$501,3,))*$E35)</f>
        <v>0</v>
      </c>
      <c r="AB35" s="66">
        <f>IF(VLOOKUP($D35,$C$5:$AU$501,3,)=0,0,(VLOOKUP($D35,$C$5:$AU$501,26,)/VLOOKUP($D35,$C$5:$AU$501,3,))*$E35)</f>
        <v>0</v>
      </c>
      <c r="AC35" s="66">
        <f>IF(VLOOKUP($D35,$C$5:$AU$501,3,)=0,0,(VLOOKUP($D35,$C$5:$AU$501,27,)/VLOOKUP($D35,$C$5:$AU$501,3,))*$E35)</f>
        <v>0</v>
      </c>
      <c r="AD35" s="66">
        <f>IF(VLOOKUP($D35,$C$5:$AU$501,3,)=0,0,(VLOOKUP($D35,$C$5:$AU$501,28,)/VLOOKUP($D35,$C$5:$AU$501,3,))*$E35)</f>
        <v>0</v>
      </c>
      <c r="AE35" s="66">
        <f>IF(VLOOKUP($D35,$C$5:$AU$501,3,)=0,0,(VLOOKUP($D35,$C$5:$AU$501,29,)/VLOOKUP($D35,$C$5:$AU$501,3,))*$E35)</f>
        <v>0</v>
      </c>
      <c r="AF35" s="66">
        <f>IF(VLOOKUP($D35,$C$5:$AU$501,3,)=0,0,(VLOOKUP($D35,$C$5:$AU$501,30,)/VLOOKUP($D35,$C$5:$AU$501,3,))*$E35)</f>
        <v>0</v>
      </c>
      <c r="AG35" s="95">
        <f>SUM(F35:AF35)</f>
        <v>0</v>
      </c>
      <c r="AH35" s="31" t="str">
        <f>IF(ABS(E35-AG35)&lt;0.01,"ok","err")</f>
        <v>ok</v>
      </c>
    </row>
    <row r="36" spans="1:35" x14ac:dyDescent="0.2">
      <c r="E36" s="50"/>
    </row>
    <row r="37" spans="1:35" x14ac:dyDescent="0.2">
      <c r="A37" s="13" t="s">
        <v>470</v>
      </c>
      <c r="E37" s="50"/>
    </row>
    <row r="38" spans="1:35" x14ac:dyDescent="0.2">
      <c r="A38" s="98" t="s">
        <v>221</v>
      </c>
      <c r="C38" s="14" t="s">
        <v>226</v>
      </c>
      <c r="D38" s="14" t="s">
        <v>235</v>
      </c>
      <c r="E38" s="66">
        <f>'Func &amp; Classif'!AA82</f>
        <v>0</v>
      </c>
      <c r="F38" s="66">
        <f>IF(VLOOKUP($D38,$C$5:$AU$501,3,)=0,0,(VLOOKUP($D38,$C$5:$AU$501,4,)/VLOOKUP($D38,$C$5:$AU$501,3,))*$E38)</f>
        <v>0</v>
      </c>
      <c r="G38" s="66">
        <f>IF(VLOOKUP($D38,$C$5:$AU$501,3,)=0,0,(VLOOKUP($D38,$C$5:$AU$501,5,)/VLOOKUP($D38,$C$5:$AU$501,3,))*$E38)</f>
        <v>0</v>
      </c>
      <c r="H38" s="66">
        <f>IF(VLOOKUP($D38,$C$5:$AU$501,3,)=0,0,(VLOOKUP($D38,$C$5:$AU$501,6,)/VLOOKUP($D38,$C$5:$AU$501,3,))*$E38)</f>
        <v>0</v>
      </c>
      <c r="I38" s="66">
        <f>IF(VLOOKUP($D38,$C$5:$AU$501,3,)=0,0,(VLOOKUP($D38,$C$5:$AU$501,7,)/VLOOKUP($D38,$C$5:$AU$501,3,))*$E38)</f>
        <v>0</v>
      </c>
      <c r="J38" s="66">
        <f>IF(VLOOKUP($D38,$C$5:$AU$501,3,)=0,0,(VLOOKUP($D38,$C$5:$AU$501,8,)/VLOOKUP($D38,$C$5:$AU$501,3,))*$E38)</f>
        <v>0</v>
      </c>
      <c r="K38" s="66">
        <f>IF(VLOOKUP($D38,$C$5:$AU$501,3,)=0,0,(VLOOKUP($D38,$C$5:$AU$501,9,)/VLOOKUP($D38,$C$5:$AU$501,3,))*$E38)</f>
        <v>0</v>
      </c>
      <c r="L38" s="66">
        <f>IF(VLOOKUP($D38,$C$5:$AU$501,3,)=0,0,(VLOOKUP($D38,$C$5:$AU$501,10,)/VLOOKUP($D38,$C$5:$AU$501,3,))*$E38)</f>
        <v>0</v>
      </c>
      <c r="M38" s="66">
        <f>IF(VLOOKUP($D38,$C$5:$AU$501,3,)=0,0,(VLOOKUP($D38,$C$5:$AU$501,11,)/VLOOKUP($D38,$C$5:$AU$501,3,))*$E38)</f>
        <v>0</v>
      </c>
      <c r="N38" s="66">
        <f>IF(VLOOKUP($D38,$C$5:$AU$501,3,)=0,0,(VLOOKUP($D38,$C$5:$AU$501,12,)/VLOOKUP($D38,$C$5:$AU$501,3,))*$E38)</f>
        <v>0</v>
      </c>
      <c r="O38" s="66">
        <f>IF(VLOOKUP($D38,$C$5:$AU$501,3,)=0,0,(VLOOKUP($D38,$C$5:$AU$501,13,)/VLOOKUP($D38,$C$5:$AU$501,3,))*$E38)</f>
        <v>0</v>
      </c>
      <c r="P38" s="66">
        <f>IF(VLOOKUP($D38,$C$5:$AU$501,3,)=0,0,(VLOOKUP($D38,$C$5:$AU$501,14,)/VLOOKUP($D38,$C$5:$AU$501,3,))*$E38)</f>
        <v>0</v>
      </c>
      <c r="Q38" s="66">
        <f>IF(VLOOKUP($D38,$C$5:$AU$501,3,)=0,0,(VLOOKUP($D38,$C$5:$AU$501,15,)/VLOOKUP($D38,$C$5:$AU$501,3,))*$E38)</f>
        <v>0</v>
      </c>
      <c r="R38" s="66">
        <f>IF(VLOOKUP($D38,$C$5:$AU$501,3,)=0,0,(VLOOKUP($D38,$C$5:$AU$501,16,)/VLOOKUP($D38,$C$5:$AU$501,3,))*$E38)</f>
        <v>0</v>
      </c>
      <c r="S38" s="66">
        <f>IF(VLOOKUP($D38,$C$5:$AU$501,3,)=0,0,(VLOOKUP($D38,$C$5:$AU$501,17,)/VLOOKUP($D38,$C$5:$AU$501,3,))*$E38)</f>
        <v>0</v>
      </c>
      <c r="T38" s="66">
        <f>IF(VLOOKUP($D38,$C$5:$AU$501,3,)=0,0,(VLOOKUP($D38,$C$5:$AU$501,18,)/VLOOKUP($D38,$C$5:$AU$501,3,))*$E38)</f>
        <v>0</v>
      </c>
      <c r="U38" s="66">
        <f>IF(VLOOKUP($D38,$C$5:$AU$501,3,)=0,0,(VLOOKUP($D38,$C$5:$AU$501,19,)/VLOOKUP($D38,$C$5:$AU$501,3,))*$E38)</f>
        <v>0</v>
      </c>
      <c r="V38" s="66">
        <f>IF(VLOOKUP($D38,$C$5:$AU$501,3,)=0,0,(VLOOKUP($D38,$C$5:$AU$501,20,)/VLOOKUP($D38,$C$5:$AU$501,3,))*$E38)</f>
        <v>0</v>
      </c>
      <c r="W38" s="66">
        <f>IF(VLOOKUP($D38,$C$5:$AU$501,3,)=0,0,(VLOOKUP($D38,$C$5:$AU$501,21,)/VLOOKUP($D38,$C$5:$AU$501,3,))*$E38)</f>
        <v>0</v>
      </c>
      <c r="X38" s="66">
        <f>IF(VLOOKUP($D38,$C$5:$AU$501,3,)=0,0,(VLOOKUP($D38,$C$5:$AU$501,22,)/VLOOKUP($D38,$C$5:$AU$501,3,))*$E38)</f>
        <v>0</v>
      </c>
      <c r="Y38" s="66">
        <f>IF(VLOOKUP($D38,$C$5:$AU$501,3,)=0,0,(VLOOKUP($D38,$C$5:$AU$501,23,)/VLOOKUP($D38,$C$5:$AU$501,3,))*$E38)</f>
        <v>0</v>
      </c>
      <c r="Z38" s="66">
        <f>IF(VLOOKUP($D38,$C$5:$AU$501,3,)=0,0,(VLOOKUP($D38,$C$5:$AU$501,24,)/VLOOKUP($D38,$C$5:$AU$501,3,))*$E38)</f>
        <v>0</v>
      </c>
      <c r="AA38" s="66">
        <f>IF(VLOOKUP($D38,$C$5:$AU$501,3,)=0,0,(VLOOKUP($D38,$C$5:$AU$501,25,)/VLOOKUP($D38,$C$5:$AU$501,3,))*$E38)</f>
        <v>0</v>
      </c>
      <c r="AB38" s="66">
        <f>IF(VLOOKUP($D38,$C$5:$AU$501,3,)=0,0,(VLOOKUP($D38,$C$5:$AU$501,26,)/VLOOKUP($D38,$C$5:$AU$501,3,))*$E38)</f>
        <v>0</v>
      </c>
      <c r="AC38" s="66">
        <f>IF(VLOOKUP($D38,$C$5:$AU$501,3,)=0,0,(VLOOKUP($D38,$C$5:$AU$501,27,)/VLOOKUP($D38,$C$5:$AU$501,3,))*$E38)</f>
        <v>0</v>
      </c>
      <c r="AD38" s="66">
        <f>IF(VLOOKUP($D38,$C$5:$AU$501,3,)=0,0,(VLOOKUP($D38,$C$5:$AU$501,28,)/VLOOKUP($D38,$C$5:$AU$501,3,))*$E38)</f>
        <v>0</v>
      </c>
      <c r="AE38" s="66">
        <f>IF(VLOOKUP($D38,$C$5:$AU$501,3,)=0,0,(VLOOKUP($D38,$C$5:$AU$501,29,)/VLOOKUP($D38,$C$5:$AU$501,3,))*$E38)</f>
        <v>0</v>
      </c>
      <c r="AF38" s="66">
        <f>IF(VLOOKUP($D38,$C$5:$AU$501,3,)=0,0,(VLOOKUP($D38,$C$5:$AU$501,30,)/VLOOKUP($D38,$C$5:$AU$501,3,))*$E38)</f>
        <v>0</v>
      </c>
      <c r="AG38" s="95">
        <f>SUM(F38:AF38)</f>
        <v>0</v>
      </c>
      <c r="AH38" s="31" t="str">
        <f>IF(ABS(E38-AG38)&lt;0.01,"ok","err")</f>
        <v>ok</v>
      </c>
    </row>
    <row r="39" spans="1:35" x14ac:dyDescent="0.2">
      <c r="E39" s="50"/>
    </row>
    <row r="40" spans="1:35" x14ac:dyDescent="0.2">
      <c r="A40" s="14" t="s">
        <v>0</v>
      </c>
      <c r="C40" s="14" t="s">
        <v>236</v>
      </c>
      <c r="E40" s="66">
        <f>E10+E13+E16+E21+E26+E29+E32+E35+E38</f>
        <v>306484213.99999994</v>
      </c>
      <c r="F40" s="66">
        <f t="shared" ref="F40:R40" si="6">F10+F13+F16+F21+F26+F29+F32+F35+F38</f>
        <v>252016935.53394514</v>
      </c>
      <c r="G40" s="66">
        <f t="shared" si="6"/>
        <v>126944.74996004516</v>
      </c>
      <c r="H40" s="66">
        <f t="shared" si="6"/>
        <v>16278740.051874638</v>
      </c>
      <c r="I40" s="66">
        <f t="shared" si="6"/>
        <v>1654.6776991294103</v>
      </c>
      <c r="J40" s="66">
        <f t="shared" si="6"/>
        <v>6672477.2399073178</v>
      </c>
      <c r="K40" s="66">
        <f t="shared" si="6"/>
        <v>4437509.7168491883</v>
      </c>
      <c r="L40" s="66">
        <f t="shared" si="6"/>
        <v>3462839.3456352642</v>
      </c>
      <c r="M40" s="66">
        <f t="shared" si="6"/>
        <v>8400357.6881015077</v>
      </c>
      <c r="N40" s="66">
        <f t="shared" si="6"/>
        <v>1626350.6897336747</v>
      </c>
      <c r="O40" s="66">
        <f t="shared" si="6"/>
        <v>13460404.306294106</v>
      </c>
      <c r="P40" s="66">
        <f t="shared" si="6"/>
        <v>0</v>
      </c>
      <c r="Q40" s="66">
        <f t="shared" si="6"/>
        <v>0</v>
      </c>
      <c r="R40" s="66">
        <f t="shared" si="6"/>
        <v>0</v>
      </c>
      <c r="S40" s="66">
        <f t="shared" ref="S40:AF40" si="7">S10+S16+S21+S26+S29+S32+S35+S38</f>
        <v>0</v>
      </c>
      <c r="T40" s="66">
        <f t="shared" si="7"/>
        <v>0</v>
      </c>
      <c r="U40" s="66">
        <f t="shared" si="7"/>
        <v>0</v>
      </c>
      <c r="V40" s="66">
        <f t="shared" si="7"/>
        <v>0</v>
      </c>
      <c r="W40" s="66">
        <f t="shared" si="7"/>
        <v>0</v>
      </c>
      <c r="X40" s="66">
        <f t="shared" si="7"/>
        <v>0</v>
      </c>
      <c r="Y40" s="66">
        <f t="shared" si="7"/>
        <v>0</v>
      </c>
      <c r="Z40" s="66">
        <f t="shared" si="7"/>
        <v>0</v>
      </c>
      <c r="AA40" s="66">
        <f t="shared" si="7"/>
        <v>0</v>
      </c>
      <c r="AB40" s="66">
        <f t="shared" si="7"/>
        <v>0</v>
      </c>
      <c r="AC40" s="66">
        <f t="shared" si="7"/>
        <v>0</v>
      </c>
      <c r="AD40" s="66">
        <f t="shared" si="7"/>
        <v>0</v>
      </c>
      <c r="AE40" s="66">
        <f t="shared" si="7"/>
        <v>0</v>
      </c>
      <c r="AF40" s="66">
        <f t="shared" si="7"/>
        <v>0</v>
      </c>
      <c r="AG40" s="95">
        <f>SUM(F40:AF40)</f>
        <v>306484214</v>
      </c>
      <c r="AH40" s="31" t="str">
        <f>IF(ABS(E40-AG40)&lt;0.01,"ok","err")</f>
        <v>ok</v>
      </c>
      <c r="AI40" s="95"/>
    </row>
    <row r="44" spans="1:35" x14ac:dyDescent="0.2">
      <c r="A44" s="29" t="s">
        <v>83</v>
      </c>
    </row>
    <row r="46" spans="1:35" x14ac:dyDescent="0.2">
      <c r="A46" s="13" t="s">
        <v>894</v>
      </c>
    </row>
    <row r="47" spans="1:35" x14ac:dyDescent="0.2">
      <c r="A47" s="98" t="s">
        <v>209</v>
      </c>
      <c r="C47" s="14" t="s">
        <v>237</v>
      </c>
      <c r="D47" s="14" t="s">
        <v>657</v>
      </c>
      <c r="E47" s="66">
        <f>'Func &amp; Classif'!H126</f>
        <v>0</v>
      </c>
      <c r="F47" s="66">
        <f>IF(VLOOKUP($D47,$C$5:$AU$501,3,)=0,0,(VLOOKUP($D47,$C$5:$AU$501,4,)/VLOOKUP($D47,$C$5:$AU$501,3,))*$E47)</f>
        <v>0</v>
      </c>
      <c r="G47" s="66">
        <f>IF(VLOOKUP($D47,$C$5:$AU$501,3,)=0,0,(VLOOKUP($D47,$C$5:$AU$501,5,)/VLOOKUP($D47,$C$5:$AU$501,3,))*$E47)</f>
        <v>0</v>
      </c>
      <c r="H47" s="66">
        <f>IF(VLOOKUP($D47,$C$5:$AU$501,3,)=0,0,(VLOOKUP($D47,$C$5:$AU$501,6,)/VLOOKUP($D47,$C$5:$AU$501,3,))*$E47)</f>
        <v>0</v>
      </c>
      <c r="I47" s="66">
        <f>IF(VLOOKUP($D47,$C$5:$AU$501,3,)=0,0,(VLOOKUP($D47,$C$5:$AU$501,7,)/VLOOKUP($D47,$C$5:$AU$501,3,))*$E47)</f>
        <v>0</v>
      </c>
      <c r="J47" s="66">
        <f>IF(VLOOKUP($D47,$C$5:$AU$501,3,)=0,0,(VLOOKUP($D47,$C$5:$AU$501,8,)/VLOOKUP($D47,$C$5:$AU$501,3,))*$E47)</f>
        <v>0</v>
      </c>
      <c r="K47" s="66">
        <f>IF(VLOOKUP($D47,$C$5:$AU$501,3,)=0,0,(VLOOKUP($D47,$C$5:$AU$501,9,)/VLOOKUP($D47,$C$5:$AU$501,3,))*$E47)</f>
        <v>0</v>
      </c>
      <c r="L47" s="66">
        <f>IF(VLOOKUP($D47,$C$5:$AU$501,3,)=0,0,(VLOOKUP($D47,$C$5:$AU$501,10,)/VLOOKUP($D47,$C$5:$AU$501,3,))*$E47)</f>
        <v>0</v>
      </c>
      <c r="M47" s="66">
        <f>IF(VLOOKUP($D47,$C$5:$AU$501,3,)=0,0,(VLOOKUP($D47,$C$5:$AU$501,11,)/VLOOKUP($D47,$C$5:$AU$501,3,))*$E47)</f>
        <v>0</v>
      </c>
      <c r="N47" s="66">
        <f>IF(VLOOKUP($D47,$C$5:$AU$501,3,)=0,0,(VLOOKUP($D47,$C$5:$AU$501,12,)/VLOOKUP($D47,$C$5:$AU$501,3,))*$E47)</f>
        <v>0</v>
      </c>
      <c r="O47" s="66">
        <f>IF(VLOOKUP($D47,$C$5:$AU$501,3,)=0,0,(VLOOKUP($D47,$C$5:$AU$501,13,)/VLOOKUP($D47,$C$5:$AU$501,3,))*$E47)</f>
        <v>0</v>
      </c>
      <c r="P47" s="66">
        <f>IF(VLOOKUP($D47,$C$5:$AU$501,3,)=0,0,(VLOOKUP($D47,$C$5:$AU$501,14,)/VLOOKUP($D47,$C$5:$AU$501,3,))*$E47)</f>
        <v>0</v>
      </c>
      <c r="Q47" s="66">
        <f>IF(VLOOKUP($D47,$C$5:$AU$501,3,)=0,0,(VLOOKUP($D47,$C$5:$AU$501,15,)/VLOOKUP($D47,$C$5:$AU$501,3,))*$E47)</f>
        <v>0</v>
      </c>
      <c r="R47" s="66">
        <f>IF(VLOOKUP($D47,$C$5:$AU$501,3,)=0,0,(VLOOKUP($D47,$C$5:$AU$501,16,)/VLOOKUP($D47,$C$5:$AU$501,3,))*$E47)</f>
        <v>0</v>
      </c>
      <c r="S47" s="66">
        <f>IF(VLOOKUP($D47,$C$5:$AU$501,3,)=0,0,(VLOOKUP($D47,$C$5:$AU$501,17,)/VLOOKUP($D47,$C$5:$AU$501,3,))*$E47)</f>
        <v>0</v>
      </c>
      <c r="T47" s="66">
        <f>IF(VLOOKUP($D47,$C$5:$AU$501,3,)=0,0,(VLOOKUP($D47,$C$5:$AU$501,18,)/VLOOKUP($D47,$C$5:$AU$501,3,))*$E47)</f>
        <v>0</v>
      </c>
      <c r="U47" s="66">
        <f>IF(VLOOKUP($D47,$C$5:$AU$501,3,)=0,0,(VLOOKUP($D47,$C$5:$AU$501,19,)/VLOOKUP($D47,$C$5:$AU$501,3,))*$E47)</f>
        <v>0</v>
      </c>
      <c r="V47" s="66">
        <f>IF(VLOOKUP($D47,$C$5:$AU$501,3,)=0,0,(VLOOKUP($D47,$C$5:$AU$501,20,)/VLOOKUP($D47,$C$5:$AU$501,3,))*$E47)</f>
        <v>0</v>
      </c>
      <c r="W47" s="66">
        <f>IF(VLOOKUP($D47,$C$5:$AU$501,3,)=0,0,(VLOOKUP($D47,$C$5:$AU$501,21,)/VLOOKUP($D47,$C$5:$AU$501,3,))*$E47)</f>
        <v>0</v>
      </c>
      <c r="X47" s="66">
        <f>IF(VLOOKUP($D47,$C$5:$AU$501,3,)=0,0,(VLOOKUP($D47,$C$5:$AU$501,22,)/VLOOKUP($D47,$C$5:$AU$501,3,))*$E47)</f>
        <v>0</v>
      </c>
      <c r="Y47" s="66">
        <f>IF(VLOOKUP($D47,$C$5:$AU$501,3,)=0,0,(VLOOKUP($D47,$C$5:$AU$501,23,)/VLOOKUP($D47,$C$5:$AU$501,3,))*$E47)</f>
        <v>0</v>
      </c>
      <c r="Z47" s="66">
        <f>IF(VLOOKUP($D47,$C$5:$AU$501,3,)=0,0,(VLOOKUP($D47,$C$5:$AU$501,24,)/VLOOKUP($D47,$C$5:$AU$501,3,))*$E47)</f>
        <v>0</v>
      </c>
      <c r="AA47" s="66">
        <f>IF(VLOOKUP($D47,$C$5:$AU$501,3,)=0,0,(VLOOKUP($D47,$C$5:$AU$501,25,)/VLOOKUP($D47,$C$5:$AU$501,3,))*$E47)</f>
        <v>0</v>
      </c>
      <c r="AB47" s="66">
        <f>IF(VLOOKUP($D47,$C$5:$AU$501,3,)=0,0,(VLOOKUP($D47,$C$5:$AU$501,26,)/VLOOKUP($D47,$C$5:$AU$501,3,))*$E47)</f>
        <v>0</v>
      </c>
      <c r="AC47" s="66">
        <f>IF(VLOOKUP($D47,$C$5:$AU$501,3,)=0,0,(VLOOKUP($D47,$C$5:$AU$501,27,)/VLOOKUP($D47,$C$5:$AU$501,3,))*$E47)</f>
        <v>0</v>
      </c>
      <c r="AD47" s="66">
        <f>IF(VLOOKUP($D47,$C$5:$AU$501,3,)=0,0,(VLOOKUP($D47,$C$5:$AU$501,28,)/VLOOKUP($D47,$C$5:$AU$501,3,))*$E47)</f>
        <v>0</v>
      </c>
      <c r="AE47" s="66">
        <f>IF(VLOOKUP($D47,$C$5:$AU$501,3,)=0,0,(VLOOKUP($D47,$C$5:$AU$501,29,)/VLOOKUP($D47,$C$5:$AU$501,3,))*$E47)</f>
        <v>0</v>
      </c>
      <c r="AF47" s="66">
        <f>IF(VLOOKUP($D47,$C$5:$AU$501,3,)=0,0,(VLOOKUP($D47,$C$5:$AU$501,30,)/VLOOKUP($D47,$C$5:$AU$501,3,))*$E47)</f>
        <v>0</v>
      </c>
      <c r="AG47" s="95">
        <f>SUM(F47:AF47)</f>
        <v>0</v>
      </c>
      <c r="AH47" s="31" t="str">
        <f>IF(ABS(E47-AG47)&lt;0.01,"ok","err")</f>
        <v>ok</v>
      </c>
    </row>
    <row r="48" spans="1:35" x14ac:dyDescent="0.2">
      <c r="A48" s="98" t="s">
        <v>212</v>
      </c>
      <c r="C48" s="14" t="s">
        <v>238</v>
      </c>
      <c r="D48" s="14" t="s">
        <v>666</v>
      </c>
      <c r="E48" s="50">
        <f>'Func &amp; Classif'!I126</f>
        <v>0</v>
      </c>
      <c r="F48" s="66">
        <f>IF(VLOOKUP($D48,$C$5:$AU$501,3,)=0,0,(VLOOKUP($D48,$C$5:$AU$501,4,)/VLOOKUP($D48,$C$5:$AU$501,3,))*$E48)</f>
        <v>0</v>
      </c>
      <c r="G48" s="66">
        <f>IF(VLOOKUP($D48,$C$5:$AU$501,3,)=0,0,(VLOOKUP($D48,$C$5:$AU$501,5,)/VLOOKUP($D48,$C$5:$AU$501,3,))*$E48)</f>
        <v>0</v>
      </c>
      <c r="H48" s="66">
        <f>IF(VLOOKUP($D48,$C$5:$AU$501,3,)=0,0,(VLOOKUP($D48,$C$5:$AU$501,6,)/VLOOKUP($D48,$C$5:$AU$501,3,))*$E48)</f>
        <v>0</v>
      </c>
      <c r="I48" s="66">
        <f>IF(VLOOKUP($D48,$C$5:$AU$501,3,)=0,0,(VLOOKUP($D48,$C$5:$AU$501,7,)/VLOOKUP($D48,$C$5:$AU$501,3,))*$E48)</f>
        <v>0</v>
      </c>
      <c r="J48" s="66">
        <f>IF(VLOOKUP($D48,$C$5:$AU$501,3,)=0,0,(VLOOKUP($D48,$C$5:$AU$501,8,)/VLOOKUP($D48,$C$5:$AU$501,3,))*$E48)</f>
        <v>0</v>
      </c>
      <c r="K48" s="66">
        <f>IF(VLOOKUP($D48,$C$5:$AU$501,3,)=0,0,(VLOOKUP($D48,$C$5:$AU$501,9,)/VLOOKUP($D48,$C$5:$AU$501,3,))*$E48)</f>
        <v>0</v>
      </c>
      <c r="L48" s="66">
        <f>IF(VLOOKUP($D48,$C$5:$AU$501,3,)=0,0,(VLOOKUP($D48,$C$5:$AU$501,10,)/VLOOKUP($D48,$C$5:$AU$501,3,))*$E48)</f>
        <v>0</v>
      </c>
      <c r="M48" s="66">
        <f>IF(VLOOKUP($D48,$C$5:$AU$501,3,)=0,0,(VLOOKUP($D48,$C$5:$AU$501,11,)/VLOOKUP($D48,$C$5:$AU$501,3,))*$E48)</f>
        <v>0</v>
      </c>
      <c r="N48" s="66">
        <f>IF(VLOOKUP($D48,$C$5:$AU$501,3,)=0,0,(VLOOKUP($D48,$C$5:$AU$501,12,)/VLOOKUP($D48,$C$5:$AU$501,3,))*$E48)</f>
        <v>0</v>
      </c>
      <c r="O48" s="66">
        <f>IF(VLOOKUP($D48,$C$5:$AU$501,3,)=0,0,(VLOOKUP($D48,$C$5:$AU$501,13,)/VLOOKUP($D48,$C$5:$AU$501,3,))*$E48)</f>
        <v>0</v>
      </c>
      <c r="P48" s="66">
        <f>IF(VLOOKUP($D48,$C$5:$AU$501,3,)=0,0,(VLOOKUP($D48,$C$5:$AU$501,14,)/VLOOKUP($D48,$C$5:$AU$501,3,))*$E48)</f>
        <v>0</v>
      </c>
      <c r="Q48" s="66">
        <f>IF(VLOOKUP($D48,$C$5:$AU$501,3,)=0,0,(VLOOKUP($D48,$C$5:$AU$501,15,)/VLOOKUP($D48,$C$5:$AU$501,3,))*$E48)</f>
        <v>0</v>
      </c>
      <c r="R48" s="66">
        <f>IF(VLOOKUP($D48,$C$5:$AU$501,3,)=0,0,(VLOOKUP($D48,$C$5:$AU$501,16,)/VLOOKUP($D48,$C$5:$AU$501,3,))*$E48)</f>
        <v>0</v>
      </c>
      <c r="S48" s="66">
        <f>IF(VLOOKUP($D48,$C$5:$AU$501,3,)=0,0,(VLOOKUP($D48,$C$5:$AU$501,17,)/VLOOKUP($D48,$C$5:$AU$501,3,))*$E48)</f>
        <v>0</v>
      </c>
      <c r="T48" s="66">
        <f>IF(VLOOKUP($D48,$C$5:$AU$501,3,)=0,0,(VLOOKUP($D48,$C$5:$AU$501,18,)/VLOOKUP($D48,$C$5:$AU$501,3,))*$E48)</f>
        <v>0</v>
      </c>
      <c r="U48" s="66">
        <f>IF(VLOOKUP($D48,$C$5:$AU$501,3,)=0,0,(VLOOKUP($D48,$C$5:$AU$501,19,)/VLOOKUP($D48,$C$5:$AU$501,3,))*$E48)</f>
        <v>0</v>
      </c>
      <c r="V48" s="66">
        <f>IF(VLOOKUP($D48,$C$5:$AU$501,3,)=0,0,(VLOOKUP($D48,$C$5:$AU$501,20,)/VLOOKUP($D48,$C$5:$AU$501,3,))*$E48)</f>
        <v>0</v>
      </c>
      <c r="W48" s="66">
        <f>IF(VLOOKUP($D48,$C$5:$AU$501,3,)=0,0,(VLOOKUP($D48,$C$5:$AU$501,21,)/VLOOKUP($D48,$C$5:$AU$501,3,))*$E48)</f>
        <v>0</v>
      </c>
      <c r="X48" s="66">
        <f>IF(VLOOKUP($D48,$C$5:$AU$501,3,)=0,0,(VLOOKUP($D48,$C$5:$AU$501,22,)/VLOOKUP($D48,$C$5:$AU$501,3,))*$E48)</f>
        <v>0</v>
      </c>
      <c r="Y48" s="66">
        <f>IF(VLOOKUP($D48,$C$5:$AU$501,3,)=0,0,(VLOOKUP($D48,$C$5:$AU$501,23,)/VLOOKUP($D48,$C$5:$AU$501,3,))*$E48)</f>
        <v>0</v>
      </c>
      <c r="Z48" s="66">
        <f>IF(VLOOKUP($D48,$C$5:$AU$501,3,)=0,0,(VLOOKUP($D48,$C$5:$AU$501,24,)/VLOOKUP($D48,$C$5:$AU$501,3,))*$E48)</f>
        <v>0</v>
      </c>
      <c r="AA48" s="66">
        <f>IF(VLOOKUP($D48,$C$5:$AU$501,3,)=0,0,(VLOOKUP($D48,$C$5:$AU$501,25,)/VLOOKUP($D48,$C$5:$AU$501,3,))*$E48)</f>
        <v>0</v>
      </c>
      <c r="AB48" s="66">
        <f>IF(VLOOKUP($D48,$C$5:$AU$501,3,)=0,0,(VLOOKUP($D48,$C$5:$AU$501,26,)/VLOOKUP($D48,$C$5:$AU$501,3,))*$E48)</f>
        <v>0</v>
      </c>
      <c r="AC48" s="66">
        <f>IF(VLOOKUP($D48,$C$5:$AU$501,3,)=0,0,(VLOOKUP($D48,$C$5:$AU$501,27,)/VLOOKUP($D48,$C$5:$AU$501,3,))*$E48)</f>
        <v>0</v>
      </c>
      <c r="AD48" s="66">
        <f>IF(VLOOKUP($D48,$C$5:$AU$501,3,)=0,0,(VLOOKUP($D48,$C$5:$AU$501,28,)/VLOOKUP($D48,$C$5:$AU$501,3,))*$E48)</f>
        <v>0</v>
      </c>
      <c r="AE48" s="66">
        <f>IF(VLOOKUP($D48,$C$5:$AU$501,3,)=0,0,(VLOOKUP($D48,$C$5:$AU$501,29,)/VLOOKUP($D48,$C$5:$AU$501,3,))*$E48)</f>
        <v>0</v>
      </c>
      <c r="AF48" s="66">
        <f>IF(VLOOKUP($D48,$C$5:$AU$501,3,)=0,0,(VLOOKUP($D48,$C$5:$AU$501,30,)/VLOOKUP($D48,$C$5:$AU$501,3,))*$E48)</f>
        <v>0</v>
      </c>
      <c r="AG48" s="95">
        <f>SUM(F48:AF48)</f>
        <v>0</v>
      </c>
      <c r="AH48" s="31" t="str">
        <f>IF(ABS(E48-AG48)&lt;0.01,"ok","err")</f>
        <v>ok</v>
      </c>
    </row>
    <row r="49" spans="1:34" x14ac:dyDescent="0.2">
      <c r="A49" s="14" t="s">
        <v>215</v>
      </c>
      <c r="C49" s="14" t="s">
        <v>239</v>
      </c>
      <c r="E49" s="50">
        <f t="shared" ref="E49:T49" si="8">E47+E48</f>
        <v>0</v>
      </c>
      <c r="F49" s="66">
        <f t="shared" si="8"/>
        <v>0</v>
      </c>
      <c r="G49" s="66">
        <f t="shared" si="8"/>
        <v>0</v>
      </c>
      <c r="H49" s="66">
        <f t="shared" si="8"/>
        <v>0</v>
      </c>
      <c r="I49" s="66">
        <f t="shared" si="8"/>
        <v>0</v>
      </c>
      <c r="J49" s="66">
        <f t="shared" si="8"/>
        <v>0</v>
      </c>
      <c r="K49" s="66">
        <f t="shared" si="8"/>
        <v>0</v>
      </c>
      <c r="L49" s="66">
        <f t="shared" si="8"/>
        <v>0</v>
      </c>
      <c r="M49" s="66">
        <f t="shared" si="8"/>
        <v>0</v>
      </c>
      <c r="N49" s="66">
        <f t="shared" si="8"/>
        <v>0</v>
      </c>
      <c r="O49" s="66">
        <f t="shared" si="8"/>
        <v>0</v>
      </c>
      <c r="P49" s="66">
        <f t="shared" si="8"/>
        <v>0</v>
      </c>
      <c r="Q49" s="66">
        <f t="shared" si="8"/>
        <v>0</v>
      </c>
      <c r="R49" s="66">
        <f t="shared" si="8"/>
        <v>0</v>
      </c>
      <c r="S49" s="66">
        <f t="shared" si="8"/>
        <v>0</v>
      </c>
      <c r="T49" s="66">
        <f t="shared" si="8"/>
        <v>0</v>
      </c>
      <c r="U49" s="66">
        <f t="shared" ref="U49:AF49" si="9">U47+U48</f>
        <v>0</v>
      </c>
      <c r="V49" s="66">
        <f t="shared" si="9"/>
        <v>0</v>
      </c>
      <c r="W49" s="66">
        <f t="shared" si="9"/>
        <v>0</v>
      </c>
      <c r="X49" s="66">
        <f t="shared" si="9"/>
        <v>0</v>
      </c>
      <c r="Y49" s="66">
        <f t="shared" si="9"/>
        <v>0</v>
      </c>
      <c r="Z49" s="66">
        <f t="shared" si="9"/>
        <v>0</v>
      </c>
      <c r="AA49" s="66">
        <f t="shared" si="9"/>
        <v>0</v>
      </c>
      <c r="AB49" s="66">
        <f t="shared" si="9"/>
        <v>0</v>
      </c>
      <c r="AC49" s="66">
        <f t="shared" si="9"/>
        <v>0</v>
      </c>
      <c r="AD49" s="66">
        <f t="shared" si="9"/>
        <v>0</v>
      </c>
      <c r="AE49" s="66">
        <f t="shared" si="9"/>
        <v>0</v>
      </c>
      <c r="AF49" s="66">
        <f t="shared" si="9"/>
        <v>0</v>
      </c>
      <c r="AG49" s="95">
        <f>SUM(F49:AF49)</f>
        <v>0</v>
      </c>
      <c r="AH49" s="31" t="str">
        <f>IF(ABS(E49-AG49)&lt;0.01,"ok","err")</f>
        <v>ok</v>
      </c>
    </row>
    <row r="50" spans="1:34" x14ac:dyDescent="0.2">
      <c r="E50" s="50"/>
      <c r="F50" s="50"/>
    </row>
    <row r="51" spans="1:34" x14ac:dyDescent="0.2">
      <c r="A51" s="13" t="s">
        <v>350</v>
      </c>
      <c r="E51" s="50"/>
      <c r="F51" s="50"/>
    </row>
    <row r="52" spans="1:34" x14ac:dyDescent="0.2">
      <c r="A52" s="98" t="s">
        <v>209</v>
      </c>
      <c r="C52" s="14" t="s">
        <v>883</v>
      </c>
      <c r="D52" s="14" t="s">
        <v>599</v>
      </c>
      <c r="E52" s="66">
        <f>'Func &amp; Classif'!K126</f>
        <v>0</v>
      </c>
      <c r="F52" s="66">
        <f>IF(VLOOKUP($D52,$C$5:$AU$501,3,)=0,0,(VLOOKUP($D52,$C$5:$AU$501,4,)/VLOOKUP($D52,$C$5:$AU$501,3,))*$E52)</f>
        <v>0</v>
      </c>
      <c r="G52" s="66">
        <f>IF(VLOOKUP($D52,$C$5:$AU$501,3,)=0,0,(VLOOKUP($D52,$C$5:$AU$501,5,)/VLOOKUP($D52,$C$5:$AU$501,3,))*$E52)</f>
        <v>0</v>
      </c>
      <c r="H52" s="66">
        <f>IF(VLOOKUP($D52,$C$5:$AU$501,3,)=0,0,(VLOOKUP($D52,$C$5:$AU$501,6,)/VLOOKUP($D52,$C$5:$AU$501,3,))*$E52)</f>
        <v>0</v>
      </c>
      <c r="I52" s="66">
        <f>IF(VLOOKUP($D52,$C$5:$AU$501,3,)=0,0,(VLOOKUP($D52,$C$5:$AU$501,7,)/VLOOKUP($D52,$C$5:$AU$501,3,))*$E52)</f>
        <v>0</v>
      </c>
      <c r="J52" s="66">
        <f>IF(VLOOKUP($D52,$C$5:$AU$501,3,)=0,0,(VLOOKUP($D52,$C$5:$AU$501,8,)/VLOOKUP($D52,$C$5:$AU$501,3,))*$E52)</f>
        <v>0</v>
      </c>
      <c r="K52" s="66">
        <f>IF(VLOOKUP($D52,$C$5:$AU$501,3,)=0,0,(VLOOKUP($D52,$C$5:$AU$501,9,)/VLOOKUP($D52,$C$5:$AU$501,3,))*$E52)</f>
        <v>0</v>
      </c>
      <c r="L52" s="66">
        <f>IF(VLOOKUP($D52,$C$5:$AU$501,3,)=0,0,(VLOOKUP($D52,$C$5:$AU$501,10,)/VLOOKUP($D52,$C$5:$AU$501,3,))*$E52)</f>
        <v>0</v>
      </c>
      <c r="M52" s="66">
        <f>IF(VLOOKUP($D52,$C$5:$AU$501,3,)=0,0,(VLOOKUP($D52,$C$5:$AU$501,11,)/VLOOKUP($D52,$C$5:$AU$501,3,))*$E52)</f>
        <v>0</v>
      </c>
      <c r="N52" s="66">
        <f>IF(VLOOKUP($D52,$C$5:$AU$501,3,)=0,0,(VLOOKUP($D52,$C$5:$AU$501,12,)/VLOOKUP($D52,$C$5:$AU$501,3,))*$E52)</f>
        <v>0</v>
      </c>
      <c r="O52" s="66">
        <f>IF(VLOOKUP($D52,$C$5:$AU$501,3,)=0,0,(VLOOKUP($D52,$C$5:$AU$501,13,)/VLOOKUP($D52,$C$5:$AU$501,3,))*$E52)</f>
        <v>0</v>
      </c>
      <c r="P52" s="66">
        <f>IF(VLOOKUP($D52,$C$5:$AU$501,3,)=0,0,(VLOOKUP($D52,$C$5:$AU$501,14,)/VLOOKUP($D52,$C$5:$AU$501,3,))*$E52)</f>
        <v>0</v>
      </c>
      <c r="Q52" s="66">
        <f>IF(VLOOKUP($D52,$C$5:$AU$501,3,)=0,0,(VLOOKUP($D52,$C$5:$AU$501,15,)/VLOOKUP($D52,$C$5:$AU$501,3,))*$E52)</f>
        <v>0</v>
      </c>
      <c r="R52" s="66">
        <f>IF(VLOOKUP($D52,$C$5:$AU$501,3,)=0,0,(VLOOKUP($D52,$C$5:$AU$501,16,)/VLOOKUP($D52,$C$5:$AU$501,3,))*$E52)</f>
        <v>0</v>
      </c>
      <c r="S52" s="66">
        <f>IF(VLOOKUP($D52,$C$5:$AU$501,3,)=0,0,(VLOOKUP($D52,$C$5:$AU$501,17,)/VLOOKUP($D52,$C$5:$AU$501,3,))*$E52)</f>
        <v>0</v>
      </c>
      <c r="T52" s="66">
        <f>IF(VLOOKUP($D52,$C$5:$AU$501,3,)=0,0,(VLOOKUP($D52,$C$5:$AU$501,18,)/VLOOKUP($D52,$C$5:$AU$501,3,))*$E52)</f>
        <v>0</v>
      </c>
      <c r="U52" s="66">
        <f>IF(VLOOKUP($D52,$C$5:$AU$501,3,)=0,0,(VLOOKUP($D52,$C$5:$AU$501,19,)/VLOOKUP($D52,$C$5:$AU$501,3,))*$E52)</f>
        <v>0</v>
      </c>
      <c r="V52" s="66">
        <f>IF(VLOOKUP($D52,$C$5:$AU$501,3,)=0,0,(VLOOKUP($D52,$C$5:$AU$501,20,)/VLOOKUP($D52,$C$5:$AU$501,3,))*$E52)</f>
        <v>0</v>
      </c>
      <c r="W52" s="66">
        <f>IF(VLOOKUP($D52,$C$5:$AU$501,3,)=0,0,(VLOOKUP($D52,$C$5:$AU$501,21,)/VLOOKUP($D52,$C$5:$AU$501,3,))*$E52)</f>
        <v>0</v>
      </c>
      <c r="X52" s="66">
        <f>IF(VLOOKUP($D52,$C$5:$AU$501,3,)=0,0,(VLOOKUP($D52,$C$5:$AU$501,22,)/VLOOKUP($D52,$C$5:$AU$501,3,))*$E52)</f>
        <v>0</v>
      </c>
      <c r="Y52" s="66">
        <f>IF(VLOOKUP($D52,$C$5:$AU$501,3,)=0,0,(VLOOKUP($D52,$C$5:$AU$501,23,)/VLOOKUP($D52,$C$5:$AU$501,3,))*$E52)</f>
        <v>0</v>
      </c>
      <c r="Z52" s="66">
        <f>IF(VLOOKUP($D52,$C$5:$AU$501,3,)=0,0,(VLOOKUP($D52,$C$5:$AU$501,24,)/VLOOKUP($D52,$C$5:$AU$501,3,))*$E52)</f>
        <v>0</v>
      </c>
      <c r="AA52" s="66">
        <f>IF(VLOOKUP($D52,$C$5:$AU$501,3,)=0,0,(VLOOKUP($D52,$C$5:$AU$501,25,)/VLOOKUP($D52,$C$5:$AU$501,3,))*$E52)</f>
        <v>0</v>
      </c>
      <c r="AB52" s="66">
        <f>IF(VLOOKUP($D52,$C$5:$AU$501,3,)=0,0,(VLOOKUP($D52,$C$5:$AU$501,26,)/VLOOKUP($D52,$C$5:$AU$501,3,))*$E52)</f>
        <v>0</v>
      </c>
      <c r="AC52" s="66">
        <f>IF(VLOOKUP($D52,$C$5:$AU$501,3,)=0,0,(VLOOKUP($D52,$C$5:$AU$501,27,)/VLOOKUP($D52,$C$5:$AU$501,3,))*$E52)</f>
        <v>0</v>
      </c>
      <c r="AD52" s="66">
        <f>IF(VLOOKUP($D52,$C$5:$AU$501,3,)=0,0,(VLOOKUP($D52,$C$5:$AU$501,28,)/VLOOKUP($D52,$C$5:$AU$501,3,))*$E52)</f>
        <v>0</v>
      </c>
      <c r="AE52" s="66">
        <f>IF(VLOOKUP($D52,$C$5:$AU$501,3,)=0,0,(VLOOKUP($D52,$C$5:$AU$501,29,)/VLOOKUP($D52,$C$5:$AU$501,3,))*$E52)</f>
        <v>0</v>
      </c>
      <c r="AF52" s="66">
        <f>IF(VLOOKUP($D52,$C$5:$AU$501,3,)=0,0,(VLOOKUP($D52,$C$5:$AU$501,30,)/VLOOKUP($D52,$C$5:$AU$501,3,))*$E52)</f>
        <v>0</v>
      </c>
      <c r="AG52" s="95">
        <f>SUM(F52:AF52)</f>
        <v>0</v>
      </c>
      <c r="AH52" s="31" t="str">
        <f>IF(ABS(E52-AG52)&lt;0.01,"ok","err")</f>
        <v>ok</v>
      </c>
    </row>
    <row r="53" spans="1:34" x14ac:dyDescent="0.2">
      <c r="E53" s="50"/>
    </row>
    <row r="54" spans="1:34" x14ac:dyDescent="0.2">
      <c r="A54" s="13" t="s">
        <v>1</v>
      </c>
      <c r="E54" s="50"/>
      <c r="F54" s="50"/>
    </row>
    <row r="55" spans="1:34" x14ac:dyDescent="0.2">
      <c r="A55" s="98" t="s">
        <v>209</v>
      </c>
      <c r="C55" s="14" t="s">
        <v>240</v>
      </c>
      <c r="D55" s="14" t="s">
        <v>615</v>
      </c>
      <c r="E55" s="66">
        <f>'Func &amp; Classif'!M126</f>
        <v>2189055.6453292537</v>
      </c>
      <c r="F55" s="66">
        <f>IF(VLOOKUP($D55,$C$5:$AU$501,3,)=0,0,(VLOOKUP($D55,$C$5:$AU$501,4,)/VLOOKUP($D55,$C$5:$AU$501,3,))*$E55)</f>
        <v>1633880.880885921</v>
      </c>
      <c r="G55" s="66">
        <f>IF(VLOOKUP($D55,$C$5:$AU$501,3,)=0,0,(VLOOKUP($D55,$C$5:$AU$501,5,)/VLOOKUP($D55,$C$5:$AU$501,3,))*$E55)</f>
        <v>0</v>
      </c>
      <c r="H55" s="66">
        <f>IF(VLOOKUP($D55,$C$5:$AU$501,3,)=0,0,(VLOOKUP($D55,$C$5:$AU$501,6,)/VLOOKUP($D55,$C$5:$AU$501,3,))*$E55)</f>
        <v>105898.69943536712</v>
      </c>
      <c r="I55" s="66">
        <f>IF(VLOOKUP($D55,$C$5:$AU$501,3,)=0,0,(VLOOKUP($D55,$C$5:$AU$501,7,)/VLOOKUP($D55,$C$5:$AU$501,3,))*$E55)</f>
        <v>0</v>
      </c>
      <c r="J55" s="66">
        <f>IF(VLOOKUP($D55,$C$5:$AU$501,3,)=0,0,(VLOOKUP($D55,$C$5:$AU$501,8,)/VLOOKUP($D55,$C$5:$AU$501,3,))*$E55)</f>
        <v>133599.0229851084</v>
      </c>
      <c r="K55" s="66">
        <f>IF(VLOOKUP($D55,$C$5:$AU$501,3,)=0,0,(VLOOKUP($D55,$C$5:$AU$501,9,)/VLOOKUP($D55,$C$5:$AU$501,3,))*$E55)</f>
        <v>174355.48276941493</v>
      </c>
      <c r="L55" s="66">
        <f>IF(VLOOKUP($D55,$C$5:$AU$501,3,)=0,0,(VLOOKUP($D55,$C$5:$AU$501,10,)/VLOOKUP($D55,$C$5:$AU$501,3,))*$E55)</f>
        <v>112871.61757477443</v>
      </c>
      <c r="M55" s="66">
        <f>IF(VLOOKUP($D55,$C$5:$AU$501,3,)=0,0,(VLOOKUP($D55,$C$5:$AU$501,11,)/VLOOKUP($D55,$C$5:$AU$501,3,))*$E55)</f>
        <v>15171.63721411364</v>
      </c>
      <c r="N55" s="66">
        <f>IF(VLOOKUP($D55,$C$5:$AU$501,3,)=0,0,(VLOOKUP($D55,$C$5:$AU$501,12,)/VLOOKUP($D55,$C$5:$AU$501,3,))*$E55)</f>
        <v>13278.304464554565</v>
      </c>
      <c r="O55" s="66">
        <f>IF(VLOOKUP($D55,$C$5:$AU$501,3,)=0,0,(VLOOKUP($D55,$C$5:$AU$501,13,)/VLOOKUP($D55,$C$5:$AU$501,3,))*$E55)</f>
        <v>0</v>
      </c>
      <c r="P55" s="66">
        <f>IF(VLOOKUP($D55,$C$5:$AU$501,3,)=0,0,(VLOOKUP($D55,$C$5:$AU$501,14,)/VLOOKUP($D55,$C$5:$AU$501,3,))*$E55)</f>
        <v>0</v>
      </c>
      <c r="Q55" s="66">
        <f>IF(VLOOKUP($D55,$C$5:$AU$501,3,)=0,0,(VLOOKUP($D55,$C$5:$AU$501,15,)/VLOOKUP($D55,$C$5:$AU$501,3,))*$E55)</f>
        <v>0</v>
      </c>
      <c r="R55" s="66">
        <f>IF(VLOOKUP($D55,$C$5:$AU$501,3,)=0,0,(VLOOKUP($D55,$C$5:$AU$501,16,)/VLOOKUP($D55,$C$5:$AU$501,3,))*$E55)</f>
        <v>0</v>
      </c>
      <c r="S55" s="66">
        <f>IF(VLOOKUP($D55,$C$5:$AU$501,3,)=0,0,(VLOOKUP($D55,$C$5:$AU$501,17,)/VLOOKUP($D55,$C$5:$AU$501,3,))*$E55)</f>
        <v>0</v>
      </c>
      <c r="T55" s="66">
        <f>IF(VLOOKUP($D55,$C$5:$AU$501,3,)=0,0,(VLOOKUP($D55,$C$5:$AU$501,18,)/VLOOKUP($D55,$C$5:$AU$501,3,))*$E55)</f>
        <v>0</v>
      </c>
      <c r="U55" s="66">
        <f>IF(VLOOKUP($D55,$C$5:$AU$501,3,)=0,0,(VLOOKUP($D55,$C$5:$AU$501,19,)/VLOOKUP($D55,$C$5:$AU$501,3,))*$E55)</f>
        <v>0</v>
      </c>
      <c r="V55" s="66">
        <f>IF(VLOOKUP($D55,$C$5:$AU$501,3,)=0,0,(VLOOKUP($D55,$C$5:$AU$501,20,)/VLOOKUP($D55,$C$5:$AU$501,3,))*$E55)</f>
        <v>0</v>
      </c>
      <c r="W55" s="66">
        <f>IF(VLOOKUP($D55,$C$5:$AU$501,3,)=0,0,(VLOOKUP($D55,$C$5:$AU$501,21,)/VLOOKUP($D55,$C$5:$AU$501,3,))*$E55)</f>
        <v>0</v>
      </c>
      <c r="X55" s="66">
        <f>IF(VLOOKUP($D55,$C$5:$AU$501,3,)=0,0,(VLOOKUP($D55,$C$5:$AU$501,22,)/VLOOKUP($D55,$C$5:$AU$501,3,))*$E55)</f>
        <v>0</v>
      </c>
      <c r="Y55" s="66">
        <f>IF(VLOOKUP($D55,$C$5:$AU$501,3,)=0,0,(VLOOKUP($D55,$C$5:$AU$501,23,)/VLOOKUP($D55,$C$5:$AU$501,3,))*$E55)</f>
        <v>0</v>
      </c>
      <c r="Z55" s="66">
        <f>IF(VLOOKUP($D55,$C$5:$AU$501,3,)=0,0,(VLOOKUP($D55,$C$5:$AU$501,24,)/VLOOKUP($D55,$C$5:$AU$501,3,))*$E55)</f>
        <v>0</v>
      </c>
      <c r="AA55" s="66">
        <f>IF(VLOOKUP($D55,$C$5:$AU$501,3,)=0,0,(VLOOKUP($D55,$C$5:$AU$501,25,)/VLOOKUP($D55,$C$5:$AU$501,3,))*$E55)</f>
        <v>0</v>
      </c>
      <c r="AB55" s="66">
        <f>IF(VLOOKUP($D55,$C$5:$AU$501,3,)=0,0,(VLOOKUP($D55,$C$5:$AU$501,26,)/VLOOKUP($D55,$C$5:$AU$501,3,))*$E55)</f>
        <v>0</v>
      </c>
      <c r="AC55" s="66">
        <f>IF(VLOOKUP($D55,$C$5:$AU$501,3,)=0,0,(VLOOKUP($D55,$C$5:$AU$501,27,)/VLOOKUP($D55,$C$5:$AU$501,3,))*$E55)</f>
        <v>0</v>
      </c>
      <c r="AD55" s="66">
        <f>IF(VLOOKUP($D55,$C$5:$AU$501,3,)=0,0,(VLOOKUP($D55,$C$5:$AU$501,28,)/VLOOKUP($D55,$C$5:$AU$501,3,))*$E55)</f>
        <v>0</v>
      </c>
      <c r="AE55" s="66">
        <f>IF(VLOOKUP($D55,$C$5:$AU$501,3,)=0,0,(VLOOKUP($D55,$C$5:$AU$501,29,)/VLOOKUP($D55,$C$5:$AU$501,3,))*$E55)</f>
        <v>0</v>
      </c>
      <c r="AF55" s="66">
        <f>IF(VLOOKUP($D55,$C$5:$AU$501,3,)=0,0,(VLOOKUP($D55,$C$5:$AU$501,30,)/VLOOKUP($D55,$C$5:$AU$501,3,))*$E55)</f>
        <v>0</v>
      </c>
      <c r="AG55" s="95">
        <f>SUM(F55:AF55)</f>
        <v>2189055.6453292537</v>
      </c>
      <c r="AH55" s="31" t="str">
        <f>IF(ABS(E55-AG55)&lt;0.01,"ok","err")</f>
        <v>ok</v>
      </c>
    </row>
    <row r="56" spans="1:34" x14ac:dyDescent="0.2">
      <c r="E56" s="50"/>
    </row>
    <row r="57" spans="1:34" x14ac:dyDescent="0.2">
      <c r="A57" s="13" t="s">
        <v>2</v>
      </c>
      <c r="E57" s="50"/>
    </row>
    <row r="58" spans="1:34" x14ac:dyDescent="0.2">
      <c r="A58" s="98" t="s">
        <v>209</v>
      </c>
      <c r="C58" s="14" t="s">
        <v>241</v>
      </c>
      <c r="D58" s="14" t="s">
        <v>607</v>
      </c>
      <c r="E58" s="66">
        <f>'Func &amp; Classif'!O126</f>
        <v>81408065.686914802</v>
      </c>
      <c r="F58" s="66">
        <f>IF(VLOOKUP($D58,$C$5:$AU$501,3,)=0,0,(VLOOKUP($D58,$C$5:$AU$501,4,)/VLOOKUP($D58,$C$5:$AU$501,3,))*$E58)</f>
        <v>67065604.128032759</v>
      </c>
      <c r="G58" s="66">
        <f>IF(VLOOKUP($D58,$C$5:$AU$501,3,)=0,0,(VLOOKUP($D58,$C$5:$AU$501,5,)/VLOOKUP($D58,$C$5:$AU$501,3,))*$E58)</f>
        <v>0</v>
      </c>
      <c r="H58" s="66">
        <f>IF(VLOOKUP($D58,$C$5:$AU$501,3,)=0,0,(VLOOKUP($D58,$C$5:$AU$501,6,)/VLOOKUP($D58,$C$5:$AU$501,3,))*$E58)</f>
        <v>1505038.0011222779</v>
      </c>
      <c r="I58" s="66">
        <f>IF(VLOOKUP($D58,$C$5:$AU$501,3,)=0,0,(VLOOKUP($D58,$C$5:$AU$501,7,)/VLOOKUP($D58,$C$5:$AU$501,3,))*$E58)</f>
        <v>0</v>
      </c>
      <c r="J58" s="66">
        <f>IF(VLOOKUP($D58,$C$5:$AU$501,3,)=0,0,(VLOOKUP($D58,$C$5:$AU$501,8,)/VLOOKUP($D58,$C$5:$AU$501,3,))*$E58)</f>
        <v>3553812.3786780233</v>
      </c>
      <c r="K58" s="66">
        <f>IF(VLOOKUP($D58,$C$5:$AU$501,3,)=0,0,(VLOOKUP($D58,$C$5:$AU$501,9,)/VLOOKUP($D58,$C$5:$AU$501,3,))*$E58)</f>
        <v>2499415.7205829178</v>
      </c>
      <c r="L58" s="66">
        <f>IF(VLOOKUP($D58,$C$5:$AU$501,3,)=0,0,(VLOOKUP($D58,$C$5:$AU$501,10,)/VLOOKUP($D58,$C$5:$AU$501,3,))*$E58)</f>
        <v>1965197.8468045017</v>
      </c>
      <c r="M58" s="66">
        <f>IF(VLOOKUP($D58,$C$5:$AU$501,3,)=0,0,(VLOOKUP($D58,$C$5:$AU$501,11,)/VLOOKUP($D58,$C$5:$AU$501,3,))*$E58)</f>
        <v>3165022.5044504809</v>
      </c>
      <c r="N58" s="66">
        <f>IF(VLOOKUP($D58,$C$5:$AU$501,3,)=0,0,(VLOOKUP($D58,$C$5:$AU$501,12,)/VLOOKUP($D58,$C$5:$AU$501,3,))*$E58)</f>
        <v>903275.85823516233</v>
      </c>
      <c r="O58" s="66">
        <f>IF(VLOOKUP($D58,$C$5:$AU$501,3,)=0,0,(VLOOKUP($D58,$C$5:$AU$501,13,)/VLOOKUP($D58,$C$5:$AU$501,3,))*$E58)</f>
        <v>750699.24900868139</v>
      </c>
      <c r="P58" s="66">
        <f>IF(VLOOKUP($D58,$C$5:$AU$501,3,)=0,0,(VLOOKUP($D58,$C$5:$AU$501,14,)/VLOOKUP($D58,$C$5:$AU$501,3,))*$E58)</f>
        <v>0</v>
      </c>
      <c r="Q58" s="66">
        <f>IF(VLOOKUP($D58,$C$5:$AU$501,3,)=0,0,(VLOOKUP($D58,$C$5:$AU$501,15,)/VLOOKUP($D58,$C$5:$AU$501,3,))*$E58)</f>
        <v>0</v>
      </c>
      <c r="R58" s="66">
        <f>IF(VLOOKUP($D58,$C$5:$AU$501,3,)=0,0,(VLOOKUP($D58,$C$5:$AU$501,16,)/VLOOKUP($D58,$C$5:$AU$501,3,))*$E58)</f>
        <v>0</v>
      </c>
      <c r="S58" s="66">
        <f>IF(VLOOKUP($D58,$C$5:$AU$501,3,)=0,0,(VLOOKUP($D58,$C$5:$AU$501,17,)/VLOOKUP($D58,$C$5:$AU$501,3,))*$E58)</f>
        <v>0</v>
      </c>
      <c r="T58" s="66">
        <f>IF(VLOOKUP($D58,$C$5:$AU$501,3,)=0,0,(VLOOKUP($D58,$C$5:$AU$501,18,)/VLOOKUP($D58,$C$5:$AU$501,3,))*$E58)</f>
        <v>0</v>
      </c>
      <c r="U58" s="66">
        <f>IF(VLOOKUP($D58,$C$5:$AU$501,3,)=0,0,(VLOOKUP($D58,$C$5:$AU$501,19,)/VLOOKUP($D58,$C$5:$AU$501,3,))*$E58)</f>
        <v>0</v>
      </c>
      <c r="V58" s="66">
        <f>IF(VLOOKUP($D58,$C$5:$AU$501,3,)=0,0,(VLOOKUP($D58,$C$5:$AU$501,20,)/VLOOKUP($D58,$C$5:$AU$501,3,))*$E58)</f>
        <v>0</v>
      </c>
      <c r="W58" s="66">
        <f>IF(VLOOKUP($D58,$C$5:$AU$501,3,)=0,0,(VLOOKUP($D58,$C$5:$AU$501,21,)/VLOOKUP($D58,$C$5:$AU$501,3,))*$E58)</f>
        <v>0</v>
      </c>
      <c r="X58" s="66">
        <f>IF(VLOOKUP($D58,$C$5:$AU$501,3,)=0,0,(VLOOKUP($D58,$C$5:$AU$501,22,)/VLOOKUP($D58,$C$5:$AU$501,3,))*$E58)</f>
        <v>0</v>
      </c>
      <c r="Y58" s="66">
        <f>IF(VLOOKUP($D58,$C$5:$AU$501,3,)=0,0,(VLOOKUP($D58,$C$5:$AU$501,23,)/VLOOKUP($D58,$C$5:$AU$501,3,))*$E58)</f>
        <v>0</v>
      </c>
      <c r="Z58" s="66">
        <f>IF(VLOOKUP($D58,$C$5:$AU$501,3,)=0,0,(VLOOKUP($D58,$C$5:$AU$501,24,)/VLOOKUP($D58,$C$5:$AU$501,3,))*$E58)</f>
        <v>0</v>
      </c>
      <c r="AA58" s="66">
        <f>IF(VLOOKUP($D58,$C$5:$AU$501,3,)=0,0,(VLOOKUP($D58,$C$5:$AU$501,25,)/VLOOKUP($D58,$C$5:$AU$501,3,))*$E58)</f>
        <v>0</v>
      </c>
      <c r="AB58" s="66">
        <f>IF(VLOOKUP($D58,$C$5:$AU$501,3,)=0,0,(VLOOKUP($D58,$C$5:$AU$501,26,)/VLOOKUP($D58,$C$5:$AU$501,3,))*$E58)</f>
        <v>0</v>
      </c>
      <c r="AC58" s="66">
        <f>IF(VLOOKUP($D58,$C$5:$AU$501,3,)=0,0,(VLOOKUP($D58,$C$5:$AU$501,27,)/VLOOKUP($D58,$C$5:$AU$501,3,))*$E58)</f>
        <v>0</v>
      </c>
      <c r="AD58" s="66">
        <f>IF(VLOOKUP($D58,$C$5:$AU$501,3,)=0,0,(VLOOKUP($D58,$C$5:$AU$501,28,)/VLOOKUP($D58,$C$5:$AU$501,3,))*$E58)</f>
        <v>0</v>
      </c>
      <c r="AE58" s="66">
        <f>IF(VLOOKUP($D58,$C$5:$AU$501,3,)=0,0,(VLOOKUP($D58,$C$5:$AU$501,29,)/VLOOKUP($D58,$C$5:$AU$501,3,))*$E58)</f>
        <v>0</v>
      </c>
      <c r="AF58" s="66">
        <f>IF(VLOOKUP($D58,$C$5:$AU$501,3,)=0,0,(VLOOKUP($D58,$C$5:$AU$501,30,)/VLOOKUP($D58,$C$5:$AU$501,3,))*$E58)</f>
        <v>0</v>
      </c>
      <c r="AG58" s="95">
        <f>SUM(F58:AF58)</f>
        <v>81408065.686914816</v>
      </c>
      <c r="AH58" s="31" t="str">
        <f>IF(ABS(E58-AG58)&lt;0.01,"ok","err")</f>
        <v>ok</v>
      </c>
    </row>
    <row r="59" spans="1:34" x14ac:dyDescent="0.2">
      <c r="A59" s="98" t="s">
        <v>221</v>
      </c>
      <c r="C59" s="14" t="s">
        <v>242</v>
      </c>
      <c r="D59" s="14" t="s">
        <v>223</v>
      </c>
      <c r="E59" s="50">
        <f>'Func &amp; Classif'!P126</f>
        <v>62971515.988372318</v>
      </c>
      <c r="F59" s="66">
        <f>IF(VLOOKUP($D59,$C$5:$AU$501,3,)=0,0,(VLOOKUP($D59,$C$5:$AU$501,4,)/VLOOKUP($D59,$C$5:$AU$501,3,))*$E59)</f>
        <v>57245426.984235175</v>
      </c>
      <c r="G59" s="66">
        <f>IF(VLOOKUP($D59,$C$5:$AU$501,3,)=0,0,(VLOOKUP($D59,$C$5:$AU$501,5,)/VLOOKUP($D59,$C$5:$AU$501,3,))*$E59)</f>
        <v>0</v>
      </c>
      <c r="H59" s="66">
        <f>IF(VLOOKUP($D59,$C$5:$AU$501,3,)=0,0,(VLOOKUP($D59,$C$5:$AU$501,6,)/VLOOKUP($D59,$C$5:$AU$501,3,))*$E59)</f>
        <v>4315382.4069400793</v>
      </c>
      <c r="I59" s="66">
        <f>IF(VLOOKUP($D59,$C$5:$AU$501,3,)=0,0,(VLOOKUP($D59,$C$5:$AU$501,7,)/VLOOKUP($D59,$C$5:$AU$501,3,))*$E59)</f>
        <v>0</v>
      </c>
      <c r="J59" s="66">
        <f>IF(VLOOKUP($D59,$C$5:$AU$501,3,)=0,0,(VLOOKUP($D59,$C$5:$AU$501,8,)/VLOOKUP($D59,$C$5:$AU$501,3,))*$E59)</f>
        <v>183177.75376757781</v>
      </c>
      <c r="K59" s="66">
        <f>IF(VLOOKUP($D59,$C$5:$AU$501,3,)=0,0,(VLOOKUP($D59,$C$5:$AU$501,9,)/VLOOKUP($D59,$C$5:$AU$501,3,))*$E59)</f>
        <v>9515.7274684456006</v>
      </c>
      <c r="L59" s="66">
        <f>IF(VLOOKUP($D59,$C$5:$AU$501,3,)=0,0,(VLOOKUP($D59,$C$5:$AU$501,10,)/VLOOKUP($D59,$C$5:$AU$501,3,))*$E59)</f>
        <v>7136.7956013342</v>
      </c>
      <c r="M59" s="66">
        <f>IF(VLOOKUP($D59,$C$5:$AU$501,3,)=0,0,(VLOOKUP($D59,$C$5:$AU$501,11,)/VLOOKUP($D59,$C$5:$AU$501,3,))*$E59)</f>
        <v>1183518.6038879217</v>
      </c>
      <c r="N59" s="66">
        <f>IF(VLOOKUP($D59,$C$5:$AU$501,3,)=0,0,(VLOOKUP($D59,$C$5:$AU$501,12,)/VLOOKUP($D59,$C$5:$AU$501,3,))*$E59)</f>
        <v>27357.716471781099</v>
      </c>
      <c r="O59" s="66">
        <f>IF(VLOOKUP($D59,$C$5:$AU$501,3,)=0,0,(VLOOKUP($D59,$C$5:$AU$501,13,)/VLOOKUP($D59,$C$5:$AU$501,3,))*$E59)</f>
        <v>0</v>
      </c>
      <c r="P59" s="66">
        <f>IF(VLOOKUP($D59,$C$5:$AU$501,3,)=0,0,(VLOOKUP($D59,$C$5:$AU$501,14,)/VLOOKUP($D59,$C$5:$AU$501,3,))*$E59)</f>
        <v>0</v>
      </c>
      <c r="Q59" s="66">
        <f>IF(VLOOKUP($D59,$C$5:$AU$501,3,)=0,0,(VLOOKUP($D59,$C$5:$AU$501,15,)/VLOOKUP($D59,$C$5:$AU$501,3,))*$E59)</f>
        <v>0</v>
      </c>
      <c r="R59" s="66">
        <f>IF(VLOOKUP($D59,$C$5:$AU$501,3,)=0,0,(VLOOKUP($D59,$C$5:$AU$501,16,)/VLOOKUP($D59,$C$5:$AU$501,3,))*$E59)</f>
        <v>0</v>
      </c>
      <c r="S59" s="66">
        <f>IF(VLOOKUP($D59,$C$5:$AU$501,3,)=0,0,(VLOOKUP($D59,$C$5:$AU$501,17,)/VLOOKUP($D59,$C$5:$AU$501,3,))*$E59)</f>
        <v>0</v>
      </c>
      <c r="T59" s="66">
        <f>IF(VLOOKUP($D59,$C$5:$AU$501,3,)=0,0,(VLOOKUP($D59,$C$5:$AU$501,18,)/VLOOKUP($D59,$C$5:$AU$501,3,))*$E59)</f>
        <v>0</v>
      </c>
      <c r="U59" s="66">
        <f>IF(VLOOKUP($D59,$C$5:$AU$501,3,)=0,0,(VLOOKUP($D59,$C$5:$AU$501,19,)/VLOOKUP($D59,$C$5:$AU$501,3,))*$E59)</f>
        <v>0</v>
      </c>
      <c r="V59" s="66">
        <f>IF(VLOOKUP($D59,$C$5:$AU$501,3,)=0,0,(VLOOKUP($D59,$C$5:$AU$501,20,)/VLOOKUP($D59,$C$5:$AU$501,3,))*$E59)</f>
        <v>0</v>
      </c>
      <c r="W59" s="66">
        <f>IF(VLOOKUP($D59,$C$5:$AU$501,3,)=0,0,(VLOOKUP($D59,$C$5:$AU$501,21,)/VLOOKUP($D59,$C$5:$AU$501,3,))*$E59)</f>
        <v>0</v>
      </c>
      <c r="X59" s="66">
        <f>IF(VLOOKUP($D59,$C$5:$AU$501,3,)=0,0,(VLOOKUP($D59,$C$5:$AU$501,22,)/VLOOKUP($D59,$C$5:$AU$501,3,))*$E59)</f>
        <v>0</v>
      </c>
      <c r="Y59" s="66">
        <f>IF(VLOOKUP($D59,$C$5:$AU$501,3,)=0,0,(VLOOKUP($D59,$C$5:$AU$501,23,)/VLOOKUP($D59,$C$5:$AU$501,3,))*$E59)</f>
        <v>0</v>
      </c>
      <c r="Z59" s="66">
        <f>IF(VLOOKUP($D59,$C$5:$AU$501,3,)=0,0,(VLOOKUP($D59,$C$5:$AU$501,24,)/VLOOKUP($D59,$C$5:$AU$501,3,))*$E59)</f>
        <v>0</v>
      </c>
      <c r="AA59" s="66">
        <f>IF(VLOOKUP($D59,$C$5:$AU$501,3,)=0,0,(VLOOKUP($D59,$C$5:$AU$501,25,)/VLOOKUP($D59,$C$5:$AU$501,3,))*$E59)</f>
        <v>0</v>
      </c>
      <c r="AB59" s="66">
        <f>IF(VLOOKUP($D59,$C$5:$AU$501,3,)=0,0,(VLOOKUP($D59,$C$5:$AU$501,26,)/VLOOKUP($D59,$C$5:$AU$501,3,))*$E59)</f>
        <v>0</v>
      </c>
      <c r="AC59" s="66">
        <f>IF(VLOOKUP($D59,$C$5:$AU$501,3,)=0,0,(VLOOKUP($D59,$C$5:$AU$501,27,)/VLOOKUP($D59,$C$5:$AU$501,3,))*$E59)</f>
        <v>0</v>
      </c>
      <c r="AD59" s="66">
        <f>IF(VLOOKUP($D59,$C$5:$AU$501,3,)=0,0,(VLOOKUP($D59,$C$5:$AU$501,28,)/VLOOKUP($D59,$C$5:$AU$501,3,))*$E59)</f>
        <v>0</v>
      </c>
      <c r="AE59" s="66">
        <f>IF(VLOOKUP($D59,$C$5:$AU$501,3,)=0,0,(VLOOKUP($D59,$C$5:$AU$501,29,)/VLOOKUP($D59,$C$5:$AU$501,3,))*$E59)</f>
        <v>0</v>
      </c>
      <c r="AF59" s="66">
        <f>IF(VLOOKUP($D59,$C$5:$AU$501,3,)=0,0,(VLOOKUP($D59,$C$5:$AU$501,30,)/VLOOKUP($D59,$C$5:$AU$501,3,))*$E59)</f>
        <v>0</v>
      </c>
      <c r="AG59" s="95">
        <f>SUM(F59:AF59)</f>
        <v>62971515.988372318</v>
      </c>
      <c r="AH59" s="31" t="str">
        <f>IF(ABS(E59-AG59)&lt;0.01,"ok","err")</f>
        <v>ok</v>
      </c>
    </row>
    <row r="60" spans="1:34" x14ac:dyDescent="0.2">
      <c r="A60" s="14" t="s">
        <v>224</v>
      </c>
      <c r="E60" s="66">
        <f t="shared" ref="E60:T60" si="10">E58+E59</f>
        <v>144379581.67528713</v>
      </c>
      <c r="F60" s="66">
        <f t="shared" si="10"/>
        <v>124311031.11226794</v>
      </c>
      <c r="G60" s="66">
        <f t="shared" si="10"/>
        <v>0</v>
      </c>
      <c r="H60" s="66">
        <f t="shared" si="10"/>
        <v>5820420.4080623575</v>
      </c>
      <c r="I60" s="66">
        <f t="shared" si="10"/>
        <v>0</v>
      </c>
      <c r="J60" s="66">
        <f t="shared" si="10"/>
        <v>3736990.1324456013</v>
      </c>
      <c r="K60" s="66">
        <f t="shared" si="10"/>
        <v>2508931.4480513632</v>
      </c>
      <c r="L60" s="66">
        <f t="shared" si="10"/>
        <v>1972334.6424058359</v>
      </c>
      <c r="M60" s="66">
        <f t="shared" si="10"/>
        <v>4348541.1083384026</v>
      </c>
      <c r="N60" s="66">
        <f t="shared" si="10"/>
        <v>930633.57470694347</v>
      </c>
      <c r="O60" s="66">
        <f t="shared" si="10"/>
        <v>750699.24900868139</v>
      </c>
      <c r="P60" s="66">
        <f t="shared" si="10"/>
        <v>0</v>
      </c>
      <c r="Q60" s="66">
        <f t="shared" si="10"/>
        <v>0</v>
      </c>
      <c r="R60" s="66">
        <f t="shared" si="10"/>
        <v>0</v>
      </c>
      <c r="S60" s="66">
        <f t="shared" si="10"/>
        <v>0</v>
      </c>
      <c r="T60" s="66">
        <f t="shared" si="10"/>
        <v>0</v>
      </c>
      <c r="U60" s="66">
        <f t="shared" ref="U60:AF60" si="11">U58+U59</f>
        <v>0</v>
      </c>
      <c r="V60" s="66">
        <f t="shared" si="11"/>
        <v>0</v>
      </c>
      <c r="W60" s="66">
        <f t="shared" si="11"/>
        <v>0</v>
      </c>
      <c r="X60" s="66">
        <f t="shared" si="11"/>
        <v>0</v>
      </c>
      <c r="Y60" s="66">
        <f t="shared" si="11"/>
        <v>0</v>
      </c>
      <c r="Z60" s="66">
        <f t="shared" si="11"/>
        <v>0</v>
      </c>
      <c r="AA60" s="66">
        <f t="shared" si="11"/>
        <v>0</v>
      </c>
      <c r="AB60" s="66">
        <f t="shared" si="11"/>
        <v>0</v>
      </c>
      <c r="AC60" s="66">
        <f t="shared" si="11"/>
        <v>0</v>
      </c>
      <c r="AD60" s="66">
        <f t="shared" si="11"/>
        <v>0</v>
      </c>
      <c r="AE60" s="66">
        <f t="shared" si="11"/>
        <v>0</v>
      </c>
      <c r="AF60" s="66">
        <f t="shared" si="11"/>
        <v>0</v>
      </c>
      <c r="AG60" s="95">
        <f>SUM(F60:AF60)</f>
        <v>144379581.67528716</v>
      </c>
      <c r="AH60" s="31" t="str">
        <f>IF(ABS(E60-AG60)&lt;0.01,"ok","err")</f>
        <v>ok</v>
      </c>
    </row>
    <row r="61" spans="1:34" x14ac:dyDescent="0.2">
      <c r="E61" s="50"/>
    </row>
    <row r="62" spans="1:34" x14ac:dyDescent="0.2">
      <c r="A62" s="13" t="s">
        <v>3</v>
      </c>
      <c r="E62" s="50"/>
    </row>
    <row r="63" spans="1:34" x14ac:dyDescent="0.2">
      <c r="A63" s="98" t="s">
        <v>209</v>
      </c>
      <c r="C63" s="14" t="s">
        <v>243</v>
      </c>
      <c r="D63" s="14" t="s">
        <v>619</v>
      </c>
      <c r="E63" s="66">
        <f>'Func &amp; Classif'!R126</f>
        <v>0</v>
      </c>
      <c r="F63" s="66">
        <f>IF(VLOOKUP($D63,$C$5:$AU$501,3,)=0,0,(VLOOKUP($D63,$C$5:$AU$501,4,)/VLOOKUP($D63,$C$5:$AU$501,3,))*$E63)</f>
        <v>0</v>
      </c>
      <c r="G63" s="66">
        <f>IF(VLOOKUP($D63,$C$5:$AU$501,3,)=0,0,(VLOOKUP($D63,$C$5:$AU$501,5,)/VLOOKUP($D63,$C$5:$AU$501,3,))*$E63)</f>
        <v>0</v>
      </c>
      <c r="H63" s="66">
        <f>IF(VLOOKUP($D63,$C$5:$AU$501,3,)=0,0,(VLOOKUP($D63,$C$5:$AU$501,6,)/VLOOKUP($D63,$C$5:$AU$501,3,))*$E63)</f>
        <v>0</v>
      </c>
      <c r="I63" s="66">
        <f>IF(VLOOKUP($D63,$C$5:$AU$501,3,)=0,0,(VLOOKUP($D63,$C$5:$AU$501,7,)/VLOOKUP($D63,$C$5:$AU$501,3,))*$E63)</f>
        <v>0</v>
      </c>
      <c r="J63" s="66">
        <f>IF(VLOOKUP($D63,$C$5:$AU$501,3,)=0,0,(VLOOKUP($D63,$C$5:$AU$501,8,)/VLOOKUP($D63,$C$5:$AU$501,3,))*$E63)</f>
        <v>0</v>
      </c>
      <c r="K63" s="66">
        <f>IF(VLOOKUP($D63,$C$5:$AU$501,3,)=0,0,(VLOOKUP($D63,$C$5:$AU$501,9,)/VLOOKUP($D63,$C$5:$AU$501,3,))*$E63)</f>
        <v>0</v>
      </c>
      <c r="L63" s="66">
        <f>IF(VLOOKUP($D63,$C$5:$AU$501,3,)=0,0,(VLOOKUP($D63,$C$5:$AU$501,10,)/VLOOKUP($D63,$C$5:$AU$501,3,))*$E63)</f>
        <v>0</v>
      </c>
      <c r="M63" s="66">
        <f>IF(VLOOKUP($D63,$C$5:$AU$501,3,)=0,0,(VLOOKUP($D63,$C$5:$AU$501,11,)/VLOOKUP($D63,$C$5:$AU$501,3,))*$E63)</f>
        <v>0</v>
      </c>
      <c r="N63" s="66">
        <f>IF(VLOOKUP($D63,$C$5:$AU$501,3,)=0,0,(VLOOKUP($D63,$C$5:$AU$501,12,)/VLOOKUP($D63,$C$5:$AU$501,3,))*$E63)</f>
        <v>0</v>
      </c>
      <c r="O63" s="66">
        <f>IF(VLOOKUP($D63,$C$5:$AU$501,3,)=0,0,(VLOOKUP($D63,$C$5:$AU$501,13,)/VLOOKUP($D63,$C$5:$AU$501,3,))*$E63)</f>
        <v>0</v>
      </c>
      <c r="P63" s="66">
        <f>IF(VLOOKUP($D63,$C$5:$AU$501,3,)=0,0,(VLOOKUP($D63,$C$5:$AU$501,14,)/VLOOKUP($D63,$C$5:$AU$501,3,))*$E63)</f>
        <v>0</v>
      </c>
      <c r="Q63" s="66">
        <f>IF(VLOOKUP($D63,$C$5:$AU$501,3,)=0,0,(VLOOKUP($D63,$C$5:$AU$501,15,)/VLOOKUP($D63,$C$5:$AU$501,3,))*$E63)</f>
        <v>0</v>
      </c>
      <c r="R63" s="66">
        <f>IF(VLOOKUP($D63,$C$5:$AU$501,3,)=0,0,(VLOOKUP($D63,$C$5:$AU$501,16,)/VLOOKUP($D63,$C$5:$AU$501,3,))*$E63)</f>
        <v>0</v>
      </c>
      <c r="S63" s="66">
        <f>IF(VLOOKUP($D63,$C$5:$AU$501,3,)=0,0,(VLOOKUP($D63,$C$5:$AU$501,17,)/VLOOKUP($D63,$C$5:$AU$501,3,))*$E63)</f>
        <v>0</v>
      </c>
      <c r="T63" s="66">
        <f>IF(VLOOKUP($D63,$C$5:$AU$501,3,)=0,0,(VLOOKUP($D63,$C$5:$AU$501,18,)/VLOOKUP($D63,$C$5:$AU$501,3,))*$E63)</f>
        <v>0</v>
      </c>
      <c r="U63" s="66">
        <f>IF(VLOOKUP($D63,$C$5:$AU$501,3,)=0,0,(VLOOKUP($D63,$C$5:$AU$501,19,)/VLOOKUP($D63,$C$5:$AU$501,3,))*$E63)</f>
        <v>0</v>
      </c>
      <c r="V63" s="66">
        <f>IF(VLOOKUP($D63,$C$5:$AU$501,3,)=0,0,(VLOOKUP($D63,$C$5:$AU$501,20,)/VLOOKUP($D63,$C$5:$AU$501,3,))*$E63)</f>
        <v>0</v>
      </c>
      <c r="W63" s="66">
        <f>IF(VLOOKUP($D63,$C$5:$AU$501,3,)=0,0,(VLOOKUP($D63,$C$5:$AU$501,21,)/VLOOKUP($D63,$C$5:$AU$501,3,))*$E63)</f>
        <v>0</v>
      </c>
      <c r="X63" s="66">
        <f>IF(VLOOKUP($D63,$C$5:$AU$501,3,)=0,0,(VLOOKUP($D63,$C$5:$AU$501,22,)/VLOOKUP($D63,$C$5:$AU$501,3,))*$E63)</f>
        <v>0</v>
      </c>
      <c r="Y63" s="66">
        <f>IF(VLOOKUP($D63,$C$5:$AU$501,3,)=0,0,(VLOOKUP($D63,$C$5:$AU$501,23,)/VLOOKUP($D63,$C$5:$AU$501,3,))*$E63)</f>
        <v>0</v>
      </c>
      <c r="Z63" s="66">
        <f>IF(VLOOKUP($D63,$C$5:$AU$501,3,)=0,0,(VLOOKUP($D63,$C$5:$AU$501,24,)/VLOOKUP($D63,$C$5:$AU$501,3,))*$E63)</f>
        <v>0</v>
      </c>
      <c r="AA63" s="66">
        <f>IF(VLOOKUP($D63,$C$5:$AU$501,3,)=0,0,(VLOOKUP($D63,$C$5:$AU$501,25,)/VLOOKUP($D63,$C$5:$AU$501,3,))*$E63)</f>
        <v>0</v>
      </c>
      <c r="AB63" s="66">
        <f>IF(VLOOKUP($D63,$C$5:$AU$501,3,)=0,0,(VLOOKUP($D63,$C$5:$AU$501,26,)/VLOOKUP($D63,$C$5:$AU$501,3,))*$E63)</f>
        <v>0</v>
      </c>
      <c r="AC63" s="66">
        <f>IF(VLOOKUP($D63,$C$5:$AU$501,3,)=0,0,(VLOOKUP($D63,$C$5:$AU$501,27,)/VLOOKUP($D63,$C$5:$AU$501,3,))*$E63)</f>
        <v>0</v>
      </c>
      <c r="AD63" s="66">
        <f>IF(VLOOKUP($D63,$C$5:$AU$501,3,)=0,0,(VLOOKUP($D63,$C$5:$AU$501,28,)/VLOOKUP($D63,$C$5:$AU$501,3,))*$E63)</f>
        <v>0</v>
      </c>
      <c r="AE63" s="66">
        <f>IF(VLOOKUP($D63,$C$5:$AU$501,3,)=0,0,(VLOOKUP($D63,$C$5:$AU$501,29,)/VLOOKUP($D63,$C$5:$AU$501,3,))*$E63)</f>
        <v>0</v>
      </c>
      <c r="AF63" s="66">
        <f>IF(VLOOKUP($D63,$C$5:$AU$501,3,)=0,0,(VLOOKUP($D63,$C$5:$AU$501,30,)/VLOOKUP($D63,$C$5:$AU$501,3,))*$E63)</f>
        <v>0</v>
      </c>
      <c r="AG63" s="95">
        <f>SUM(F63:AF63)</f>
        <v>0</v>
      </c>
      <c r="AH63" s="31" t="str">
        <f>IF(ABS(E63-AG63)&lt;0.01,"ok","err")</f>
        <v>ok</v>
      </c>
    </row>
    <row r="64" spans="1:34" x14ac:dyDescent="0.2">
      <c r="A64" s="98" t="s">
        <v>221</v>
      </c>
      <c r="C64" s="14" t="s">
        <v>244</v>
      </c>
      <c r="D64" s="14" t="s">
        <v>700</v>
      </c>
      <c r="E64" s="50">
        <f>'Func &amp; Classif'!S126</f>
        <v>19386615.094920516</v>
      </c>
      <c r="F64" s="66">
        <f>IF(VLOOKUP($D64,$C$5:$AU$501,3,)=0,0,(VLOOKUP($D64,$C$5:$AU$501,4,)/VLOOKUP($D64,$C$5:$AU$501,3,))*$E64)</f>
        <v>16220526.991076771</v>
      </c>
      <c r="G64" s="66">
        <f>IF(VLOOKUP($D64,$C$5:$AU$501,3,)=0,0,(VLOOKUP($D64,$C$5:$AU$501,5,)/VLOOKUP($D64,$C$5:$AU$501,3,))*$E64)</f>
        <v>12133.292573373863</v>
      </c>
      <c r="H64" s="66">
        <f>IF(VLOOKUP($D64,$C$5:$AU$501,3,)=0,0,(VLOOKUP($D64,$C$5:$AU$501,6,)/VLOOKUP($D64,$C$5:$AU$501,3,))*$E64)</f>
        <v>2751224.0910125226</v>
      </c>
      <c r="I64" s="66">
        <f>IF(VLOOKUP($D64,$C$5:$AU$501,3,)=0,0,(VLOOKUP($D64,$C$5:$AU$501,7,)/VLOOKUP($D64,$C$5:$AU$501,3,))*$E64)</f>
        <v>101.11077144478217</v>
      </c>
      <c r="J64" s="66">
        <f>IF(VLOOKUP($D64,$C$5:$AU$501,3,)=0,0,(VLOOKUP($D64,$C$5:$AU$501,8,)/VLOOKUP($D64,$C$5:$AU$501,3,))*$E64)</f>
        <v>51903.529341654845</v>
      </c>
      <c r="K64" s="66">
        <f>IF(VLOOKUP($D64,$C$5:$AU$501,3,)=0,0,(VLOOKUP($D64,$C$5:$AU$501,9,)/VLOOKUP($D64,$C$5:$AU$501,3,))*$E64)</f>
        <v>0</v>
      </c>
      <c r="L64" s="66">
        <f>IF(VLOOKUP($D64,$C$5:$AU$501,3,)=0,0,(VLOOKUP($D64,$C$5:$AU$501,10,)/VLOOKUP($D64,$C$5:$AU$501,3,))*$E64)</f>
        <v>0</v>
      </c>
      <c r="M64" s="66">
        <f>IF(VLOOKUP($D64,$C$5:$AU$501,3,)=0,0,(VLOOKUP($D64,$C$5:$AU$501,11,)/VLOOKUP($D64,$C$5:$AU$501,3,))*$E64)</f>
        <v>335350.72529186081</v>
      </c>
      <c r="N64" s="66">
        <f>IF(VLOOKUP($D64,$C$5:$AU$501,3,)=0,0,(VLOOKUP($D64,$C$5:$AU$501,12,)/VLOOKUP($D64,$C$5:$AU$501,3,))*$E64)</f>
        <v>15375.354852888173</v>
      </c>
      <c r="O64" s="66">
        <f>IF(VLOOKUP($D64,$C$5:$AU$501,3,)=0,0,(VLOOKUP($D64,$C$5:$AU$501,13,)/VLOOKUP($D64,$C$5:$AU$501,3,))*$E64)</f>
        <v>0</v>
      </c>
      <c r="P64" s="66">
        <f>IF(VLOOKUP($D64,$C$5:$AU$501,3,)=0,0,(VLOOKUP($D64,$C$5:$AU$501,14,)/VLOOKUP($D64,$C$5:$AU$501,3,))*$E64)</f>
        <v>0</v>
      </c>
      <c r="Q64" s="66">
        <f>IF(VLOOKUP($D64,$C$5:$AU$501,3,)=0,0,(VLOOKUP($D64,$C$5:$AU$501,15,)/VLOOKUP($D64,$C$5:$AU$501,3,))*$E64)</f>
        <v>0</v>
      </c>
      <c r="R64" s="66">
        <f>IF(VLOOKUP($D64,$C$5:$AU$501,3,)=0,0,(VLOOKUP($D64,$C$5:$AU$501,16,)/VLOOKUP($D64,$C$5:$AU$501,3,))*$E64)</f>
        <v>0</v>
      </c>
      <c r="S64" s="66">
        <f>IF(VLOOKUP($D64,$C$5:$AU$501,3,)=0,0,(VLOOKUP($D64,$C$5:$AU$501,17,)/VLOOKUP($D64,$C$5:$AU$501,3,))*$E64)</f>
        <v>0</v>
      </c>
      <c r="T64" s="66">
        <f>IF(VLOOKUP($D64,$C$5:$AU$501,3,)=0,0,(VLOOKUP($D64,$C$5:$AU$501,18,)/VLOOKUP($D64,$C$5:$AU$501,3,))*$E64)</f>
        <v>0</v>
      </c>
      <c r="U64" s="66">
        <f>IF(VLOOKUP($D64,$C$5:$AU$501,3,)=0,0,(VLOOKUP($D64,$C$5:$AU$501,19,)/VLOOKUP($D64,$C$5:$AU$501,3,))*$E64)</f>
        <v>0</v>
      </c>
      <c r="V64" s="66">
        <f>IF(VLOOKUP($D64,$C$5:$AU$501,3,)=0,0,(VLOOKUP($D64,$C$5:$AU$501,20,)/VLOOKUP($D64,$C$5:$AU$501,3,))*$E64)</f>
        <v>0</v>
      </c>
      <c r="W64" s="66">
        <f>IF(VLOOKUP($D64,$C$5:$AU$501,3,)=0,0,(VLOOKUP($D64,$C$5:$AU$501,21,)/VLOOKUP($D64,$C$5:$AU$501,3,))*$E64)</f>
        <v>0</v>
      </c>
      <c r="X64" s="66">
        <f>IF(VLOOKUP($D64,$C$5:$AU$501,3,)=0,0,(VLOOKUP($D64,$C$5:$AU$501,22,)/VLOOKUP($D64,$C$5:$AU$501,3,))*$E64)</f>
        <v>0</v>
      </c>
      <c r="Y64" s="66">
        <f>IF(VLOOKUP($D64,$C$5:$AU$501,3,)=0,0,(VLOOKUP($D64,$C$5:$AU$501,23,)/VLOOKUP($D64,$C$5:$AU$501,3,))*$E64)</f>
        <v>0</v>
      </c>
      <c r="Z64" s="66">
        <f>IF(VLOOKUP($D64,$C$5:$AU$501,3,)=0,0,(VLOOKUP($D64,$C$5:$AU$501,24,)/VLOOKUP($D64,$C$5:$AU$501,3,))*$E64)</f>
        <v>0</v>
      </c>
      <c r="AA64" s="66">
        <f>IF(VLOOKUP($D64,$C$5:$AU$501,3,)=0,0,(VLOOKUP($D64,$C$5:$AU$501,25,)/VLOOKUP($D64,$C$5:$AU$501,3,))*$E64)</f>
        <v>0</v>
      </c>
      <c r="AB64" s="66">
        <f>IF(VLOOKUP($D64,$C$5:$AU$501,3,)=0,0,(VLOOKUP($D64,$C$5:$AU$501,26,)/VLOOKUP($D64,$C$5:$AU$501,3,))*$E64)</f>
        <v>0</v>
      </c>
      <c r="AC64" s="66">
        <f>IF(VLOOKUP($D64,$C$5:$AU$501,3,)=0,0,(VLOOKUP($D64,$C$5:$AU$501,27,)/VLOOKUP($D64,$C$5:$AU$501,3,))*$E64)</f>
        <v>0</v>
      </c>
      <c r="AD64" s="66">
        <f>IF(VLOOKUP($D64,$C$5:$AU$501,3,)=0,0,(VLOOKUP($D64,$C$5:$AU$501,28,)/VLOOKUP($D64,$C$5:$AU$501,3,))*$E64)</f>
        <v>0</v>
      </c>
      <c r="AE64" s="66">
        <f>IF(VLOOKUP($D64,$C$5:$AU$501,3,)=0,0,(VLOOKUP($D64,$C$5:$AU$501,29,)/VLOOKUP($D64,$C$5:$AU$501,3,))*$E64)</f>
        <v>0</v>
      </c>
      <c r="AF64" s="66">
        <f>IF(VLOOKUP($D64,$C$5:$AU$501,3,)=0,0,(VLOOKUP($D64,$C$5:$AU$501,30,)/VLOOKUP($D64,$C$5:$AU$501,3,))*$E64)</f>
        <v>0</v>
      </c>
      <c r="AG64" s="95">
        <f>SUM(F64:AF64)</f>
        <v>19386615.094920512</v>
      </c>
      <c r="AH64" s="31" t="str">
        <f>IF(ABS(E64-AG64)&lt;0.01,"ok","err")</f>
        <v>ok</v>
      </c>
    </row>
    <row r="65" spans="1:34" x14ac:dyDescent="0.2">
      <c r="A65" s="14" t="s">
        <v>228</v>
      </c>
      <c r="E65" s="66">
        <f t="shared" ref="E65:T65" si="12">E63+E64</f>
        <v>19386615.094920516</v>
      </c>
      <c r="F65" s="66">
        <f t="shared" si="12"/>
        <v>16220526.991076771</v>
      </c>
      <c r="G65" s="66">
        <f t="shared" si="12"/>
        <v>12133.292573373863</v>
      </c>
      <c r="H65" s="66">
        <f t="shared" si="12"/>
        <v>2751224.0910125226</v>
      </c>
      <c r="I65" s="66">
        <f t="shared" si="12"/>
        <v>101.11077144478217</v>
      </c>
      <c r="J65" s="66">
        <f t="shared" si="12"/>
        <v>51903.529341654845</v>
      </c>
      <c r="K65" s="66">
        <f t="shared" si="12"/>
        <v>0</v>
      </c>
      <c r="L65" s="66">
        <f t="shared" si="12"/>
        <v>0</v>
      </c>
      <c r="M65" s="66">
        <f t="shared" si="12"/>
        <v>335350.72529186081</v>
      </c>
      <c r="N65" s="66">
        <f t="shared" si="12"/>
        <v>15375.354852888173</v>
      </c>
      <c r="O65" s="66">
        <f t="shared" si="12"/>
        <v>0</v>
      </c>
      <c r="P65" s="66">
        <f t="shared" si="12"/>
        <v>0</v>
      </c>
      <c r="Q65" s="66">
        <f t="shared" si="12"/>
        <v>0</v>
      </c>
      <c r="R65" s="66">
        <f t="shared" si="12"/>
        <v>0</v>
      </c>
      <c r="S65" s="66">
        <f t="shared" si="12"/>
        <v>0</v>
      </c>
      <c r="T65" s="66">
        <f t="shared" si="12"/>
        <v>0</v>
      </c>
      <c r="U65" s="66">
        <f t="shared" ref="U65:AF65" si="13">U63+U64</f>
        <v>0</v>
      </c>
      <c r="V65" s="66">
        <f t="shared" si="13"/>
        <v>0</v>
      </c>
      <c r="W65" s="66">
        <f t="shared" si="13"/>
        <v>0</v>
      </c>
      <c r="X65" s="66">
        <f t="shared" si="13"/>
        <v>0</v>
      </c>
      <c r="Y65" s="66">
        <f t="shared" si="13"/>
        <v>0</v>
      </c>
      <c r="Z65" s="66">
        <f t="shared" si="13"/>
        <v>0</v>
      </c>
      <c r="AA65" s="66">
        <f t="shared" si="13"/>
        <v>0</v>
      </c>
      <c r="AB65" s="66">
        <f t="shared" si="13"/>
        <v>0</v>
      </c>
      <c r="AC65" s="66">
        <f t="shared" si="13"/>
        <v>0</v>
      </c>
      <c r="AD65" s="66">
        <f t="shared" si="13"/>
        <v>0</v>
      </c>
      <c r="AE65" s="66">
        <f t="shared" si="13"/>
        <v>0</v>
      </c>
      <c r="AF65" s="66">
        <f t="shared" si="13"/>
        <v>0</v>
      </c>
      <c r="AG65" s="95">
        <f>SUM(F65:AF65)</f>
        <v>19386615.094920512</v>
      </c>
      <c r="AH65" s="31" t="str">
        <f>IF(ABS(E65-AG65)&lt;0.01,"ok","err")</f>
        <v>ok</v>
      </c>
    </row>
    <row r="66" spans="1:34" x14ac:dyDescent="0.2">
      <c r="E66" s="50"/>
    </row>
    <row r="67" spans="1:34" x14ac:dyDescent="0.2">
      <c r="A67" s="13" t="s">
        <v>4</v>
      </c>
      <c r="E67" s="50"/>
    </row>
    <row r="68" spans="1:34" x14ac:dyDescent="0.2">
      <c r="A68" s="98" t="s">
        <v>221</v>
      </c>
      <c r="C68" s="14" t="s">
        <v>245</v>
      </c>
      <c r="D68" s="14" t="s">
        <v>230</v>
      </c>
      <c r="E68" s="66">
        <f>'Func &amp; Classif'!U126</f>
        <v>11190613.53527583</v>
      </c>
      <c r="F68" s="66">
        <f>IF(VLOOKUP($D68,$C$5:$AU$501,3,)=0,0,(VLOOKUP($D68,$C$5:$AU$501,4,)/VLOOKUP($D68,$C$5:$AU$501,3,))*$E68)</f>
        <v>9495709.1391452029</v>
      </c>
      <c r="G68" s="66">
        <f>IF(VLOOKUP($D68,$C$5:$AU$501,3,)=0,0,(VLOOKUP($D68,$C$5:$AU$501,5,)/VLOOKUP($D68,$C$5:$AU$501,3,))*$E68)</f>
        <v>71029.885305385207</v>
      </c>
      <c r="H68" s="66">
        <f>IF(VLOOKUP($D68,$C$5:$AU$501,3,)=0,0,(VLOOKUP($D68,$C$5:$AU$501,6,)/VLOOKUP($D68,$C$5:$AU$501,3,))*$E68)</f>
        <v>1197692.1686287699</v>
      </c>
      <c r="I68" s="66">
        <f>IF(VLOOKUP($D68,$C$5:$AU$501,3,)=0,0,(VLOOKUP($D68,$C$5:$AU$501,7,)/VLOOKUP($D68,$C$5:$AU$501,3,))*$E68)</f>
        <v>990.37389908663442</v>
      </c>
      <c r="J68" s="66">
        <f>IF(VLOOKUP($D68,$C$5:$AU$501,3,)=0,0,(VLOOKUP($D68,$C$5:$AU$501,8,)/VLOOKUP($D68,$C$5:$AU$501,3,))*$E68)</f>
        <v>81698.000884487657</v>
      </c>
      <c r="K68" s="66">
        <f>IF(VLOOKUP($D68,$C$5:$AU$501,3,)=0,0,(VLOOKUP($D68,$C$5:$AU$501,9,)/VLOOKUP($D68,$C$5:$AU$501,3,))*$E68)</f>
        <v>4244.0519939993592</v>
      </c>
      <c r="L68" s="66">
        <f>IF(VLOOKUP($D68,$C$5:$AU$501,3,)=0,0,(VLOOKUP($D68,$C$5:$AU$501,10,)/VLOOKUP($D68,$C$5:$AU$501,3,))*$E68)</f>
        <v>3183.0389954995194</v>
      </c>
      <c r="M68" s="66">
        <f>IF(VLOOKUP($D68,$C$5:$AU$501,3,)=0,0,(VLOOKUP($D68,$C$5:$AU$501,11,)/VLOOKUP($D68,$C$5:$AU$501,3,))*$E68)</f>
        <v>328474.00986373378</v>
      </c>
      <c r="N68" s="66">
        <f>IF(VLOOKUP($D68,$C$5:$AU$501,3,)=0,0,(VLOOKUP($D68,$C$5:$AU$501,12,)/VLOOKUP($D68,$C$5:$AU$501,3,))*$E68)</f>
        <v>7592.8665596641986</v>
      </c>
      <c r="O68" s="66">
        <f>IF(VLOOKUP($D68,$C$5:$AU$501,3,)=0,0,(VLOOKUP($D68,$C$5:$AU$501,13,)/VLOOKUP($D68,$C$5:$AU$501,3,))*$E68)</f>
        <v>0</v>
      </c>
      <c r="P68" s="66">
        <f>IF(VLOOKUP($D68,$C$5:$AU$501,3,)=0,0,(VLOOKUP($D68,$C$5:$AU$501,14,)/VLOOKUP($D68,$C$5:$AU$501,3,))*$E68)</f>
        <v>0</v>
      </c>
      <c r="Q68" s="66">
        <f>IF(VLOOKUP($D68,$C$5:$AU$501,3,)=0,0,(VLOOKUP($D68,$C$5:$AU$501,15,)/VLOOKUP($D68,$C$5:$AU$501,3,))*$E68)</f>
        <v>0</v>
      </c>
      <c r="R68" s="66">
        <f>IF(VLOOKUP($D68,$C$5:$AU$501,3,)=0,0,(VLOOKUP($D68,$C$5:$AU$501,16,)/VLOOKUP($D68,$C$5:$AU$501,3,))*$E68)</f>
        <v>0</v>
      </c>
      <c r="S68" s="66">
        <f>IF(VLOOKUP($D68,$C$5:$AU$501,3,)=0,0,(VLOOKUP($D68,$C$5:$AU$501,17,)/VLOOKUP($D68,$C$5:$AU$501,3,))*$E68)</f>
        <v>0</v>
      </c>
      <c r="T68" s="66">
        <f>IF(VLOOKUP($D68,$C$5:$AU$501,3,)=0,0,(VLOOKUP($D68,$C$5:$AU$501,18,)/VLOOKUP($D68,$C$5:$AU$501,3,))*$E68)</f>
        <v>0</v>
      </c>
      <c r="U68" s="66">
        <f>IF(VLOOKUP($D68,$C$5:$AU$501,3,)=0,0,(VLOOKUP($D68,$C$5:$AU$501,19,)/VLOOKUP($D68,$C$5:$AU$501,3,))*$E68)</f>
        <v>0</v>
      </c>
      <c r="V68" s="66">
        <f>IF(VLOOKUP($D68,$C$5:$AU$501,3,)=0,0,(VLOOKUP($D68,$C$5:$AU$501,20,)/VLOOKUP($D68,$C$5:$AU$501,3,))*$E68)</f>
        <v>0</v>
      </c>
      <c r="W68" s="66">
        <f>IF(VLOOKUP($D68,$C$5:$AU$501,3,)=0,0,(VLOOKUP($D68,$C$5:$AU$501,21,)/VLOOKUP($D68,$C$5:$AU$501,3,))*$E68)</f>
        <v>0</v>
      </c>
      <c r="X68" s="66">
        <f>IF(VLOOKUP($D68,$C$5:$AU$501,3,)=0,0,(VLOOKUP($D68,$C$5:$AU$501,22,)/VLOOKUP($D68,$C$5:$AU$501,3,))*$E68)</f>
        <v>0</v>
      </c>
      <c r="Y68" s="66">
        <f>IF(VLOOKUP($D68,$C$5:$AU$501,3,)=0,0,(VLOOKUP($D68,$C$5:$AU$501,23,)/VLOOKUP($D68,$C$5:$AU$501,3,))*$E68)</f>
        <v>0</v>
      </c>
      <c r="Z68" s="66">
        <f>IF(VLOOKUP($D68,$C$5:$AU$501,3,)=0,0,(VLOOKUP($D68,$C$5:$AU$501,24,)/VLOOKUP($D68,$C$5:$AU$501,3,))*$E68)</f>
        <v>0</v>
      </c>
      <c r="AA68" s="66">
        <f>IF(VLOOKUP($D68,$C$5:$AU$501,3,)=0,0,(VLOOKUP($D68,$C$5:$AU$501,25,)/VLOOKUP($D68,$C$5:$AU$501,3,))*$E68)</f>
        <v>0</v>
      </c>
      <c r="AB68" s="66">
        <f>IF(VLOOKUP($D68,$C$5:$AU$501,3,)=0,0,(VLOOKUP($D68,$C$5:$AU$501,26,)/VLOOKUP($D68,$C$5:$AU$501,3,))*$E68)</f>
        <v>0</v>
      </c>
      <c r="AC68" s="66">
        <f>IF(VLOOKUP($D68,$C$5:$AU$501,3,)=0,0,(VLOOKUP($D68,$C$5:$AU$501,27,)/VLOOKUP($D68,$C$5:$AU$501,3,))*$E68)</f>
        <v>0</v>
      </c>
      <c r="AD68" s="66">
        <f>IF(VLOOKUP($D68,$C$5:$AU$501,3,)=0,0,(VLOOKUP($D68,$C$5:$AU$501,28,)/VLOOKUP($D68,$C$5:$AU$501,3,))*$E68)</f>
        <v>0</v>
      </c>
      <c r="AE68" s="66">
        <f>IF(VLOOKUP($D68,$C$5:$AU$501,3,)=0,0,(VLOOKUP($D68,$C$5:$AU$501,29,)/VLOOKUP($D68,$C$5:$AU$501,3,))*$E68)</f>
        <v>0</v>
      </c>
      <c r="AF68" s="66">
        <f>IF(VLOOKUP($D68,$C$5:$AU$501,3,)=0,0,(VLOOKUP($D68,$C$5:$AU$501,30,)/VLOOKUP($D68,$C$5:$AU$501,3,))*$E68)</f>
        <v>0</v>
      </c>
      <c r="AG68" s="95">
        <f>SUM(F68:AF68)</f>
        <v>11190613.535275832</v>
      </c>
      <c r="AH68" s="31" t="str">
        <f>IF(ABS(E68-AG68)&lt;0.01,"ok","err")</f>
        <v>ok</v>
      </c>
    </row>
    <row r="69" spans="1:34" x14ac:dyDescent="0.2">
      <c r="E69" s="50"/>
    </row>
    <row r="70" spans="1:34" x14ac:dyDescent="0.2">
      <c r="A70" s="13" t="s">
        <v>5</v>
      </c>
      <c r="E70" s="50"/>
    </row>
    <row r="71" spans="1:34" x14ac:dyDescent="0.2">
      <c r="A71" s="98" t="s">
        <v>221</v>
      </c>
      <c r="C71" s="14" t="s">
        <v>246</v>
      </c>
      <c r="D71" s="14" t="s">
        <v>232</v>
      </c>
      <c r="E71" s="66">
        <f>'Func &amp; Classif'!W126</f>
        <v>11699806.049187245</v>
      </c>
      <c r="F71" s="66">
        <f>IF(VLOOKUP($D71,$C$5:$AU$501,3,)=0,0,(VLOOKUP($D71,$C$5:$AU$501,4,)/VLOOKUP($D71,$C$5:$AU$501,3,))*$E71)</f>
        <v>0</v>
      </c>
      <c r="G71" s="66">
        <f>IF(VLOOKUP($D71,$C$5:$AU$501,3,)=0,0,(VLOOKUP($D71,$C$5:$AU$501,5,)/VLOOKUP($D71,$C$5:$AU$501,3,))*$E71)</f>
        <v>0</v>
      </c>
      <c r="H71" s="66">
        <f>IF(VLOOKUP($D71,$C$5:$AU$501,3,)=0,0,(VLOOKUP($D71,$C$5:$AU$501,6,)/VLOOKUP($D71,$C$5:$AU$501,3,))*$E71)</f>
        <v>0</v>
      </c>
      <c r="I71" s="66">
        <f>IF(VLOOKUP($D71,$C$5:$AU$501,3,)=0,0,(VLOOKUP($D71,$C$5:$AU$501,7,)/VLOOKUP($D71,$C$5:$AU$501,3,))*$E71)</f>
        <v>0</v>
      </c>
      <c r="J71" s="66">
        <f>IF(VLOOKUP($D71,$C$5:$AU$501,3,)=0,0,(VLOOKUP($D71,$C$5:$AU$501,8,)/VLOOKUP($D71,$C$5:$AU$501,3,))*$E71)</f>
        <v>0</v>
      </c>
      <c r="K71" s="66">
        <f>IF(VLOOKUP($D71,$C$5:$AU$501,3,)=0,0,(VLOOKUP($D71,$C$5:$AU$501,9,)/VLOOKUP($D71,$C$5:$AU$501,3,))*$E71)</f>
        <v>0</v>
      </c>
      <c r="L71" s="66">
        <f>IF(VLOOKUP($D71,$C$5:$AU$501,3,)=0,0,(VLOOKUP($D71,$C$5:$AU$501,10,)/VLOOKUP($D71,$C$5:$AU$501,3,))*$E71)</f>
        <v>0</v>
      </c>
      <c r="M71" s="66">
        <f>IF(VLOOKUP($D71,$C$5:$AU$501,3,)=0,0,(VLOOKUP($D71,$C$5:$AU$501,11,)/VLOOKUP($D71,$C$5:$AU$501,3,))*$E71)</f>
        <v>0</v>
      </c>
      <c r="N71" s="66">
        <f>IF(VLOOKUP($D71,$C$5:$AU$501,3,)=0,0,(VLOOKUP($D71,$C$5:$AU$501,12,)/VLOOKUP($D71,$C$5:$AU$501,3,))*$E71)</f>
        <v>0</v>
      </c>
      <c r="O71" s="66">
        <f>IF(VLOOKUP($D71,$C$5:$AU$501,3,)=0,0,(VLOOKUP($D71,$C$5:$AU$501,13,)/VLOOKUP($D71,$C$5:$AU$501,3,))*$E71)</f>
        <v>11699806.049187245</v>
      </c>
      <c r="P71" s="66">
        <f>IF(VLOOKUP($D71,$C$5:$AU$501,3,)=0,0,(VLOOKUP($D71,$C$5:$AU$501,14,)/VLOOKUP($D71,$C$5:$AU$501,3,))*$E71)</f>
        <v>0</v>
      </c>
      <c r="Q71" s="66">
        <f>IF(VLOOKUP($D71,$C$5:$AU$501,3,)=0,0,(VLOOKUP($D71,$C$5:$AU$501,15,)/VLOOKUP($D71,$C$5:$AU$501,3,))*$E71)</f>
        <v>0</v>
      </c>
      <c r="R71" s="66">
        <f>IF(VLOOKUP($D71,$C$5:$AU$501,3,)=0,0,(VLOOKUP($D71,$C$5:$AU$501,16,)/VLOOKUP($D71,$C$5:$AU$501,3,))*$E71)</f>
        <v>0</v>
      </c>
      <c r="S71" s="66">
        <f>IF(VLOOKUP($D71,$C$5:$AU$501,3,)=0,0,(VLOOKUP($D71,$C$5:$AU$501,17,)/VLOOKUP($D71,$C$5:$AU$501,3,))*$E71)</f>
        <v>0</v>
      </c>
      <c r="T71" s="66">
        <f>IF(VLOOKUP($D71,$C$5:$AU$501,3,)=0,0,(VLOOKUP($D71,$C$5:$AU$501,18,)/VLOOKUP($D71,$C$5:$AU$501,3,))*$E71)</f>
        <v>0</v>
      </c>
      <c r="U71" s="66">
        <f>IF(VLOOKUP($D71,$C$5:$AU$501,3,)=0,0,(VLOOKUP($D71,$C$5:$AU$501,19,)/VLOOKUP($D71,$C$5:$AU$501,3,))*$E71)</f>
        <v>0</v>
      </c>
      <c r="V71" s="66">
        <f>IF(VLOOKUP($D71,$C$5:$AU$501,3,)=0,0,(VLOOKUP($D71,$C$5:$AU$501,20,)/VLOOKUP($D71,$C$5:$AU$501,3,))*$E71)</f>
        <v>0</v>
      </c>
      <c r="W71" s="66">
        <f>IF(VLOOKUP($D71,$C$5:$AU$501,3,)=0,0,(VLOOKUP($D71,$C$5:$AU$501,21,)/VLOOKUP($D71,$C$5:$AU$501,3,))*$E71)</f>
        <v>0</v>
      </c>
      <c r="X71" s="66">
        <f>IF(VLOOKUP($D71,$C$5:$AU$501,3,)=0,0,(VLOOKUP($D71,$C$5:$AU$501,22,)/VLOOKUP($D71,$C$5:$AU$501,3,))*$E71)</f>
        <v>0</v>
      </c>
      <c r="Y71" s="66">
        <f>IF(VLOOKUP($D71,$C$5:$AU$501,3,)=0,0,(VLOOKUP($D71,$C$5:$AU$501,23,)/VLOOKUP($D71,$C$5:$AU$501,3,))*$E71)</f>
        <v>0</v>
      </c>
      <c r="Z71" s="66">
        <f>IF(VLOOKUP($D71,$C$5:$AU$501,3,)=0,0,(VLOOKUP($D71,$C$5:$AU$501,24,)/VLOOKUP($D71,$C$5:$AU$501,3,))*$E71)</f>
        <v>0</v>
      </c>
      <c r="AA71" s="66">
        <f>IF(VLOOKUP($D71,$C$5:$AU$501,3,)=0,0,(VLOOKUP($D71,$C$5:$AU$501,25,)/VLOOKUP($D71,$C$5:$AU$501,3,))*$E71)</f>
        <v>0</v>
      </c>
      <c r="AB71" s="66">
        <f>IF(VLOOKUP($D71,$C$5:$AU$501,3,)=0,0,(VLOOKUP($D71,$C$5:$AU$501,26,)/VLOOKUP($D71,$C$5:$AU$501,3,))*$E71)</f>
        <v>0</v>
      </c>
      <c r="AC71" s="66">
        <f>IF(VLOOKUP($D71,$C$5:$AU$501,3,)=0,0,(VLOOKUP($D71,$C$5:$AU$501,27,)/VLOOKUP($D71,$C$5:$AU$501,3,))*$E71)</f>
        <v>0</v>
      </c>
      <c r="AD71" s="66">
        <f>IF(VLOOKUP($D71,$C$5:$AU$501,3,)=0,0,(VLOOKUP($D71,$C$5:$AU$501,28,)/VLOOKUP($D71,$C$5:$AU$501,3,))*$E71)</f>
        <v>0</v>
      </c>
      <c r="AE71" s="66">
        <f>IF(VLOOKUP($D71,$C$5:$AU$501,3,)=0,0,(VLOOKUP($D71,$C$5:$AU$501,29,)/VLOOKUP($D71,$C$5:$AU$501,3,))*$E71)</f>
        <v>0</v>
      </c>
      <c r="AF71" s="66">
        <f>IF(VLOOKUP($D71,$C$5:$AU$501,3,)=0,0,(VLOOKUP($D71,$C$5:$AU$501,30,)/VLOOKUP($D71,$C$5:$AU$501,3,))*$E71)</f>
        <v>0</v>
      </c>
      <c r="AG71" s="95">
        <f>SUM(F71:AF71)</f>
        <v>11699806.049187245</v>
      </c>
      <c r="AH71" s="31" t="str">
        <f>IF(ABS(E71-AG71)&lt;0.01,"ok","err")</f>
        <v>ok</v>
      </c>
    </row>
    <row r="72" spans="1:34" x14ac:dyDescent="0.2">
      <c r="E72" s="50"/>
    </row>
    <row r="73" spans="1:34" x14ac:dyDescent="0.2">
      <c r="A73" s="13" t="s">
        <v>545</v>
      </c>
      <c r="E73" s="50"/>
    </row>
    <row r="74" spans="1:34" x14ac:dyDescent="0.2">
      <c r="A74" s="98" t="s">
        <v>221</v>
      </c>
      <c r="C74" s="14" t="s">
        <v>247</v>
      </c>
      <c r="D74" s="14" t="s">
        <v>234</v>
      </c>
      <c r="E74" s="66">
        <f>'Func &amp; Classif'!Y126</f>
        <v>0</v>
      </c>
      <c r="F74" s="66">
        <f>IF(VLOOKUP($D74,$C$5:$AU$501,3,)=0,0,(VLOOKUP($D74,$C$5:$AU$501,4,)/VLOOKUP($D74,$C$5:$AU$501,3,))*$E74)</f>
        <v>0</v>
      </c>
      <c r="G74" s="66">
        <f>IF(VLOOKUP($D74,$C$5:$AU$501,3,)=0,0,(VLOOKUP($D74,$C$5:$AU$501,5,)/VLOOKUP($D74,$C$5:$AU$501,3,))*$E74)</f>
        <v>0</v>
      </c>
      <c r="H74" s="66">
        <f>IF(VLOOKUP($D74,$C$5:$AU$501,3,)=0,0,(VLOOKUP($D74,$C$5:$AU$501,6,)/VLOOKUP($D74,$C$5:$AU$501,3,))*$E74)</f>
        <v>0</v>
      </c>
      <c r="I74" s="66">
        <f>IF(VLOOKUP($D74,$C$5:$AU$501,3,)=0,0,(VLOOKUP($D74,$C$5:$AU$501,7,)/VLOOKUP($D74,$C$5:$AU$501,3,))*$E74)</f>
        <v>0</v>
      </c>
      <c r="J74" s="66">
        <f>IF(VLOOKUP($D74,$C$5:$AU$501,3,)=0,0,(VLOOKUP($D74,$C$5:$AU$501,8,)/VLOOKUP($D74,$C$5:$AU$501,3,))*$E74)</f>
        <v>0</v>
      </c>
      <c r="K74" s="66">
        <f>IF(VLOOKUP($D74,$C$5:$AU$501,3,)=0,0,(VLOOKUP($D74,$C$5:$AU$501,9,)/VLOOKUP($D74,$C$5:$AU$501,3,))*$E74)</f>
        <v>0</v>
      </c>
      <c r="L74" s="66">
        <f>IF(VLOOKUP($D74,$C$5:$AU$501,3,)=0,0,(VLOOKUP($D74,$C$5:$AU$501,10,)/VLOOKUP($D74,$C$5:$AU$501,3,))*$E74)</f>
        <v>0</v>
      </c>
      <c r="M74" s="66">
        <f>IF(VLOOKUP($D74,$C$5:$AU$501,3,)=0,0,(VLOOKUP($D74,$C$5:$AU$501,11,)/VLOOKUP($D74,$C$5:$AU$501,3,))*$E74)</f>
        <v>0</v>
      </c>
      <c r="N74" s="66">
        <f>IF(VLOOKUP($D74,$C$5:$AU$501,3,)=0,0,(VLOOKUP($D74,$C$5:$AU$501,12,)/VLOOKUP($D74,$C$5:$AU$501,3,))*$E74)</f>
        <v>0</v>
      </c>
      <c r="O74" s="66">
        <f>IF(VLOOKUP($D74,$C$5:$AU$501,3,)=0,0,(VLOOKUP($D74,$C$5:$AU$501,13,)/VLOOKUP($D74,$C$5:$AU$501,3,))*$E74)</f>
        <v>0</v>
      </c>
      <c r="P74" s="66">
        <f>IF(VLOOKUP($D74,$C$5:$AU$501,3,)=0,0,(VLOOKUP($D74,$C$5:$AU$501,14,)/VLOOKUP($D74,$C$5:$AU$501,3,))*$E74)</f>
        <v>0</v>
      </c>
      <c r="Q74" s="66">
        <f>IF(VLOOKUP($D74,$C$5:$AU$501,3,)=0,0,(VLOOKUP($D74,$C$5:$AU$501,15,)/VLOOKUP($D74,$C$5:$AU$501,3,))*$E74)</f>
        <v>0</v>
      </c>
      <c r="R74" s="66">
        <f>IF(VLOOKUP($D74,$C$5:$AU$501,3,)=0,0,(VLOOKUP($D74,$C$5:$AU$501,16,)/VLOOKUP($D74,$C$5:$AU$501,3,))*$E74)</f>
        <v>0</v>
      </c>
      <c r="S74" s="66">
        <f>IF(VLOOKUP($D74,$C$5:$AU$501,3,)=0,0,(VLOOKUP($D74,$C$5:$AU$501,17,)/VLOOKUP($D74,$C$5:$AU$501,3,))*$E74)</f>
        <v>0</v>
      </c>
      <c r="T74" s="66">
        <f>IF(VLOOKUP($D74,$C$5:$AU$501,3,)=0,0,(VLOOKUP($D74,$C$5:$AU$501,18,)/VLOOKUP($D74,$C$5:$AU$501,3,))*$E74)</f>
        <v>0</v>
      </c>
      <c r="U74" s="66">
        <f>IF(VLOOKUP($D74,$C$5:$AU$501,3,)=0,0,(VLOOKUP($D74,$C$5:$AU$501,19,)/VLOOKUP($D74,$C$5:$AU$501,3,))*$E74)</f>
        <v>0</v>
      </c>
      <c r="V74" s="66">
        <f>IF(VLOOKUP($D74,$C$5:$AU$501,3,)=0,0,(VLOOKUP($D74,$C$5:$AU$501,20,)/VLOOKUP($D74,$C$5:$AU$501,3,))*$E74)</f>
        <v>0</v>
      </c>
      <c r="W74" s="66">
        <f>IF(VLOOKUP($D74,$C$5:$AU$501,3,)=0,0,(VLOOKUP($D74,$C$5:$AU$501,21,)/VLOOKUP($D74,$C$5:$AU$501,3,))*$E74)</f>
        <v>0</v>
      </c>
      <c r="X74" s="66">
        <f>IF(VLOOKUP($D74,$C$5:$AU$501,3,)=0,0,(VLOOKUP($D74,$C$5:$AU$501,22,)/VLOOKUP($D74,$C$5:$AU$501,3,))*$E74)</f>
        <v>0</v>
      </c>
      <c r="Y74" s="66">
        <f>IF(VLOOKUP($D74,$C$5:$AU$501,3,)=0,0,(VLOOKUP($D74,$C$5:$AU$501,23,)/VLOOKUP($D74,$C$5:$AU$501,3,))*$E74)</f>
        <v>0</v>
      </c>
      <c r="Z74" s="66">
        <f>IF(VLOOKUP($D74,$C$5:$AU$501,3,)=0,0,(VLOOKUP($D74,$C$5:$AU$501,24,)/VLOOKUP($D74,$C$5:$AU$501,3,))*$E74)</f>
        <v>0</v>
      </c>
      <c r="AA74" s="66">
        <f>IF(VLOOKUP($D74,$C$5:$AU$501,3,)=0,0,(VLOOKUP($D74,$C$5:$AU$501,25,)/VLOOKUP($D74,$C$5:$AU$501,3,))*$E74)</f>
        <v>0</v>
      </c>
      <c r="AB74" s="66">
        <f>IF(VLOOKUP($D74,$C$5:$AU$501,3,)=0,0,(VLOOKUP($D74,$C$5:$AU$501,26,)/VLOOKUP($D74,$C$5:$AU$501,3,))*$E74)</f>
        <v>0</v>
      </c>
      <c r="AC74" s="66">
        <f>IF(VLOOKUP($D74,$C$5:$AU$501,3,)=0,0,(VLOOKUP($D74,$C$5:$AU$501,27,)/VLOOKUP($D74,$C$5:$AU$501,3,))*$E74)</f>
        <v>0</v>
      </c>
      <c r="AD74" s="66">
        <f>IF(VLOOKUP($D74,$C$5:$AU$501,3,)=0,0,(VLOOKUP($D74,$C$5:$AU$501,28,)/VLOOKUP($D74,$C$5:$AU$501,3,))*$E74)</f>
        <v>0</v>
      </c>
      <c r="AE74" s="66">
        <f>IF(VLOOKUP($D74,$C$5:$AU$501,3,)=0,0,(VLOOKUP($D74,$C$5:$AU$501,29,)/VLOOKUP($D74,$C$5:$AU$501,3,))*$E74)</f>
        <v>0</v>
      </c>
      <c r="AF74" s="66">
        <f>IF(VLOOKUP($D74,$C$5:$AU$501,3,)=0,0,(VLOOKUP($D74,$C$5:$AU$501,30,)/VLOOKUP($D74,$C$5:$AU$501,3,))*$E74)</f>
        <v>0</v>
      </c>
      <c r="AG74" s="95">
        <f>SUM(F74:AF74)</f>
        <v>0</v>
      </c>
      <c r="AH74" s="31" t="str">
        <f>IF(ABS(E74-AG74)&lt;0.01,"ok","err")</f>
        <v>ok</v>
      </c>
    </row>
    <row r="75" spans="1:34" x14ac:dyDescent="0.2">
      <c r="E75" s="50"/>
    </row>
    <row r="76" spans="1:34" x14ac:dyDescent="0.2">
      <c r="A76" s="13" t="s">
        <v>470</v>
      </c>
      <c r="E76" s="50"/>
    </row>
    <row r="77" spans="1:34" x14ac:dyDescent="0.2">
      <c r="A77" s="98" t="s">
        <v>221</v>
      </c>
      <c r="C77" s="14" t="s">
        <v>244</v>
      </c>
      <c r="D77" s="14" t="s">
        <v>235</v>
      </c>
      <c r="E77" s="66">
        <f>'Func &amp; Classif'!AA126</f>
        <v>0</v>
      </c>
      <c r="F77" s="66">
        <f>IF(VLOOKUP($D77,$C$5:$AU$501,3,)=0,0,(VLOOKUP($D77,$C$5:$AU$501,4,)/VLOOKUP($D77,$C$5:$AU$501,3,))*$E77)</f>
        <v>0</v>
      </c>
      <c r="G77" s="66">
        <f>IF(VLOOKUP($D77,$C$5:$AU$501,3,)=0,0,(VLOOKUP($D77,$C$5:$AU$501,5,)/VLOOKUP($D77,$C$5:$AU$501,3,))*$E77)</f>
        <v>0</v>
      </c>
      <c r="H77" s="66">
        <f>IF(VLOOKUP($D77,$C$5:$AU$501,3,)=0,0,(VLOOKUP($D77,$C$5:$AU$501,6,)/VLOOKUP($D77,$C$5:$AU$501,3,))*$E77)</f>
        <v>0</v>
      </c>
      <c r="I77" s="66">
        <f>IF(VLOOKUP($D77,$C$5:$AU$501,3,)=0,0,(VLOOKUP($D77,$C$5:$AU$501,7,)/VLOOKUP($D77,$C$5:$AU$501,3,))*$E77)</f>
        <v>0</v>
      </c>
      <c r="J77" s="66">
        <f>IF(VLOOKUP($D77,$C$5:$AU$501,3,)=0,0,(VLOOKUP($D77,$C$5:$AU$501,8,)/VLOOKUP($D77,$C$5:$AU$501,3,))*$E77)</f>
        <v>0</v>
      </c>
      <c r="K77" s="66">
        <f>IF(VLOOKUP($D77,$C$5:$AU$501,3,)=0,0,(VLOOKUP($D77,$C$5:$AU$501,9,)/VLOOKUP($D77,$C$5:$AU$501,3,))*$E77)</f>
        <v>0</v>
      </c>
      <c r="L77" s="66">
        <f>IF(VLOOKUP($D77,$C$5:$AU$501,3,)=0,0,(VLOOKUP($D77,$C$5:$AU$501,10,)/VLOOKUP($D77,$C$5:$AU$501,3,))*$E77)</f>
        <v>0</v>
      </c>
      <c r="M77" s="66">
        <f>IF(VLOOKUP($D77,$C$5:$AU$501,3,)=0,0,(VLOOKUP($D77,$C$5:$AU$501,11,)/VLOOKUP($D77,$C$5:$AU$501,3,))*$E77)</f>
        <v>0</v>
      </c>
      <c r="N77" s="66">
        <f>IF(VLOOKUP($D77,$C$5:$AU$501,3,)=0,0,(VLOOKUP($D77,$C$5:$AU$501,12,)/VLOOKUP($D77,$C$5:$AU$501,3,))*$E77)</f>
        <v>0</v>
      </c>
      <c r="O77" s="66">
        <f>IF(VLOOKUP($D77,$C$5:$AU$501,3,)=0,0,(VLOOKUP($D77,$C$5:$AU$501,13,)/VLOOKUP($D77,$C$5:$AU$501,3,))*$E77)</f>
        <v>0</v>
      </c>
      <c r="P77" s="66">
        <f>IF(VLOOKUP($D77,$C$5:$AU$501,3,)=0,0,(VLOOKUP($D77,$C$5:$AU$501,14,)/VLOOKUP($D77,$C$5:$AU$501,3,))*$E77)</f>
        <v>0</v>
      </c>
      <c r="Q77" s="66">
        <f>IF(VLOOKUP($D77,$C$5:$AU$501,3,)=0,0,(VLOOKUP($D77,$C$5:$AU$501,15,)/VLOOKUP($D77,$C$5:$AU$501,3,))*$E77)</f>
        <v>0</v>
      </c>
      <c r="R77" s="66">
        <f>IF(VLOOKUP($D77,$C$5:$AU$501,3,)=0,0,(VLOOKUP($D77,$C$5:$AU$501,16,)/VLOOKUP($D77,$C$5:$AU$501,3,))*$E77)</f>
        <v>0</v>
      </c>
      <c r="S77" s="66">
        <f>IF(VLOOKUP($D77,$C$5:$AU$501,3,)=0,0,(VLOOKUP($D77,$C$5:$AU$501,17,)/VLOOKUP($D77,$C$5:$AU$501,3,))*$E77)</f>
        <v>0</v>
      </c>
      <c r="T77" s="66">
        <f>IF(VLOOKUP($D77,$C$5:$AU$501,3,)=0,0,(VLOOKUP($D77,$C$5:$AU$501,18,)/VLOOKUP($D77,$C$5:$AU$501,3,))*$E77)</f>
        <v>0</v>
      </c>
      <c r="U77" s="66">
        <f>IF(VLOOKUP($D77,$C$5:$AU$501,3,)=0,0,(VLOOKUP($D77,$C$5:$AU$501,19,)/VLOOKUP($D77,$C$5:$AU$501,3,))*$E77)</f>
        <v>0</v>
      </c>
      <c r="V77" s="66">
        <f>IF(VLOOKUP($D77,$C$5:$AU$501,3,)=0,0,(VLOOKUP($D77,$C$5:$AU$501,20,)/VLOOKUP($D77,$C$5:$AU$501,3,))*$E77)</f>
        <v>0</v>
      </c>
      <c r="W77" s="66">
        <f>IF(VLOOKUP($D77,$C$5:$AU$501,3,)=0,0,(VLOOKUP($D77,$C$5:$AU$501,21,)/VLOOKUP($D77,$C$5:$AU$501,3,))*$E77)</f>
        <v>0</v>
      </c>
      <c r="X77" s="66">
        <f>IF(VLOOKUP($D77,$C$5:$AU$501,3,)=0,0,(VLOOKUP($D77,$C$5:$AU$501,22,)/VLOOKUP($D77,$C$5:$AU$501,3,))*$E77)</f>
        <v>0</v>
      </c>
      <c r="Y77" s="66">
        <f>IF(VLOOKUP($D77,$C$5:$AU$501,3,)=0,0,(VLOOKUP($D77,$C$5:$AU$501,23,)/VLOOKUP($D77,$C$5:$AU$501,3,))*$E77)</f>
        <v>0</v>
      </c>
      <c r="Z77" s="66">
        <f>IF(VLOOKUP($D77,$C$5:$AU$501,3,)=0,0,(VLOOKUP($D77,$C$5:$AU$501,24,)/VLOOKUP($D77,$C$5:$AU$501,3,))*$E77)</f>
        <v>0</v>
      </c>
      <c r="AA77" s="66">
        <f>IF(VLOOKUP($D77,$C$5:$AU$501,3,)=0,0,(VLOOKUP($D77,$C$5:$AU$501,25,)/VLOOKUP($D77,$C$5:$AU$501,3,))*$E77)</f>
        <v>0</v>
      </c>
      <c r="AB77" s="66">
        <f>IF(VLOOKUP($D77,$C$5:$AU$501,3,)=0,0,(VLOOKUP($D77,$C$5:$AU$501,26,)/VLOOKUP($D77,$C$5:$AU$501,3,))*$E77)</f>
        <v>0</v>
      </c>
      <c r="AC77" s="66">
        <f>IF(VLOOKUP($D77,$C$5:$AU$501,3,)=0,0,(VLOOKUP($D77,$C$5:$AU$501,27,)/VLOOKUP($D77,$C$5:$AU$501,3,))*$E77)</f>
        <v>0</v>
      </c>
      <c r="AD77" s="66">
        <f>IF(VLOOKUP($D77,$C$5:$AU$501,3,)=0,0,(VLOOKUP($D77,$C$5:$AU$501,28,)/VLOOKUP($D77,$C$5:$AU$501,3,))*$E77)</f>
        <v>0</v>
      </c>
      <c r="AE77" s="66">
        <f>IF(VLOOKUP($D77,$C$5:$AU$501,3,)=0,0,(VLOOKUP($D77,$C$5:$AU$501,29,)/VLOOKUP($D77,$C$5:$AU$501,3,))*$E77)</f>
        <v>0</v>
      </c>
      <c r="AF77" s="66">
        <f>IF(VLOOKUP($D77,$C$5:$AU$501,3,)=0,0,(VLOOKUP($D77,$C$5:$AU$501,30,)/VLOOKUP($D77,$C$5:$AU$501,3,))*$E77)</f>
        <v>0</v>
      </c>
      <c r="AG77" s="95">
        <f>SUM(F77:AF77)</f>
        <v>0</v>
      </c>
      <c r="AH77" s="31" t="str">
        <f>IF(ABS(E77-AG77)&lt;0.01,"ok","err")</f>
        <v>ok</v>
      </c>
    </row>
    <row r="78" spans="1:34" x14ac:dyDescent="0.2">
      <c r="E78" s="50"/>
    </row>
    <row r="79" spans="1:34" x14ac:dyDescent="0.2">
      <c r="A79" s="14" t="s">
        <v>0</v>
      </c>
      <c r="C79" s="14" t="s">
        <v>248</v>
      </c>
      <c r="E79" s="66">
        <f>E49+E52+E55+E60+E65+E68+E71+E74+E77</f>
        <v>188845671.99999997</v>
      </c>
      <c r="F79" s="66">
        <f t="shared" ref="F79:R79" si="14">F49+F52+F55+F60+F65+F68+F71+F74+F77</f>
        <v>151661148.12337583</v>
      </c>
      <c r="G79" s="66">
        <f t="shared" si="14"/>
        <v>83163.177878759074</v>
      </c>
      <c r="H79" s="66">
        <f t="shared" si="14"/>
        <v>9875235.3671390191</v>
      </c>
      <c r="I79" s="66">
        <f t="shared" si="14"/>
        <v>1091.4846705314167</v>
      </c>
      <c r="J79" s="66">
        <f t="shared" si="14"/>
        <v>4004190.6856568521</v>
      </c>
      <c r="K79" s="66">
        <f t="shared" si="14"/>
        <v>2687530.9828147772</v>
      </c>
      <c r="L79" s="66">
        <f t="shared" si="14"/>
        <v>2088389.2989761098</v>
      </c>
      <c r="M79" s="66">
        <f t="shared" si="14"/>
        <v>5027537.4807081111</v>
      </c>
      <c r="N79" s="66">
        <f t="shared" si="14"/>
        <v>966880.10058405041</v>
      </c>
      <c r="O79" s="66">
        <f t="shared" si="14"/>
        <v>12450505.298195926</v>
      </c>
      <c r="P79" s="66">
        <f t="shared" si="14"/>
        <v>0</v>
      </c>
      <c r="Q79" s="66">
        <f t="shared" si="14"/>
        <v>0</v>
      </c>
      <c r="R79" s="66">
        <f t="shared" si="14"/>
        <v>0</v>
      </c>
      <c r="S79" s="66">
        <f t="shared" ref="S79:AF79" si="15">S49+S55+S60+S65+S68+S71+S74+S77</f>
        <v>0</v>
      </c>
      <c r="T79" s="66">
        <f t="shared" si="15"/>
        <v>0</v>
      </c>
      <c r="U79" s="66">
        <f t="shared" si="15"/>
        <v>0</v>
      </c>
      <c r="V79" s="66">
        <f t="shared" si="15"/>
        <v>0</v>
      </c>
      <c r="W79" s="66">
        <f t="shared" si="15"/>
        <v>0</v>
      </c>
      <c r="X79" s="66">
        <f t="shared" si="15"/>
        <v>0</v>
      </c>
      <c r="Y79" s="66">
        <f t="shared" si="15"/>
        <v>0</v>
      </c>
      <c r="Z79" s="66">
        <f t="shared" si="15"/>
        <v>0</v>
      </c>
      <c r="AA79" s="66">
        <f t="shared" si="15"/>
        <v>0</v>
      </c>
      <c r="AB79" s="66">
        <f t="shared" si="15"/>
        <v>0</v>
      </c>
      <c r="AC79" s="66">
        <f t="shared" si="15"/>
        <v>0</v>
      </c>
      <c r="AD79" s="66">
        <f t="shared" si="15"/>
        <v>0</v>
      </c>
      <c r="AE79" s="66">
        <f t="shared" si="15"/>
        <v>0</v>
      </c>
      <c r="AF79" s="66">
        <f t="shared" si="15"/>
        <v>0</v>
      </c>
      <c r="AG79" s="95">
        <f>SUM(F79:AF79)</f>
        <v>188845672</v>
      </c>
      <c r="AH79" s="31" t="str">
        <f>IF(ABS(E79-AG79)&lt;0.01,"ok","err")</f>
        <v>ok</v>
      </c>
    </row>
    <row r="80" spans="1:34" x14ac:dyDescent="0.2">
      <c r="F80" s="48">
        <f>F79/E79</f>
        <v>0.80309570517123552</v>
      </c>
    </row>
    <row r="82" spans="1:34" x14ac:dyDescent="0.2">
      <c r="A82" s="29" t="s">
        <v>249</v>
      </c>
    </row>
    <row r="84" spans="1:34" x14ac:dyDescent="0.2">
      <c r="A84" s="13" t="s">
        <v>894</v>
      </c>
    </row>
    <row r="85" spans="1:34" x14ac:dyDescent="0.2">
      <c r="A85" s="98" t="s">
        <v>209</v>
      </c>
      <c r="C85" s="14" t="s">
        <v>250</v>
      </c>
      <c r="D85" s="14" t="s">
        <v>657</v>
      </c>
      <c r="E85" s="66">
        <f>'Func &amp; Classif'!H144</f>
        <v>0</v>
      </c>
      <c r="F85" s="66">
        <f>IF(VLOOKUP($D85,$C$5:$AU$501,3,)=0,0,(VLOOKUP($D85,$C$5:$AU$501,4,)/VLOOKUP($D85,$C$5:$AU$501,3,))*$E85)</f>
        <v>0</v>
      </c>
      <c r="G85" s="66">
        <f>IF(VLOOKUP($D85,$C$5:$AU$501,3,)=0,0,(VLOOKUP($D85,$C$5:$AU$501,5,)/VLOOKUP($D85,$C$5:$AU$501,3,))*$E85)</f>
        <v>0</v>
      </c>
      <c r="H85" s="66">
        <f>IF(VLOOKUP($D85,$C$5:$AU$501,3,)=0,0,(VLOOKUP($D85,$C$5:$AU$501,6,)/VLOOKUP($D85,$C$5:$AU$501,3,))*$E85)</f>
        <v>0</v>
      </c>
      <c r="I85" s="66">
        <f>IF(VLOOKUP($D85,$C$5:$AU$501,3,)=0,0,(VLOOKUP($D85,$C$5:$AU$501,7,)/VLOOKUP($D85,$C$5:$AU$501,3,))*$E85)</f>
        <v>0</v>
      </c>
      <c r="J85" s="66">
        <f>IF(VLOOKUP($D85,$C$5:$AU$501,3,)=0,0,(VLOOKUP($D85,$C$5:$AU$501,8,)/VLOOKUP($D85,$C$5:$AU$501,3,))*$E85)</f>
        <v>0</v>
      </c>
      <c r="K85" s="66">
        <f>IF(VLOOKUP($D85,$C$5:$AU$501,3,)=0,0,(VLOOKUP($D85,$C$5:$AU$501,9,)/VLOOKUP($D85,$C$5:$AU$501,3,))*$E85)</f>
        <v>0</v>
      </c>
      <c r="L85" s="66">
        <f>IF(VLOOKUP($D85,$C$5:$AU$501,3,)=0,0,(VLOOKUP($D85,$C$5:$AU$501,10,)/VLOOKUP($D85,$C$5:$AU$501,3,))*$E85)</f>
        <v>0</v>
      </c>
      <c r="M85" s="66">
        <f>IF(VLOOKUP($D85,$C$5:$AU$501,3,)=0,0,(VLOOKUP($D85,$C$5:$AU$501,11,)/VLOOKUP($D85,$C$5:$AU$501,3,))*$E85)</f>
        <v>0</v>
      </c>
      <c r="N85" s="66">
        <f>IF(VLOOKUP($D85,$C$5:$AU$501,3,)=0,0,(VLOOKUP($D85,$C$5:$AU$501,12,)/VLOOKUP($D85,$C$5:$AU$501,3,))*$E85)</f>
        <v>0</v>
      </c>
      <c r="O85" s="66">
        <f>IF(VLOOKUP($D85,$C$5:$AU$501,3,)=0,0,(VLOOKUP($D85,$C$5:$AU$501,13,)/VLOOKUP($D85,$C$5:$AU$501,3,))*$E85)</f>
        <v>0</v>
      </c>
      <c r="P85" s="66">
        <f>IF(VLOOKUP($D85,$C$5:$AU$501,3,)=0,0,(VLOOKUP($D85,$C$5:$AU$501,14,)/VLOOKUP($D85,$C$5:$AU$501,3,))*$E85)</f>
        <v>0</v>
      </c>
      <c r="Q85" s="66">
        <f>IF(VLOOKUP($D85,$C$5:$AU$501,3,)=0,0,(VLOOKUP($D85,$C$5:$AU$501,15,)/VLOOKUP($D85,$C$5:$AU$501,3,))*$E85)</f>
        <v>0</v>
      </c>
      <c r="R85" s="66">
        <f>IF(VLOOKUP($D85,$C$5:$AU$501,3,)=0,0,(VLOOKUP($D85,$C$5:$AU$501,16,)/VLOOKUP($D85,$C$5:$AU$501,3,))*$E85)</f>
        <v>0</v>
      </c>
      <c r="S85" s="66">
        <f>IF(VLOOKUP($D85,$C$5:$AU$501,3,)=0,0,(VLOOKUP($D85,$C$5:$AU$501,17,)/VLOOKUP($D85,$C$5:$AU$501,3,))*$E85)</f>
        <v>0</v>
      </c>
      <c r="T85" s="66">
        <f>IF(VLOOKUP($D85,$C$5:$AU$501,3,)=0,0,(VLOOKUP($D85,$C$5:$AU$501,18,)/VLOOKUP($D85,$C$5:$AU$501,3,))*$E85)</f>
        <v>0</v>
      </c>
      <c r="U85" s="66">
        <f>IF(VLOOKUP($D85,$C$5:$AU$501,3,)=0,0,(VLOOKUP($D85,$C$5:$AU$501,19,)/VLOOKUP($D85,$C$5:$AU$501,3,))*$E85)</f>
        <v>0</v>
      </c>
      <c r="V85" s="66">
        <f>IF(VLOOKUP($D85,$C$5:$AU$501,3,)=0,0,(VLOOKUP($D85,$C$5:$AU$501,20,)/VLOOKUP($D85,$C$5:$AU$501,3,))*$E85)</f>
        <v>0</v>
      </c>
      <c r="W85" s="66">
        <f>IF(VLOOKUP($D85,$C$5:$AU$501,3,)=0,0,(VLOOKUP($D85,$C$5:$AU$501,21,)/VLOOKUP($D85,$C$5:$AU$501,3,))*$E85)</f>
        <v>0</v>
      </c>
      <c r="X85" s="66">
        <f>IF(VLOOKUP($D85,$C$5:$AU$501,3,)=0,0,(VLOOKUP($D85,$C$5:$AU$501,22,)/VLOOKUP($D85,$C$5:$AU$501,3,))*$E85)</f>
        <v>0</v>
      </c>
      <c r="Y85" s="66">
        <f>IF(VLOOKUP($D85,$C$5:$AU$501,3,)=0,0,(VLOOKUP($D85,$C$5:$AU$501,23,)/VLOOKUP($D85,$C$5:$AU$501,3,))*$E85)</f>
        <v>0</v>
      </c>
      <c r="Z85" s="66">
        <f>IF(VLOOKUP($D85,$C$5:$AU$501,3,)=0,0,(VLOOKUP($D85,$C$5:$AU$501,24,)/VLOOKUP($D85,$C$5:$AU$501,3,))*$E85)</f>
        <v>0</v>
      </c>
      <c r="AA85" s="66">
        <f>IF(VLOOKUP($D85,$C$5:$AU$501,3,)=0,0,(VLOOKUP($D85,$C$5:$AU$501,25,)/VLOOKUP($D85,$C$5:$AU$501,3,))*$E85)</f>
        <v>0</v>
      </c>
      <c r="AB85" s="66">
        <f>IF(VLOOKUP($D85,$C$5:$AU$501,3,)=0,0,(VLOOKUP($D85,$C$5:$AU$501,26,)/VLOOKUP($D85,$C$5:$AU$501,3,))*$E85)</f>
        <v>0</v>
      </c>
      <c r="AC85" s="66">
        <f>IF(VLOOKUP($D85,$C$5:$AU$501,3,)=0,0,(VLOOKUP($D85,$C$5:$AU$501,27,)/VLOOKUP($D85,$C$5:$AU$501,3,))*$E85)</f>
        <v>0</v>
      </c>
      <c r="AD85" s="66">
        <f>IF(VLOOKUP($D85,$C$5:$AU$501,3,)=0,0,(VLOOKUP($D85,$C$5:$AU$501,28,)/VLOOKUP($D85,$C$5:$AU$501,3,))*$E85)</f>
        <v>0</v>
      </c>
      <c r="AE85" s="66">
        <f>IF(VLOOKUP($D85,$C$5:$AU$501,3,)=0,0,(VLOOKUP($D85,$C$5:$AU$501,29,)/VLOOKUP($D85,$C$5:$AU$501,3,))*$E85)</f>
        <v>0</v>
      </c>
      <c r="AF85" s="66">
        <f>IF(VLOOKUP($D85,$C$5:$AU$501,3,)=0,0,(VLOOKUP($D85,$C$5:$AU$501,30,)/VLOOKUP($D85,$C$5:$AU$501,3,))*$E85)</f>
        <v>0</v>
      </c>
      <c r="AG85" s="95">
        <f>SUM(F85:AF85)</f>
        <v>0</v>
      </c>
      <c r="AH85" s="31" t="str">
        <f>IF(ABS(E85-AG85)&lt;0.01,"ok","err")</f>
        <v>ok</v>
      </c>
    </row>
    <row r="86" spans="1:34" x14ac:dyDescent="0.2">
      <c r="A86" s="98" t="s">
        <v>212</v>
      </c>
      <c r="C86" s="14" t="s">
        <v>251</v>
      </c>
      <c r="D86" s="14" t="s">
        <v>666</v>
      </c>
      <c r="E86" s="50">
        <f>'Func &amp; Classif'!I144</f>
        <v>0</v>
      </c>
      <c r="F86" s="66">
        <f>IF(VLOOKUP($D86,$C$5:$AU$501,3,)=0,0,(VLOOKUP($D86,$C$5:$AU$501,4,)/VLOOKUP($D86,$C$5:$AU$501,3,))*$E86)</f>
        <v>0</v>
      </c>
      <c r="G86" s="66">
        <f>IF(VLOOKUP($D86,$C$5:$AU$501,3,)=0,0,(VLOOKUP($D86,$C$5:$AU$501,5,)/VLOOKUP($D86,$C$5:$AU$501,3,))*$E86)</f>
        <v>0</v>
      </c>
      <c r="H86" s="66">
        <f>IF(VLOOKUP($D86,$C$5:$AU$501,3,)=0,0,(VLOOKUP($D86,$C$5:$AU$501,6,)/VLOOKUP($D86,$C$5:$AU$501,3,))*$E86)</f>
        <v>0</v>
      </c>
      <c r="I86" s="66">
        <f>IF(VLOOKUP($D86,$C$5:$AU$501,3,)=0,0,(VLOOKUP($D86,$C$5:$AU$501,7,)/VLOOKUP($D86,$C$5:$AU$501,3,))*$E86)</f>
        <v>0</v>
      </c>
      <c r="J86" s="66">
        <f>IF(VLOOKUP($D86,$C$5:$AU$501,3,)=0,0,(VLOOKUP($D86,$C$5:$AU$501,8,)/VLOOKUP($D86,$C$5:$AU$501,3,))*$E86)</f>
        <v>0</v>
      </c>
      <c r="K86" s="66">
        <f>IF(VLOOKUP($D86,$C$5:$AU$501,3,)=0,0,(VLOOKUP($D86,$C$5:$AU$501,9,)/VLOOKUP($D86,$C$5:$AU$501,3,))*$E86)</f>
        <v>0</v>
      </c>
      <c r="L86" s="66">
        <f>IF(VLOOKUP($D86,$C$5:$AU$501,3,)=0,0,(VLOOKUP($D86,$C$5:$AU$501,10,)/VLOOKUP($D86,$C$5:$AU$501,3,))*$E86)</f>
        <v>0</v>
      </c>
      <c r="M86" s="66">
        <f>IF(VLOOKUP($D86,$C$5:$AU$501,3,)=0,0,(VLOOKUP($D86,$C$5:$AU$501,11,)/VLOOKUP($D86,$C$5:$AU$501,3,))*$E86)</f>
        <v>0</v>
      </c>
      <c r="N86" s="66">
        <f>IF(VLOOKUP($D86,$C$5:$AU$501,3,)=0,0,(VLOOKUP($D86,$C$5:$AU$501,12,)/VLOOKUP($D86,$C$5:$AU$501,3,))*$E86)</f>
        <v>0</v>
      </c>
      <c r="O86" s="66">
        <f>IF(VLOOKUP($D86,$C$5:$AU$501,3,)=0,0,(VLOOKUP($D86,$C$5:$AU$501,13,)/VLOOKUP($D86,$C$5:$AU$501,3,))*$E86)</f>
        <v>0</v>
      </c>
      <c r="P86" s="66">
        <f>IF(VLOOKUP($D86,$C$5:$AU$501,3,)=0,0,(VLOOKUP($D86,$C$5:$AU$501,14,)/VLOOKUP($D86,$C$5:$AU$501,3,))*$E86)</f>
        <v>0</v>
      </c>
      <c r="Q86" s="66">
        <f>IF(VLOOKUP($D86,$C$5:$AU$501,3,)=0,0,(VLOOKUP($D86,$C$5:$AU$501,15,)/VLOOKUP($D86,$C$5:$AU$501,3,))*$E86)</f>
        <v>0</v>
      </c>
      <c r="R86" s="66">
        <f>IF(VLOOKUP($D86,$C$5:$AU$501,3,)=0,0,(VLOOKUP($D86,$C$5:$AU$501,16,)/VLOOKUP($D86,$C$5:$AU$501,3,))*$E86)</f>
        <v>0</v>
      </c>
      <c r="S86" s="66">
        <f>IF(VLOOKUP($D86,$C$5:$AU$501,3,)=0,0,(VLOOKUP($D86,$C$5:$AU$501,17,)/VLOOKUP($D86,$C$5:$AU$501,3,))*$E86)</f>
        <v>0</v>
      </c>
      <c r="T86" s="66">
        <f>IF(VLOOKUP($D86,$C$5:$AU$501,3,)=0,0,(VLOOKUP($D86,$C$5:$AU$501,18,)/VLOOKUP($D86,$C$5:$AU$501,3,))*$E86)</f>
        <v>0</v>
      </c>
      <c r="U86" s="66">
        <f>IF(VLOOKUP($D86,$C$5:$AU$501,3,)=0,0,(VLOOKUP($D86,$C$5:$AU$501,19,)/VLOOKUP($D86,$C$5:$AU$501,3,))*$E86)</f>
        <v>0</v>
      </c>
      <c r="V86" s="66">
        <f>IF(VLOOKUP($D86,$C$5:$AU$501,3,)=0,0,(VLOOKUP($D86,$C$5:$AU$501,20,)/VLOOKUP($D86,$C$5:$AU$501,3,))*$E86)</f>
        <v>0</v>
      </c>
      <c r="W86" s="66">
        <f>IF(VLOOKUP($D86,$C$5:$AU$501,3,)=0,0,(VLOOKUP($D86,$C$5:$AU$501,21,)/VLOOKUP($D86,$C$5:$AU$501,3,))*$E86)</f>
        <v>0</v>
      </c>
      <c r="X86" s="66">
        <f>IF(VLOOKUP($D86,$C$5:$AU$501,3,)=0,0,(VLOOKUP($D86,$C$5:$AU$501,22,)/VLOOKUP($D86,$C$5:$AU$501,3,))*$E86)</f>
        <v>0</v>
      </c>
      <c r="Y86" s="66">
        <f>IF(VLOOKUP($D86,$C$5:$AU$501,3,)=0,0,(VLOOKUP($D86,$C$5:$AU$501,23,)/VLOOKUP($D86,$C$5:$AU$501,3,))*$E86)</f>
        <v>0</v>
      </c>
      <c r="Z86" s="66">
        <f>IF(VLOOKUP($D86,$C$5:$AU$501,3,)=0,0,(VLOOKUP($D86,$C$5:$AU$501,24,)/VLOOKUP($D86,$C$5:$AU$501,3,))*$E86)</f>
        <v>0</v>
      </c>
      <c r="AA86" s="66">
        <f>IF(VLOOKUP($D86,$C$5:$AU$501,3,)=0,0,(VLOOKUP($D86,$C$5:$AU$501,25,)/VLOOKUP($D86,$C$5:$AU$501,3,))*$E86)</f>
        <v>0</v>
      </c>
      <c r="AB86" s="66">
        <f>IF(VLOOKUP($D86,$C$5:$AU$501,3,)=0,0,(VLOOKUP($D86,$C$5:$AU$501,26,)/VLOOKUP($D86,$C$5:$AU$501,3,))*$E86)</f>
        <v>0</v>
      </c>
      <c r="AC86" s="66">
        <f>IF(VLOOKUP($D86,$C$5:$AU$501,3,)=0,0,(VLOOKUP($D86,$C$5:$AU$501,27,)/VLOOKUP($D86,$C$5:$AU$501,3,))*$E86)</f>
        <v>0</v>
      </c>
      <c r="AD86" s="66">
        <f>IF(VLOOKUP($D86,$C$5:$AU$501,3,)=0,0,(VLOOKUP($D86,$C$5:$AU$501,28,)/VLOOKUP($D86,$C$5:$AU$501,3,))*$E86)</f>
        <v>0</v>
      </c>
      <c r="AE86" s="66">
        <f>IF(VLOOKUP($D86,$C$5:$AU$501,3,)=0,0,(VLOOKUP($D86,$C$5:$AU$501,29,)/VLOOKUP($D86,$C$5:$AU$501,3,))*$E86)</f>
        <v>0</v>
      </c>
      <c r="AF86" s="66">
        <f>IF(VLOOKUP($D86,$C$5:$AU$501,3,)=0,0,(VLOOKUP($D86,$C$5:$AU$501,30,)/VLOOKUP($D86,$C$5:$AU$501,3,))*$E86)</f>
        <v>0</v>
      </c>
      <c r="AG86" s="95">
        <f>SUM(F86:AF86)</f>
        <v>0</v>
      </c>
      <c r="AH86" s="31" t="str">
        <f>IF(ABS(E86-AG86)&lt;0.01,"ok","err")</f>
        <v>ok</v>
      </c>
    </row>
    <row r="87" spans="1:34" x14ac:dyDescent="0.2">
      <c r="A87" s="14" t="s">
        <v>215</v>
      </c>
      <c r="C87" s="14" t="s">
        <v>252</v>
      </c>
      <c r="E87" s="50">
        <f t="shared" ref="E87:T87" si="16">E85+E86</f>
        <v>0</v>
      </c>
      <c r="F87" s="66">
        <f t="shared" si="16"/>
        <v>0</v>
      </c>
      <c r="G87" s="66">
        <f t="shared" si="16"/>
        <v>0</v>
      </c>
      <c r="H87" s="66">
        <f t="shared" si="16"/>
        <v>0</v>
      </c>
      <c r="I87" s="66">
        <f t="shared" si="16"/>
        <v>0</v>
      </c>
      <c r="J87" s="66">
        <f t="shared" si="16"/>
        <v>0</v>
      </c>
      <c r="K87" s="66">
        <f t="shared" si="16"/>
        <v>0</v>
      </c>
      <c r="L87" s="66">
        <f t="shared" si="16"/>
        <v>0</v>
      </c>
      <c r="M87" s="66">
        <f t="shared" si="16"/>
        <v>0</v>
      </c>
      <c r="N87" s="66">
        <f t="shared" si="16"/>
        <v>0</v>
      </c>
      <c r="O87" s="66">
        <f t="shared" si="16"/>
        <v>0</v>
      </c>
      <c r="P87" s="66">
        <f t="shared" si="16"/>
        <v>0</v>
      </c>
      <c r="Q87" s="66">
        <f t="shared" si="16"/>
        <v>0</v>
      </c>
      <c r="R87" s="66">
        <f t="shared" si="16"/>
        <v>0</v>
      </c>
      <c r="S87" s="66">
        <f t="shared" si="16"/>
        <v>0</v>
      </c>
      <c r="T87" s="66">
        <f t="shared" si="16"/>
        <v>0</v>
      </c>
      <c r="U87" s="66">
        <f t="shared" ref="U87:AF87" si="17">U85+U86</f>
        <v>0</v>
      </c>
      <c r="V87" s="66">
        <f t="shared" si="17"/>
        <v>0</v>
      </c>
      <c r="W87" s="66">
        <f t="shared" si="17"/>
        <v>0</v>
      </c>
      <c r="X87" s="66">
        <f t="shared" si="17"/>
        <v>0</v>
      </c>
      <c r="Y87" s="66">
        <f t="shared" si="17"/>
        <v>0</v>
      </c>
      <c r="Z87" s="66">
        <f t="shared" si="17"/>
        <v>0</v>
      </c>
      <c r="AA87" s="66">
        <f t="shared" si="17"/>
        <v>0</v>
      </c>
      <c r="AB87" s="66">
        <f t="shared" si="17"/>
        <v>0</v>
      </c>
      <c r="AC87" s="66">
        <f t="shared" si="17"/>
        <v>0</v>
      </c>
      <c r="AD87" s="66">
        <f t="shared" si="17"/>
        <v>0</v>
      </c>
      <c r="AE87" s="66">
        <f t="shared" si="17"/>
        <v>0</v>
      </c>
      <c r="AF87" s="66">
        <f t="shared" si="17"/>
        <v>0</v>
      </c>
      <c r="AG87" s="95">
        <f>SUM(F87:AF87)</f>
        <v>0</v>
      </c>
      <c r="AH87" s="31" t="str">
        <f>IF(ABS(E87-AG87)&lt;0.01,"ok","err")</f>
        <v>ok</v>
      </c>
    </row>
    <row r="88" spans="1:34" x14ac:dyDescent="0.2">
      <c r="E88" s="50"/>
      <c r="F88" s="50"/>
    </row>
    <row r="89" spans="1:34" x14ac:dyDescent="0.2">
      <c r="A89" s="13" t="s">
        <v>350</v>
      </c>
      <c r="E89" s="50"/>
      <c r="F89" s="50"/>
    </row>
    <row r="90" spans="1:34" x14ac:dyDescent="0.2">
      <c r="A90" s="98" t="s">
        <v>209</v>
      </c>
      <c r="C90" s="14" t="s">
        <v>885</v>
      </c>
      <c r="D90" s="14" t="s">
        <v>599</v>
      </c>
      <c r="E90" s="66">
        <f>'Func &amp; Classif'!K144</f>
        <v>0</v>
      </c>
      <c r="F90" s="66">
        <f>IF(VLOOKUP($D90,$C$5:$AU$501,3,)=0,0,(VLOOKUP($D90,$C$5:$AU$501,4,)/VLOOKUP($D90,$C$5:$AU$501,3,))*$E90)</f>
        <v>0</v>
      </c>
      <c r="G90" s="66">
        <f>IF(VLOOKUP($D90,$C$5:$AU$501,3,)=0,0,(VLOOKUP($D90,$C$5:$AU$501,5,)/VLOOKUP($D90,$C$5:$AU$501,3,))*$E90)</f>
        <v>0</v>
      </c>
      <c r="H90" s="66">
        <f>IF(VLOOKUP($D90,$C$5:$AU$501,3,)=0,0,(VLOOKUP($D90,$C$5:$AU$501,6,)/VLOOKUP($D90,$C$5:$AU$501,3,))*$E90)</f>
        <v>0</v>
      </c>
      <c r="I90" s="66">
        <f>IF(VLOOKUP($D90,$C$5:$AU$501,3,)=0,0,(VLOOKUP($D90,$C$5:$AU$501,7,)/VLOOKUP($D90,$C$5:$AU$501,3,))*$E90)</f>
        <v>0</v>
      </c>
      <c r="J90" s="66">
        <f>IF(VLOOKUP($D90,$C$5:$AU$501,3,)=0,0,(VLOOKUP($D90,$C$5:$AU$501,8,)/VLOOKUP($D90,$C$5:$AU$501,3,))*$E90)</f>
        <v>0</v>
      </c>
      <c r="K90" s="66">
        <f>IF(VLOOKUP($D90,$C$5:$AU$501,3,)=0,0,(VLOOKUP($D90,$C$5:$AU$501,9,)/VLOOKUP($D90,$C$5:$AU$501,3,))*$E90)</f>
        <v>0</v>
      </c>
      <c r="L90" s="66">
        <f>IF(VLOOKUP($D90,$C$5:$AU$501,3,)=0,0,(VLOOKUP($D90,$C$5:$AU$501,10,)/VLOOKUP($D90,$C$5:$AU$501,3,))*$E90)</f>
        <v>0</v>
      </c>
      <c r="M90" s="66">
        <f>IF(VLOOKUP($D90,$C$5:$AU$501,3,)=0,0,(VLOOKUP($D90,$C$5:$AU$501,11,)/VLOOKUP($D90,$C$5:$AU$501,3,))*$E90)</f>
        <v>0</v>
      </c>
      <c r="N90" s="66">
        <f>IF(VLOOKUP($D90,$C$5:$AU$501,3,)=0,0,(VLOOKUP($D90,$C$5:$AU$501,12,)/VLOOKUP($D90,$C$5:$AU$501,3,))*$E90)</f>
        <v>0</v>
      </c>
      <c r="O90" s="66">
        <f>IF(VLOOKUP($D90,$C$5:$AU$501,3,)=0,0,(VLOOKUP($D90,$C$5:$AU$501,13,)/VLOOKUP($D90,$C$5:$AU$501,3,))*$E90)</f>
        <v>0</v>
      </c>
      <c r="P90" s="66">
        <f>IF(VLOOKUP($D90,$C$5:$AU$501,3,)=0,0,(VLOOKUP($D90,$C$5:$AU$501,14,)/VLOOKUP($D90,$C$5:$AU$501,3,))*$E90)</f>
        <v>0</v>
      </c>
      <c r="Q90" s="66">
        <f>IF(VLOOKUP($D90,$C$5:$AU$501,3,)=0,0,(VLOOKUP($D90,$C$5:$AU$501,15,)/VLOOKUP($D90,$C$5:$AU$501,3,))*$E90)</f>
        <v>0</v>
      </c>
      <c r="R90" s="66">
        <f>IF(VLOOKUP($D90,$C$5:$AU$501,3,)=0,0,(VLOOKUP($D90,$C$5:$AU$501,16,)/VLOOKUP($D90,$C$5:$AU$501,3,))*$E90)</f>
        <v>0</v>
      </c>
      <c r="S90" s="66">
        <f>IF(VLOOKUP($D90,$C$5:$AU$501,3,)=0,0,(VLOOKUP($D90,$C$5:$AU$501,17,)/VLOOKUP($D90,$C$5:$AU$501,3,))*$E90)</f>
        <v>0</v>
      </c>
      <c r="T90" s="66">
        <f>IF(VLOOKUP($D90,$C$5:$AU$501,3,)=0,0,(VLOOKUP($D90,$C$5:$AU$501,18,)/VLOOKUP($D90,$C$5:$AU$501,3,))*$E90)</f>
        <v>0</v>
      </c>
      <c r="U90" s="66">
        <f>IF(VLOOKUP($D90,$C$5:$AU$501,3,)=0,0,(VLOOKUP($D90,$C$5:$AU$501,19,)/VLOOKUP($D90,$C$5:$AU$501,3,))*$E90)</f>
        <v>0</v>
      </c>
      <c r="V90" s="66">
        <f>IF(VLOOKUP($D90,$C$5:$AU$501,3,)=0,0,(VLOOKUP($D90,$C$5:$AU$501,20,)/VLOOKUP($D90,$C$5:$AU$501,3,))*$E90)</f>
        <v>0</v>
      </c>
      <c r="W90" s="66">
        <f>IF(VLOOKUP($D90,$C$5:$AU$501,3,)=0,0,(VLOOKUP($D90,$C$5:$AU$501,21,)/VLOOKUP($D90,$C$5:$AU$501,3,))*$E90)</f>
        <v>0</v>
      </c>
      <c r="X90" s="66">
        <f>IF(VLOOKUP($D90,$C$5:$AU$501,3,)=0,0,(VLOOKUP($D90,$C$5:$AU$501,22,)/VLOOKUP($D90,$C$5:$AU$501,3,))*$E90)</f>
        <v>0</v>
      </c>
      <c r="Y90" s="66">
        <f>IF(VLOOKUP($D90,$C$5:$AU$501,3,)=0,0,(VLOOKUP($D90,$C$5:$AU$501,23,)/VLOOKUP($D90,$C$5:$AU$501,3,))*$E90)</f>
        <v>0</v>
      </c>
      <c r="Z90" s="66">
        <f>IF(VLOOKUP($D90,$C$5:$AU$501,3,)=0,0,(VLOOKUP($D90,$C$5:$AU$501,24,)/VLOOKUP($D90,$C$5:$AU$501,3,))*$E90)</f>
        <v>0</v>
      </c>
      <c r="AA90" s="66">
        <f>IF(VLOOKUP($D90,$C$5:$AU$501,3,)=0,0,(VLOOKUP($D90,$C$5:$AU$501,25,)/VLOOKUP($D90,$C$5:$AU$501,3,))*$E90)</f>
        <v>0</v>
      </c>
      <c r="AB90" s="66">
        <f>IF(VLOOKUP($D90,$C$5:$AU$501,3,)=0,0,(VLOOKUP($D90,$C$5:$AU$501,26,)/VLOOKUP($D90,$C$5:$AU$501,3,))*$E90)</f>
        <v>0</v>
      </c>
      <c r="AC90" s="66">
        <f>IF(VLOOKUP($D90,$C$5:$AU$501,3,)=0,0,(VLOOKUP($D90,$C$5:$AU$501,27,)/VLOOKUP($D90,$C$5:$AU$501,3,))*$E90)</f>
        <v>0</v>
      </c>
      <c r="AD90" s="66">
        <f>IF(VLOOKUP($D90,$C$5:$AU$501,3,)=0,0,(VLOOKUP($D90,$C$5:$AU$501,28,)/VLOOKUP($D90,$C$5:$AU$501,3,))*$E90)</f>
        <v>0</v>
      </c>
      <c r="AE90" s="66">
        <f>IF(VLOOKUP($D90,$C$5:$AU$501,3,)=0,0,(VLOOKUP($D90,$C$5:$AU$501,29,)/VLOOKUP($D90,$C$5:$AU$501,3,))*$E90)</f>
        <v>0</v>
      </c>
      <c r="AF90" s="66">
        <f>IF(VLOOKUP($D90,$C$5:$AU$501,3,)=0,0,(VLOOKUP($D90,$C$5:$AU$501,30,)/VLOOKUP($D90,$C$5:$AU$501,3,))*$E90)</f>
        <v>0</v>
      </c>
      <c r="AG90" s="95">
        <f>SUM(F90:AF90)</f>
        <v>0</v>
      </c>
      <c r="AH90" s="31" t="str">
        <f>IF(ABS(E90-AG90)&lt;0.01,"ok","err")</f>
        <v>ok</v>
      </c>
    </row>
    <row r="91" spans="1:34" x14ac:dyDescent="0.2">
      <c r="E91" s="50"/>
    </row>
    <row r="92" spans="1:34" x14ac:dyDescent="0.2">
      <c r="A92" s="13" t="s">
        <v>1</v>
      </c>
      <c r="E92" s="50"/>
      <c r="F92" s="50"/>
    </row>
    <row r="93" spans="1:34" x14ac:dyDescent="0.2">
      <c r="A93" s="98" t="s">
        <v>209</v>
      </c>
      <c r="C93" s="14" t="s">
        <v>253</v>
      </c>
      <c r="D93" s="14" t="s">
        <v>615</v>
      </c>
      <c r="E93" s="66">
        <f>'Func &amp; Classif'!M144</f>
        <v>2202013.4048512983</v>
      </c>
      <c r="F93" s="66">
        <f>IF(VLOOKUP($D93,$C$5:$AU$501,3,)=0,0,(VLOOKUP($D93,$C$5:$AU$501,4,)/VLOOKUP($D93,$C$5:$AU$501,3,))*$E93)</f>
        <v>1643552.3735167086</v>
      </c>
      <c r="G93" s="66">
        <f>IF(VLOOKUP($D93,$C$5:$AU$501,3,)=0,0,(VLOOKUP($D93,$C$5:$AU$501,5,)/VLOOKUP($D93,$C$5:$AU$501,3,))*$E93)</f>
        <v>0</v>
      </c>
      <c r="H93" s="66">
        <f>IF(VLOOKUP($D93,$C$5:$AU$501,3,)=0,0,(VLOOKUP($D93,$C$5:$AU$501,6,)/VLOOKUP($D93,$C$5:$AU$501,3,))*$E93)</f>
        <v>106525.54959511916</v>
      </c>
      <c r="I93" s="66">
        <f>IF(VLOOKUP($D93,$C$5:$AU$501,3,)=0,0,(VLOOKUP($D93,$C$5:$AU$501,7,)/VLOOKUP($D93,$C$5:$AU$501,3,))*$E93)</f>
        <v>0</v>
      </c>
      <c r="J93" s="66">
        <f>IF(VLOOKUP($D93,$C$5:$AU$501,3,)=0,0,(VLOOKUP($D93,$C$5:$AU$501,8,)/VLOOKUP($D93,$C$5:$AU$501,3,))*$E93)</f>
        <v>134389.8407132529</v>
      </c>
      <c r="K93" s="66">
        <f>IF(VLOOKUP($D93,$C$5:$AU$501,3,)=0,0,(VLOOKUP($D93,$C$5:$AU$501,9,)/VLOOKUP($D93,$C$5:$AU$501,3,))*$E93)</f>
        <v>175387.55174486403</v>
      </c>
      <c r="L93" s="66">
        <f>IF(VLOOKUP($D93,$C$5:$AU$501,3,)=0,0,(VLOOKUP($D93,$C$5:$AU$501,10,)/VLOOKUP($D93,$C$5:$AU$501,3,))*$E93)</f>
        <v>113539.74279147176</v>
      </c>
      <c r="M93" s="66">
        <f>IF(VLOOKUP($D93,$C$5:$AU$501,3,)=0,0,(VLOOKUP($D93,$C$5:$AU$501,11,)/VLOOKUP($D93,$C$5:$AU$501,3,))*$E93)</f>
        <v>15261.443257644625</v>
      </c>
      <c r="N93" s="66">
        <f>IF(VLOOKUP($D93,$C$5:$AU$501,3,)=0,0,(VLOOKUP($D93,$C$5:$AU$501,12,)/VLOOKUP($D93,$C$5:$AU$501,3,))*$E93)</f>
        <v>13356.903232237471</v>
      </c>
      <c r="O93" s="66">
        <f>IF(VLOOKUP($D93,$C$5:$AU$501,3,)=0,0,(VLOOKUP($D93,$C$5:$AU$501,13,)/VLOOKUP($D93,$C$5:$AU$501,3,))*$E93)</f>
        <v>0</v>
      </c>
      <c r="P93" s="66">
        <f>IF(VLOOKUP($D93,$C$5:$AU$501,3,)=0,0,(VLOOKUP($D93,$C$5:$AU$501,14,)/VLOOKUP($D93,$C$5:$AU$501,3,))*$E93)</f>
        <v>0</v>
      </c>
      <c r="Q93" s="66">
        <f>IF(VLOOKUP($D93,$C$5:$AU$501,3,)=0,0,(VLOOKUP($D93,$C$5:$AU$501,15,)/VLOOKUP($D93,$C$5:$AU$501,3,))*$E93)</f>
        <v>0</v>
      </c>
      <c r="R93" s="66">
        <f>IF(VLOOKUP($D93,$C$5:$AU$501,3,)=0,0,(VLOOKUP($D93,$C$5:$AU$501,16,)/VLOOKUP($D93,$C$5:$AU$501,3,))*$E93)</f>
        <v>0</v>
      </c>
      <c r="S93" s="66">
        <f>IF(VLOOKUP($D93,$C$5:$AU$501,3,)=0,0,(VLOOKUP($D93,$C$5:$AU$501,17,)/VLOOKUP($D93,$C$5:$AU$501,3,))*$E93)</f>
        <v>0</v>
      </c>
      <c r="T93" s="66">
        <f>IF(VLOOKUP($D93,$C$5:$AU$501,3,)=0,0,(VLOOKUP($D93,$C$5:$AU$501,18,)/VLOOKUP($D93,$C$5:$AU$501,3,))*$E93)</f>
        <v>0</v>
      </c>
      <c r="U93" s="66">
        <f>IF(VLOOKUP($D93,$C$5:$AU$501,3,)=0,0,(VLOOKUP($D93,$C$5:$AU$501,19,)/VLOOKUP($D93,$C$5:$AU$501,3,))*$E93)</f>
        <v>0</v>
      </c>
      <c r="V93" s="66">
        <f>IF(VLOOKUP($D93,$C$5:$AU$501,3,)=0,0,(VLOOKUP($D93,$C$5:$AU$501,20,)/VLOOKUP($D93,$C$5:$AU$501,3,))*$E93)</f>
        <v>0</v>
      </c>
      <c r="W93" s="66">
        <f>IF(VLOOKUP($D93,$C$5:$AU$501,3,)=0,0,(VLOOKUP($D93,$C$5:$AU$501,21,)/VLOOKUP($D93,$C$5:$AU$501,3,))*$E93)</f>
        <v>0</v>
      </c>
      <c r="X93" s="66">
        <f>IF(VLOOKUP($D93,$C$5:$AU$501,3,)=0,0,(VLOOKUP($D93,$C$5:$AU$501,22,)/VLOOKUP($D93,$C$5:$AU$501,3,))*$E93)</f>
        <v>0</v>
      </c>
      <c r="Y93" s="66">
        <f>IF(VLOOKUP($D93,$C$5:$AU$501,3,)=0,0,(VLOOKUP($D93,$C$5:$AU$501,23,)/VLOOKUP($D93,$C$5:$AU$501,3,))*$E93)</f>
        <v>0</v>
      </c>
      <c r="Z93" s="66">
        <f>IF(VLOOKUP($D93,$C$5:$AU$501,3,)=0,0,(VLOOKUP($D93,$C$5:$AU$501,24,)/VLOOKUP($D93,$C$5:$AU$501,3,))*$E93)</f>
        <v>0</v>
      </c>
      <c r="AA93" s="66">
        <f>IF(VLOOKUP($D93,$C$5:$AU$501,3,)=0,0,(VLOOKUP($D93,$C$5:$AU$501,25,)/VLOOKUP($D93,$C$5:$AU$501,3,))*$E93)</f>
        <v>0</v>
      </c>
      <c r="AB93" s="66">
        <f>IF(VLOOKUP($D93,$C$5:$AU$501,3,)=0,0,(VLOOKUP($D93,$C$5:$AU$501,26,)/VLOOKUP($D93,$C$5:$AU$501,3,))*$E93)</f>
        <v>0</v>
      </c>
      <c r="AC93" s="66">
        <f>IF(VLOOKUP($D93,$C$5:$AU$501,3,)=0,0,(VLOOKUP($D93,$C$5:$AU$501,27,)/VLOOKUP($D93,$C$5:$AU$501,3,))*$E93)</f>
        <v>0</v>
      </c>
      <c r="AD93" s="66">
        <f>IF(VLOOKUP($D93,$C$5:$AU$501,3,)=0,0,(VLOOKUP($D93,$C$5:$AU$501,28,)/VLOOKUP($D93,$C$5:$AU$501,3,))*$E93)</f>
        <v>0</v>
      </c>
      <c r="AE93" s="66">
        <f>IF(VLOOKUP($D93,$C$5:$AU$501,3,)=0,0,(VLOOKUP($D93,$C$5:$AU$501,29,)/VLOOKUP($D93,$C$5:$AU$501,3,))*$E93)</f>
        <v>0</v>
      </c>
      <c r="AF93" s="66">
        <f>IF(VLOOKUP($D93,$C$5:$AU$501,3,)=0,0,(VLOOKUP($D93,$C$5:$AU$501,30,)/VLOOKUP($D93,$C$5:$AU$501,3,))*$E93)</f>
        <v>0</v>
      </c>
      <c r="AG93" s="95">
        <f>SUM(F93:AF93)</f>
        <v>2202013.4048512988</v>
      </c>
      <c r="AH93" s="31" t="str">
        <f>IF(ABS(E93-AG93)&lt;0.01,"ok","err")</f>
        <v>ok</v>
      </c>
    </row>
    <row r="94" spans="1:34" x14ac:dyDescent="0.2">
      <c r="E94" s="50"/>
    </row>
    <row r="95" spans="1:34" x14ac:dyDescent="0.2">
      <c r="A95" s="13" t="s">
        <v>2</v>
      </c>
      <c r="E95" s="50"/>
    </row>
    <row r="96" spans="1:34" x14ac:dyDescent="0.2">
      <c r="A96" s="98" t="s">
        <v>209</v>
      </c>
      <c r="C96" s="14" t="s">
        <v>254</v>
      </c>
      <c r="D96" s="14" t="s">
        <v>607</v>
      </c>
      <c r="E96" s="66">
        <f>'Func &amp; Classif'!O144</f>
        <v>82058476.328153074</v>
      </c>
      <c r="F96" s="66">
        <f>IF(VLOOKUP($D96,$C$5:$AU$501,3,)=0,0,(VLOOKUP($D96,$C$5:$AU$501,4,)/VLOOKUP($D96,$C$5:$AU$501,3,))*$E96)</f>
        <v>67601425.514008239</v>
      </c>
      <c r="G96" s="66">
        <f>IF(VLOOKUP($D96,$C$5:$AU$501,3,)=0,0,(VLOOKUP($D96,$C$5:$AU$501,5,)/VLOOKUP($D96,$C$5:$AU$501,3,))*$E96)</f>
        <v>0</v>
      </c>
      <c r="H96" s="66">
        <f>IF(VLOOKUP($D96,$C$5:$AU$501,3,)=0,0,(VLOOKUP($D96,$C$5:$AU$501,6,)/VLOOKUP($D96,$C$5:$AU$501,3,))*$E96)</f>
        <v>1517062.5188790639</v>
      </c>
      <c r="I96" s="66">
        <f>IF(VLOOKUP($D96,$C$5:$AU$501,3,)=0,0,(VLOOKUP($D96,$C$5:$AU$501,7,)/VLOOKUP($D96,$C$5:$AU$501,3,))*$E96)</f>
        <v>0</v>
      </c>
      <c r="J96" s="66">
        <f>IF(VLOOKUP($D96,$C$5:$AU$501,3,)=0,0,(VLOOKUP($D96,$C$5:$AU$501,8,)/VLOOKUP($D96,$C$5:$AU$501,3,))*$E96)</f>
        <v>3582205.601985232</v>
      </c>
      <c r="K96" s="66">
        <f>IF(VLOOKUP($D96,$C$5:$AU$501,3,)=0,0,(VLOOKUP($D96,$C$5:$AU$501,9,)/VLOOKUP($D96,$C$5:$AU$501,3,))*$E96)</f>
        <v>2519384.8301278786</v>
      </c>
      <c r="L96" s="66">
        <f>IF(VLOOKUP($D96,$C$5:$AU$501,3,)=0,0,(VLOOKUP($D96,$C$5:$AU$501,10,)/VLOOKUP($D96,$C$5:$AU$501,3,))*$E96)</f>
        <v>1980898.81673807</v>
      </c>
      <c r="M96" s="66">
        <f>IF(VLOOKUP($D96,$C$5:$AU$501,3,)=0,0,(VLOOKUP($D96,$C$5:$AU$501,11,)/VLOOKUP($D96,$C$5:$AU$501,3,))*$E96)</f>
        <v>3190309.4867572486</v>
      </c>
      <c r="N96" s="66">
        <f>IF(VLOOKUP($D96,$C$5:$AU$501,3,)=0,0,(VLOOKUP($D96,$C$5:$AU$501,12,)/VLOOKUP($D96,$C$5:$AU$501,3,))*$E96)</f>
        <v>910492.59069542284</v>
      </c>
      <c r="O96" s="66">
        <f>IF(VLOOKUP($D96,$C$5:$AU$501,3,)=0,0,(VLOOKUP($D96,$C$5:$AU$501,13,)/VLOOKUP($D96,$C$5:$AU$501,3,))*$E96)</f>
        <v>756696.96896191826</v>
      </c>
      <c r="P96" s="66">
        <f>IF(VLOOKUP($D96,$C$5:$AU$501,3,)=0,0,(VLOOKUP($D96,$C$5:$AU$501,14,)/VLOOKUP($D96,$C$5:$AU$501,3,))*$E96)</f>
        <v>0</v>
      </c>
      <c r="Q96" s="66">
        <f>IF(VLOOKUP($D96,$C$5:$AU$501,3,)=0,0,(VLOOKUP($D96,$C$5:$AU$501,15,)/VLOOKUP($D96,$C$5:$AU$501,3,))*$E96)</f>
        <v>0</v>
      </c>
      <c r="R96" s="66">
        <f>IF(VLOOKUP($D96,$C$5:$AU$501,3,)=0,0,(VLOOKUP($D96,$C$5:$AU$501,16,)/VLOOKUP($D96,$C$5:$AU$501,3,))*$E96)</f>
        <v>0</v>
      </c>
      <c r="S96" s="66">
        <f>IF(VLOOKUP($D96,$C$5:$AU$501,3,)=0,0,(VLOOKUP($D96,$C$5:$AU$501,17,)/VLOOKUP($D96,$C$5:$AU$501,3,))*$E96)</f>
        <v>0</v>
      </c>
      <c r="T96" s="66">
        <f>IF(VLOOKUP($D96,$C$5:$AU$501,3,)=0,0,(VLOOKUP($D96,$C$5:$AU$501,18,)/VLOOKUP($D96,$C$5:$AU$501,3,))*$E96)</f>
        <v>0</v>
      </c>
      <c r="U96" s="66">
        <f>IF(VLOOKUP($D96,$C$5:$AU$501,3,)=0,0,(VLOOKUP($D96,$C$5:$AU$501,19,)/VLOOKUP($D96,$C$5:$AU$501,3,))*$E96)</f>
        <v>0</v>
      </c>
      <c r="V96" s="66">
        <f>IF(VLOOKUP($D96,$C$5:$AU$501,3,)=0,0,(VLOOKUP($D96,$C$5:$AU$501,20,)/VLOOKUP($D96,$C$5:$AU$501,3,))*$E96)</f>
        <v>0</v>
      </c>
      <c r="W96" s="66">
        <f>IF(VLOOKUP($D96,$C$5:$AU$501,3,)=0,0,(VLOOKUP($D96,$C$5:$AU$501,21,)/VLOOKUP($D96,$C$5:$AU$501,3,))*$E96)</f>
        <v>0</v>
      </c>
      <c r="X96" s="66">
        <f>IF(VLOOKUP($D96,$C$5:$AU$501,3,)=0,0,(VLOOKUP($D96,$C$5:$AU$501,22,)/VLOOKUP($D96,$C$5:$AU$501,3,))*$E96)</f>
        <v>0</v>
      </c>
      <c r="Y96" s="66">
        <f>IF(VLOOKUP($D96,$C$5:$AU$501,3,)=0,0,(VLOOKUP($D96,$C$5:$AU$501,23,)/VLOOKUP($D96,$C$5:$AU$501,3,))*$E96)</f>
        <v>0</v>
      </c>
      <c r="Z96" s="66">
        <f>IF(VLOOKUP($D96,$C$5:$AU$501,3,)=0,0,(VLOOKUP($D96,$C$5:$AU$501,24,)/VLOOKUP($D96,$C$5:$AU$501,3,))*$E96)</f>
        <v>0</v>
      </c>
      <c r="AA96" s="66">
        <f>IF(VLOOKUP($D96,$C$5:$AU$501,3,)=0,0,(VLOOKUP($D96,$C$5:$AU$501,25,)/VLOOKUP($D96,$C$5:$AU$501,3,))*$E96)</f>
        <v>0</v>
      </c>
      <c r="AB96" s="66">
        <f>IF(VLOOKUP($D96,$C$5:$AU$501,3,)=0,0,(VLOOKUP($D96,$C$5:$AU$501,26,)/VLOOKUP($D96,$C$5:$AU$501,3,))*$E96)</f>
        <v>0</v>
      </c>
      <c r="AC96" s="66">
        <f>IF(VLOOKUP($D96,$C$5:$AU$501,3,)=0,0,(VLOOKUP($D96,$C$5:$AU$501,27,)/VLOOKUP($D96,$C$5:$AU$501,3,))*$E96)</f>
        <v>0</v>
      </c>
      <c r="AD96" s="66">
        <f>IF(VLOOKUP($D96,$C$5:$AU$501,3,)=0,0,(VLOOKUP($D96,$C$5:$AU$501,28,)/VLOOKUP($D96,$C$5:$AU$501,3,))*$E96)</f>
        <v>0</v>
      </c>
      <c r="AE96" s="66">
        <f>IF(VLOOKUP($D96,$C$5:$AU$501,3,)=0,0,(VLOOKUP($D96,$C$5:$AU$501,29,)/VLOOKUP($D96,$C$5:$AU$501,3,))*$E96)</f>
        <v>0</v>
      </c>
      <c r="AF96" s="66">
        <f>IF(VLOOKUP($D96,$C$5:$AU$501,3,)=0,0,(VLOOKUP($D96,$C$5:$AU$501,30,)/VLOOKUP($D96,$C$5:$AU$501,3,))*$E96)</f>
        <v>0</v>
      </c>
      <c r="AG96" s="95">
        <f>SUM(F96:AF96)</f>
        <v>82058476.328153089</v>
      </c>
      <c r="AH96" s="31" t="str">
        <f>IF(ABS(E96-AG96)&lt;0.01,"ok","err")</f>
        <v>ok</v>
      </c>
    </row>
    <row r="97" spans="1:34" x14ac:dyDescent="0.2">
      <c r="A97" s="98" t="s">
        <v>221</v>
      </c>
      <c r="C97" s="14" t="s">
        <v>255</v>
      </c>
      <c r="D97" s="14" t="s">
        <v>223</v>
      </c>
      <c r="E97" s="50">
        <f>'Func &amp; Classif'!P144</f>
        <v>63357678.701240584</v>
      </c>
      <c r="F97" s="66">
        <f>IF(VLOOKUP($D97,$C$5:$AU$501,3,)=0,0,(VLOOKUP($D97,$C$5:$AU$501,4,)/VLOOKUP($D97,$C$5:$AU$501,3,))*$E97)</f>
        <v>57596475.375504911</v>
      </c>
      <c r="G97" s="66">
        <f>IF(VLOOKUP($D97,$C$5:$AU$501,3,)=0,0,(VLOOKUP($D97,$C$5:$AU$501,5,)/VLOOKUP($D97,$C$5:$AU$501,3,))*$E97)</f>
        <v>0</v>
      </c>
      <c r="H97" s="66">
        <f>IF(VLOOKUP($D97,$C$5:$AU$501,3,)=0,0,(VLOOKUP($D97,$C$5:$AU$501,6,)/VLOOKUP($D97,$C$5:$AU$501,3,))*$E97)</f>
        <v>4341845.7967945607</v>
      </c>
      <c r="I97" s="66">
        <f>IF(VLOOKUP($D97,$C$5:$AU$501,3,)=0,0,(VLOOKUP($D97,$C$5:$AU$501,7,)/VLOOKUP($D97,$C$5:$AU$501,3,))*$E97)</f>
        <v>0</v>
      </c>
      <c r="J97" s="66">
        <f>IF(VLOOKUP($D97,$C$5:$AU$501,3,)=0,0,(VLOOKUP($D97,$C$5:$AU$501,8,)/VLOOKUP($D97,$C$5:$AU$501,3,))*$E97)</f>
        <v>184301.06193670406</v>
      </c>
      <c r="K97" s="66">
        <f>IF(VLOOKUP($D97,$C$5:$AU$501,3,)=0,0,(VLOOKUP($D97,$C$5:$AU$501,9,)/VLOOKUP($D97,$C$5:$AU$501,3,))*$E97)</f>
        <v>9574.0811395690416</v>
      </c>
      <c r="L97" s="66">
        <f>IF(VLOOKUP($D97,$C$5:$AU$501,3,)=0,0,(VLOOKUP($D97,$C$5:$AU$501,10,)/VLOOKUP($D97,$C$5:$AU$501,3,))*$E97)</f>
        <v>7180.5608546767817</v>
      </c>
      <c r="M97" s="66">
        <f>IF(VLOOKUP($D97,$C$5:$AU$501,3,)=0,0,(VLOOKUP($D97,$C$5:$AU$501,11,)/VLOOKUP($D97,$C$5:$AU$501,3,))*$E97)</f>
        <v>1190776.3417338997</v>
      </c>
      <c r="N97" s="66">
        <f>IF(VLOOKUP($D97,$C$5:$AU$501,3,)=0,0,(VLOOKUP($D97,$C$5:$AU$501,12,)/VLOOKUP($D97,$C$5:$AU$501,3,))*$E97)</f>
        <v>27525.483276260995</v>
      </c>
      <c r="O97" s="66">
        <f>IF(VLOOKUP($D97,$C$5:$AU$501,3,)=0,0,(VLOOKUP($D97,$C$5:$AU$501,13,)/VLOOKUP($D97,$C$5:$AU$501,3,))*$E97)</f>
        <v>0</v>
      </c>
      <c r="P97" s="66">
        <f>IF(VLOOKUP($D97,$C$5:$AU$501,3,)=0,0,(VLOOKUP($D97,$C$5:$AU$501,14,)/VLOOKUP($D97,$C$5:$AU$501,3,))*$E97)</f>
        <v>0</v>
      </c>
      <c r="Q97" s="66">
        <f>IF(VLOOKUP($D97,$C$5:$AU$501,3,)=0,0,(VLOOKUP($D97,$C$5:$AU$501,15,)/VLOOKUP($D97,$C$5:$AU$501,3,))*$E97)</f>
        <v>0</v>
      </c>
      <c r="R97" s="66">
        <f>IF(VLOOKUP($D97,$C$5:$AU$501,3,)=0,0,(VLOOKUP($D97,$C$5:$AU$501,16,)/VLOOKUP($D97,$C$5:$AU$501,3,))*$E97)</f>
        <v>0</v>
      </c>
      <c r="S97" s="66">
        <f>IF(VLOOKUP($D97,$C$5:$AU$501,3,)=0,0,(VLOOKUP($D97,$C$5:$AU$501,17,)/VLOOKUP($D97,$C$5:$AU$501,3,))*$E97)</f>
        <v>0</v>
      </c>
      <c r="T97" s="66">
        <f>IF(VLOOKUP($D97,$C$5:$AU$501,3,)=0,0,(VLOOKUP($D97,$C$5:$AU$501,18,)/VLOOKUP($D97,$C$5:$AU$501,3,))*$E97)</f>
        <v>0</v>
      </c>
      <c r="U97" s="66">
        <f>IF(VLOOKUP($D97,$C$5:$AU$501,3,)=0,0,(VLOOKUP($D97,$C$5:$AU$501,19,)/VLOOKUP($D97,$C$5:$AU$501,3,))*$E97)</f>
        <v>0</v>
      </c>
      <c r="V97" s="66">
        <f>IF(VLOOKUP($D97,$C$5:$AU$501,3,)=0,0,(VLOOKUP($D97,$C$5:$AU$501,20,)/VLOOKUP($D97,$C$5:$AU$501,3,))*$E97)</f>
        <v>0</v>
      </c>
      <c r="W97" s="66">
        <f>IF(VLOOKUP($D97,$C$5:$AU$501,3,)=0,0,(VLOOKUP($D97,$C$5:$AU$501,21,)/VLOOKUP($D97,$C$5:$AU$501,3,))*$E97)</f>
        <v>0</v>
      </c>
      <c r="X97" s="66">
        <f>IF(VLOOKUP($D97,$C$5:$AU$501,3,)=0,0,(VLOOKUP($D97,$C$5:$AU$501,22,)/VLOOKUP($D97,$C$5:$AU$501,3,))*$E97)</f>
        <v>0</v>
      </c>
      <c r="Y97" s="66">
        <f>IF(VLOOKUP($D97,$C$5:$AU$501,3,)=0,0,(VLOOKUP($D97,$C$5:$AU$501,23,)/VLOOKUP($D97,$C$5:$AU$501,3,))*$E97)</f>
        <v>0</v>
      </c>
      <c r="Z97" s="66">
        <f>IF(VLOOKUP($D97,$C$5:$AU$501,3,)=0,0,(VLOOKUP($D97,$C$5:$AU$501,24,)/VLOOKUP($D97,$C$5:$AU$501,3,))*$E97)</f>
        <v>0</v>
      </c>
      <c r="AA97" s="66">
        <f>IF(VLOOKUP($D97,$C$5:$AU$501,3,)=0,0,(VLOOKUP($D97,$C$5:$AU$501,25,)/VLOOKUP($D97,$C$5:$AU$501,3,))*$E97)</f>
        <v>0</v>
      </c>
      <c r="AB97" s="66">
        <f>IF(VLOOKUP($D97,$C$5:$AU$501,3,)=0,0,(VLOOKUP($D97,$C$5:$AU$501,26,)/VLOOKUP($D97,$C$5:$AU$501,3,))*$E97)</f>
        <v>0</v>
      </c>
      <c r="AC97" s="66">
        <f>IF(VLOOKUP($D97,$C$5:$AU$501,3,)=0,0,(VLOOKUP($D97,$C$5:$AU$501,27,)/VLOOKUP($D97,$C$5:$AU$501,3,))*$E97)</f>
        <v>0</v>
      </c>
      <c r="AD97" s="66">
        <f>IF(VLOOKUP($D97,$C$5:$AU$501,3,)=0,0,(VLOOKUP($D97,$C$5:$AU$501,28,)/VLOOKUP($D97,$C$5:$AU$501,3,))*$E97)</f>
        <v>0</v>
      </c>
      <c r="AE97" s="66">
        <f>IF(VLOOKUP($D97,$C$5:$AU$501,3,)=0,0,(VLOOKUP($D97,$C$5:$AU$501,29,)/VLOOKUP($D97,$C$5:$AU$501,3,))*$E97)</f>
        <v>0</v>
      </c>
      <c r="AF97" s="66">
        <f>IF(VLOOKUP($D97,$C$5:$AU$501,3,)=0,0,(VLOOKUP($D97,$C$5:$AU$501,30,)/VLOOKUP($D97,$C$5:$AU$501,3,))*$E97)</f>
        <v>0</v>
      </c>
      <c r="AG97" s="95">
        <f>SUM(F97:AF97)</f>
        <v>63357678.701240592</v>
      </c>
      <c r="AH97" s="31" t="str">
        <f>IF(ABS(E97-AG97)&lt;0.01,"ok","err")</f>
        <v>ok</v>
      </c>
    </row>
    <row r="98" spans="1:34" x14ac:dyDescent="0.2">
      <c r="A98" s="14" t="s">
        <v>224</v>
      </c>
      <c r="E98" s="66">
        <f t="shared" ref="E98:T98" si="18">E96+E97</f>
        <v>145416155.02939367</v>
      </c>
      <c r="F98" s="66">
        <f t="shared" si="18"/>
        <v>125197900.88951315</v>
      </c>
      <c r="G98" s="66">
        <f t="shared" si="18"/>
        <v>0</v>
      </c>
      <c r="H98" s="66">
        <f t="shared" si="18"/>
        <v>5858908.3156736251</v>
      </c>
      <c r="I98" s="66">
        <f t="shared" si="18"/>
        <v>0</v>
      </c>
      <c r="J98" s="66">
        <f t="shared" si="18"/>
        <v>3766506.6639219359</v>
      </c>
      <c r="K98" s="66">
        <f t="shared" si="18"/>
        <v>2528958.9112674478</v>
      </c>
      <c r="L98" s="66">
        <f t="shared" si="18"/>
        <v>1988079.3775927469</v>
      </c>
      <c r="M98" s="66">
        <f t="shared" si="18"/>
        <v>4381085.8284911485</v>
      </c>
      <c r="N98" s="66">
        <f t="shared" si="18"/>
        <v>938018.07397168386</v>
      </c>
      <c r="O98" s="66">
        <f t="shared" si="18"/>
        <v>756696.96896191826</v>
      </c>
      <c r="P98" s="66">
        <f t="shared" si="18"/>
        <v>0</v>
      </c>
      <c r="Q98" s="66">
        <f t="shared" si="18"/>
        <v>0</v>
      </c>
      <c r="R98" s="66">
        <f t="shared" si="18"/>
        <v>0</v>
      </c>
      <c r="S98" s="66">
        <f t="shared" si="18"/>
        <v>0</v>
      </c>
      <c r="T98" s="66">
        <f t="shared" si="18"/>
        <v>0</v>
      </c>
      <c r="U98" s="66">
        <f t="shared" ref="U98:AF98" si="19">U96+U97</f>
        <v>0</v>
      </c>
      <c r="V98" s="66">
        <f t="shared" si="19"/>
        <v>0</v>
      </c>
      <c r="W98" s="66">
        <f t="shared" si="19"/>
        <v>0</v>
      </c>
      <c r="X98" s="66">
        <f t="shared" si="19"/>
        <v>0</v>
      </c>
      <c r="Y98" s="66">
        <f t="shared" si="19"/>
        <v>0</v>
      </c>
      <c r="Z98" s="66">
        <f t="shared" si="19"/>
        <v>0</v>
      </c>
      <c r="AA98" s="66">
        <f t="shared" si="19"/>
        <v>0</v>
      </c>
      <c r="AB98" s="66">
        <f t="shared" si="19"/>
        <v>0</v>
      </c>
      <c r="AC98" s="66">
        <f t="shared" si="19"/>
        <v>0</v>
      </c>
      <c r="AD98" s="66">
        <f t="shared" si="19"/>
        <v>0</v>
      </c>
      <c r="AE98" s="66">
        <f t="shared" si="19"/>
        <v>0</v>
      </c>
      <c r="AF98" s="66">
        <f t="shared" si="19"/>
        <v>0</v>
      </c>
      <c r="AG98" s="95">
        <f>SUM(F98:AF98)</f>
        <v>145416155.02939367</v>
      </c>
      <c r="AH98" s="31" t="str">
        <f>IF(ABS(E98-AG98)&lt;0.01,"ok","err")</f>
        <v>ok</v>
      </c>
    </row>
    <row r="99" spans="1:34" x14ac:dyDescent="0.2">
      <c r="E99" s="50"/>
    </row>
    <row r="100" spans="1:34" x14ac:dyDescent="0.2">
      <c r="A100" s="13" t="s">
        <v>3</v>
      </c>
      <c r="E100" s="50"/>
    </row>
    <row r="101" spans="1:34" x14ac:dyDescent="0.2">
      <c r="A101" s="98" t="s">
        <v>209</v>
      </c>
      <c r="C101" s="14" t="s">
        <v>256</v>
      </c>
      <c r="D101" s="14" t="s">
        <v>619</v>
      </c>
      <c r="E101" s="66">
        <f>'Func &amp; Classif'!R144</f>
        <v>0</v>
      </c>
      <c r="F101" s="66">
        <f>IF(VLOOKUP($D101,$C$5:$AU$501,3,)=0,0,(VLOOKUP($D101,$C$5:$AU$501,4,)/VLOOKUP($D101,$C$5:$AU$501,3,))*$E101)</f>
        <v>0</v>
      </c>
      <c r="G101" s="66">
        <f>IF(VLOOKUP($D101,$C$5:$AU$501,3,)=0,0,(VLOOKUP($D101,$C$5:$AU$501,5,)/VLOOKUP($D101,$C$5:$AU$501,3,))*$E101)</f>
        <v>0</v>
      </c>
      <c r="H101" s="66">
        <f>IF(VLOOKUP($D101,$C$5:$AU$501,3,)=0,0,(VLOOKUP($D101,$C$5:$AU$501,6,)/VLOOKUP($D101,$C$5:$AU$501,3,))*$E101)</f>
        <v>0</v>
      </c>
      <c r="I101" s="66">
        <f>IF(VLOOKUP($D101,$C$5:$AU$501,3,)=0,0,(VLOOKUP($D101,$C$5:$AU$501,7,)/VLOOKUP($D101,$C$5:$AU$501,3,))*$E101)</f>
        <v>0</v>
      </c>
      <c r="J101" s="66">
        <f>IF(VLOOKUP($D101,$C$5:$AU$501,3,)=0,0,(VLOOKUP($D101,$C$5:$AU$501,8,)/VLOOKUP($D101,$C$5:$AU$501,3,))*$E101)</f>
        <v>0</v>
      </c>
      <c r="K101" s="66">
        <f>IF(VLOOKUP($D101,$C$5:$AU$501,3,)=0,0,(VLOOKUP($D101,$C$5:$AU$501,9,)/VLOOKUP($D101,$C$5:$AU$501,3,))*$E101)</f>
        <v>0</v>
      </c>
      <c r="L101" s="66">
        <f>IF(VLOOKUP($D101,$C$5:$AU$501,3,)=0,0,(VLOOKUP($D101,$C$5:$AU$501,10,)/VLOOKUP($D101,$C$5:$AU$501,3,))*$E101)</f>
        <v>0</v>
      </c>
      <c r="M101" s="66">
        <f>IF(VLOOKUP($D101,$C$5:$AU$501,3,)=0,0,(VLOOKUP($D101,$C$5:$AU$501,11,)/VLOOKUP($D101,$C$5:$AU$501,3,))*$E101)</f>
        <v>0</v>
      </c>
      <c r="N101" s="66">
        <f>IF(VLOOKUP($D101,$C$5:$AU$501,3,)=0,0,(VLOOKUP($D101,$C$5:$AU$501,12,)/VLOOKUP($D101,$C$5:$AU$501,3,))*$E101)</f>
        <v>0</v>
      </c>
      <c r="O101" s="66">
        <f>IF(VLOOKUP($D101,$C$5:$AU$501,3,)=0,0,(VLOOKUP($D101,$C$5:$AU$501,13,)/VLOOKUP($D101,$C$5:$AU$501,3,))*$E101)</f>
        <v>0</v>
      </c>
      <c r="P101" s="66">
        <f>IF(VLOOKUP($D101,$C$5:$AU$501,3,)=0,0,(VLOOKUP($D101,$C$5:$AU$501,14,)/VLOOKUP($D101,$C$5:$AU$501,3,))*$E101)</f>
        <v>0</v>
      </c>
      <c r="Q101" s="66">
        <f>IF(VLOOKUP($D101,$C$5:$AU$501,3,)=0,0,(VLOOKUP($D101,$C$5:$AU$501,15,)/VLOOKUP($D101,$C$5:$AU$501,3,))*$E101)</f>
        <v>0</v>
      </c>
      <c r="R101" s="66">
        <f>IF(VLOOKUP($D101,$C$5:$AU$501,3,)=0,0,(VLOOKUP($D101,$C$5:$AU$501,16,)/VLOOKUP($D101,$C$5:$AU$501,3,))*$E101)</f>
        <v>0</v>
      </c>
      <c r="S101" s="66">
        <f>IF(VLOOKUP($D101,$C$5:$AU$501,3,)=0,0,(VLOOKUP($D101,$C$5:$AU$501,17,)/VLOOKUP($D101,$C$5:$AU$501,3,))*$E101)</f>
        <v>0</v>
      </c>
      <c r="T101" s="66">
        <f>IF(VLOOKUP($D101,$C$5:$AU$501,3,)=0,0,(VLOOKUP($D101,$C$5:$AU$501,18,)/VLOOKUP($D101,$C$5:$AU$501,3,))*$E101)</f>
        <v>0</v>
      </c>
      <c r="U101" s="66">
        <f>IF(VLOOKUP($D101,$C$5:$AU$501,3,)=0,0,(VLOOKUP($D101,$C$5:$AU$501,19,)/VLOOKUP($D101,$C$5:$AU$501,3,))*$E101)</f>
        <v>0</v>
      </c>
      <c r="V101" s="66">
        <f>IF(VLOOKUP($D101,$C$5:$AU$501,3,)=0,0,(VLOOKUP($D101,$C$5:$AU$501,20,)/VLOOKUP($D101,$C$5:$AU$501,3,))*$E101)</f>
        <v>0</v>
      </c>
      <c r="W101" s="66">
        <f>IF(VLOOKUP($D101,$C$5:$AU$501,3,)=0,0,(VLOOKUP($D101,$C$5:$AU$501,21,)/VLOOKUP($D101,$C$5:$AU$501,3,))*$E101)</f>
        <v>0</v>
      </c>
      <c r="X101" s="66">
        <f>IF(VLOOKUP($D101,$C$5:$AU$501,3,)=0,0,(VLOOKUP($D101,$C$5:$AU$501,22,)/VLOOKUP($D101,$C$5:$AU$501,3,))*$E101)</f>
        <v>0</v>
      </c>
      <c r="Y101" s="66">
        <f>IF(VLOOKUP($D101,$C$5:$AU$501,3,)=0,0,(VLOOKUP($D101,$C$5:$AU$501,23,)/VLOOKUP($D101,$C$5:$AU$501,3,))*$E101)</f>
        <v>0</v>
      </c>
      <c r="Z101" s="66">
        <f>IF(VLOOKUP($D101,$C$5:$AU$501,3,)=0,0,(VLOOKUP($D101,$C$5:$AU$501,24,)/VLOOKUP($D101,$C$5:$AU$501,3,))*$E101)</f>
        <v>0</v>
      </c>
      <c r="AA101" s="66">
        <f>IF(VLOOKUP($D101,$C$5:$AU$501,3,)=0,0,(VLOOKUP($D101,$C$5:$AU$501,25,)/VLOOKUP($D101,$C$5:$AU$501,3,))*$E101)</f>
        <v>0</v>
      </c>
      <c r="AB101" s="66">
        <f>IF(VLOOKUP($D101,$C$5:$AU$501,3,)=0,0,(VLOOKUP($D101,$C$5:$AU$501,26,)/VLOOKUP($D101,$C$5:$AU$501,3,))*$E101)</f>
        <v>0</v>
      </c>
      <c r="AC101" s="66">
        <f>IF(VLOOKUP($D101,$C$5:$AU$501,3,)=0,0,(VLOOKUP($D101,$C$5:$AU$501,27,)/VLOOKUP($D101,$C$5:$AU$501,3,))*$E101)</f>
        <v>0</v>
      </c>
      <c r="AD101" s="66">
        <f>IF(VLOOKUP($D101,$C$5:$AU$501,3,)=0,0,(VLOOKUP($D101,$C$5:$AU$501,28,)/VLOOKUP($D101,$C$5:$AU$501,3,))*$E101)</f>
        <v>0</v>
      </c>
      <c r="AE101" s="66">
        <f>IF(VLOOKUP($D101,$C$5:$AU$501,3,)=0,0,(VLOOKUP($D101,$C$5:$AU$501,29,)/VLOOKUP($D101,$C$5:$AU$501,3,))*$E101)</f>
        <v>0</v>
      </c>
      <c r="AF101" s="66">
        <f>IF(VLOOKUP($D101,$C$5:$AU$501,3,)=0,0,(VLOOKUP($D101,$C$5:$AU$501,30,)/VLOOKUP($D101,$C$5:$AU$501,3,))*$E101)</f>
        <v>0</v>
      </c>
      <c r="AG101" s="95">
        <f>SUM(F101:AF101)</f>
        <v>0</v>
      </c>
      <c r="AH101" s="31" t="str">
        <f>IF(ABS(E101-AG101)&lt;0.01,"ok","err")</f>
        <v>ok</v>
      </c>
    </row>
    <row r="102" spans="1:34" x14ac:dyDescent="0.2">
      <c r="A102" s="98" t="s">
        <v>221</v>
      </c>
      <c r="C102" s="14" t="s">
        <v>257</v>
      </c>
      <c r="D102" s="14" t="s">
        <v>700</v>
      </c>
      <c r="E102" s="50">
        <f>'Func &amp; Classif'!S144</f>
        <v>19306195.185324758</v>
      </c>
      <c r="F102" s="66">
        <f>IF(VLOOKUP($D102,$C$5:$AU$501,3,)=0,0,(VLOOKUP($D102,$C$5:$AU$501,4,)/VLOOKUP($D102,$C$5:$AU$501,3,))*$E102)</f>
        <v>16153240.705779875</v>
      </c>
      <c r="G102" s="66">
        <f>IF(VLOOKUP($D102,$C$5:$AU$501,3,)=0,0,(VLOOKUP($D102,$C$5:$AU$501,5,)/VLOOKUP($D102,$C$5:$AU$501,3,))*$E102)</f>
        <v>12082.961028280915</v>
      </c>
      <c r="H102" s="66">
        <f>IF(VLOOKUP($D102,$C$5:$AU$501,3,)=0,0,(VLOOKUP($D102,$C$5:$AU$501,6,)/VLOOKUP($D102,$C$5:$AU$501,3,))*$E102)</f>
        <v>2739811.4131626971</v>
      </c>
      <c r="I102" s="66">
        <f>IF(VLOOKUP($D102,$C$5:$AU$501,3,)=0,0,(VLOOKUP($D102,$C$5:$AU$501,7,)/VLOOKUP($D102,$C$5:$AU$501,3,))*$E102)</f>
        <v>100.69134190234095</v>
      </c>
      <c r="J102" s="66">
        <f>IF(VLOOKUP($D102,$C$5:$AU$501,3,)=0,0,(VLOOKUP($D102,$C$5:$AU$501,8,)/VLOOKUP($D102,$C$5:$AU$501,3,))*$E102)</f>
        <v>51688.222176535019</v>
      </c>
      <c r="K102" s="66">
        <f>IF(VLOOKUP($D102,$C$5:$AU$501,3,)=0,0,(VLOOKUP($D102,$C$5:$AU$501,9,)/VLOOKUP($D102,$C$5:$AU$501,3,))*$E102)</f>
        <v>0</v>
      </c>
      <c r="L102" s="66">
        <f>IF(VLOOKUP($D102,$C$5:$AU$501,3,)=0,0,(VLOOKUP($D102,$C$5:$AU$501,10,)/VLOOKUP($D102,$C$5:$AU$501,3,))*$E102)</f>
        <v>0</v>
      </c>
      <c r="M102" s="66">
        <f>IF(VLOOKUP($D102,$C$5:$AU$501,3,)=0,0,(VLOOKUP($D102,$C$5:$AU$501,11,)/VLOOKUP($D102,$C$5:$AU$501,3,))*$E102)</f>
        <v>333959.61730943073</v>
      </c>
      <c r="N102" s="66">
        <f>IF(VLOOKUP($D102,$C$5:$AU$501,3,)=0,0,(VLOOKUP($D102,$C$5:$AU$501,12,)/VLOOKUP($D102,$C$5:$AU$501,3,))*$E102)</f>
        <v>15311.57452603803</v>
      </c>
      <c r="O102" s="66">
        <f>IF(VLOOKUP($D102,$C$5:$AU$501,3,)=0,0,(VLOOKUP($D102,$C$5:$AU$501,13,)/VLOOKUP($D102,$C$5:$AU$501,3,))*$E102)</f>
        <v>0</v>
      </c>
      <c r="P102" s="66">
        <f>IF(VLOOKUP($D102,$C$5:$AU$501,3,)=0,0,(VLOOKUP($D102,$C$5:$AU$501,14,)/VLOOKUP($D102,$C$5:$AU$501,3,))*$E102)</f>
        <v>0</v>
      </c>
      <c r="Q102" s="66">
        <f>IF(VLOOKUP($D102,$C$5:$AU$501,3,)=0,0,(VLOOKUP($D102,$C$5:$AU$501,15,)/VLOOKUP($D102,$C$5:$AU$501,3,))*$E102)</f>
        <v>0</v>
      </c>
      <c r="R102" s="66">
        <f>IF(VLOOKUP($D102,$C$5:$AU$501,3,)=0,0,(VLOOKUP($D102,$C$5:$AU$501,16,)/VLOOKUP($D102,$C$5:$AU$501,3,))*$E102)</f>
        <v>0</v>
      </c>
      <c r="S102" s="66">
        <f>IF(VLOOKUP($D102,$C$5:$AU$501,3,)=0,0,(VLOOKUP($D102,$C$5:$AU$501,17,)/VLOOKUP($D102,$C$5:$AU$501,3,))*$E102)</f>
        <v>0</v>
      </c>
      <c r="T102" s="66">
        <f>IF(VLOOKUP($D102,$C$5:$AU$501,3,)=0,0,(VLOOKUP($D102,$C$5:$AU$501,18,)/VLOOKUP($D102,$C$5:$AU$501,3,))*$E102)</f>
        <v>0</v>
      </c>
      <c r="U102" s="66">
        <f>IF(VLOOKUP($D102,$C$5:$AU$501,3,)=0,0,(VLOOKUP($D102,$C$5:$AU$501,19,)/VLOOKUP($D102,$C$5:$AU$501,3,))*$E102)</f>
        <v>0</v>
      </c>
      <c r="V102" s="66">
        <f>IF(VLOOKUP($D102,$C$5:$AU$501,3,)=0,0,(VLOOKUP($D102,$C$5:$AU$501,20,)/VLOOKUP($D102,$C$5:$AU$501,3,))*$E102)</f>
        <v>0</v>
      </c>
      <c r="W102" s="66">
        <f>IF(VLOOKUP($D102,$C$5:$AU$501,3,)=0,0,(VLOOKUP($D102,$C$5:$AU$501,21,)/VLOOKUP($D102,$C$5:$AU$501,3,))*$E102)</f>
        <v>0</v>
      </c>
      <c r="X102" s="66">
        <f>IF(VLOOKUP($D102,$C$5:$AU$501,3,)=0,0,(VLOOKUP($D102,$C$5:$AU$501,22,)/VLOOKUP($D102,$C$5:$AU$501,3,))*$E102)</f>
        <v>0</v>
      </c>
      <c r="Y102" s="66">
        <f>IF(VLOOKUP($D102,$C$5:$AU$501,3,)=0,0,(VLOOKUP($D102,$C$5:$AU$501,23,)/VLOOKUP($D102,$C$5:$AU$501,3,))*$E102)</f>
        <v>0</v>
      </c>
      <c r="Z102" s="66">
        <f>IF(VLOOKUP($D102,$C$5:$AU$501,3,)=0,0,(VLOOKUP($D102,$C$5:$AU$501,24,)/VLOOKUP($D102,$C$5:$AU$501,3,))*$E102)</f>
        <v>0</v>
      </c>
      <c r="AA102" s="66">
        <f>IF(VLOOKUP($D102,$C$5:$AU$501,3,)=0,0,(VLOOKUP($D102,$C$5:$AU$501,25,)/VLOOKUP($D102,$C$5:$AU$501,3,))*$E102)</f>
        <v>0</v>
      </c>
      <c r="AB102" s="66">
        <f>IF(VLOOKUP($D102,$C$5:$AU$501,3,)=0,0,(VLOOKUP($D102,$C$5:$AU$501,26,)/VLOOKUP($D102,$C$5:$AU$501,3,))*$E102)</f>
        <v>0</v>
      </c>
      <c r="AC102" s="66">
        <f>IF(VLOOKUP($D102,$C$5:$AU$501,3,)=0,0,(VLOOKUP($D102,$C$5:$AU$501,27,)/VLOOKUP($D102,$C$5:$AU$501,3,))*$E102)</f>
        <v>0</v>
      </c>
      <c r="AD102" s="66">
        <f>IF(VLOOKUP($D102,$C$5:$AU$501,3,)=0,0,(VLOOKUP($D102,$C$5:$AU$501,28,)/VLOOKUP($D102,$C$5:$AU$501,3,))*$E102)</f>
        <v>0</v>
      </c>
      <c r="AE102" s="66">
        <f>IF(VLOOKUP($D102,$C$5:$AU$501,3,)=0,0,(VLOOKUP($D102,$C$5:$AU$501,29,)/VLOOKUP($D102,$C$5:$AU$501,3,))*$E102)</f>
        <v>0</v>
      </c>
      <c r="AF102" s="66">
        <f>IF(VLOOKUP($D102,$C$5:$AU$501,3,)=0,0,(VLOOKUP($D102,$C$5:$AU$501,30,)/VLOOKUP($D102,$C$5:$AU$501,3,))*$E102)</f>
        <v>0</v>
      </c>
      <c r="AG102" s="95">
        <f>SUM(F102:AF102)</f>
        <v>19306195.185324758</v>
      </c>
      <c r="AH102" s="31" t="str">
        <f>IF(ABS(E102-AG102)&lt;0.01,"ok","err")</f>
        <v>ok</v>
      </c>
    </row>
    <row r="103" spans="1:34" x14ac:dyDescent="0.2">
      <c r="A103" s="14" t="s">
        <v>228</v>
      </c>
      <c r="E103" s="66">
        <f t="shared" ref="E103:T103" si="20">E101+E102</f>
        <v>19306195.185324758</v>
      </c>
      <c r="F103" s="66">
        <f t="shared" si="20"/>
        <v>16153240.705779875</v>
      </c>
      <c r="G103" s="66">
        <f t="shared" si="20"/>
        <v>12082.961028280915</v>
      </c>
      <c r="H103" s="66">
        <f t="shared" si="20"/>
        <v>2739811.4131626971</v>
      </c>
      <c r="I103" s="66">
        <f t="shared" si="20"/>
        <v>100.69134190234095</v>
      </c>
      <c r="J103" s="66">
        <f t="shared" si="20"/>
        <v>51688.222176535019</v>
      </c>
      <c r="K103" s="66">
        <f t="shared" si="20"/>
        <v>0</v>
      </c>
      <c r="L103" s="66">
        <f t="shared" si="20"/>
        <v>0</v>
      </c>
      <c r="M103" s="66">
        <f t="shared" si="20"/>
        <v>333959.61730943073</v>
      </c>
      <c r="N103" s="66">
        <f t="shared" si="20"/>
        <v>15311.57452603803</v>
      </c>
      <c r="O103" s="66">
        <f t="shared" si="20"/>
        <v>0</v>
      </c>
      <c r="P103" s="66">
        <f t="shared" si="20"/>
        <v>0</v>
      </c>
      <c r="Q103" s="66">
        <f t="shared" si="20"/>
        <v>0</v>
      </c>
      <c r="R103" s="66">
        <f t="shared" si="20"/>
        <v>0</v>
      </c>
      <c r="S103" s="66">
        <f t="shared" si="20"/>
        <v>0</v>
      </c>
      <c r="T103" s="66">
        <f t="shared" si="20"/>
        <v>0</v>
      </c>
      <c r="U103" s="66">
        <f t="shared" ref="U103:AF103" si="21">U101+U102</f>
        <v>0</v>
      </c>
      <c r="V103" s="66">
        <f t="shared" si="21"/>
        <v>0</v>
      </c>
      <c r="W103" s="66">
        <f t="shared" si="21"/>
        <v>0</v>
      </c>
      <c r="X103" s="66">
        <f t="shared" si="21"/>
        <v>0</v>
      </c>
      <c r="Y103" s="66">
        <f t="shared" si="21"/>
        <v>0</v>
      </c>
      <c r="Z103" s="66">
        <f t="shared" si="21"/>
        <v>0</v>
      </c>
      <c r="AA103" s="66">
        <f t="shared" si="21"/>
        <v>0</v>
      </c>
      <c r="AB103" s="66">
        <f t="shared" si="21"/>
        <v>0</v>
      </c>
      <c r="AC103" s="66">
        <f t="shared" si="21"/>
        <v>0</v>
      </c>
      <c r="AD103" s="66">
        <f t="shared" si="21"/>
        <v>0</v>
      </c>
      <c r="AE103" s="66">
        <f t="shared" si="21"/>
        <v>0</v>
      </c>
      <c r="AF103" s="66">
        <f t="shared" si="21"/>
        <v>0</v>
      </c>
      <c r="AG103" s="95">
        <f>SUM(F103:AF103)</f>
        <v>19306195.185324758</v>
      </c>
      <c r="AH103" s="31" t="str">
        <f>IF(ABS(E103-AG103)&lt;0.01,"ok","err")</f>
        <v>ok</v>
      </c>
    </row>
    <row r="104" spans="1:34" x14ac:dyDescent="0.2">
      <c r="E104" s="50"/>
    </row>
    <row r="105" spans="1:34" x14ac:dyDescent="0.2">
      <c r="A105" s="13" t="s">
        <v>4</v>
      </c>
      <c r="E105" s="50"/>
    </row>
    <row r="106" spans="1:34" x14ac:dyDescent="0.2">
      <c r="A106" s="98" t="s">
        <v>221</v>
      </c>
      <c r="C106" s="14" t="s">
        <v>258</v>
      </c>
      <c r="D106" s="14" t="s">
        <v>230</v>
      </c>
      <c r="E106" s="66">
        <f>'Func &amp; Classif'!U144</f>
        <v>11402293.079310792</v>
      </c>
      <c r="F106" s="66">
        <f>IF(VLOOKUP($D106,$C$5:$AU$501,3,)=0,0,(VLOOKUP($D106,$C$5:$AU$501,4,)/VLOOKUP($D106,$C$5:$AU$501,3,))*$E106)</f>
        <v>9675328.1899261698</v>
      </c>
      <c r="G106" s="66">
        <f>IF(VLOOKUP($D106,$C$5:$AU$501,3,)=0,0,(VLOOKUP($D106,$C$5:$AU$501,5,)/VLOOKUP($D106,$C$5:$AU$501,3,))*$E106)</f>
        <v>72373.473276402467</v>
      </c>
      <c r="H106" s="66">
        <f>IF(VLOOKUP($D106,$C$5:$AU$501,3,)=0,0,(VLOOKUP($D106,$C$5:$AU$501,6,)/VLOOKUP($D106,$C$5:$AU$501,3,))*$E106)</f>
        <v>1220347.4887638453</v>
      </c>
      <c r="I106" s="66">
        <f>IF(VLOOKUP($D106,$C$5:$AU$501,3,)=0,0,(VLOOKUP($D106,$C$5:$AU$501,7,)/VLOOKUP($D106,$C$5:$AU$501,3,))*$E106)</f>
        <v>1009.1076257694422</v>
      </c>
      <c r="J106" s="66">
        <f>IF(VLOOKUP($D106,$C$5:$AU$501,3,)=0,0,(VLOOKUP($D106,$C$5:$AU$501,8,)/VLOOKUP($D106,$C$5:$AU$501,3,))*$E106)</f>
        <v>83243.384926326064</v>
      </c>
      <c r="K106" s="66">
        <f>IF(VLOOKUP($D106,$C$5:$AU$501,3,)=0,0,(VLOOKUP($D106,$C$5:$AU$501,9,)/VLOOKUP($D106,$C$5:$AU$501,3,))*$E106)</f>
        <v>4324.3316844844712</v>
      </c>
      <c r="L106" s="66">
        <f>IF(VLOOKUP($D106,$C$5:$AU$501,3,)=0,0,(VLOOKUP($D106,$C$5:$AU$501,10,)/VLOOKUP($D106,$C$5:$AU$501,3,))*$E106)</f>
        <v>3243.2487633633536</v>
      </c>
      <c r="M106" s="66">
        <f>IF(VLOOKUP($D106,$C$5:$AU$501,3,)=0,0,(VLOOKUP($D106,$C$5:$AU$501,11,)/VLOOKUP($D106,$C$5:$AU$501,3,))*$E106)</f>
        <v>334687.36254686496</v>
      </c>
      <c r="N106" s="66">
        <f>IF(VLOOKUP($D106,$C$5:$AU$501,3,)=0,0,(VLOOKUP($D106,$C$5:$AU$501,12,)/VLOOKUP($D106,$C$5:$AU$501,3,))*$E106)</f>
        <v>7736.4917975657236</v>
      </c>
      <c r="O106" s="66">
        <f>IF(VLOOKUP($D106,$C$5:$AU$501,3,)=0,0,(VLOOKUP($D106,$C$5:$AU$501,13,)/VLOOKUP($D106,$C$5:$AU$501,3,))*$E106)</f>
        <v>0</v>
      </c>
      <c r="P106" s="66">
        <f>IF(VLOOKUP($D106,$C$5:$AU$501,3,)=0,0,(VLOOKUP($D106,$C$5:$AU$501,14,)/VLOOKUP($D106,$C$5:$AU$501,3,))*$E106)</f>
        <v>0</v>
      </c>
      <c r="Q106" s="66">
        <f>IF(VLOOKUP($D106,$C$5:$AU$501,3,)=0,0,(VLOOKUP($D106,$C$5:$AU$501,15,)/VLOOKUP($D106,$C$5:$AU$501,3,))*$E106)</f>
        <v>0</v>
      </c>
      <c r="R106" s="66">
        <f>IF(VLOOKUP($D106,$C$5:$AU$501,3,)=0,0,(VLOOKUP($D106,$C$5:$AU$501,16,)/VLOOKUP($D106,$C$5:$AU$501,3,))*$E106)</f>
        <v>0</v>
      </c>
      <c r="S106" s="66">
        <f>IF(VLOOKUP($D106,$C$5:$AU$501,3,)=0,0,(VLOOKUP($D106,$C$5:$AU$501,17,)/VLOOKUP($D106,$C$5:$AU$501,3,))*$E106)</f>
        <v>0</v>
      </c>
      <c r="T106" s="66">
        <f>IF(VLOOKUP($D106,$C$5:$AU$501,3,)=0,0,(VLOOKUP($D106,$C$5:$AU$501,18,)/VLOOKUP($D106,$C$5:$AU$501,3,))*$E106)</f>
        <v>0</v>
      </c>
      <c r="U106" s="66">
        <f>IF(VLOOKUP($D106,$C$5:$AU$501,3,)=0,0,(VLOOKUP($D106,$C$5:$AU$501,19,)/VLOOKUP($D106,$C$5:$AU$501,3,))*$E106)</f>
        <v>0</v>
      </c>
      <c r="V106" s="66">
        <f>IF(VLOOKUP($D106,$C$5:$AU$501,3,)=0,0,(VLOOKUP($D106,$C$5:$AU$501,20,)/VLOOKUP($D106,$C$5:$AU$501,3,))*$E106)</f>
        <v>0</v>
      </c>
      <c r="W106" s="66">
        <f>IF(VLOOKUP($D106,$C$5:$AU$501,3,)=0,0,(VLOOKUP($D106,$C$5:$AU$501,21,)/VLOOKUP($D106,$C$5:$AU$501,3,))*$E106)</f>
        <v>0</v>
      </c>
      <c r="X106" s="66">
        <f>IF(VLOOKUP($D106,$C$5:$AU$501,3,)=0,0,(VLOOKUP($D106,$C$5:$AU$501,22,)/VLOOKUP($D106,$C$5:$AU$501,3,))*$E106)</f>
        <v>0</v>
      </c>
      <c r="Y106" s="66">
        <f>IF(VLOOKUP($D106,$C$5:$AU$501,3,)=0,0,(VLOOKUP($D106,$C$5:$AU$501,23,)/VLOOKUP($D106,$C$5:$AU$501,3,))*$E106)</f>
        <v>0</v>
      </c>
      <c r="Z106" s="66">
        <f>IF(VLOOKUP($D106,$C$5:$AU$501,3,)=0,0,(VLOOKUP($D106,$C$5:$AU$501,24,)/VLOOKUP($D106,$C$5:$AU$501,3,))*$E106)</f>
        <v>0</v>
      </c>
      <c r="AA106" s="66">
        <f>IF(VLOOKUP($D106,$C$5:$AU$501,3,)=0,0,(VLOOKUP($D106,$C$5:$AU$501,25,)/VLOOKUP($D106,$C$5:$AU$501,3,))*$E106)</f>
        <v>0</v>
      </c>
      <c r="AB106" s="66">
        <f>IF(VLOOKUP($D106,$C$5:$AU$501,3,)=0,0,(VLOOKUP($D106,$C$5:$AU$501,26,)/VLOOKUP($D106,$C$5:$AU$501,3,))*$E106)</f>
        <v>0</v>
      </c>
      <c r="AC106" s="66">
        <f>IF(VLOOKUP($D106,$C$5:$AU$501,3,)=0,0,(VLOOKUP($D106,$C$5:$AU$501,27,)/VLOOKUP($D106,$C$5:$AU$501,3,))*$E106)</f>
        <v>0</v>
      </c>
      <c r="AD106" s="66">
        <f>IF(VLOOKUP($D106,$C$5:$AU$501,3,)=0,0,(VLOOKUP($D106,$C$5:$AU$501,28,)/VLOOKUP($D106,$C$5:$AU$501,3,))*$E106)</f>
        <v>0</v>
      </c>
      <c r="AE106" s="66">
        <f>IF(VLOOKUP($D106,$C$5:$AU$501,3,)=0,0,(VLOOKUP($D106,$C$5:$AU$501,29,)/VLOOKUP($D106,$C$5:$AU$501,3,))*$E106)</f>
        <v>0</v>
      </c>
      <c r="AF106" s="66">
        <f>IF(VLOOKUP($D106,$C$5:$AU$501,3,)=0,0,(VLOOKUP($D106,$C$5:$AU$501,30,)/VLOOKUP($D106,$C$5:$AU$501,3,))*$E106)</f>
        <v>0</v>
      </c>
      <c r="AG106" s="95">
        <f>SUM(F106:AF106)</f>
        <v>11402293.079310793</v>
      </c>
      <c r="AH106" s="31" t="str">
        <f>IF(ABS(E106-AG106)&lt;0.01,"ok","err")</f>
        <v>ok</v>
      </c>
    </row>
    <row r="107" spans="1:34" x14ac:dyDescent="0.2">
      <c r="E107" s="50"/>
    </row>
    <row r="108" spans="1:34" x14ac:dyDescent="0.2">
      <c r="A108" s="13" t="s">
        <v>5</v>
      </c>
      <c r="E108" s="50"/>
    </row>
    <row r="109" spans="1:34" x14ac:dyDescent="0.2">
      <c r="A109" s="98" t="s">
        <v>221</v>
      </c>
      <c r="C109" s="14" t="s">
        <v>259</v>
      </c>
      <c r="D109" s="14" t="s">
        <v>232</v>
      </c>
      <c r="E109" s="66">
        <f>'Func &amp; Classif'!W144</f>
        <v>11657744.034623863</v>
      </c>
      <c r="F109" s="66">
        <f>IF(VLOOKUP($D109,$C$5:$AU$501,3,)=0,0,(VLOOKUP($D109,$C$5:$AU$501,4,)/VLOOKUP($D109,$C$5:$AU$501,3,))*$E109)</f>
        <v>0</v>
      </c>
      <c r="G109" s="66">
        <f>IF(VLOOKUP($D109,$C$5:$AU$501,3,)=0,0,(VLOOKUP($D109,$C$5:$AU$501,5,)/VLOOKUP($D109,$C$5:$AU$501,3,))*$E109)</f>
        <v>0</v>
      </c>
      <c r="H109" s="66">
        <f>IF(VLOOKUP($D109,$C$5:$AU$501,3,)=0,0,(VLOOKUP($D109,$C$5:$AU$501,6,)/VLOOKUP($D109,$C$5:$AU$501,3,))*$E109)</f>
        <v>0</v>
      </c>
      <c r="I109" s="66">
        <f>IF(VLOOKUP($D109,$C$5:$AU$501,3,)=0,0,(VLOOKUP($D109,$C$5:$AU$501,7,)/VLOOKUP($D109,$C$5:$AU$501,3,))*$E109)</f>
        <v>0</v>
      </c>
      <c r="J109" s="66">
        <f>IF(VLOOKUP($D109,$C$5:$AU$501,3,)=0,0,(VLOOKUP($D109,$C$5:$AU$501,8,)/VLOOKUP($D109,$C$5:$AU$501,3,))*$E109)</f>
        <v>0</v>
      </c>
      <c r="K109" s="66">
        <f>IF(VLOOKUP($D109,$C$5:$AU$501,3,)=0,0,(VLOOKUP($D109,$C$5:$AU$501,9,)/VLOOKUP($D109,$C$5:$AU$501,3,))*$E109)</f>
        <v>0</v>
      </c>
      <c r="L109" s="66">
        <f>IF(VLOOKUP($D109,$C$5:$AU$501,3,)=0,0,(VLOOKUP($D109,$C$5:$AU$501,10,)/VLOOKUP($D109,$C$5:$AU$501,3,))*$E109)</f>
        <v>0</v>
      </c>
      <c r="M109" s="66">
        <f>IF(VLOOKUP($D109,$C$5:$AU$501,3,)=0,0,(VLOOKUP($D109,$C$5:$AU$501,11,)/VLOOKUP($D109,$C$5:$AU$501,3,))*$E109)</f>
        <v>0</v>
      </c>
      <c r="N109" s="66">
        <f>IF(VLOOKUP($D109,$C$5:$AU$501,3,)=0,0,(VLOOKUP($D109,$C$5:$AU$501,12,)/VLOOKUP($D109,$C$5:$AU$501,3,))*$E109)</f>
        <v>0</v>
      </c>
      <c r="O109" s="66">
        <f>IF(VLOOKUP($D109,$C$5:$AU$501,3,)=0,0,(VLOOKUP($D109,$C$5:$AU$501,13,)/VLOOKUP($D109,$C$5:$AU$501,3,))*$E109)</f>
        <v>11657744.034623863</v>
      </c>
      <c r="P109" s="66">
        <f>IF(VLOOKUP($D109,$C$5:$AU$501,3,)=0,0,(VLOOKUP($D109,$C$5:$AU$501,14,)/VLOOKUP($D109,$C$5:$AU$501,3,))*$E109)</f>
        <v>0</v>
      </c>
      <c r="Q109" s="66">
        <f>IF(VLOOKUP($D109,$C$5:$AU$501,3,)=0,0,(VLOOKUP($D109,$C$5:$AU$501,15,)/VLOOKUP($D109,$C$5:$AU$501,3,))*$E109)</f>
        <v>0</v>
      </c>
      <c r="R109" s="66">
        <f>IF(VLOOKUP($D109,$C$5:$AU$501,3,)=0,0,(VLOOKUP($D109,$C$5:$AU$501,16,)/VLOOKUP($D109,$C$5:$AU$501,3,))*$E109)</f>
        <v>0</v>
      </c>
      <c r="S109" s="66">
        <f>IF(VLOOKUP($D109,$C$5:$AU$501,3,)=0,0,(VLOOKUP($D109,$C$5:$AU$501,17,)/VLOOKUP($D109,$C$5:$AU$501,3,))*$E109)</f>
        <v>0</v>
      </c>
      <c r="T109" s="66">
        <f>IF(VLOOKUP($D109,$C$5:$AU$501,3,)=0,0,(VLOOKUP($D109,$C$5:$AU$501,18,)/VLOOKUP($D109,$C$5:$AU$501,3,))*$E109)</f>
        <v>0</v>
      </c>
      <c r="U109" s="66">
        <f>IF(VLOOKUP($D109,$C$5:$AU$501,3,)=0,0,(VLOOKUP($D109,$C$5:$AU$501,19,)/VLOOKUP($D109,$C$5:$AU$501,3,))*$E109)</f>
        <v>0</v>
      </c>
      <c r="V109" s="66">
        <f>IF(VLOOKUP($D109,$C$5:$AU$501,3,)=0,0,(VLOOKUP($D109,$C$5:$AU$501,20,)/VLOOKUP($D109,$C$5:$AU$501,3,))*$E109)</f>
        <v>0</v>
      </c>
      <c r="W109" s="66">
        <f>IF(VLOOKUP($D109,$C$5:$AU$501,3,)=0,0,(VLOOKUP($D109,$C$5:$AU$501,21,)/VLOOKUP($D109,$C$5:$AU$501,3,))*$E109)</f>
        <v>0</v>
      </c>
      <c r="X109" s="66">
        <f>IF(VLOOKUP($D109,$C$5:$AU$501,3,)=0,0,(VLOOKUP($D109,$C$5:$AU$501,22,)/VLOOKUP($D109,$C$5:$AU$501,3,))*$E109)</f>
        <v>0</v>
      </c>
      <c r="Y109" s="66">
        <f>IF(VLOOKUP($D109,$C$5:$AU$501,3,)=0,0,(VLOOKUP($D109,$C$5:$AU$501,23,)/VLOOKUP($D109,$C$5:$AU$501,3,))*$E109)</f>
        <v>0</v>
      </c>
      <c r="Z109" s="66">
        <f>IF(VLOOKUP($D109,$C$5:$AU$501,3,)=0,0,(VLOOKUP($D109,$C$5:$AU$501,24,)/VLOOKUP($D109,$C$5:$AU$501,3,))*$E109)</f>
        <v>0</v>
      </c>
      <c r="AA109" s="66">
        <f>IF(VLOOKUP($D109,$C$5:$AU$501,3,)=0,0,(VLOOKUP($D109,$C$5:$AU$501,25,)/VLOOKUP($D109,$C$5:$AU$501,3,))*$E109)</f>
        <v>0</v>
      </c>
      <c r="AB109" s="66">
        <f>IF(VLOOKUP($D109,$C$5:$AU$501,3,)=0,0,(VLOOKUP($D109,$C$5:$AU$501,26,)/VLOOKUP($D109,$C$5:$AU$501,3,))*$E109)</f>
        <v>0</v>
      </c>
      <c r="AC109" s="66">
        <f>IF(VLOOKUP($D109,$C$5:$AU$501,3,)=0,0,(VLOOKUP($D109,$C$5:$AU$501,27,)/VLOOKUP($D109,$C$5:$AU$501,3,))*$E109)</f>
        <v>0</v>
      </c>
      <c r="AD109" s="66">
        <f>IF(VLOOKUP($D109,$C$5:$AU$501,3,)=0,0,(VLOOKUP($D109,$C$5:$AU$501,28,)/VLOOKUP($D109,$C$5:$AU$501,3,))*$E109)</f>
        <v>0</v>
      </c>
      <c r="AE109" s="66">
        <f>IF(VLOOKUP($D109,$C$5:$AU$501,3,)=0,0,(VLOOKUP($D109,$C$5:$AU$501,29,)/VLOOKUP($D109,$C$5:$AU$501,3,))*$E109)</f>
        <v>0</v>
      </c>
      <c r="AF109" s="66">
        <f>IF(VLOOKUP($D109,$C$5:$AU$501,3,)=0,0,(VLOOKUP($D109,$C$5:$AU$501,30,)/VLOOKUP($D109,$C$5:$AU$501,3,))*$E109)</f>
        <v>0</v>
      </c>
      <c r="AG109" s="95">
        <f>SUM(F109:AF109)</f>
        <v>11657744.034623863</v>
      </c>
      <c r="AH109" s="31" t="str">
        <f>IF(ABS(E109-AG109)&lt;0.01,"ok","err")</f>
        <v>ok</v>
      </c>
    </row>
    <row r="110" spans="1:34" x14ac:dyDescent="0.2">
      <c r="E110" s="50"/>
    </row>
    <row r="111" spans="1:34" x14ac:dyDescent="0.2">
      <c r="A111" s="13" t="s">
        <v>545</v>
      </c>
      <c r="E111" s="50"/>
    </row>
    <row r="112" spans="1:34" x14ac:dyDescent="0.2">
      <c r="A112" s="98" t="s">
        <v>221</v>
      </c>
      <c r="C112" s="14" t="s">
        <v>260</v>
      </c>
      <c r="D112" s="14" t="s">
        <v>234</v>
      </c>
      <c r="E112" s="66">
        <f>'Func &amp; Classif'!Y144</f>
        <v>580992.97001265478</v>
      </c>
      <c r="F112" s="66">
        <f>IF(VLOOKUP($D112,$C$5:$AU$501,3,)=0,0,(VLOOKUP($D112,$C$5:$AU$501,4,)/VLOOKUP($D112,$C$5:$AU$501,3,))*$E112)</f>
        <v>528162.45759995154</v>
      </c>
      <c r="G112" s="66">
        <f>IF(VLOOKUP($D112,$C$5:$AU$501,3,)=0,0,(VLOOKUP($D112,$C$5:$AU$501,5,)/VLOOKUP($D112,$C$5:$AU$501,3,))*$E112)</f>
        <v>0</v>
      </c>
      <c r="H112" s="66">
        <f>IF(VLOOKUP($D112,$C$5:$AU$501,3,)=0,0,(VLOOKUP($D112,$C$5:$AU$501,6,)/VLOOKUP($D112,$C$5:$AU$501,3,))*$E112)</f>
        <v>39814.935403674121</v>
      </c>
      <c r="I112" s="66">
        <f>IF(VLOOKUP($D112,$C$5:$AU$501,3,)=0,0,(VLOOKUP($D112,$C$5:$AU$501,7,)/VLOOKUP($D112,$C$5:$AU$501,3,))*$E112)</f>
        <v>0</v>
      </c>
      <c r="J112" s="66">
        <f>IF(VLOOKUP($D112,$C$5:$AU$501,3,)=0,0,(VLOOKUP($D112,$C$5:$AU$501,8,)/VLOOKUP($D112,$C$5:$AU$501,3,))*$E112)</f>
        <v>1690.0496284911287</v>
      </c>
      <c r="K112" s="66">
        <f>IF(VLOOKUP($D112,$C$5:$AU$501,3,)=0,0,(VLOOKUP($D112,$C$5:$AU$501,9,)/VLOOKUP($D112,$C$5:$AU$501,3,))*$E112)</f>
        <v>87.794785895643045</v>
      </c>
      <c r="L112" s="66">
        <f>IF(VLOOKUP($D112,$C$5:$AU$501,3,)=0,0,(VLOOKUP($D112,$C$5:$AU$501,10,)/VLOOKUP($D112,$C$5:$AU$501,3,))*$E112)</f>
        <v>65.846089421732273</v>
      </c>
      <c r="M112" s="66">
        <f>IF(VLOOKUP($D112,$C$5:$AU$501,3,)=0,0,(VLOOKUP($D112,$C$5:$AU$501,11,)/VLOOKUP($D112,$C$5:$AU$501,3,))*$E112)</f>
        <v>10919.476495770603</v>
      </c>
      <c r="N112" s="66">
        <f>IF(VLOOKUP($D112,$C$5:$AU$501,3,)=0,0,(VLOOKUP($D112,$C$5:$AU$501,12,)/VLOOKUP($D112,$C$5:$AU$501,3,))*$E112)</f>
        <v>252.41000944997373</v>
      </c>
      <c r="O112" s="66">
        <f>IF(VLOOKUP($D112,$C$5:$AU$501,3,)=0,0,(VLOOKUP($D112,$C$5:$AU$501,13,)/VLOOKUP($D112,$C$5:$AU$501,3,))*$E112)</f>
        <v>0</v>
      </c>
      <c r="P112" s="66">
        <f>IF(VLOOKUP($D112,$C$5:$AU$501,3,)=0,0,(VLOOKUP($D112,$C$5:$AU$501,14,)/VLOOKUP($D112,$C$5:$AU$501,3,))*$E112)</f>
        <v>0</v>
      </c>
      <c r="Q112" s="66">
        <f>IF(VLOOKUP($D112,$C$5:$AU$501,3,)=0,0,(VLOOKUP($D112,$C$5:$AU$501,15,)/VLOOKUP($D112,$C$5:$AU$501,3,))*$E112)</f>
        <v>0</v>
      </c>
      <c r="R112" s="66">
        <f>IF(VLOOKUP($D112,$C$5:$AU$501,3,)=0,0,(VLOOKUP($D112,$C$5:$AU$501,16,)/VLOOKUP($D112,$C$5:$AU$501,3,))*$E112)</f>
        <v>0</v>
      </c>
      <c r="S112" s="66">
        <f>IF(VLOOKUP($D112,$C$5:$AU$501,3,)=0,0,(VLOOKUP($D112,$C$5:$AU$501,17,)/VLOOKUP($D112,$C$5:$AU$501,3,))*$E112)</f>
        <v>0</v>
      </c>
      <c r="T112" s="66">
        <f>IF(VLOOKUP($D112,$C$5:$AU$501,3,)=0,0,(VLOOKUP($D112,$C$5:$AU$501,18,)/VLOOKUP($D112,$C$5:$AU$501,3,))*$E112)</f>
        <v>0</v>
      </c>
      <c r="U112" s="66">
        <f>IF(VLOOKUP($D112,$C$5:$AU$501,3,)=0,0,(VLOOKUP($D112,$C$5:$AU$501,19,)/VLOOKUP($D112,$C$5:$AU$501,3,))*$E112)</f>
        <v>0</v>
      </c>
      <c r="V112" s="66">
        <f>IF(VLOOKUP($D112,$C$5:$AU$501,3,)=0,0,(VLOOKUP($D112,$C$5:$AU$501,20,)/VLOOKUP($D112,$C$5:$AU$501,3,))*$E112)</f>
        <v>0</v>
      </c>
      <c r="W112" s="66">
        <f>IF(VLOOKUP($D112,$C$5:$AU$501,3,)=0,0,(VLOOKUP($D112,$C$5:$AU$501,21,)/VLOOKUP($D112,$C$5:$AU$501,3,))*$E112)</f>
        <v>0</v>
      </c>
      <c r="X112" s="66">
        <f>IF(VLOOKUP($D112,$C$5:$AU$501,3,)=0,0,(VLOOKUP($D112,$C$5:$AU$501,22,)/VLOOKUP($D112,$C$5:$AU$501,3,))*$E112)</f>
        <v>0</v>
      </c>
      <c r="Y112" s="66">
        <f>IF(VLOOKUP($D112,$C$5:$AU$501,3,)=0,0,(VLOOKUP($D112,$C$5:$AU$501,23,)/VLOOKUP($D112,$C$5:$AU$501,3,))*$E112)</f>
        <v>0</v>
      </c>
      <c r="Z112" s="66">
        <f>IF(VLOOKUP($D112,$C$5:$AU$501,3,)=0,0,(VLOOKUP($D112,$C$5:$AU$501,24,)/VLOOKUP($D112,$C$5:$AU$501,3,))*$E112)</f>
        <v>0</v>
      </c>
      <c r="AA112" s="66">
        <f>IF(VLOOKUP($D112,$C$5:$AU$501,3,)=0,0,(VLOOKUP($D112,$C$5:$AU$501,25,)/VLOOKUP($D112,$C$5:$AU$501,3,))*$E112)</f>
        <v>0</v>
      </c>
      <c r="AB112" s="66">
        <f>IF(VLOOKUP($D112,$C$5:$AU$501,3,)=0,0,(VLOOKUP($D112,$C$5:$AU$501,26,)/VLOOKUP($D112,$C$5:$AU$501,3,))*$E112)</f>
        <v>0</v>
      </c>
      <c r="AC112" s="66">
        <f>IF(VLOOKUP($D112,$C$5:$AU$501,3,)=0,0,(VLOOKUP($D112,$C$5:$AU$501,27,)/VLOOKUP($D112,$C$5:$AU$501,3,))*$E112)</f>
        <v>0</v>
      </c>
      <c r="AD112" s="66">
        <f>IF(VLOOKUP($D112,$C$5:$AU$501,3,)=0,0,(VLOOKUP($D112,$C$5:$AU$501,28,)/VLOOKUP($D112,$C$5:$AU$501,3,))*$E112)</f>
        <v>0</v>
      </c>
      <c r="AE112" s="66">
        <f>IF(VLOOKUP($D112,$C$5:$AU$501,3,)=0,0,(VLOOKUP($D112,$C$5:$AU$501,29,)/VLOOKUP($D112,$C$5:$AU$501,3,))*$E112)</f>
        <v>0</v>
      </c>
      <c r="AF112" s="66">
        <f>IF(VLOOKUP($D112,$C$5:$AU$501,3,)=0,0,(VLOOKUP($D112,$C$5:$AU$501,30,)/VLOOKUP($D112,$C$5:$AU$501,3,))*$E112)</f>
        <v>0</v>
      </c>
      <c r="AG112" s="95">
        <f>SUM(F112:AF112)</f>
        <v>580992.97001265478</v>
      </c>
      <c r="AH112" s="31" t="str">
        <f>IF(ABS(E112-AG112)&lt;0.01,"ok","err")</f>
        <v>ok</v>
      </c>
    </row>
    <row r="113" spans="1:34" x14ac:dyDescent="0.2">
      <c r="E113" s="50"/>
    </row>
    <row r="114" spans="1:34" x14ac:dyDescent="0.2">
      <c r="A114" s="13" t="s">
        <v>470</v>
      </c>
      <c r="E114" s="50"/>
    </row>
    <row r="115" spans="1:34" x14ac:dyDescent="0.2">
      <c r="A115" s="98" t="s">
        <v>221</v>
      </c>
      <c r="C115" s="14" t="s">
        <v>257</v>
      </c>
      <c r="D115" s="14" t="s">
        <v>235</v>
      </c>
      <c r="E115" s="66">
        <f>'Func &amp; Classif'!AA144</f>
        <v>8622.4014829429143</v>
      </c>
      <c r="F115" s="66">
        <f>IF(VLOOKUP($D115,$C$5:$AU$501,3,)=0,0,(VLOOKUP($D115,$C$5:$AU$501,4,)/VLOOKUP($D115,$C$5:$AU$501,3,))*$E115)</f>
        <v>7838.3543221622867</v>
      </c>
      <c r="G115" s="66">
        <f>IF(VLOOKUP($D115,$C$5:$AU$501,3,)=0,0,(VLOOKUP($D115,$C$5:$AU$501,5,)/VLOOKUP($D115,$C$5:$AU$501,3,))*$E115)</f>
        <v>0</v>
      </c>
      <c r="H115" s="66">
        <f>IF(VLOOKUP($D115,$C$5:$AU$501,3,)=0,0,(VLOOKUP($D115,$C$5:$AU$501,6,)/VLOOKUP($D115,$C$5:$AU$501,3,))*$E115)</f>
        <v>590.88556279852844</v>
      </c>
      <c r="I115" s="66">
        <f>IF(VLOOKUP($D115,$C$5:$AU$501,3,)=0,0,(VLOOKUP($D115,$C$5:$AU$501,7,)/VLOOKUP($D115,$C$5:$AU$501,3,))*$E115)</f>
        <v>0</v>
      </c>
      <c r="J115" s="66">
        <f>IF(VLOOKUP($D115,$C$5:$AU$501,3,)=0,0,(VLOOKUP($D115,$C$5:$AU$501,8,)/VLOOKUP($D115,$C$5:$AU$501,3,))*$E115)</f>
        <v>25.081691474909974</v>
      </c>
      <c r="K115" s="66">
        <f>IF(VLOOKUP($D115,$C$5:$AU$501,3,)=0,0,(VLOOKUP($D115,$C$5:$AU$501,9,)/VLOOKUP($D115,$C$5:$AU$501,3,))*$E115)</f>
        <v>1.3029450116836347</v>
      </c>
      <c r="L115" s="66">
        <f>IF(VLOOKUP($D115,$C$5:$AU$501,3,)=0,0,(VLOOKUP($D115,$C$5:$AU$501,10,)/VLOOKUP($D115,$C$5:$AU$501,3,))*$E115)</f>
        <v>0.97720875876272617</v>
      </c>
      <c r="M115" s="66">
        <f>IF(VLOOKUP($D115,$C$5:$AU$501,3,)=0,0,(VLOOKUP($D115,$C$5:$AU$501,11,)/VLOOKUP($D115,$C$5:$AU$501,3,))*$E115)</f>
        <v>162.05378582815209</v>
      </c>
      <c r="N115" s="66">
        <f>IF(VLOOKUP($D115,$C$5:$AU$501,3,)=0,0,(VLOOKUP($D115,$C$5:$AU$501,12,)/VLOOKUP($D115,$C$5:$AU$501,3,))*$E115)</f>
        <v>3.7459669085904501</v>
      </c>
      <c r="O115" s="66">
        <f>IF(VLOOKUP($D115,$C$5:$AU$501,3,)=0,0,(VLOOKUP($D115,$C$5:$AU$501,13,)/VLOOKUP($D115,$C$5:$AU$501,3,))*$E115)</f>
        <v>0</v>
      </c>
      <c r="P115" s="66">
        <f>IF(VLOOKUP($D115,$C$5:$AU$501,3,)=0,0,(VLOOKUP($D115,$C$5:$AU$501,14,)/VLOOKUP($D115,$C$5:$AU$501,3,))*$E115)</f>
        <v>0</v>
      </c>
      <c r="Q115" s="66">
        <f>IF(VLOOKUP($D115,$C$5:$AU$501,3,)=0,0,(VLOOKUP($D115,$C$5:$AU$501,15,)/VLOOKUP($D115,$C$5:$AU$501,3,))*$E115)</f>
        <v>0</v>
      </c>
      <c r="R115" s="66">
        <f>IF(VLOOKUP($D115,$C$5:$AU$501,3,)=0,0,(VLOOKUP($D115,$C$5:$AU$501,16,)/VLOOKUP($D115,$C$5:$AU$501,3,))*$E115)</f>
        <v>0</v>
      </c>
      <c r="S115" s="66">
        <f>IF(VLOOKUP($D115,$C$5:$AU$501,3,)=0,0,(VLOOKUP($D115,$C$5:$AU$501,17,)/VLOOKUP($D115,$C$5:$AU$501,3,))*$E115)</f>
        <v>0</v>
      </c>
      <c r="T115" s="66">
        <f>IF(VLOOKUP($D115,$C$5:$AU$501,3,)=0,0,(VLOOKUP($D115,$C$5:$AU$501,18,)/VLOOKUP($D115,$C$5:$AU$501,3,))*$E115)</f>
        <v>0</v>
      </c>
      <c r="U115" s="66">
        <f>IF(VLOOKUP($D115,$C$5:$AU$501,3,)=0,0,(VLOOKUP($D115,$C$5:$AU$501,19,)/VLOOKUP($D115,$C$5:$AU$501,3,))*$E115)</f>
        <v>0</v>
      </c>
      <c r="V115" s="66">
        <f>IF(VLOOKUP($D115,$C$5:$AU$501,3,)=0,0,(VLOOKUP($D115,$C$5:$AU$501,20,)/VLOOKUP($D115,$C$5:$AU$501,3,))*$E115)</f>
        <v>0</v>
      </c>
      <c r="W115" s="66">
        <f>IF(VLOOKUP($D115,$C$5:$AU$501,3,)=0,0,(VLOOKUP($D115,$C$5:$AU$501,21,)/VLOOKUP($D115,$C$5:$AU$501,3,))*$E115)</f>
        <v>0</v>
      </c>
      <c r="X115" s="66">
        <f>IF(VLOOKUP($D115,$C$5:$AU$501,3,)=0,0,(VLOOKUP($D115,$C$5:$AU$501,22,)/VLOOKUP($D115,$C$5:$AU$501,3,))*$E115)</f>
        <v>0</v>
      </c>
      <c r="Y115" s="66">
        <f>IF(VLOOKUP($D115,$C$5:$AU$501,3,)=0,0,(VLOOKUP($D115,$C$5:$AU$501,23,)/VLOOKUP($D115,$C$5:$AU$501,3,))*$E115)</f>
        <v>0</v>
      </c>
      <c r="Z115" s="66">
        <f>IF(VLOOKUP($D115,$C$5:$AU$501,3,)=0,0,(VLOOKUP($D115,$C$5:$AU$501,24,)/VLOOKUP($D115,$C$5:$AU$501,3,))*$E115)</f>
        <v>0</v>
      </c>
      <c r="AA115" s="66">
        <f>IF(VLOOKUP($D115,$C$5:$AU$501,3,)=0,0,(VLOOKUP($D115,$C$5:$AU$501,25,)/VLOOKUP($D115,$C$5:$AU$501,3,))*$E115)</f>
        <v>0</v>
      </c>
      <c r="AB115" s="66">
        <f>IF(VLOOKUP($D115,$C$5:$AU$501,3,)=0,0,(VLOOKUP($D115,$C$5:$AU$501,26,)/VLOOKUP($D115,$C$5:$AU$501,3,))*$E115)</f>
        <v>0</v>
      </c>
      <c r="AC115" s="66">
        <f>IF(VLOOKUP($D115,$C$5:$AU$501,3,)=0,0,(VLOOKUP($D115,$C$5:$AU$501,27,)/VLOOKUP($D115,$C$5:$AU$501,3,))*$E115)</f>
        <v>0</v>
      </c>
      <c r="AD115" s="66">
        <f>IF(VLOOKUP($D115,$C$5:$AU$501,3,)=0,0,(VLOOKUP($D115,$C$5:$AU$501,28,)/VLOOKUP($D115,$C$5:$AU$501,3,))*$E115)</f>
        <v>0</v>
      </c>
      <c r="AE115" s="66">
        <f>IF(VLOOKUP($D115,$C$5:$AU$501,3,)=0,0,(VLOOKUP($D115,$C$5:$AU$501,29,)/VLOOKUP($D115,$C$5:$AU$501,3,))*$E115)</f>
        <v>0</v>
      </c>
      <c r="AF115" s="66">
        <f>IF(VLOOKUP($D115,$C$5:$AU$501,3,)=0,0,(VLOOKUP($D115,$C$5:$AU$501,30,)/VLOOKUP($D115,$C$5:$AU$501,3,))*$E115)</f>
        <v>0</v>
      </c>
      <c r="AG115" s="95">
        <f>SUM(F115:AF115)</f>
        <v>8622.4014829429125</v>
      </c>
      <c r="AH115" s="31" t="str">
        <f>IF(ABS(E115-AG115)&lt;0.01,"ok","err")</f>
        <v>ok</v>
      </c>
    </row>
    <row r="116" spans="1:34" x14ac:dyDescent="0.2">
      <c r="E116" s="50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</row>
    <row r="117" spans="1:34" x14ac:dyDescent="0.2">
      <c r="A117" s="14" t="s">
        <v>0</v>
      </c>
      <c r="C117" s="14" t="s">
        <v>261</v>
      </c>
      <c r="E117" s="66">
        <f>E87+E90+E93+E98+E103+E106+E109+E112+E115</f>
        <v>190574016.10499999</v>
      </c>
      <c r="F117" s="66">
        <f t="shared" ref="F117:R117" si="22">F87+F90+F93+F98+F103+F106+F109+F112+F115</f>
        <v>153206022.970658</v>
      </c>
      <c r="G117" s="66">
        <f t="shared" si="22"/>
        <v>84456.434304683382</v>
      </c>
      <c r="H117" s="66">
        <f t="shared" si="22"/>
        <v>9965998.5881617591</v>
      </c>
      <c r="I117" s="66">
        <f t="shared" si="22"/>
        <v>1109.7989676717832</v>
      </c>
      <c r="J117" s="66">
        <f t="shared" si="22"/>
        <v>4037543.2430580161</v>
      </c>
      <c r="K117" s="66">
        <f t="shared" si="22"/>
        <v>2708759.8924277038</v>
      </c>
      <c r="L117" s="66">
        <f t="shared" si="22"/>
        <v>2104929.1924457625</v>
      </c>
      <c r="M117" s="66">
        <f t="shared" si="22"/>
        <v>5076075.7818866875</v>
      </c>
      <c r="N117" s="66">
        <f t="shared" si="22"/>
        <v>974679.1995038836</v>
      </c>
      <c r="O117" s="66">
        <f t="shared" si="22"/>
        <v>12414441.003585782</v>
      </c>
      <c r="P117" s="66">
        <f t="shared" si="22"/>
        <v>0</v>
      </c>
      <c r="Q117" s="66">
        <f t="shared" si="22"/>
        <v>0</v>
      </c>
      <c r="R117" s="66">
        <f t="shared" si="22"/>
        <v>0</v>
      </c>
      <c r="S117" s="66">
        <f t="shared" ref="S117:AF117" si="23">S87+S93+S98+S103+S106+S109+S112+S115</f>
        <v>0</v>
      </c>
      <c r="T117" s="66">
        <f t="shared" si="23"/>
        <v>0</v>
      </c>
      <c r="U117" s="66">
        <f t="shared" si="23"/>
        <v>0</v>
      </c>
      <c r="V117" s="66">
        <f t="shared" si="23"/>
        <v>0</v>
      </c>
      <c r="W117" s="66">
        <f t="shared" si="23"/>
        <v>0</v>
      </c>
      <c r="X117" s="66">
        <f t="shared" si="23"/>
        <v>0</v>
      </c>
      <c r="Y117" s="66">
        <f t="shared" si="23"/>
        <v>0</v>
      </c>
      <c r="Z117" s="66">
        <f t="shared" si="23"/>
        <v>0</v>
      </c>
      <c r="AA117" s="66">
        <f t="shared" si="23"/>
        <v>0</v>
      </c>
      <c r="AB117" s="66">
        <f t="shared" si="23"/>
        <v>0</v>
      </c>
      <c r="AC117" s="66">
        <f t="shared" si="23"/>
        <v>0</v>
      </c>
      <c r="AD117" s="66">
        <f t="shared" si="23"/>
        <v>0</v>
      </c>
      <c r="AE117" s="66">
        <f t="shared" si="23"/>
        <v>0</v>
      </c>
      <c r="AF117" s="66">
        <f t="shared" si="23"/>
        <v>0</v>
      </c>
      <c r="AG117" s="95">
        <f>SUM(F117:AF117)</f>
        <v>190574016.10499996</v>
      </c>
      <c r="AH117" s="31" t="str">
        <f>IF(ABS(E117-AG117)&lt;0.01,"ok","err")</f>
        <v>ok</v>
      </c>
    </row>
    <row r="118" spans="1:34" x14ac:dyDescent="0.2">
      <c r="E118" s="48">
        <f>E117/$E117</f>
        <v>1</v>
      </c>
      <c r="F118" s="48">
        <f>F117/$E117</f>
        <v>0.80391874035045019</v>
      </c>
      <c r="G118" s="48">
        <f t="shared" ref="G118:O118" si="24">G117/$E117</f>
        <v>4.4316867551424575E-4</v>
      </c>
      <c r="H118" s="48">
        <f t="shared" si="24"/>
        <v>5.2294634871266094E-2</v>
      </c>
      <c r="I118" s="48">
        <f t="shared" si="24"/>
        <v>5.8234537443988197E-6</v>
      </c>
      <c r="J118" s="48">
        <f t="shared" si="24"/>
        <v>2.1186221110193023E-2</v>
      </c>
      <c r="K118" s="48">
        <f t="shared" si="24"/>
        <v>1.4213689503899979E-2</v>
      </c>
      <c r="L118" s="48">
        <f t="shared" si="24"/>
        <v>1.1045205613371845E-2</v>
      </c>
      <c r="M118" s="48">
        <f t="shared" si="24"/>
        <v>2.663571816154589E-2</v>
      </c>
      <c r="N118" s="48">
        <f t="shared" si="24"/>
        <v>5.1144391004850709E-3</v>
      </c>
      <c r="O118" s="48">
        <f t="shared" si="24"/>
        <v>6.514235915952904E-2</v>
      </c>
      <c r="AG118" s="174">
        <f>SUM(F118:AF118)</f>
        <v>0.99999999999999967</v>
      </c>
      <c r="AH118" s="31" t="str">
        <f>IF(ABS(E118-AG118)&lt;0.01,"ok","err")</f>
        <v>ok</v>
      </c>
    </row>
    <row r="119" spans="1:34" x14ac:dyDescent="0.2">
      <c r="E119" s="95"/>
    </row>
    <row r="120" spans="1:34" x14ac:dyDescent="0.2">
      <c r="A120" s="29" t="s">
        <v>86</v>
      </c>
    </row>
    <row r="122" spans="1:34" x14ac:dyDescent="0.2">
      <c r="A122" s="13" t="s">
        <v>894</v>
      </c>
    </row>
    <row r="123" spans="1:34" x14ac:dyDescent="0.2">
      <c r="A123" s="98" t="s">
        <v>209</v>
      </c>
      <c r="C123" s="14" t="s">
        <v>262</v>
      </c>
      <c r="D123" s="14" t="s">
        <v>657</v>
      </c>
      <c r="E123" s="66">
        <f>'Func &amp; Classif'!H285</f>
        <v>22680439.375992071</v>
      </c>
      <c r="F123" s="66">
        <f>IF(VLOOKUP($D123,$C$5:$AU$501,3,)=0,0,(VLOOKUP($D123,$C$5:$AU$501,4,)/VLOOKUP($D123,$C$5:$AU$501,3,))*$E123)</f>
        <v>17295543.069407567</v>
      </c>
      <c r="G123" s="66">
        <f>IF(VLOOKUP($D123,$C$5:$AU$501,3,)=0,0,(VLOOKUP($D123,$C$5:$AU$501,5,)/VLOOKUP($D123,$C$5:$AU$501,3,))*$E123)</f>
        <v>0</v>
      </c>
      <c r="H123" s="66">
        <f>IF(VLOOKUP($D123,$C$5:$AU$501,3,)=0,0,(VLOOKUP($D123,$C$5:$AU$501,6,)/VLOOKUP($D123,$C$5:$AU$501,3,))*$E123)</f>
        <v>1120996.97016194</v>
      </c>
      <c r="I123" s="66">
        <f>IF(VLOOKUP($D123,$C$5:$AU$501,3,)=0,0,(VLOOKUP($D123,$C$5:$AU$501,7,)/VLOOKUP($D123,$C$5:$AU$501,3,))*$E123)</f>
        <v>0</v>
      </c>
      <c r="J123" s="66">
        <f>IF(VLOOKUP($D123,$C$5:$AU$501,3,)=0,0,(VLOOKUP($D123,$C$5:$AU$501,8,)/VLOOKUP($D123,$C$5:$AU$501,3,))*$E123)</f>
        <v>1414220.3896876657</v>
      </c>
      <c r="K123" s="66">
        <f>IF(VLOOKUP($D123,$C$5:$AU$501,3,)=0,0,(VLOOKUP($D123,$C$5:$AU$501,9,)/VLOOKUP($D123,$C$5:$AU$501,3,))*$E123)</f>
        <v>1215412.8000000003</v>
      </c>
      <c r="L123" s="66">
        <f>IF(VLOOKUP($D123,$C$5:$AU$501,3,)=0,0,(VLOOKUP($D123,$C$5:$AU$501,10,)/VLOOKUP($D123,$C$5:$AU$501,3,))*$E123)</f>
        <v>1333107.6000000003</v>
      </c>
      <c r="M123" s="66">
        <f>IF(VLOOKUP($D123,$C$5:$AU$501,3,)=0,0,(VLOOKUP($D123,$C$5:$AU$501,11,)/VLOOKUP($D123,$C$5:$AU$501,3,))*$E123)</f>
        <v>160600.26648200327</v>
      </c>
      <c r="N123" s="66">
        <f>IF(VLOOKUP($D123,$C$5:$AU$501,3,)=0,0,(VLOOKUP($D123,$C$5:$AU$501,12,)/VLOOKUP($D123,$C$5:$AU$501,3,))*$E123)</f>
        <v>140558.28025289503</v>
      </c>
      <c r="O123" s="66">
        <f>IF(VLOOKUP($D123,$C$5:$AU$501,3,)=0,0,(VLOOKUP($D123,$C$5:$AU$501,13,)/VLOOKUP($D123,$C$5:$AU$501,3,))*$E123)</f>
        <v>0</v>
      </c>
      <c r="P123" s="66">
        <f>IF(VLOOKUP($D123,$C$5:$AU$501,3,)=0,0,(VLOOKUP($D123,$C$5:$AU$501,14,)/VLOOKUP($D123,$C$5:$AU$501,3,))*$E123)</f>
        <v>0</v>
      </c>
      <c r="Q123" s="66">
        <f>IF(VLOOKUP($D123,$C$5:$AU$501,3,)=0,0,(VLOOKUP($D123,$C$5:$AU$501,15,)/VLOOKUP($D123,$C$5:$AU$501,3,))*$E123)</f>
        <v>0</v>
      </c>
      <c r="R123" s="66">
        <f>IF(VLOOKUP($D123,$C$5:$AU$501,3,)=0,0,(VLOOKUP($D123,$C$5:$AU$501,16,)/VLOOKUP($D123,$C$5:$AU$501,3,))*$E123)</f>
        <v>0</v>
      </c>
      <c r="S123" s="66">
        <f>IF(VLOOKUP($D123,$C$5:$AU$501,3,)=0,0,(VLOOKUP($D123,$C$5:$AU$501,17,)/VLOOKUP($D123,$C$5:$AU$501,3,))*$E123)</f>
        <v>0</v>
      </c>
      <c r="T123" s="66">
        <f>IF(VLOOKUP($D123,$C$5:$AU$501,3,)=0,0,(VLOOKUP($D123,$C$5:$AU$501,18,)/VLOOKUP($D123,$C$5:$AU$501,3,))*$E123)</f>
        <v>0</v>
      </c>
      <c r="U123" s="66">
        <f>IF(VLOOKUP($D123,$C$5:$AU$501,3,)=0,0,(VLOOKUP($D123,$C$5:$AU$501,19,)/VLOOKUP($D123,$C$5:$AU$501,3,))*$E123)</f>
        <v>0</v>
      </c>
      <c r="V123" s="66">
        <f>IF(VLOOKUP($D123,$C$5:$AU$501,3,)=0,0,(VLOOKUP($D123,$C$5:$AU$501,20,)/VLOOKUP($D123,$C$5:$AU$501,3,))*$E123)</f>
        <v>0</v>
      </c>
      <c r="W123" s="66">
        <f>IF(VLOOKUP($D123,$C$5:$AU$501,3,)=0,0,(VLOOKUP($D123,$C$5:$AU$501,21,)/VLOOKUP($D123,$C$5:$AU$501,3,))*$E123)</f>
        <v>0</v>
      </c>
      <c r="X123" s="66">
        <f>IF(VLOOKUP($D123,$C$5:$AU$501,3,)=0,0,(VLOOKUP($D123,$C$5:$AU$501,22,)/VLOOKUP($D123,$C$5:$AU$501,3,))*$E123)</f>
        <v>0</v>
      </c>
      <c r="Y123" s="66">
        <f>IF(VLOOKUP($D123,$C$5:$AU$501,3,)=0,0,(VLOOKUP($D123,$C$5:$AU$501,23,)/VLOOKUP($D123,$C$5:$AU$501,3,))*$E123)</f>
        <v>0</v>
      </c>
      <c r="Z123" s="66">
        <f>IF(VLOOKUP($D123,$C$5:$AU$501,3,)=0,0,(VLOOKUP($D123,$C$5:$AU$501,24,)/VLOOKUP($D123,$C$5:$AU$501,3,))*$E123)</f>
        <v>0</v>
      </c>
      <c r="AA123" s="66">
        <f>IF(VLOOKUP($D123,$C$5:$AU$501,3,)=0,0,(VLOOKUP($D123,$C$5:$AU$501,25,)/VLOOKUP($D123,$C$5:$AU$501,3,))*$E123)</f>
        <v>0</v>
      </c>
      <c r="AB123" s="66">
        <f>IF(VLOOKUP($D123,$C$5:$AU$501,3,)=0,0,(VLOOKUP($D123,$C$5:$AU$501,26,)/VLOOKUP($D123,$C$5:$AU$501,3,))*$E123)</f>
        <v>0</v>
      </c>
      <c r="AC123" s="66">
        <f>IF(VLOOKUP($D123,$C$5:$AU$501,3,)=0,0,(VLOOKUP($D123,$C$5:$AU$501,27,)/VLOOKUP($D123,$C$5:$AU$501,3,))*$E123)</f>
        <v>0</v>
      </c>
      <c r="AD123" s="66">
        <f>IF(VLOOKUP($D123,$C$5:$AU$501,3,)=0,0,(VLOOKUP($D123,$C$5:$AU$501,28,)/VLOOKUP($D123,$C$5:$AU$501,3,))*$E123)</f>
        <v>0</v>
      </c>
      <c r="AE123" s="66">
        <f>IF(VLOOKUP($D123,$C$5:$AU$501,3,)=0,0,(VLOOKUP($D123,$C$5:$AU$501,29,)/VLOOKUP($D123,$C$5:$AU$501,3,))*$E123)</f>
        <v>0</v>
      </c>
      <c r="AF123" s="66">
        <f>IF(VLOOKUP($D123,$C$5:$AU$501,3,)=0,0,(VLOOKUP($D123,$C$5:$AU$501,30,)/VLOOKUP($D123,$C$5:$AU$501,3,))*$E123)</f>
        <v>0</v>
      </c>
      <c r="AG123" s="95">
        <f>SUM(F123:AF123)</f>
        <v>22680439.375992075</v>
      </c>
      <c r="AH123" s="31" t="str">
        <f>IF(ABS(E123-AG123)&lt;0.01,"ok","err")</f>
        <v>ok</v>
      </c>
    </row>
    <row r="124" spans="1:34" x14ac:dyDescent="0.2">
      <c r="A124" s="98" t="s">
        <v>212</v>
      </c>
      <c r="C124" s="14" t="s">
        <v>263</v>
      </c>
      <c r="D124" s="14" t="s">
        <v>666</v>
      </c>
      <c r="E124" s="50">
        <f>'Func &amp; Classif'!I285</f>
        <v>59046070.624007918</v>
      </c>
      <c r="F124" s="66">
        <f>IF(VLOOKUP($D124,$C$5:$AU$501,3,)=0,0,(VLOOKUP($D124,$C$5:$AU$501,4,)/VLOOKUP($D124,$C$5:$AU$501,3,))*$E124)</f>
        <v>38018962.220530681</v>
      </c>
      <c r="G124" s="66">
        <f>IF(VLOOKUP($D124,$C$5:$AU$501,3,)=0,0,(VLOOKUP($D124,$C$5:$AU$501,5,)/VLOOKUP($D124,$C$5:$AU$501,3,))*$E124)</f>
        <v>218568.93696954826</v>
      </c>
      <c r="H124" s="66">
        <f>IF(VLOOKUP($D124,$C$5:$AU$501,3,)=0,0,(VLOOKUP($D124,$C$5:$AU$501,6,)/VLOOKUP($D124,$C$5:$AU$501,3,))*$E124)</f>
        <v>3912647.7430811194</v>
      </c>
      <c r="I124" s="66">
        <f>IF(VLOOKUP($D124,$C$5:$AU$501,3,)=0,0,(VLOOKUP($D124,$C$5:$AU$501,7,)/VLOOKUP($D124,$C$5:$AU$501,3,))*$E124)</f>
        <v>1525.5849202168206</v>
      </c>
      <c r="J124" s="66">
        <f>IF(VLOOKUP($D124,$C$5:$AU$501,3,)=0,0,(VLOOKUP($D124,$C$5:$AU$501,8,)/VLOOKUP($D124,$C$5:$AU$501,3,))*$E124)</f>
        <v>4936019.1358620906</v>
      </c>
      <c r="K124" s="66">
        <f>IF(VLOOKUP($D124,$C$5:$AU$501,3,)=0,0,(VLOOKUP($D124,$C$5:$AU$501,9,)/VLOOKUP($D124,$C$5:$AU$501,3,))*$E124)</f>
        <v>5205004.1999999993</v>
      </c>
      <c r="L124" s="66">
        <f>IF(VLOOKUP($D124,$C$5:$AU$501,3,)=0,0,(VLOOKUP($D124,$C$5:$AU$501,10,)/VLOOKUP($D124,$C$5:$AU$501,3,))*$E124)</f>
        <v>3421287.9999999995</v>
      </c>
      <c r="M124" s="66">
        <f>IF(VLOOKUP($D124,$C$5:$AU$501,3,)=0,0,(VLOOKUP($D124,$C$5:$AU$501,11,)/VLOOKUP($D124,$C$5:$AU$501,3,))*$E124)</f>
        <v>1494777.5944279442</v>
      </c>
      <c r="N124" s="66">
        <f>IF(VLOOKUP($D124,$C$5:$AU$501,3,)=0,0,(VLOOKUP($D124,$C$5:$AU$501,12,)/VLOOKUP($D124,$C$5:$AU$501,3,))*$E124)</f>
        <v>654981.44964657887</v>
      </c>
      <c r="O124" s="66">
        <f>IF(VLOOKUP($D124,$C$5:$AU$501,3,)=0,0,(VLOOKUP($D124,$C$5:$AU$501,13,)/VLOOKUP($D124,$C$5:$AU$501,3,))*$E124)</f>
        <v>1182295.7585697386</v>
      </c>
      <c r="P124" s="66">
        <f>IF(VLOOKUP($D124,$C$5:$AU$501,3,)=0,0,(VLOOKUP($D124,$C$5:$AU$501,14,)/VLOOKUP($D124,$C$5:$AU$501,3,))*$E124)</f>
        <v>0</v>
      </c>
      <c r="Q124" s="66">
        <f>IF(VLOOKUP($D124,$C$5:$AU$501,3,)=0,0,(VLOOKUP($D124,$C$5:$AU$501,15,)/VLOOKUP($D124,$C$5:$AU$501,3,))*$E124)</f>
        <v>0</v>
      </c>
      <c r="R124" s="66">
        <f>IF(VLOOKUP($D124,$C$5:$AU$501,3,)=0,0,(VLOOKUP($D124,$C$5:$AU$501,16,)/VLOOKUP($D124,$C$5:$AU$501,3,))*$E124)</f>
        <v>0</v>
      </c>
      <c r="S124" s="66">
        <f>IF(VLOOKUP($D124,$C$5:$AU$501,3,)=0,0,(VLOOKUP($D124,$C$5:$AU$501,17,)/VLOOKUP($D124,$C$5:$AU$501,3,))*$E124)</f>
        <v>0</v>
      </c>
      <c r="T124" s="66">
        <f>IF(VLOOKUP($D124,$C$5:$AU$501,3,)=0,0,(VLOOKUP($D124,$C$5:$AU$501,18,)/VLOOKUP($D124,$C$5:$AU$501,3,))*$E124)</f>
        <v>0</v>
      </c>
      <c r="U124" s="66">
        <f>IF(VLOOKUP($D124,$C$5:$AU$501,3,)=0,0,(VLOOKUP($D124,$C$5:$AU$501,19,)/VLOOKUP($D124,$C$5:$AU$501,3,))*$E124)</f>
        <v>0</v>
      </c>
      <c r="V124" s="66">
        <f>IF(VLOOKUP($D124,$C$5:$AU$501,3,)=0,0,(VLOOKUP($D124,$C$5:$AU$501,20,)/VLOOKUP($D124,$C$5:$AU$501,3,))*$E124)</f>
        <v>0</v>
      </c>
      <c r="W124" s="66">
        <f>IF(VLOOKUP($D124,$C$5:$AU$501,3,)=0,0,(VLOOKUP($D124,$C$5:$AU$501,21,)/VLOOKUP($D124,$C$5:$AU$501,3,))*$E124)</f>
        <v>0</v>
      </c>
      <c r="X124" s="66">
        <f>IF(VLOOKUP($D124,$C$5:$AU$501,3,)=0,0,(VLOOKUP($D124,$C$5:$AU$501,22,)/VLOOKUP($D124,$C$5:$AU$501,3,))*$E124)</f>
        <v>0</v>
      </c>
      <c r="Y124" s="66">
        <f>IF(VLOOKUP($D124,$C$5:$AU$501,3,)=0,0,(VLOOKUP($D124,$C$5:$AU$501,23,)/VLOOKUP($D124,$C$5:$AU$501,3,))*$E124)</f>
        <v>0</v>
      </c>
      <c r="Z124" s="66">
        <f>IF(VLOOKUP($D124,$C$5:$AU$501,3,)=0,0,(VLOOKUP($D124,$C$5:$AU$501,24,)/VLOOKUP($D124,$C$5:$AU$501,3,))*$E124)</f>
        <v>0</v>
      </c>
      <c r="AA124" s="66">
        <f>IF(VLOOKUP($D124,$C$5:$AU$501,3,)=0,0,(VLOOKUP($D124,$C$5:$AU$501,25,)/VLOOKUP($D124,$C$5:$AU$501,3,))*$E124)</f>
        <v>0</v>
      </c>
      <c r="AB124" s="66">
        <f>IF(VLOOKUP($D124,$C$5:$AU$501,3,)=0,0,(VLOOKUP($D124,$C$5:$AU$501,26,)/VLOOKUP($D124,$C$5:$AU$501,3,))*$E124)</f>
        <v>0</v>
      </c>
      <c r="AC124" s="66">
        <f>IF(VLOOKUP($D124,$C$5:$AU$501,3,)=0,0,(VLOOKUP($D124,$C$5:$AU$501,27,)/VLOOKUP($D124,$C$5:$AU$501,3,))*$E124)</f>
        <v>0</v>
      </c>
      <c r="AD124" s="66">
        <f>IF(VLOOKUP($D124,$C$5:$AU$501,3,)=0,0,(VLOOKUP($D124,$C$5:$AU$501,28,)/VLOOKUP($D124,$C$5:$AU$501,3,))*$E124)</f>
        <v>0</v>
      </c>
      <c r="AE124" s="66">
        <f>IF(VLOOKUP($D124,$C$5:$AU$501,3,)=0,0,(VLOOKUP($D124,$C$5:$AU$501,29,)/VLOOKUP($D124,$C$5:$AU$501,3,))*$E124)</f>
        <v>0</v>
      </c>
      <c r="AF124" s="66">
        <f>IF(VLOOKUP($D124,$C$5:$AU$501,3,)=0,0,(VLOOKUP($D124,$C$5:$AU$501,30,)/VLOOKUP($D124,$C$5:$AU$501,3,))*$E124)</f>
        <v>0</v>
      </c>
      <c r="AG124" s="95">
        <f>SUM(F124:AF124)</f>
        <v>59046070.624007918</v>
      </c>
      <c r="AH124" s="31" t="str">
        <f>IF(ABS(E124-AG124)&lt;0.01,"ok","err")</f>
        <v>ok</v>
      </c>
    </row>
    <row r="125" spans="1:34" x14ac:dyDescent="0.2">
      <c r="A125" s="14" t="s">
        <v>215</v>
      </c>
      <c r="C125" s="14" t="s">
        <v>264</v>
      </c>
      <c r="E125" s="169">
        <f t="shared" ref="E125:T125" si="25">E123+E124</f>
        <v>81726509.999999985</v>
      </c>
      <c r="F125" s="104">
        <f t="shared" si="25"/>
        <v>55314505.289938249</v>
      </c>
      <c r="G125" s="104">
        <f t="shared" si="25"/>
        <v>218568.93696954826</v>
      </c>
      <c r="H125" s="104">
        <f t="shared" si="25"/>
        <v>5033644.7132430598</v>
      </c>
      <c r="I125" s="104">
        <f t="shared" si="25"/>
        <v>1525.5849202168206</v>
      </c>
      <c r="J125" s="104">
        <f t="shared" si="25"/>
        <v>6350239.5255497564</v>
      </c>
      <c r="K125" s="104">
        <f t="shared" si="25"/>
        <v>6420417</v>
      </c>
      <c r="L125" s="104">
        <f t="shared" si="25"/>
        <v>4754395.5999999996</v>
      </c>
      <c r="M125" s="104">
        <f t="shared" si="25"/>
        <v>1655377.8609099474</v>
      </c>
      <c r="N125" s="104">
        <f t="shared" si="25"/>
        <v>795539.72989947395</v>
      </c>
      <c r="O125" s="104">
        <f t="shared" si="25"/>
        <v>1182295.7585697386</v>
      </c>
      <c r="P125" s="104">
        <f t="shared" si="25"/>
        <v>0</v>
      </c>
      <c r="Q125" s="104">
        <f t="shared" si="25"/>
        <v>0</v>
      </c>
      <c r="R125" s="104">
        <f t="shared" si="25"/>
        <v>0</v>
      </c>
      <c r="S125" s="104">
        <f t="shared" si="25"/>
        <v>0</v>
      </c>
      <c r="T125" s="104">
        <f t="shared" si="25"/>
        <v>0</v>
      </c>
      <c r="U125" s="104">
        <f t="shared" ref="U125:AF125" si="26">U123+U124</f>
        <v>0</v>
      </c>
      <c r="V125" s="104">
        <f t="shared" si="26"/>
        <v>0</v>
      </c>
      <c r="W125" s="104">
        <f t="shared" si="26"/>
        <v>0</v>
      </c>
      <c r="X125" s="104">
        <f t="shared" si="26"/>
        <v>0</v>
      </c>
      <c r="Y125" s="104">
        <f t="shared" si="26"/>
        <v>0</v>
      </c>
      <c r="Z125" s="104">
        <f t="shared" si="26"/>
        <v>0</v>
      </c>
      <c r="AA125" s="104">
        <f t="shared" si="26"/>
        <v>0</v>
      </c>
      <c r="AB125" s="104">
        <f t="shared" si="26"/>
        <v>0</v>
      </c>
      <c r="AC125" s="104">
        <f t="shared" si="26"/>
        <v>0</v>
      </c>
      <c r="AD125" s="104">
        <f t="shared" si="26"/>
        <v>0</v>
      </c>
      <c r="AE125" s="104">
        <f t="shared" si="26"/>
        <v>0</v>
      </c>
      <c r="AF125" s="104">
        <f t="shared" si="26"/>
        <v>0</v>
      </c>
      <c r="AG125" s="107">
        <f>SUM(F125:AF125)</f>
        <v>81726509.999999985</v>
      </c>
      <c r="AH125" s="31" t="str">
        <f>IF(ABS(E125-AG125)&lt;0.01,"ok","err")</f>
        <v>ok</v>
      </c>
    </row>
    <row r="126" spans="1:34" x14ac:dyDescent="0.2">
      <c r="E126" s="50"/>
      <c r="F126" s="50"/>
      <c r="K126" s="95"/>
      <c r="L126" s="95"/>
      <c r="M126" s="95"/>
    </row>
    <row r="127" spans="1:34" x14ac:dyDescent="0.2">
      <c r="A127" s="13" t="s">
        <v>350</v>
      </c>
      <c r="E127" s="50"/>
      <c r="F127" s="50"/>
    </row>
    <row r="128" spans="1:34" x14ac:dyDescent="0.2">
      <c r="A128" s="98" t="s">
        <v>209</v>
      </c>
      <c r="C128" s="14" t="s">
        <v>886</v>
      </c>
      <c r="D128" s="14" t="s">
        <v>625</v>
      </c>
      <c r="E128" s="66">
        <f>'Func &amp; Classif'!K285</f>
        <v>0</v>
      </c>
      <c r="F128" s="66">
        <f>IF(VLOOKUP($D128,$C$5:$AU$501,3,)=0,0,(VLOOKUP($D128,$C$5:$AU$501,4,)/VLOOKUP($D128,$C$5:$AU$501,3,))*$E128)</f>
        <v>0</v>
      </c>
      <c r="G128" s="66">
        <f>IF(VLOOKUP($D128,$C$5:$AU$501,3,)=0,0,(VLOOKUP($D128,$C$5:$AU$501,5,)/VLOOKUP($D128,$C$5:$AU$501,3,))*$E128)</f>
        <v>0</v>
      </c>
      <c r="H128" s="66">
        <f>IF(VLOOKUP($D128,$C$5:$AU$501,3,)=0,0,(VLOOKUP($D128,$C$5:$AU$501,6,)/VLOOKUP($D128,$C$5:$AU$501,3,))*$E128)</f>
        <v>0</v>
      </c>
      <c r="I128" s="66">
        <f>IF(VLOOKUP($D128,$C$5:$AU$501,3,)=0,0,(VLOOKUP($D128,$C$5:$AU$501,7,)/VLOOKUP($D128,$C$5:$AU$501,3,))*$E128)</f>
        <v>0</v>
      </c>
      <c r="J128" s="66">
        <f>IF(VLOOKUP($D128,$C$5:$AU$501,3,)=0,0,(VLOOKUP($D128,$C$5:$AU$501,8,)/VLOOKUP($D128,$C$5:$AU$501,3,))*$E128)</f>
        <v>0</v>
      </c>
      <c r="K128" s="66">
        <f>IF(VLOOKUP($D128,$C$5:$AU$501,3,)=0,0,(VLOOKUP($D128,$C$5:$AU$501,9,)/VLOOKUP($D128,$C$5:$AU$501,3,))*$E128)</f>
        <v>0</v>
      </c>
      <c r="L128" s="66">
        <f>IF(VLOOKUP($D128,$C$5:$AU$501,3,)=0,0,(VLOOKUP($D128,$C$5:$AU$501,10,)/VLOOKUP($D128,$C$5:$AU$501,3,))*$E128)</f>
        <v>0</v>
      </c>
      <c r="M128" s="66">
        <f>IF(VLOOKUP($D128,$C$5:$AU$501,3,)=0,0,(VLOOKUP($D128,$C$5:$AU$501,11,)/VLOOKUP($D128,$C$5:$AU$501,3,))*$E128)</f>
        <v>0</v>
      </c>
      <c r="N128" s="66">
        <f>IF(VLOOKUP($D128,$C$5:$AU$501,3,)=0,0,(VLOOKUP($D128,$C$5:$AU$501,12,)/VLOOKUP($D128,$C$5:$AU$501,3,))*$E128)</f>
        <v>0</v>
      </c>
      <c r="O128" s="66">
        <f>IF(VLOOKUP($D128,$C$5:$AU$501,3,)=0,0,(VLOOKUP($D128,$C$5:$AU$501,13,)/VLOOKUP($D128,$C$5:$AU$501,3,))*$E128)</f>
        <v>0</v>
      </c>
      <c r="P128" s="66">
        <f>IF(VLOOKUP($D128,$C$5:$AU$501,3,)=0,0,(VLOOKUP($D128,$C$5:$AU$501,14,)/VLOOKUP($D128,$C$5:$AU$501,3,))*$E128)</f>
        <v>0</v>
      </c>
      <c r="Q128" s="66">
        <f>IF(VLOOKUP($D128,$C$5:$AU$501,3,)=0,0,(VLOOKUP($D128,$C$5:$AU$501,15,)/VLOOKUP($D128,$C$5:$AU$501,3,))*$E128)</f>
        <v>0</v>
      </c>
      <c r="R128" s="66">
        <f>IF(VLOOKUP($D128,$C$5:$AU$501,3,)=0,0,(VLOOKUP($D128,$C$5:$AU$501,16,)/VLOOKUP($D128,$C$5:$AU$501,3,))*$E128)</f>
        <v>0</v>
      </c>
      <c r="S128" s="66">
        <f>IF(VLOOKUP($D128,$C$5:$AU$501,3,)=0,0,(VLOOKUP($D128,$C$5:$AU$501,17,)/VLOOKUP($D128,$C$5:$AU$501,3,))*$E128)</f>
        <v>0</v>
      </c>
      <c r="T128" s="66">
        <f>IF(VLOOKUP($D128,$C$5:$AU$501,3,)=0,0,(VLOOKUP($D128,$C$5:$AU$501,18,)/VLOOKUP($D128,$C$5:$AU$501,3,))*$E128)</f>
        <v>0</v>
      </c>
      <c r="U128" s="66">
        <f>IF(VLOOKUP($D128,$C$5:$AU$501,3,)=0,0,(VLOOKUP($D128,$C$5:$AU$501,19,)/VLOOKUP($D128,$C$5:$AU$501,3,))*$E128)</f>
        <v>0</v>
      </c>
      <c r="V128" s="66">
        <f>IF(VLOOKUP($D128,$C$5:$AU$501,3,)=0,0,(VLOOKUP($D128,$C$5:$AU$501,20,)/VLOOKUP($D128,$C$5:$AU$501,3,))*$E128)</f>
        <v>0</v>
      </c>
      <c r="W128" s="66">
        <f>IF(VLOOKUP($D128,$C$5:$AU$501,3,)=0,0,(VLOOKUP($D128,$C$5:$AU$501,21,)/VLOOKUP($D128,$C$5:$AU$501,3,))*$E128)</f>
        <v>0</v>
      </c>
      <c r="X128" s="66">
        <f>IF(VLOOKUP($D128,$C$5:$AU$501,3,)=0,0,(VLOOKUP($D128,$C$5:$AU$501,22,)/VLOOKUP($D128,$C$5:$AU$501,3,))*$E128)</f>
        <v>0</v>
      </c>
      <c r="Y128" s="66">
        <f>IF(VLOOKUP($D128,$C$5:$AU$501,3,)=0,0,(VLOOKUP($D128,$C$5:$AU$501,23,)/VLOOKUP($D128,$C$5:$AU$501,3,))*$E128)</f>
        <v>0</v>
      </c>
      <c r="Z128" s="66">
        <f>IF(VLOOKUP($D128,$C$5:$AU$501,3,)=0,0,(VLOOKUP($D128,$C$5:$AU$501,24,)/VLOOKUP($D128,$C$5:$AU$501,3,))*$E128)</f>
        <v>0</v>
      </c>
      <c r="AA128" s="66">
        <f>IF(VLOOKUP($D128,$C$5:$AU$501,3,)=0,0,(VLOOKUP($D128,$C$5:$AU$501,25,)/VLOOKUP($D128,$C$5:$AU$501,3,))*$E128)</f>
        <v>0</v>
      </c>
      <c r="AB128" s="66">
        <f>IF(VLOOKUP($D128,$C$5:$AU$501,3,)=0,0,(VLOOKUP($D128,$C$5:$AU$501,26,)/VLOOKUP($D128,$C$5:$AU$501,3,))*$E128)</f>
        <v>0</v>
      </c>
      <c r="AC128" s="66">
        <f>IF(VLOOKUP($D128,$C$5:$AU$501,3,)=0,0,(VLOOKUP($D128,$C$5:$AU$501,27,)/VLOOKUP($D128,$C$5:$AU$501,3,))*$E128)</f>
        <v>0</v>
      </c>
      <c r="AD128" s="66">
        <f>IF(VLOOKUP($D128,$C$5:$AU$501,3,)=0,0,(VLOOKUP($D128,$C$5:$AU$501,28,)/VLOOKUP($D128,$C$5:$AU$501,3,))*$E128)</f>
        <v>0</v>
      </c>
      <c r="AE128" s="66">
        <f>IF(VLOOKUP($D128,$C$5:$AU$501,3,)=0,0,(VLOOKUP($D128,$C$5:$AU$501,29,)/VLOOKUP($D128,$C$5:$AU$501,3,))*$E128)</f>
        <v>0</v>
      </c>
      <c r="AF128" s="66">
        <f>IF(VLOOKUP($D128,$C$5:$AU$501,3,)=0,0,(VLOOKUP($D128,$C$5:$AU$501,30,)/VLOOKUP($D128,$C$5:$AU$501,3,))*$E128)</f>
        <v>0</v>
      </c>
      <c r="AG128" s="95">
        <f>SUM(F128:AF128)</f>
        <v>0</v>
      </c>
      <c r="AH128" s="31" t="str">
        <f>IF(ABS(E128-AG128)&lt;0.01,"ok","err")</f>
        <v>ok</v>
      </c>
    </row>
    <row r="129" spans="1:34" x14ac:dyDescent="0.2">
      <c r="E129" s="50"/>
    </row>
    <row r="130" spans="1:34" x14ac:dyDescent="0.2">
      <c r="A130" s="13" t="s">
        <v>1</v>
      </c>
      <c r="E130" s="50"/>
      <c r="F130" s="50"/>
    </row>
    <row r="131" spans="1:34" x14ac:dyDescent="0.2">
      <c r="A131" s="98" t="s">
        <v>209</v>
      </c>
      <c r="C131" s="14" t="s">
        <v>265</v>
      </c>
      <c r="D131" s="14" t="s">
        <v>632</v>
      </c>
      <c r="E131" s="66">
        <f>'Func &amp; Classif'!M285</f>
        <v>190761.5090328478</v>
      </c>
      <c r="F131" s="66">
        <f>IF(VLOOKUP($D131,$C$5:$AU$501,3,)=0,0,(VLOOKUP($D131,$C$5:$AU$501,4,)/VLOOKUP($D131,$C$5:$AU$501,3,))*$E131)</f>
        <v>142381.75401468025</v>
      </c>
      <c r="G131" s="66">
        <f>IF(VLOOKUP($D131,$C$5:$AU$501,3,)=0,0,(VLOOKUP($D131,$C$5:$AU$501,5,)/VLOOKUP($D131,$C$5:$AU$501,3,))*$E131)</f>
        <v>0</v>
      </c>
      <c r="H131" s="66">
        <f>IF(VLOOKUP($D131,$C$5:$AU$501,3,)=0,0,(VLOOKUP($D131,$C$5:$AU$501,6,)/VLOOKUP($D131,$C$5:$AU$501,3,))*$E131)</f>
        <v>9228.3609838835982</v>
      </c>
      <c r="I131" s="66">
        <f>IF(VLOOKUP($D131,$C$5:$AU$501,3,)=0,0,(VLOOKUP($D131,$C$5:$AU$501,7,)/VLOOKUP($D131,$C$5:$AU$501,3,))*$E131)</f>
        <v>0</v>
      </c>
      <c r="J131" s="66">
        <f>IF(VLOOKUP($D131,$C$5:$AU$501,3,)=0,0,(VLOOKUP($D131,$C$5:$AU$501,8,)/VLOOKUP($D131,$C$5:$AU$501,3,))*$E131)</f>
        <v>11642.258288103107</v>
      </c>
      <c r="K131" s="66">
        <f>IF(VLOOKUP($D131,$C$5:$AU$501,3,)=0,0,(VLOOKUP($D131,$C$5:$AU$501,9,)/VLOOKUP($D131,$C$5:$AU$501,3,))*$E131)</f>
        <v>15193.910247193206</v>
      </c>
      <c r="L131" s="66">
        <f>IF(VLOOKUP($D131,$C$5:$AU$501,3,)=0,0,(VLOOKUP($D131,$C$5:$AU$501,10,)/VLOOKUP($D131,$C$5:$AU$501,3,))*$E131)</f>
        <v>9836.0040054184792</v>
      </c>
      <c r="M131" s="66">
        <f>IF(VLOOKUP($D131,$C$5:$AU$501,3,)=0,0,(VLOOKUP($D131,$C$5:$AU$501,11,)/VLOOKUP($D131,$C$5:$AU$501,3,))*$E131)</f>
        <v>1322.1063683960947</v>
      </c>
      <c r="N131" s="66">
        <f>IF(VLOOKUP($D131,$C$5:$AU$501,3,)=0,0,(VLOOKUP($D131,$C$5:$AU$501,12,)/VLOOKUP($D131,$C$5:$AU$501,3,))*$E131)</f>
        <v>1157.1151251730946</v>
      </c>
      <c r="O131" s="66">
        <f>IF(VLOOKUP($D131,$C$5:$AU$501,3,)=0,0,(VLOOKUP($D131,$C$5:$AU$501,13,)/VLOOKUP($D131,$C$5:$AU$501,3,))*$E131)</f>
        <v>0</v>
      </c>
      <c r="P131" s="66">
        <f>IF(VLOOKUP($D131,$C$5:$AU$501,3,)=0,0,(VLOOKUP($D131,$C$5:$AU$501,14,)/VLOOKUP($D131,$C$5:$AU$501,3,))*$E131)</f>
        <v>0</v>
      </c>
      <c r="Q131" s="66">
        <f>IF(VLOOKUP($D131,$C$5:$AU$501,3,)=0,0,(VLOOKUP($D131,$C$5:$AU$501,15,)/VLOOKUP($D131,$C$5:$AU$501,3,))*$E131)</f>
        <v>0</v>
      </c>
      <c r="R131" s="66">
        <f>IF(VLOOKUP($D131,$C$5:$AU$501,3,)=0,0,(VLOOKUP($D131,$C$5:$AU$501,16,)/VLOOKUP($D131,$C$5:$AU$501,3,))*$E131)</f>
        <v>0</v>
      </c>
      <c r="S131" s="66">
        <f>IF(VLOOKUP($D131,$C$5:$AU$501,3,)=0,0,(VLOOKUP($D131,$C$5:$AU$501,17,)/VLOOKUP($D131,$C$5:$AU$501,3,))*$E131)</f>
        <v>0</v>
      </c>
      <c r="T131" s="66">
        <f>IF(VLOOKUP($D131,$C$5:$AU$501,3,)=0,0,(VLOOKUP($D131,$C$5:$AU$501,18,)/VLOOKUP($D131,$C$5:$AU$501,3,))*$E131)</f>
        <v>0</v>
      </c>
      <c r="U131" s="66">
        <f>IF(VLOOKUP($D131,$C$5:$AU$501,3,)=0,0,(VLOOKUP($D131,$C$5:$AU$501,19,)/VLOOKUP($D131,$C$5:$AU$501,3,))*$E131)</f>
        <v>0</v>
      </c>
      <c r="V131" s="66">
        <f>IF(VLOOKUP($D131,$C$5:$AU$501,3,)=0,0,(VLOOKUP($D131,$C$5:$AU$501,20,)/VLOOKUP($D131,$C$5:$AU$501,3,))*$E131)</f>
        <v>0</v>
      </c>
      <c r="W131" s="66">
        <f>IF(VLOOKUP($D131,$C$5:$AU$501,3,)=0,0,(VLOOKUP($D131,$C$5:$AU$501,21,)/VLOOKUP($D131,$C$5:$AU$501,3,))*$E131)</f>
        <v>0</v>
      </c>
      <c r="X131" s="66">
        <f>IF(VLOOKUP($D131,$C$5:$AU$501,3,)=0,0,(VLOOKUP($D131,$C$5:$AU$501,22,)/VLOOKUP($D131,$C$5:$AU$501,3,))*$E131)</f>
        <v>0</v>
      </c>
      <c r="Y131" s="66">
        <f>IF(VLOOKUP($D131,$C$5:$AU$501,3,)=0,0,(VLOOKUP($D131,$C$5:$AU$501,23,)/VLOOKUP($D131,$C$5:$AU$501,3,))*$E131)</f>
        <v>0</v>
      </c>
      <c r="Z131" s="66">
        <f>IF(VLOOKUP($D131,$C$5:$AU$501,3,)=0,0,(VLOOKUP($D131,$C$5:$AU$501,24,)/VLOOKUP($D131,$C$5:$AU$501,3,))*$E131)</f>
        <v>0</v>
      </c>
      <c r="AA131" s="66">
        <f>IF(VLOOKUP($D131,$C$5:$AU$501,3,)=0,0,(VLOOKUP($D131,$C$5:$AU$501,25,)/VLOOKUP($D131,$C$5:$AU$501,3,))*$E131)</f>
        <v>0</v>
      </c>
      <c r="AB131" s="66">
        <f>IF(VLOOKUP($D131,$C$5:$AU$501,3,)=0,0,(VLOOKUP($D131,$C$5:$AU$501,26,)/VLOOKUP($D131,$C$5:$AU$501,3,))*$E131)</f>
        <v>0</v>
      </c>
      <c r="AC131" s="66">
        <f>IF(VLOOKUP($D131,$C$5:$AU$501,3,)=0,0,(VLOOKUP($D131,$C$5:$AU$501,27,)/VLOOKUP($D131,$C$5:$AU$501,3,))*$E131)</f>
        <v>0</v>
      </c>
      <c r="AD131" s="66">
        <f>IF(VLOOKUP($D131,$C$5:$AU$501,3,)=0,0,(VLOOKUP($D131,$C$5:$AU$501,28,)/VLOOKUP($D131,$C$5:$AU$501,3,))*$E131)</f>
        <v>0</v>
      </c>
      <c r="AE131" s="66">
        <f>IF(VLOOKUP($D131,$C$5:$AU$501,3,)=0,0,(VLOOKUP($D131,$C$5:$AU$501,29,)/VLOOKUP($D131,$C$5:$AU$501,3,))*$E131)</f>
        <v>0</v>
      </c>
      <c r="AF131" s="66">
        <f>IF(VLOOKUP($D131,$C$5:$AU$501,3,)=0,0,(VLOOKUP($D131,$C$5:$AU$501,30,)/VLOOKUP($D131,$C$5:$AU$501,3,))*$E131)</f>
        <v>0</v>
      </c>
      <c r="AG131" s="95">
        <f>SUM(F131:AF131)</f>
        <v>190761.5090328478</v>
      </c>
      <c r="AH131" s="31" t="str">
        <f>IF(ABS(E131-AG131)&lt;0.01,"ok","err")</f>
        <v>ok</v>
      </c>
    </row>
    <row r="132" spans="1:34" x14ac:dyDescent="0.2">
      <c r="E132" s="50"/>
    </row>
    <row r="133" spans="1:34" x14ac:dyDescent="0.2">
      <c r="A133" s="13" t="s">
        <v>2</v>
      </c>
      <c r="E133" s="50"/>
    </row>
    <row r="134" spans="1:34" x14ac:dyDescent="0.2">
      <c r="A134" s="98" t="s">
        <v>209</v>
      </c>
      <c r="C134" s="14" t="s">
        <v>266</v>
      </c>
      <c r="D134" s="14" t="s">
        <v>629</v>
      </c>
      <c r="E134" s="66">
        <f>'Func &amp; Classif'!O285</f>
        <v>10431629.953348497</v>
      </c>
      <c r="F134" s="66">
        <f>IF(VLOOKUP($D134,$C$5:$AU$501,3,)=0,0,(VLOOKUP($D134,$C$5:$AU$501,4,)/VLOOKUP($D134,$C$5:$AU$501,3,))*$E134)</f>
        <v>8593786.8558624964</v>
      </c>
      <c r="G134" s="66">
        <f>IF(VLOOKUP($D134,$C$5:$AU$501,3,)=0,0,(VLOOKUP($D134,$C$5:$AU$501,5,)/VLOOKUP($D134,$C$5:$AU$501,3,))*$E134)</f>
        <v>0</v>
      </c>
      <c r="H134" s="66">
        <f>IF(VLOOKUP($D134,$C$5:$AU$501,3,)=0,0,(VLOOKUP($D134,$C$5:$AU$501,6,)/VLOOKUP($D134,$C$5:$AU$501,3,))*$E134)</f>
        <v>192855.57715884235</v>
      </c>
      <c r="I134" s="66">
        <f>IF(VLOOKUP($D134,$C$5:$AU$501,3,)=0,0,(VLOOKUP($D134,$C$5:$AU$501,7,)/VLOOKUP($D134,$C$5:$AU$501,3,))*$E134)</f>
        <v>0</v>
      </c>
      <c r="J134" s="66">
        <f>IF(VLOOKUP($D134,$C$5:$AU$501,3,)=0,0,(VLOOKUP($D134,$C$5:$AU$501,8,)/VLOOKUP($D134,$C$5:$AU$501,3,))*$E134)</f>
        <v>455385.53637391177</v>
      </c>
      <c r="K134" s="66">
        <f>IF(VLOOKUP($D134,$C$5:$AU$501,3,)=0,0,(VLOOKUP($D134,$C$5:$AU$501,9,)/VLOOKUP($D134,$C$5:$AU$501,3,))*$E134)</f>
        <v>320275.14321463293</v>
      </c>
      <c r="L134" s="66">
        <f>IF(VLOOKUP($D134,$C$5:$AU$501,3,)=0,0,(VLOOKUP($D134,$C$5:$AU$501,10,)/VLOOKUP($D134,$C$5:$AU$501,3,))*$E134)</f>
        <v>251820.4621372908</v>
      </c>
      <c r="M134" s="66">
        <f>IF(VLOOKUP($D134,$C$5:$AU$501,3,)=0,0,(VLOOKUP($D134,$C$5:$AU$501,11,)/VLOOKUP($D134,$C$5:$AU$501,3,))*$E134)</f>
        <v>405565.99990257015</v>
      </c>
      <c r="N134" s="66">
        <f>IF(VLOOKUP($D134,$C$5:$AU$501,3,)=0,0,(VLOOKUP($D134,$C$5:$AU$501,12,)/VLOOKUP($D134,$C$5:$AU$501,3,))*$E134)</f>
        <v>115745.77309256773</v>
      </c>
      <c r="O134" s="66">
        <f>IF(VLOOKUP($D134,$C$5:$AU$501,3,)=0,0,(VLOOKUP($D134,$C$5:$AU$501,13,)/VLOOKUP($D134,$C$5:$AU$501,3,))*$E134)</f>
        <v>96194.605606185141</v>
      </c>
      <c r="P134" s="66">
        <f>IF(VLOOKUP($D134,$C$5:$AU$501,3,)=0,0,(VLOOKUP($D134,$C$5:$AU$501,14,)/VLOOKUP($D134,$C$5:$AU$501,3,))*$E134)</f>
        <v>0</v>
      </c>
      <c r="Q134" s="66">
        <f>IF(VLOOKUP($D134,$C$5:$AU$501,3,)=0,0,(VLOOKUP($D134,$C$5:$AU$501,15,)/VLOOKUP($D134,$C$5:$AU$501,3,))*$E134)</f>
        <v>0</v>
      </c>
      <c r="R134" s="66">
        <f>IF(VLOOKUP($D134,$C$5:$AU$501,3,)=0,0,(VLOOKUP($D134,$C$5:$AU$501,16,)/VLOOKUP($D134,$C$5:$AU$501,3,))*$E134)</f>
        <v>0</v>
      </c>
      <c r="S134" s="66">
        <f>IF(VLOOKUP($D134,$C$5:$AU$501,3,)=0,0,(VLOOKUP($D134,$C$5:$AU$501,17,)/VLOOKUP($D134,$C$5:$AU$501,3,))*$E134)</f>
        <v>0</v>
      </c>
      <c r="T134" s="66">
        <f>IF(VLOOKUP($D134,$C$5:$AU$501,3,)=0,0,(VLOOKUP($D134,$C$5:$AU$501,18,)/VLOOKUP($D134,$C$5:$AU$501,3,))*$E134)</f>
        <v>0</v>
      </c>
      <c r="U134" s="66">
        <f>IF(VLOOKUP($D134,$C$5:$AU$501,3,)=0,0,(VLOOKUP($D134,$C$5:$AU$501,19,)/VLOOKUP($D134,$C$5:$AU$501,3,))*$E134)</f>
        <v>0</v>
      </c>
      <c r="V134" s="66">
        <f>IF(VLOOKUP($D134,$C$5:$AU$501,3,)=0,0,(VLOOKUP($D134,$C$5:$AU$501,20,)/VLOOKUP($D134,$C$5:$AU$501,3,))*$E134)</f>
        <v>0</v>
      </c>
      <c r="W134" s="66">
        <f>IF(VLOOKUP($D134,$C$5:$AU$501,3,)=0,0,(VLOOKUP($D134,$C$5:$AU$501,21,)/VLOOKUP($D134,$C$5:$AU$501,3,))*$E134)</f>
        <v>0</v>
      </c>
      <c r="X134" s="66">
        <f>IF(VLOOKUP($D134,$C$5:$AU$501,3,)=0,0,(VLOOKUP($D134,$C$5:$AU$501,22,)/VLOOKUP($D134,$C$5:$AU$501,3,))*$E134)</f>
        <v>0</v>
      </c>
      <c r="Y134" s="66">
        <f>IF(VLOOKUP($D134,$C$5:$AU$501,3,)=0,0,(VLOOKUP($D134,$C$5:$AU$501,23,)/VLOOKUP($D134,$C$5:$AU$501,3,))*$E134)</f>
        <v>0</v>
      </c>
      <c r="Z134" s="66">
        <f>IF(VLOOKUP($D134,$C$5:$AU$501,3,)=0,0,(VLOOKUP($D134,$C$5:$AU$501,24,)/VLOOKUP($D134,$C$5:$AU$501,3,))*$E134)</f>
        <v>0</v>
      </c>
      <c r="AA134" s="66">
        <f>IF(VLOOKUP($D134,$C$5:$AU$501,3,)=0,0,(VLOOKUP($D134,$C$5:$AU$501,25,)/VLOOKUP($D134,$C$5:$AU$501,3,))*$E134)</f>
        <v>0</v>
      </c>
      <c r="AB134" s="66">
        <f>IF(VLOOKUP($D134,$C$5:$AU$501,3,)=0,0,(VLOOKUP($D134,$C$5:$AU$501,26,)/VLOOKUP($D134,$C$5:$AU$501,3,))*$E134)</f>
        <v>0</v>
      </c>
      <c r="AC134" s="66">
        <f>IF(VLOOKUP($D134,$C$5:$AU$501,3,)=0,0,(VLOOKUP($D134,$C$5:$AU$501,27,)/VLOOKUP($D134,$C$5:$AU$501,3,))*$E134)</f>
        <v>0</v>
      </c>
      <c r="AD134" s="66">
        <f>IF(VLOOKUP($D134,$C$5:$AU$501,3,)=0,0,(VLOOKUP($D134,$C$5:$AU$501,28,)/VLOOKUP($D134,$C$5:$AU$501,3,))*$E134)</f>
        <v>0</v>
      </c>
      <c r="AE134" s="66">
        <f>IF(VLOOKUP($D134,$C$5:$AU$501,3,)=0,0,(VLOOKUP($D134,$C$5:$AU$501,29,)/VLOOKUP($D134,$C$5:$AU$501,3,))*$E134)</f>
        <v>0</v>
      </c>
      <c r="AF134" s="66">
        <f>IF(VLOOKUP($D134,$C$5:$AU$501,3,)=0,0,(VLOOKUP($D134,$C$5:$AU$501,30,)/VLOOKUP($D134,$C$5:$AU$501,3,))*$E134)</f>
        <v>0</v>
      </c>
      <c r="AG134" s="95">
        <f>SUM(F134:AF134)</f>
        <v>10431629.953348499</v>
      </c>
      <c r="AH134" s="31" t="str">
        <f>IF(ABS(E134-AG134)&lt;0.01,"ok","err")</f>
        <v>ok</v>
      </c>
    </row>
    <row r="135" spans="1:34" x14ac:dyDescent="0.2">
      <c r="A135" s="98" t="s">
        <v>221</v>
      </c>
      <c r="C135" s="14" t="s">
        <v>267</v>
      </c>
      <c r="D135" s="14" t="s">
        <v>223</v>
      </c>
      <c r="E135" s="50">
        <f>'Func &amp; Classif'!P285</f>
        <v>7054030.5921257306</v>
      </c>
      <c r="F135" s="66">
        <f>IF(VLOOKUP($D135,$C$5:$AU$501,3,)=0,0,(VLOOKUP($D135,$C$5:$AU$501,4,)/VLOOKUP($D135,$C$5:$AU$501,3,))*$E135)</f>
        <v>6412597.6144620432</v>
      </c>
      <c r="G135" s="66">
        <f>IF(VLOOKUP($D135,$C$5:$AU$501,3,)=0,0,(VLOOKUP($D135,$C$5:$AU$501,5,)/VLOOKUP($D135,$C$5:$AU$501,3,))*$E135)</f>
        <v>0</v>
      </c>
      <c r="H135" s="66">
        <f>IF(VLOOKUP($D135,$C$5:$AU$501,3,)=0,0,(VLOOKUP($D135,$C$5:$AU$501,6,)/VLOOKUP($D135,$C$5:$AU$501,3,))*$E135)</f>
        <v>483406.49002157402</v>
      </c>
      <c r="I135" s="66">
        <f>IF(VLOOKUP($D135,$C$5:$AU$501,3,)=0,0,(VLOOKUP($D135,$C$5:$AU$501,7,)/VLOOKUP($D135,$C$5:$AU$501,3,))*$E135)</f>
        <v>0</v>
      </c>
      <c r="J135" s="66">
        <f>IF(VLOOKUP($D135,$C$5:$AU$501,3,)=0,0,(VLOOKUP($D135,$C$5:$AU$501,8,)/VLOOKUP($D135,$C$5:$AU$501,3,))*$E135)</f>
        <v>20519.459609515547</v>
      </c>
      <c r="K135" s="66">
        <f>IF(VLOOKUP($D135,$C$5:$AU$501,3,)=0,0,(VLOOKUP($D135,$C$5:$AU$501,9,)/VLOOKUP($D135,$C$5:$AU$501,3,))*$E135)</f>
        <v>1065.9459537410673</v>
      </c>
      <c r="L135" s="66">
        <f>IF(VLOOKUP($D135,$C$5:$AU$501,3,)=0,0,(VLOOKUP($D135,$C$5:$AU$501,10,)/VLOOKUP($D135,$C$5:$AU$501,3,))*$E135)</f>
        <v>799.45946530580045</v>
      </c>
      <c r="M135" s="66">
        <f>IF(VLOOKUP($D135,$C$5:$AU$501,3,)=0,0,(VLOOKUP($D135,$C$5:$AU$501,11,)/VLOOKUP($D135,$C$5:$AU$501,3,))*$E135)</f>
        <v>132577.02799654525</v>
      </c>
      <c r="N135" s="66">
        <f>IF(VLOOKUP($D135,$C$5:$AU$501,3,)=0,0,(VLOOKUP($D135,$C$5:$AU$501,12,)/VLOOKUP($D135,$C$5:$AU$501,3,))*$E135)</f>
        <v>3064.5946170055681</v>
      </c>
      <c r="O135" s="66">
        <f>IF(VLOOKUP($D135,$C$5:$AU$501,3,)=0,0,(VLOOKUP($D135,$C$5:$AU$501,13,)/VLOOKUP($D135,$C$5:$AU$501,3,))*$E135)</f>
        <v>0</v>
      </c>
      <c r="P135" s="66">
        <f>IF(VLOOKUP($D135,$C$5:$AU$501,3,)=0,0,(VLOOKUP($D135,$C$5:$AU$501,14,)/VLOOKUP($D135,$C$5:$AU$501,3,))*$E135)</f>
        <v>0</v>
      </c>
      <c r="Q135" s="66">
        <f>IF(VLOOKUP($D135,$C$5:$AU$501,3,)=0,0,(VLOOKUP($D135,$C$5:$AU$501,15,)/VLOOKUP($D135,$C$5:$AU$501,3,))*$E135)</f>
        <v>0</v>
      </c>
      <c r="R135" s="66">
        <f>IF(VLOOKUP($D135,$C$5:$AU$501,3,)=0,0,(VLOOKUP($D135,$C$5:$AU$501,16,)/VLOOKUP($D135,$C$5:$AU$501,3,))*$E135)</f>
        <v>0</v>
      </c>
      <c r="S135" s="66">
        <f>IF(VLOOKUP($D135,$C$5:$AU$501,3,)=0,0,(VLOOKUP($D135,$C$5:$AU$501,17,)/VLOOKUP($D135,$C$5:$AU$501,3,))*$E135)</f>
        <v>0</v>
      </c>
      <c r="T135" s="66">
        <f>IF(VLOOKUP($D135,$C$5:$AU$501,3,)=0,0,(VLOOKUP($D135,$C$5:$AU$501,18,)/VLOOKUP($D135,$C$5:$AU$501,3,))*$E135)</f>
        <v>0</v>
      </c>
      <c r="U135" s="66">
        <f>IF(VLOOKUP($D135,$C$5:$AU$501,3,)=0,0,(VLOOKUP($D135,$C$5:$AU$501,19,)/VLOOKUP($D135,$C$5:$AU$501,3,))*$E135)</f>
        <v>0</v>
      </c>
      <c r="V135" s="66">
        <f>IF(VLOOKUP($D135,$C$5:$AU$501,3,)=0,0,(VLOOKUP($D135,$C$5:$AU$501,20,)/VLOOKUP($D135,$C$5:$AU$501,3,))*$E135)</f>
        <v>0</v>
      </c>
      <c r="W135" s="66">
        <f>IF(VLOOKUP($D135,$C$5:$AU$501,3,)=0,0,(VLOOKUP($D135,$C$5:$AU$501,21,)/VLOOKUP($D135,$C$5:$AU$501,3,))*$E135)</f>
        <v>0</v>
      </c>
      <c r="X135" s="66">
        <f>IF(VLOOKUP($D135,$C$5:$AU$501,3,)=0,0,(VLOOKUP($D135,$C$5:$AU$501,22,)/VLOOKUP($D135,$C$5:$AU$501,3,))*$E135)</f>
        <v>0</v>
      </c>
      <c r="Y135" s="66">
        <f>IF(VLOOKUP($D135,$C$5:$AU$501,3,)=0,0,(VLOOKUP($D135,$C$5:$AU$501,23,)/VLOOKUP($D135,$C$5:$AU$501,3,))*$E135)</f>
        <v>0</v>
      </c>
      <c r="Z135" s="66">
        <f>IF(VLOOKUP($D135,$C$5:$AU$501,3,)=0,0,(VLOOKUP($D135,$C$5:$AU$501,24,)/VLOOKUP($D135,$C$5:$AU$501,3,))*$E135)</f>
        <v>0</v>
      </c>
      <c r="AA135" s="66">
        <f>IF(VLOOKUP($D135,$C$5:$AU$501,3,)=0,0,(VLOOKUP($D135,$C$5:$AU$501,25,)/VLOOKUP($D135,$C$5:$AU$501,3,))*$E135)</f>
        <v>0</v>
      </c>
      <c r="AB135" s="66">
        <f>IF(VLOOKUP($D135,$C$5:$AU$501,3,)=0,0,(VLOOKUP($D135,$C$5:$AU$501,26,)/VLOOKUP($D135,$C$5:$AU$501,3,))*$E135)</f>
        <v>0</v>
      </c>
      <c r="AC135" s="66">
        <f>IF(VLOOKUP($D135,$C$5:$AU$501,3,)=0,0,(VLOOKUP($D135,$C$5:$AU$501,27,)/VLOOKUP($D135,$C$5:$AU$501,3,))*$E135)</f>
        <v>0</v>
      </c>
      <c r="AD135" s="66">
        <f>IF(VLOOKUP($D135,$C$5:$AU$501,3,)=0,0,(VLOOKUP($D135,$C$5:$AU$501,28,)/VLOOKUP($D135,$C$5:$AU$501,3,))*$E135)</f>
        <v>0</v>
      </c>
      <c r="AE135" s="66">
        <f>IF(VLOOKUP($D135,$C$5:$AU$501,3,)=0,0,(VLOOKUP($D135,$C$5:$AU$501,29,)/VLOOKUP($D135,$C$5:$AU$501,3,))*$E135)</f>
        <v>0</v>
      </c>
      <c r="AF135" s="66">
        <f>IF(VLOOKUP($D135,$C$5:$AU$501,3,)=0,0,(VLOOKUP($D135,$C$5:$AU$501,30,)/VLOOKUP($D135,$C$5:$AU$501,3,))*$E135)</f>
        <v>0</v>
      </c>
      <c r="AG135" s="95">
        <f>SUM(F135:AF135)</f>
        <v>7054030.5921257315</v>
      </c>
      <c r="AH135" s="31" t="str">
        <f>IF(ABS(E135-AG135)&lt;0.01,"ok","err")</f>
        <v>ok</v>
      </c>
    </row>
    <row r="136" spans="1:34" x14ac:dyDescent="0.2">
      <c r="A136" s="14" t="s">
        <v>224</v>
      </c>
      <c r="E136" s="66">
        <f t="shared" ref="E136:T136" si="27">E134+E135</f>
        <v>17485660.545474228</v>
      </c>
      <c r="F136" s="66">
        <f t="shared" si="27"/>
        <v>15006384.470324539</v>
      </c>
      <c r="G136" s="66">
        <f t="shared" si="27"/>
        <v>0</v>
      </c>
      <c r="H136" s="66">
        <f t="shared" si="27"/>
        <v>676262.06718041631</v>
      </c>
      <c r="I136" s="66">
        <f t="shared" si="27"/>
        <v>0</v>
      </c>
      <c r="J136" s="66">
        <f t="shared" si="27"/>
        <v>475904.99598342733</v>
      </c>
      <c r="K136" s="66">
        <f t="shared" si="27"/>
        <v>321341.08916837402</v>
      </c>
      <c r="L136" s="66">
        <f t="shared" si="27"/>
        <v>252619.92160259659</v>
      </c>
      <c r="M136" s="66">
        <f t="shared" si="27"/>
        <v>538143.02789911535</v>
      </c>
      <c r="N136" s="66">
        <f t="shared" si="27"/>
        <v>118810.3677095733</v>
      </c>
      <c r="O136" s="66">
        <f t="shared" si="27"/>
        <v>96194.605606185141</v>
      </c>
      <c r="P136" s="66">
        <f t="shared" si="27"/>
        <v>0</v>
      </c>
      <c r="Q136" s="66">
        <f t="shared" si="27"/>
        <v>0</v>
      </c>
      <c r="R136" s="66">
        <f t="shared" si="27"/>
        <v>0</v>
      </c>
      <c r="S136" s="66">
        <f t="shared" si="27"/>
        <v>0</v>
      </c>
      <c r="T136" s="66">
        <f t="shared" si="27"/>
        <v>0</v>
      </c>
      <c r="U136" s="66">
        <f t="shared" ref="U136:AF136" si="28">U134+U135</f>
        <v>0</v>
      </c>
      <c r="V136" s="66">
        <f t="shared" si="28"/>
        <v>0</v>
      </c>
      <c r="W136" s="66">
        <f t="shared" si="28"/>
        <v>0</v>
      </c>
      <c r="X136" s="66">
        <f t="shared" si="28"/>
        <v>0</v>
      </c>
      <c r="Y136" s="66">
        <f t="shared" si="28"/>
        <v>0</v>
      </c>
      <c r="Z136" s="66">
        <f t="shared" si="28"/>
        <v>0</v>
      </c>
      <c r="AA136" s="66">
        <f t="shared" si="28"/>
        <v>0</v>
      </c>
      <c r="AB136" s="66">
        <f t="shared" si="28"/>
        <v>0</v>
      </c>
      <c r="AC136" s="66">
        <f t="shared" si="28"/>
        <v>0</v>
      </c>
      <c r="AD136" s="66">
        <f t="shared" si="28"/>
        <v>0</v>
      </c>
      <c r="AE136" s="66">
        <f t="shared" si="28"/>
        <v>0</v>
      </c>
      <c r="AF136" s="66">
        <f t="shared" si="28"/>
        <v>0</v>
      </c>
      <c r="AG136" s="95">
        <f>SUM(F136:AF136)</f>
        <v>17485660.545474224</v>
      </c>
      <c r="AH136" s="31" t="str">
        <f>IF(ABS(E136-AG136)&lt;0.01,"ok","err")</f>
        <v>ok</v>
      </c>
    </row>
    <row r="137" spans="1:34" x14ac:dyDescent="0.2">
      <c r="E137" s="50"/>
    </row>
    <row r="138" spans="1:34" x14ac:dyDescent="0.2">
      <c r="A138" s="13" t="s">
        <v>3</v>
      </c>
      <c r="E138" s="50"/>
    </row>
    <row r="139" spans="1:34" x14ac:dyDescent="0.2">
      <c r="A139" s="98" t="s">
        <v>209</v>
      </c>
      <c r="C139" s="14" t="s">
        <v>268</v>
      </c>
      <c r="D139" s="14" t="s">
        <v>700</v>
      </c>
      <c r="E139" s="66">
        <f>'Func &amp; Classif'!R285</f>
        <v>0</v>
      </c>
      <c r="F139" s="66">
        <f>IF(VLOOKUP($D139,$C$5:$AU$501,3,)=0,0,(VLOOKUP($D139,$C$5:$AU$501,4,)/VLOOKUP($D139,$C$5:$AU$501,3,))*$E139)</f>
        <v>0</v>
      </c>
      <c r="G139" s="66">
        <f>IF(VLOOKUP($D139,$C$5:$AU$501,3,)=0,0,(VLOOKUP($D139,$C$5:$AU$501,5,)/VLOOKUP($D139,$C$5:$AU$501,3,))*$E139)</f>
        <v>0</v>
      </c>
      <c r="H139" s="66">
        <f>IF(VLOOKUP($D139,$C$5:$AU$501,3,)=0,0,(VLOOKUP($D139,$C$5:$AU$501,6,)/VLOOKUP($D139,$C$5:$AU$501,3,))*$E139)</f>
        <v>0</v>
      </c>
      <c r="I139" s="66">
        <f>IF(VLOOKUP($D139,$C$5:$AU$501,3,)=0,0,(VLOOKUP($D139,$C$5:$AU$501,7,)/VLOOKUP($D139,$C$5:$AU$501,3,))*$E139)</f>
        <v>0</v>
      </c>
      <c r="J139" s="66">
        <f>IF(VLOOKUP($D139,$C$5:$AU$501,3,)=0,0,(VLOOKUP($D139,$C$5:$AU$501,8,)/VLOOKUP($D139,$C$5:$AU$501,3,))*$E139)</f>
        <v>0</v>
      </c>
      <c r="K139" s="66">
        <f>IF(VLOOKUP($D139,$C$5:$AU$501,3,)=0,0,(VLOOKUP($D139,$C$5:$AU$501,9,)/VLOOKUP($D139,$C$5:$AU$501,3,))*$E139)</f>
        <v>0</v>
      </c>
      <c r="L139" s="66">
        <f>IF(VLOOKUP($D139,$C$5:$AU$501,3,)=0,0,(VLOOKUP($D139,$C$5:$AU$501,10,)/VLOOKUP($D139,$C$5:$AU$501,3,))*$E139)</f>
        <v>0</v>
      </c>
      <c r="M139" s="66">
        <f>IF(VLOOKUP($D139,$C$5:$AU$501,3,)=0,0,(VLOOKUP($D139,$C$5:$AU$501,11,)/VLOOKUP($D139,$C$5:$AU$501,3,))*$E139)</f>
        <v>0</v>
      </c>
      <c r="N139" s="66">
        <f>IF(VLOOKUP($D139,$C$5:$AU$501,3,)=0,0,(VLOOKUP($D139,$C$5:$AU$501,12,)/VLOOKUP($D139,$C$5:$AU$501,3,))*$E139)</f>
        <v>0</v>
      </c>
      <c r="O139" s="66">
        <f>IF(VLOOKUP($D139,$C$5:$AU$501,3,)=0,0,(VLOOKUP($D139,$C$5:$AU$501,13,)/VLOOKUP($D139,$C$5:$AU$501,3,))*$E139)</f>
        <v>0</v>
      </c>
      <c r="P139" s="66">
        <f>IF(VLOOKUP($D139,$C$5:$AU$501,3,)=0,0,(VLOOKUP($D139,$C$5:$AU$501,14,)/VLOOKUP($D139,$C$5:$AU$501,3,))*$E139)</f>
        <v>0</v>
      </c>
      <c r="Q139" s="66">
        <f>IF(VLOOKUP($D139,$C$5:$AU$501,3,)=0,0,(VLOOKUP($D139,$C$5:$AU$501,15,)/VLOOKUP($D139,$C$5:$AU$501,3,))*$E139)</f>
        <v>0</v>
      </c>
      <c r="R139" s="66">
        <f>IF(VLOOKUP($D139,$C$5:$AU$501,3,)=0,0,(VLOOKUP($D139,$C$5:$AU$501,16,)/VLOOKUP($D139,$C$5:$AU$501,3,))*$E139)</f>
        <v>0</v>
      </c>
      <c r="S139" s="66">
        <f>IF(VLOOKUP($D139,$C$5:$AU$501,3,)=0,0,(VLOOKUP($D139,$C$5:$AU$501,17,)/VLOOKUP($D139,$C$5:$AU$501,3,))*$E139)</f>
        <v>0</v>
      </c>
      <c r="T139" s="66">
        <f>IF(VLOOKUP($D139,$C$5:$AU$501,3,)=0,0,(VLOOKUP($D139,$C$5:$AU$501,18,)/VLOOKUP($D139,$C$5:$AU$501,3,))*$E139)</f>
        <v>0</v>
      </c>
      <c r="U139" s="66">
        <f>IF(VLOOKUP($D139,$C$5:$AU$501,3,)=0,0,(VLOOKUP($D139,$C$5:$AU$501,19,)/VLOOKUP($D139,$C$5:$AU$501,3,))*$E139)</f>
        <v>0</v>
      </c>
      <c r="V139" s="66">
        <f>IF(VLOOKUP($D139,$C$5:$AU$501,3,)=0,0,(VLOOKUP($D139,$C$5:$AU$501,20,)/VLOOKUP($D139,$C$5:$AU$501,3,))*$E139)</f>
        <v>0</v>
      </c>
      <c r="W139" s="66">
        <f>IF(VLOOKUP($D139,$C$5:$AU$501,3,)=0,0,(VLOOKUP($D139,$C$5:$AU$501,21,)/VLOOKUP($D139,$C$5:$AU$501,3,))*$E139)</f>
        <v>0</v>
      </c>
      <c r="X139" s="66">
        <f>IF(VLOOKUP($D139,$C$5:$AU$501,3,)=0,0,(VLOOKUP($D139,$C$5:$AU$501,22,)/VLOOKUP($D139,$C$5:$AU$501,3,))*$E139)</f>
        <v>0</v>
      </c>
      <c r="Y139" s="66">
        <f>IF(VLOOKUP($D139,$C$5:$AU$501,3,)=0,0,(VLOOKUP($D139,$C$5:$AU$501,23,)/VLOOKUP($D139,$C$5:$AU$501,3,))*$E139)</f>
        <v>0</v>
      </c>
      <c r="Z139" s="66">
        <f>IF(VLOOKUP($D139,$C$5:$AU$501,3,)=0,0,(VLOOKUP($D139,$C$5:$AU$501,24,)/VLOOKUP($D139,$C$5:$AU$501,3,))*$E139)</f>
        <v>0</v>
      </c>
      <c r="AA139" s="66">
        <f>IF(VLOOKUP($D139,$C$5:$AU$501,3,)=0,0,(VLOOKUP($D139,$C$5:$AU$501,25,)/VLOOKUP($D139,$C$5:$AU$501,3,))*$E139)</f>
        <v>0</v>
      </c>
      <c r="AB139" s="66">
        <f>IF(VLOOKUP($D139,$C$5:$AU$501,3,)=0,0,(VLOOKUP($D139,$C$5:$AU$501,26,)/VLOOKUP($D139,$C$5:$AU$501,3,))*$E139)</f>
        <v>0</v>
      </c>
      <c r="AC139" s="66">
        <f>IF(VLOOKUP($D139,$C$5:$AU$501,3,)=0,0,(VLOOKUP($D139,$C$5:$AU$501,27,)/VLOOKUP($D139,$C$5:$AU$501,3,))*$E139)</f>
        <v>0</v>
      </c>
      <c r="AD139" s="66">
        <f>IF(VLOOKUP($D139,$C$5:$AU$501,3,)=0,0,(VLOOKUP($D139,$C$5:$AU$501,28,)/VLOOKUP($D139,$C$5:$AU$501,3,))*$E139)</f>
        <v>0</v>
      </c>
      <c r="AE139" s="66">
        <f>IF(VLOOKUP($D139,$C$5:$AU$501,3,)=0,0,(VLOOKUP($D139,$C$5:$AU$501,29,)/VLOOKUP($D139,$C$5:$AU$501,3,))*$E139)</f>
        <v>0</v>
      </c>
      <c r="AF139" s="66">
        <f>IF(VLOOKUP($D139,$C$5:$AU$501,3,)=0,0,(VLOOKUP($D139,$C$5:$AU$501,30,)/VLOOKUP($D139,$C$5:$AU$501,3,))*$E139)</f>
        <v>0</v>
      </c>
      <c r="AG139" s="95">
        <f>SUM(F139:AF139)</f>
        <v>0</v>
      </c>
      <c r="AH139" s="31" t="str">
        <f>IF(ABS(E139-AG139)&lt;0.01,"ok","err")</f>
        <v>ok</v>
      </c>
    </row>
    <row r="140" spans="1:34" x14ac:dyDescent="0.2">
      <c r="A140" s="98" t="s">
        <v>221</v>
      </c>
      <c r="C140" s="14" t="s">
        <v>269</v>
      </c>
      <c r="D140" s="14" t="s">
        <v>700</v>
      </c>
      <c r="E140" s="50">
        <f>'Func &amp; Classif'!S285</f>
        <v>602395.15218012664</v>
      </c>
      <c r="F140" s="66">
        <f>IF(VLOOKUP($D140,$C$5:$AU$501,3,)=0,0,(VLOOKUP($D140,$C$5:$AU$501,4,)/VLOOKUP($D140,$C$5:$AU$501,3,))*$E140)</f>
        <v>504016.1357405649</v>
      </c>
      <c r="G140" s="66">
        <f>IF(VLOOKUP($D140,$C$5:$AU$501,3,)=0,0,(VLOOKUP($D140,$C$5:$AU$501,5,)/VLOOKUP($D140,$C$5:$AU$501,3,))*$E140)</f>
        <v>377.01458405178676</v>
      </c>
      <c r="H140" s="66">
        <f>IF(VLOOKUP($D140,$C$5:$AU$501,3,)=0,0,(VLOOKUP($D140,$C$5:$AU$501,6,)/VLOOKUP($D140,$C$5:$AU$501,3,))*$E140)</f>
        <v>85488.056933742628</v>
      </c>
      <c r="I140" s="66">
        <f>IF(VLOOKUP($D140,$C$5:$AU$501,3,)=0,0,(VLOOKUP($D140,$C$5:$AU$501,7,)/VLOOKUP($D140,$C$5:$AU$501,3,))*$E140)</f>
        <v>3.1417882004315554</v>
      </c>
      <c r="J140" s="66">
        <f>IF(VLOOKUP($D140,$C$5:$AU$501,3,)=0,0,(VLOOKUP($D140,$C$5:$AU$501,8,)/VLOOKUP($D140,$C$5:$AU$501,3,))*$E140)</f>
        <v>1612.784609554865</v>
      </c>
      <c r="K140" s="66">
        <f>IF(VLOOKUP($D140,$C$5:$AU$501,3,)=0,0,(VLOOKUP($D140,$C$5:$AU$501,9,)/VLOOKUP($D140,$C$5:$AU$501,3,))*$E140)</f>
        <v>0</v>
      </c>
      <c r="L140" s="66">
        <f>IF(VLOOKUP($D140,$C$5:$AU$501,3,)=0,0,(VLOOKUP($D140,$C$5:$AU$501,10,)/VLOOKUP($D140,$C$5:$AU$501,3,))*$E140)</f>
        <v>0</v>
      </c>
      <c r="M140" s="66">
        <f>IF(VLOOKUP($D140,$C$5:$AU$501,3,)=0,0,(VLOOKUP($D140,$C$5:$AU$501,11,)/VLOOKUP($D140,$C$5:$AU$501,3,))*$E140)</f>
        <v>10420.264198097992</v>
      </c>
      <c r="N140" s="66">
        <f>IF(VLOOKUP($D140,$C$5:$AU$501,3,)=0,0,(VLOOKUP($D140,$C$5:$AU$501,12,)/VLOOKUP($D140,$C$5:$AU$501,3,))*$E140)</f>
        <v>477.75432591405627</v>
      </c>
      <c r="O140" s="66">
        <f>IF(VLOOKUP($D140,$C$5:$AU$501,3,)=0,0,(VLOOKUP($D140,$C$5:$AU$501,13,)/VLOOKUP($D140,$C$5:$AU$501,3,))*$E140)</f>
        <v>0</v>
      </c>
      <c r="P140" s="66">
        <f>IF(VLOOKUP($D140,$C$5:$AU$501,3,)=0,0,(VLOOKUP($D140,$C$5:$AU$501,14,)/VLOOKUP($D140,$C$5:$AU$501,3,))*$E140)</f>
        <v>0</v>
      </c>
      <c r="Q140" s="66">
        <f>IF(VLOOKUP($D140,$C$5:$AU$501,3,)=0,0,(VLOOKUP($D140,$C$5:$AU$501,15,)/VLOOKUP($D140,$C$5:$AU$501,3,))*$E140)</f>
        <v>0</v>
      </c>
      <c r="R140" s="66">
        <f>IF(VLOOKUP($D140,$C$5:$AU$501,3,)=0,0,(VLOOKUP($D140,$C$5:$AU$501,16,)/VLOOKUP($D140,$C$5:$AU$501,3,))*$E140)</f>
        <v>0</v>
      </c>
      <c r="S140" s="66">
        <f>IF(VLOOKUP($D140,$C$5:$AU$501,3,)=0,0,(VLOOKUP($D140,$C$5:$AU$501,17,)/VLOOKUP($D140,$C$5:$AU$501,3,))*$E140)</f>
        <v>0</v>
      </c>
      <c r="T140" s="66">
        <f>IF(VLOOKUP($D140,$C$5:$AU$501,3,)=0,0,(VLOOKUP($D140,$C$5:$AU$501,18,)/VLOOKUP($D140,$C$5:$AU$501,3,))*$E140)</f>
        <v>0</v>
      </c>
      <c r="U140" s="66">
        <f>IF(VLOOKUP($D140,$C$5:$AU$501,3,)=0,0,(VLOOKUP($D140,$C$5:$AU$501,19,)/VLOOKUP($D140,$C$5:$AU$501,3,))*$E140)</f>
        <v>0</v>
      </c>
      <c r="V140" s="66">
        <f>IF(VLOOKUP($D140,$C$5:$AU$501,3,)=0,0,(VLOOKUP($D140,$C$5:$AU$501,20,)/VLOOKUP($D140,$C$5:$AU$501,3,))*$E140)</f>
        <v>0</v>
      </c>
      <c r="W140" s="66">
        <f>IF(VLOOKUP($D140,$C$5:$AU$501,3,)=0,0,(VLOOKUP($D140,$C$5:$AU$501,21,)/VLOOKUP($D140,$C$5:$AU$501,3,))*$E140)</f>
        <v>0</v>
      </c>
      <c r="X140" s="66">
        <f>IF(VLOOKUP($D140,$C$5:$AU$501,3,)=0,0,(VLOOKUP($D140,$C$5:$AU$501,22,)/VLOOKUP($D140,$C$5:$AU$501,3,))*$E140)</f>
        <v>0</v>
      </c>
      <c r="Y140" s="66">
        <f>IF(VLOOKUP($D140,$C$5:$AU$501,3,)=0,0,(VLOOKUP($D140,$C$5:$AU$501,23,)/VLOOKUP($D140,$C$5:$AU$501,3,))*$E140)</f>
        <v>0</v>
      </c>
      <c r="Z140" s="66">
        <f>IF(VLOOKUP($D140,$C$5:$AU$501,3,)=0,0,(VLOOKUP($D140,$C$5:$AU$501,24,)/VLOOKUP($D140,$C$5:$AU$501,3,))*$E140)</f>
        <v>0</v>
      </c>
      <c r="AA140" s="66">
        <f>IF(VLOOKUP($D140,$C$5:$AU$501,3,)=0,0,(VLOOKUP($D140,$C$5:$AU$501,25,)/VLOOKUP($D140,$C$5:$AU$501,3,))*$E140)</f>
        <v>0</v>
      </c>
      <c r="AB140" s="66">
        <f>IF(VLOOKUP($D140,$C$5:$AU$501,3,)=0,0,(VLOOKUP($D140,$C$5:$AU$501,26,)/VLOOKUP($D140,$C$5:$AU$501,3,))*$E140)</f>
        <v>0</v>
      </c>
      <c r="AC140" s="66">
        <f>IF(VLOOKUP($D140,$C$5:$AU$501,3,)=0,0,(VLOOKUP($D140,$C$5:$AU$501,27,)/VLOOKUP($D140,$C$5:$AU$501,3,))*$E140)</f>
        <v>0</v>
      </c>
      <c r="AD140" s="66">
        <f>IF(VLOOKUP($D140,$C$5:$AU$501,3,)=0,0,(VLOOKUP($D140,$C$5:$AU$501,28,)/VLOOKUP($D140,$C$5:$AU$501,3,))*$E140)</f>
        <v>0</v>
      </c>
      <c r="AE140" s="66">
        <f>IF(VLOOKUP($D140,$C$5:$AU$501,3,)=0,0,(VLOOKUP($D140,$C$5:$AU$501,29,)/VLOOKUP($D140,$C$5:$AU$501,3,))*$E140)</f>
        <v>0</v>
      </c>
      <c r="AF140" s="66">
        <f>IF(VLOOKUP($D140,$C$5:$AU$501,3,)=0,0,(VLOOKUP($D140,$C$5:$AU$501,30,)/VLOOKUP($D140,$C$5:$AU$501,3,))*$E140)</f>
        <v>0</v>
      </c>
      <c r="AG140" s="95">
        <f>SUM(F140:AF140)</f>
        <v>602395.15218012675</v>
      </c>
      <c r="AH140" s="31" t="str">
        <f>IF(ABS(E140-AG140)&lt;0.01,"ok","err")</f>
        <v>ok</v>
      </c>
    </row>
    <row r="141" spans="1:34" x14ac:dyDescent="0.2">
      <c r="A141" s="14" t="s">
        <v>228</v>
      </c>
      <c r="E141" s="66">
        <f t="shared" ref="E141:T141" si="29">E139+E140</f>
        <v>602395.15218012664</v>
      </c>
      <c r="F141" s="66">
        <f t="shared" si="29"/>
        <v>504016.1357405649</v>
      </c>
      <c r="G141" s="66">
        <f t="shared" si="29"/>
        <v>377.01458405178676</v>
      </c>
      <c r="H141" s="66">
        <f t="shared" si="29"/>
        <v>85488.056933742628</v>
      </c>
      <c r="I141" s="66">
        <f t="shared" si="29"/>
        <v>3.1417882004315554</v>
      </c>
      <c r="J141" s="66">
        <f t="shared" si="29"/>
        <v>1612.784609554865</v>
      </c>
      <c r="K141" s="66">
        <f t="shared" si="29"/>
        <v>0</v>
      </c>
      <c r="L141" s="66">
        <f t="shared" si="29"/>
        <v>0</v>
      </c>
      <c r="M141" s="66">
        <f t="shared" si="29"/>
        <v>10420.264198097992</v>
      </c>
      <c r="N141" s="66">
        <f t="shared" si="29"/>
        <v>477.75432591405627</v>
      </c>
      <c r="O141" s="66">
        <f t="shared" si="29"/>
        <v>0</v>
      </c>
      <c r="P141" s="66">
        <f t="shared" si="29"/>
        <v>0</v>
      </c>
      <c r="Q141" s="66">
        <f t="shared" si="29"/>
        <v>0</v>
      </c>
      <c r="R141" s="66">
        <f t="shared" si="29"/>
        <v>0</v>
      </c>
      <c r="S141" s="66">
        <f t="shared" si="29"/>
        <v>0</v>
      </c>
      <c r="T141" s="66">
        <f t="shared" si="29"/>
        <v>0</v>
      </c>
      <c r="U141" s="66">
        <f t="shared" ref="U141:AF141" si="30">U139+U140</f>
        <v>0</v>
      </c>
      <c r="V141" s="66">
        <f t="shared" si="30"/>
        <v>0</v>
      </c>
      <c r="W141" s="66">
        <f t="shared" si="30"/>
        <v>0</v>
      </c>
      <c r="X141" s="66">
        <f t="shared" si="30"/>
        <v>0</v>
      </c>
      <c r="Y141" s="66">
        <f t="shared" si="30"/>
        <v>0</v>
      </c>
      <c r="Z141" s="66">
        <f t="shared" si="30"/>
        <v>0</v>
      </c>
      <c r="AA141" s="66">
        <f t="shared" si="30"/>
        <v>0</v>
      </c>
      <c r="AB141" s="66">
        <f t="shared" si="30"/>
        <v>0</v>
      </c>
      <c r="AC141" s="66">
        <f t="shared" si="30"/>
        <v>0</v>
      </c>
      <c r="AD141" s="66">
        <f t="shared" si="30"/>
        <v>0</v>
      </c>
      <c r="AE141" s="66">
        <f t="shared" si="30"/>
        <v>0</v>
      </c>
      <c r="AF141" s="66">
        <f t="shared" si="30"/>
        <v>0</v>
      </c>
      <c r="AG141" s="95">
        <f>SUM(F141:AF141)</f>
        <v>602395.15218012675</v>
      </c>
      <c r="AH141" s="31" t="str">
        <f>IF(ABS(E141-AG141)&lt;0.01,"ok","err")</f>
        <v>ok</v>
      </c>
    </row>
    <row r="142" spans="1:34" x14ac:dyDescent="0.2">
      <c r="E142" s="50"/>
    </row>
    <row r="143" spans="1:34" x14ac:dyDescent="0.2">
      <c r="A143" s="13" t="s">
        <v>4</v>
      </c>
      <c r="E143" s="50"/>
    </row>
    <row r="144" spans="1:34" x14ac:dyDescent="0.2">
      <c r="A144" s="98" t="s">
        <v>221</v>
      </c>
      <c r="C144" s="14" t="s">
        <v>270</v>
      </c>
      <c r="D144" s="14" t="s">
        <v>230</v>
      </c>
      <c r="E144" s="66">
        <f>'Func &amp; Classif'!U285</f>
        <v>2329129.8881952008</v>
      </c>
      <c r="F144" s="66">
        <f>IF(VLOOKUP($D144,$C$5:$AU$501,3,)=0,0,(VLOOKUP($D144,$C$5:$AU$501,4,)/VLOOKUP($D144,$C$5:$AU$501,3,))*$E144)</f>
        <v>1976365.2721875783</v>
      </c>
      <c r="G144" s="66">
        <f>IF(VLOOKUP($D144,$C$5:$AU$501,3,)=0,0,(VLOOKUP($D144,$C$5:$AU$501,5,)/VLOOKUP($D144,$C$5:$AU$501,3,))*$E144)</f>
        <v>14783.624534825114</v>
      </c>
      <c r="H144" s="66">
        <f>IF(VLOOKUP($D144,$C$5:$AU$501,3,)=0,0,(VLOOKUP($D144,$C$5:$AU$501,6,)/VLOOKUP($D144,$C$5:$AU$501,3,))*$E144)</f>
        <v>249278.61354670898</v>
      </c>
      <c r="I144" s="66">
        <f>IF(VLOOKUP($D144,$C$5:$AU$501,3,)=0,0,(VLOOKUP($D144,$C$5:$AU$501,7,)/VLOOKUP($D144,$C$5:$AU$501,3,))*$E144)</f>
        <v>206.12895276739994</v>
      </c>
      <c r="J144" s="66">
        <f>IF(VLOOKUP($D144,$C$5:$AU$501,3,)=0,0,(VLOOKUP($D144,$C$5:$AU$501,8,)/VLOOKUP($D144,$C$5:$AU$501,3,))*$E144)</f>
        <v>17004.005639729021</v>
      </c>
      <c r="K144" s="66">
        <f>IF(VLOOKUP($D144,$C$5:$AU$501,3,)=0,0,(VLOOKUP($D144,$C$5:$AU$501,9,)/VLOOKUP($D144,$C$5:$AU$501,3,))*$E144)</f>
        <v>883.32496829761158</v>
      </c>
      <c r="L144" s="66">
        <f>IF(VLOOKUP($D144,$C$5:$AU$501,3,)=0,0,(VLOOKUP($D144,$C$5:$AU$501,10,)/VLOOKUP($D144,$C$5:$AU$501,3,))*$E144)</f>
        <v>662.49372622320868</v>
      </c>
      <c r="M144" s="66">
        <f>IF(VLOOKUP($D144,$C$5:$AU$501,3,)=0,0,(VLOOKUP($D144,$C$5:$AU$501,11,)/VLOOKUP($D144,$C$5:$AU$501,3,))*$E144)</f>
        <v>68366.102667854313</v>
      </c>
      <c r="N144" s="66">
        <f>IF(VLOOKUP($D144,$C$5:$AU$501,3,)=0,0,(VLOOKUP($D144,$C$5:$AU$501,12,)/VLOOKUP($D144,$C$5:$AU$501,3,))*$E144)</f>
        <v>1580.3219712167331</v>
      </c>
      <c r="O144" s="66">
        <f>IF(VLOOKUP($D144,$C$5:$AU$501,3,)=0,0,(VLOOKUP($D144,$C$5:$AU$501,13,)/VLOOKUP($D144,$C$5:$AU$501,3,))*$E144)</f>
        <v>0</v>
      </c>
      <c r="P144" s="66">
        <f>IF(VLOOKUP($D144,$C$5:$AU$501,3,)=0,0,(VLOOKUP($D144,$C$5:$AU$501,14,)/VLOOKUP($D144,$C$5:$AU$501,3,))*$E144)</f>
        <v>0</v>
      </c>
      <c r="Q144" s="66">
        <f>IF(VLOOKUP($D144,$C$5:$AU$501,3,)=0,0,(VLOOKUP($D144,$C$5:$AU$501,15,)/VLOOKUP($D144,$C$5:$AU$501,3,))*$E144)</f>
        <v>0</v>
      </c>
      <c r="R144" s="66">
        <f>IF(VLOOKUP($D144,$C$5:$AU$501,3,)=0,0,(VLOOKUP($D144,$C$5:$AU$501,16,)/VLOOKUP($D144,$C$5:$AU$501,3,))*$E144)</f>
        <v>0</v>
      </c>
      <c r="S144" s="66">
        <f>IF(VLOOKUP($D144,$C$5:$AU$501,3,)=0,0,(VLOOKUP($D144,$C$5:$AU$501,17,)/VLOOKUP($D144,$C$5:$AU$501,3,))*$E144)</f>
        <v>0</v>
      </c>
      <c r="T144" s="66">
        <f>IF(VLOOKUP($D144,$C$5:$AU$501,3,)=0,0,(VLOOKUP($D144,$C$5:$AU$501,18,)/VLOOKUP($D144,$C$5:$AU$501,3,))*$E144)</f>
        <v>0</v>
      </c>
      <c r="U144" s="66">
        <f>IF(VLOOKUP($D144,$C$5:$AU$501,3,)=0,0,(VLOOKUP($D144,$C$5:$AU$501,19,)/VLOOKUP($D144,$C$5:$AU$501,3,))*$E144)</f>
        <v>0</v>
      </c>
      <c r="V144" s="66">
        <f>IF(VLOOKUP($D144,$C$5:$AU$501,3,)=0,0,(VLOOKUP($D144,$C$5:$AU$501,20,)/VLOOKUP($D144,$C$5:$AU$501,3,))*$E144)</f>
        <v>0</v>
      </c>
      <c r="W144" s="66">
        <f>IF(VLOOKUP($D144,$C$5:$AU$501,3,)=0,0,(VLOOKUP($D144,$C$5:$AU$501,21,)/VLOOKUP($D144,$C$5:$AU$501,3,))*$E144)</f>
        <v>0</v>
      </c>
      <c r="X144" s="66">
        <f>IF(VLOOKUP($D144,$C$5:$AU$501,3,)=0,0,(VLOOKUP($D144,$C$5:$AU$501,22,)/VLOOKUP($D144,$C$5:$AU$501,3,))*$E144)</f>
        <v>0</v>
      </c>
      <c r="Y144" s="66">
        <f>IF(VLOOKUP($D144,$C$5:$AU$501,3,)=0,0,(VLOOKUP($D144,$C$5:$AU$501,23,)/VLOOKUP($D144,$C$5:$AU$501,3,))*$E144)</f>
        <v>0</v>
      </c>
      <c r="Z144" s="66">
        <f>IF(VLOOKUP($D144,$C$5:$AU$501,3,)=0,0,(VLOOKUP($D144,$C$5:$AU$501,24,)/VLOOKUP($D144,$C$5:$AU$501,3,))*$E144)</f>
        <v>0</v>
      </c>
      <c r="AA144" s="66">
        <f>IF(VLOOKUP($D144,$C$5:$AU$501,3,)=0,0,(VLOOKUP($D144,$C$5:$AU$501,25,)/VLOOKUP($D144,$C$5:$AU$501,3,))*$E144)</f>
        <v>0</v>
      </c>
      <c r="AB144" s="66">
        <f>IF(VLOOKUP($D144,$C$5:$AU$501,3,)=0,0,(VLOOKUP($D144,$C$5:$AU$501,26,)/VLOOKUP($D144,$C$5:$AU$501,3,))*$E144)</f>
        <v>0</v>
      </c>
      <c r="AC144" s="66">
        <f>IF(VLOOKUP($D144,$C$5:$AU$501,3,)=0,0,(VLOOKUP($D144,$C$5:$AU$501,27,)/VLOOKUP($D144,$C$5:$AU$501,3,))*$E144)</f>
        <v>0</v>
      </c>
      <c r="AD144" s="66">
        <f>IF(VLOOKUP($D144,$C$5:$AU$501,3,)=0,0,(VLOOKUP($D144,$C$5:$AU$501,28,)/VLOOKUP($D144,$C$5:$AU$501,3,))*$E144)</f>
        <v>0</v>
      </c>
      <c r="AE144" s="66">
        <f>IF(VLOOKUP($D144,$C$5:$AU$501,3,)=0,0,(VLOOKUP($D144,$C$5:$AU$501,29,)/VLOOKUP($D144,$C$5:$AU$501,3,))*$E144)</f>
        <v>0</v>
      </c>
      <c r="AF144" s="66">
        <f>IF(VLOOKUP($D144,$C$5:$AU$501,3,)=0,0,(VLOOKUP($D144,$C$5:$AU$501,30,)/VLOOKUP($D144,$C$5:$AU$501,3,))*$E144)</f>
        <v>0</v>
      </c>
      <c r="AG144" s="95">
        <f>SUM(F144:AF144)</f>
        <v>2329129.8881952004</v>
      </c>
      <c r="AH144" s="31" t="str">
        <f>IF(ABS(E144-AG144)&lt;0.01,"ok","err")</f>
        <v>ok</v>
      </c>
    </row>
    <row r="145" spans="1:34" x14ac:dyDescent="0.2">
      <c r="E145" s="50"/>
    </row>
    <row r="146" spans="1:34" x14ac:dyDescent="0.2">
      <c r="A146" s="13" t="s">
        <v>5</v>
      </c>
      <c r="E146" s="50"/>
    </row>
    <row r="147" spans="1:34" x14ac:dyDescent="0.2">
      <c r="A147" s="98" t="s">
        <v>221</v>
      </c>
      <c r="C147" s="14" t="s">
        <v>271</v>
      </c>
      <c r="D147" s="14" t="s">
        <v>232</v>
      </c>
      <c r="E147" s="66">
        <f>'Func &amp; Classif'!W285</f>
        <v>125798.93315281389</v>
      </c>
      <c r="F147" s="66">
        <f>IF(VLOOKUP($D147,$C$5:$AU$501,3,)=0,0,(VLOOKUP($D147,$C$5:$AU$501,4,)/VLOOKUP($D147,$C$5:$AU$501,3,))*$E147)</f>
        <v>0</v>
      </c>
      <c r="G147" s="66">
        <f>IF(VLOOKUP($D147,$C$5:$AU$501,3,)=0,0,(VLOOKUP($D147,$C$5:$AU$501,5,)/VLOOKUP($D147,$C$5:$AU$501,3,))*$E147)</f>
        <v>0</v>
      </c>
      <c r="H147" s="66">
        <f>IF(VLOOKUP($D147,$C$5:$AU$501,3,)=0,0,(VLOOKUP($D147,$C$5:$AU$501,6,)/VLOOKUP($D147,$C$5:$AU$501,3,))*$E147)</f>
        <v>0</v>
      </c>
      <c r="I147" s="66">
        <f>IF(VLOOKUP($D147,$C$5:$AU$501,3,)=0,0,(VLOOKUP($D147,$C$5:$AU$501,7,)/VLOOKUP($D147,$C$5:$AU$501,3,))*$E147)</f>
        <v>0</v>
      </c>
      <c r="J147" s="66">
        <f>IF(VLOOKUP($D147,$C$5:$AU$501,3,)=0,0,(VLOOKUP($D147,$C$5:$AU$501,8,)/VLOOKUP($D147,$C$5:$AU$501,3,))*$E147)</f>
        <v>0</v>
      </c>
      <c r="K147" s="66">
        <f>IF(VLOOKUP($D147,$C$5:$AU$501,3,)=0,0,(VLOOKUP($D147,$C$5:$AU$501,9,)/VLOOKUP($D147,$C$5:$AU$501,3,))*$E147)</f>
        <v>0</v>
      </c>
      <c r="L147" s="66">
        <f>IF(VLOOKUP($D147,$C$5:$AU$501,3,)=0,0,(VLOOKUP($D147,$C$5:$AU$501,10,)/VLOOKUP($D147,$C$5:$AU$501,3,))*$E147)</f>
        <v>0</v>
      </c>
      <c r="M147" s="66">
        <f>IF(VLOOKUP($D147,$C$5:$AU$501,3,)=0,0,(VLOOKUP($D147,$C$5:$AU$501,11,)/VLOOKUP($D147,$C$5:$AU$501,3,))*$E147)</f>
        <v>0</v>
      </c>
      <c r="N147" s="66">
        <f>IF(VLOOKUP($D147,$C$5:$AU$501,3,)=0,0,(VLOOKUP($D147,$C$5:$AU$501,12,)/VLOOKUP($D147,$C$5:$AU$501,3,))*$E147)</f>
        <v>0</v>
      </c>
      <c r="O147" s="66">
        <f>IF(VLOOKUP($D147,$C$5:$AU$501,3,)=0,0,(VLOOKUP($D147,$C$5:$AU$501,13,)/VLOOKUP($D147,$C$5:$AU$501,3,))*$E147)</f>
        <v>125798.93315281389</v>
      </c>
      <c r="P147" s="66">
        <f>IF(VLOOKUP($D147,$C$5:$AU$501,3,)=0,0,(VLOOKUP($D147,$C$5:$AU$501,14,)/VLOOKUP($D147,$C$5:$AU$501,3,))*$E147)</f>
        <v>0</v>
      </c>
      <c r="Q147" s="66">
        <f>IF(VLOOKUP($D147,$C$5:$AU$501,3,)=0,0,(VLOOKUP($D147,$C$5:$AU$501,15,)/VLOOKUP($D147,$C$5:$AU$501,3,))*$E147)</f>
        <v>0</v>
      </c>
      <c r="R147" s="66">
        <f>IF(VLOOKUP($D147,$C$5:$AU$501,3,)=0,0,(VLOOKUP($D147,$C$5:$AU$501,16,)/VLOOKUP($D147,$C$5:$AU$501,3,))*$E147)</f>
        <v>0</v>
      </c>
      <c r="S147" s="66">
        <f>IF(VLOOKUP($D147,$C$5:$AU$501,3,)=0,0,(VLOOKUP($D147,$C$5:$AU$501,17,)/VLOOKUP($D147,$C$5:$AU$501,3,))*$E147)</f>
        <v>0</v>
      </c>
      <c r="T147" s="66">
        <f>IF(VLOOKUP($D147,$C$5:$AU$501,3,)=0,0,(VLOOKUP($D147,$C$5:$AU$501,18,)/VLOOKUP($D147,$C$5:$AU$501,3,))*$E147)</f>
        <v>0</v>
      </c>
      <c r="U147" s="66">
        <f>IF(VLOOKUP($D147,$C$5:$AU$501,3,)=0,0,(VLOOKUP($D147,$C$5:$AU$501,19,)/VLOOKUP($D147,$C$5:$AU$501,3,))*$E147)</f>
        <v>0</v>
      </c>
      <c r="V147" s="66">
        <f>IF(VLOOKUP($D147,$C$5:$AU$501,3,)=0,0,(VLOOKUP($D147,$C$5:$AU$501,20,)/VLOOKUP($D147,$C$5:$AU$501,3,))*$E147)</f>
        <v>0</v>
      </c>
      <c r="W147" s="66">
        <f>IF(VLOOKUP($D147,$C$5:$AU$501,3,)=0,0,(VLOOKUP($D147,$C$5:$AU$501,21,)/VLOOKUP($D147,$C$5:$AU$501,3,))*$E147)</f>
        <v>0</v>
      </c>
      <c r="X147" s="66">
        <f>IF(VLOOKUP($D147,$C$5:$AU$501,3,)=0,0,(VLOOKUP($D147,$C$5:$AU$501,22,)/VLOOKUP($D147,$C$5:$AU$501,3,))*$E147)</f>
        <v>0</v>
      </c>
      <c r="Y147" s="66">
        <f>IF(VLOOKUP($D147,$C$5:$AU$501,3,)=0,0,(VLOOKUP($D147,$C$5:$AU$501,23,)/VLOOKUP($D147,$C$5:$AU$501,3,))*$E147)</f>
        <v>0</v>
      </c>
      <c r="Z147" s="66">
        <f>IF(VLOOKUP($D147,$C$5:$AU$501,3,)=0,0,(VLOOKUP($D147,$C$5:$AU$501,24,)/VLOOKUP($D147,$C$5:$AU$501,3,))*$E147)</f>
        <v>0</v>
      </c>
      <c r="AA147" s="66">
        <f>IF(VLOOKUP($D147,$C$5:$AU$501,3,)=0,0,(VLOOKUP($D147,$C$5:$AU$501,25,)/VLOOKUP($D147,$C$5:$AU$501,3,))*$E147)</f>
        <v>0</v>
      </c>
      <c r="AB147" s="66">
        <f>IF(VLOOKUP($D147,$C$5:$AU$501,3,)=0,0,(VLOOKUP($D147,$C$5:$AU$501,26,)/VLOOKUP($D147,$C$5:$AU$501,3,))*$E147)</f>
        <v>0</v>
      </c>
      <c r="AC147" s="66">
        <f>IF(VLOOKUP($D147,$C$5:$AU$501,3,)=0,0,(VLOOKUP($D147,$C$5:$AU$501,27,)/VLOOKUP($D147,$C$5:$AU$501,3,))*$E147)</f>
        <v>0</v>
      </c>
      <c r="AD147" s="66">
        <f>IF(VLOOKUP($D147,$C$5:$AU$501,3,)=0,0,(VLOOKUP($D147,$C$5:$AU$501,28,)/VLOOKUP($D147,$C$5:$AU$501,3,))*$E147)</f>
        <v>0</v>
      </c>
      <c r="AE147" s="66">
        <f>IF(VLOOKUP($D147,$C$5:$AU$501,3,)=0,0,(VLOOKUP($D147,$C$5:$AU$501,29,)/VLOOKUP($D147,$C$5:$AU$501,3,))*$E147)</f>
        <v>0</v>
      </c>
      <c r="AF147" s="66">
        <f>IF(VLOOKUP($D147,$C$5:$AU$501,3,)=0,0,(VLOOKUP($D147,$C$5:$AU$501,30,)/VLOOKUP($D147,$C$5:$AU$501,3,))*$E147)</f>
        <v>0</v>
      </c>
      <c r="AG147" s="95">
        <f>SUM(F147:AF147)</f>
        <v>125798.93315281389</v>
      </c>
      <c r="AH147" s="31" t="str">
        <f>IF(ABS(E147-AG147)&lt;0.01,"ok","err")</f>
        <v>ok</v>
      </c>
    </row>
    <row r="148" spans="1:34" x14ac:dyDescent="0.2">
      <c r="E148" s="50"/>
    </row>
    <row r="149" spans="1:34" x14ac:dyDescent="0.2">
      <c r="A149" s="13" t="s">
        <v>545</v>
      </c>
      <c r="E149" s="50"/>
    </row>
    <row r="150" spans="1:34" x14ac:dyDescent="0.2">
      <c r="A150" s="98" t="s">
        <v>221</v>
      </c>
      <c r="C150" s="14" t="s">
        <v>272</v>
      </c>
      <c r="D150" s="14" t="s">
        <v>234</v>
      </c>
      <c r="E150" s="66">
        <f>'Func &amp; Classif'!Y285</f>
        <v>4647943.7601012383</v>
      </c>
      <c r="F150" s="66">
        <f>IF(VLOOKUP($D150,$C$5:$AU$501,3,)=0,0,(VLOOKUP($D150,$C$5:$AU$501,4,)/VLOOKUP($D150,$C$5:$AU$501,3,))*$E150)</f>
        <v>4225299.6607996123</v>
      </c>
      <c r="G150" s="66">
        <f>IF(VLOOKUP($D150,$C$5:$AU$501,3,)=0,0,(VLOOKUP($D150,$C$5:$AU$501,5,)/VLOOKUP($D150,$C$5:$AU$501,3,))*$E150)</f>
        <v>0</v>
      </c>
      <c r="H150" s="66">
        <f>IF(VLOOKUP($D150,$C$5:$AU$501,3,)=0,0,(VLOOKUP($D150,$C$5:$AU$501,6,)/VLOOKUP($D150,$C$5:$AU$501,3,))*$E150)</f>
        <v>318519.48322939296</v>
      </c>
      <c r="I150" s="66">
        <f>IF(VLOOKUP($D150,$C$5:$AU$501,3,)=0,0,(VLOOKUP($D150,$C$5:$AU$501,7,)/VLOOKUP($D150,$C$5:$AU$501,3,))*$E150)</f>
        <v>0</v>
      </c>
      <c r="J150" s="66">
        <f>IF(VLOOKUP($D150,$C$5:$AU$501,3,)=0,0,(VLOOKUP($D150,$C$5:$AU$501,8,)/VLOOKUP($D150,$C$5:$AU$501,3,))*$E150)</f>
        <v>13520.39702792903</v>
      </c>
      <c r="K150" s="66">
        <f>IF(VLOOKUP($D150,$C$5:$AU$501,3,)=0,0,(VLOOKUP($D150,$C$5:$AU$501,9,)/VLOOKUP($D150,$C$5:$AU$501,3,))*$E150)</f>
        <v>702.35828716514436</v>
      </c>
      <c r="L150" s="66">
        <f>IF(VLOOKUP($D150,$C$5:$AU$501,3,)=0,0,(VLOOKUP($D150,$C$5:$AU$501,10,)/VLOOKUP($D150,$C$5:$AU$501,3,))*$E150)</f>
        <v>526.76871537385819</v>
      </c>
      <c r="M150" s="66">
        <f>IF(VLOOKUP($D150,$C$5:$AU$501,3,)=0,0,(VLOOKUP($D150,$C$5:$AU$501,11,)/VLOOKUP($D150,$C$5:$AU$501,3,))*$E150)</f>
        <v>87355.811966164823</v>
      </c>
      <c r="N150" s="66">
        <f>IF(VLOOKUP($D150,$C$5:$AU$501,3,)=0,0,(VLOOKUP($D150,$C$5:$AU$501,12,)/VLOOKUP($D150,$C$5:$AU$501,3,))*$E150)</f>
        <v>2019.2800755997898</v>
      </c>
      <c r="O150" s="66">
        <f>IF(VLOOKUP($D150,$C$5:$AU$501,3,)=0,0,(VLOOKUP($D150,$C$5:$AU$501,13,)/VLOOKUP($D150,$C$5:$AU$501,3,))*$E150)</f>
        <v>0</v>
      </c>
      <c r="P150" s="66">
        <f>IF(VLOOKUP($D150,$C$5:$AU$501,3,)=0,0,(VLOOKUP($D150,$C$5:$AU$501,14,)/VLOOKUP($D150,$C$5:$AU$501,3,))*$E150)</f>
        <v>0</v>
      </c>
      <c r="Q150" s="66">
        <f>IF(VLOOKUP($D150,$C$5:$AU$501,3,)=0,0,(VLOOKUP($D150,$C$5:$AU$501,15,)/VLOOKUP($D150,$C$5:$AU$501,3,))*$E150)</f>
        <v>0</v>
      </c>
      <c r="R150" s="66">
        <f>IF(VLOOKUP($D150,$C$5:$AU$501,3,)=0,0,(VLOOKUP($D150,$C$5:$AU$501,16,)/VLOOKUP($D150,$C$5:$AU$501,3,))*$E150)</f>
        <v>0</v>
      </c>
      <c r="S150" s="66">
        <f>IF(VLOOKUP($D150,$C$5:$AU$501,3,)=0,0,(VLOOKUP($D150,$C$5:$AU$501,17,)/VLOOKUP($D150,$C$5:$AU$501,3,))*$E150)</f>
        <v>0</v>
      </c>
      <c r="T150" s="66">
        <f>IF(VLOOKUP($D150,$C$5:$AU$501,3,)=0,0,(VLOOKUP($D150,$C$5:$AU$501,18,)/VLOOKUP($D150,$C$5:$AU$501,3,))*$E150)</f>
        <v>0</v>
      </c>
      <c r="U150" s="66">
        <f>IF(VLOOKUP($D150,$C$5:$AU$501,3,)=0,0,(VLOOKUP($D150,$C$5:$AU$501,19,)/VLOOKUP($D150,$C$5:$AU$501,3,))*$E150)</f>
        <v>0</v>
      </c>
      <c r="V150" s="66">
        <f>IF(VLOOKUP($D150,$C$5:$AU$501,3,)=0,0,(VLOOKUP($D150,$C$5:$AU$501,20,)/VLOOKUP($D150,$C$5:$AU$501,3,))*$E150)</f>
        <v>0</v>
      </c>
      <c r="W150" s="66">
        <f>IF(VLOOKUP($D150,$C$5:$AU$501,3,)=0,0,(VLOOKUP($D150,$C$5:$AU$501,21,)/VLOOKUP($D150,$C$5:$AU$501,3,))*$E150)</f>
        <v>0</v>
      </c>
      <c r="X150" s="66">
        <f>IF(VLOOKUP($D150,$C$5:$AU$501,3,)=0,0,(VLOOKUP($D150,$C$5:$AU$501,22,)/VLOOKUP($D150,$C$5:$AU$501,3,))*$E150)</f>
        <v>0</v>
      </c>
      <c r="Y150" s="66">
        <f>IF(VLOOKUP($D150,$C$5:$AU$501,3,)=0,0,(VLOOKUP($D150,$C$5:$AU$501,23,)/VLOOKUP($D150,$C$5:$AU$501,3,))*$E150)</f>
        <v>0</v>
      </c>
      <c r="Z150" s="66">
        <f>IF(VLOOKUP($D150,$C$5:$AU$501,3,)=0,0,(VLOOKUP($D150,$C$5:$AU$501,24,)/VLOOKUP($D150,$C$5:$AU$501,3,))*$E150)</f>
        <v>0</v>
      </c>
      <c r="AA150" s="66">
        <f>IF(VLOOKUP($D150,$C$5:$AU$501,3,)=0,0,(VLOOKUP($D150,$C$5:$AU$501,25,)/VLOOKUP($D150,$C$5:$AU$501,3,))*$E150)</f>
        <v>0</v>
      </c>
      <c r="AB150" s="66">
        <f>IF(VLOOKUP($D150,$C$5:$AU$501,3,)=0,0,(VLOOKUP($D150,$C$5:$AU$501,26,)/VLOOKUP($D150,$C$5:$AU$501,3,))*$E150)</f>
        <v>0</v>
      </c>
      <c r="AC150" s="66">
        <f>IF(VLOOKUP($D150,$C$5:$AU$501,3,)=0,0,(VLOOKUP($D150,$C$5:$AU$501,27,)/VLOOKUP($D150,$C$5:$AU$501,3,))*$E150)</f>
        <v>0</v>
      </c>
      <c r="AD150" s="66">
        <f>IF(VLOOKUP($D150,$C$5:$AU$501,3,)=0,0,(VLOOKUP($D150,$C$5:$AU$501,28,)/VLOOKUP($D150,$C$5:$AU$501,3,))*$E150)</f>
        <v>0</v>
      </c>
      <c r="AE150" s="66">
        <f>IF(VLOOKUP($D150,$C$5:$AU$501,3,)=0,0,(VLOOKUP($D150,$C$5:$AU$501,29,)/VLOOKUP($D150,$C$5:$AU$501,3,))*$E150)</f>
        <v>0</v>
      </c>
      <c r="AF150" s="66">
        <f>IF(VLOOKUP($D150,$C$5:$AU$501,3,)=0,0,(VLOOKUP($D150,$C$5:$AU$501,30,)/VLOOKUP($D150,$C$5:$AU$501,3,))*$E150)</f>
        <v>0</v>
      </c>
      <c r="AG150" s="95">
        <f>SUM(F150:AF150)</f>
        <v>4647943.7601012383</v>
      </c>
      <c r="AH150" s="31" t="str">
        <f>IF(ABS(E150-AG150)&lt;0.01,"ok","err")</f>
        <v>ok</v>
      </c>
    </row>
    <row r="151" spans="1:34" x14ac:dyDescent="0.2">
      <c r="E151" s="50"/>
    </row>
    <row r="152" spans="1:34" x14ac:dyDescent="0.2">
      <c r="A152" s="13" t="s">
        <v>470</v>
      </c>
      <c r="E152" s="50"/>
    </row>
    <row r="153" spans="1:34" x14ac:dyDescent="0.2">
      <c r="A153" s="98" t="s">
        <v>221</v>
      </c>
      <c r="C153" s="14" t="s">
        <v>269</v>
      </c>
      <c r="D153" s="14" t="s">
        <v>235</v>
      </c>
      <c r="E153" s="66">
        <f>'Func &amp; Classif'!AA285</f>
        <v>68979.211863543314</v>
      </c>
      <c r="F153" s="66">
        <f>IF(VLOOKUP($D153,$C$5:$AU$501,3,)=0,0,(VLOOKUP($D153,$C$5:$AU$501,4,)/VLOOKUP($D153,$C$5:$AU$501,3,))*$E153)</f>
        <v>62706.834577298294</v>
      </c>
      <c r="G153" s="66">
        <f>IF(VLOOKUP($D153,$C$5:$AU$501,3,)=0,0,(VLOOKUP($D153,$C$5:$AU$501,5,)/VLOOKUP($D153,$C$5:$AU$501,3,))*$E153)</f>
        <v>0</v>
      </c>
      <c r="H153" s="66">
        <f>IF(VLOOKUP($D153,$C$5:$AU$501,3,)=0,0,(VLOOKUP($D153,$C$5:$AU$501,6,)/VLOOKUP($D153,$C$5:$AU$501,3,))*$E153)</f>
        <v>4727.0845023882275</v>
      </c>
      <c r="I153" s="66">
        <f>IF(VLOOKUP($D153,$C$5:$AU$501,3,)=0,0,(VLOOKUP($D153,$C$5:$AU$501,7,)/VLOOKUP($D153,$C$5:$AU$501,3,))*$E153)</f>
        <v>0</v>
      </c>
      <c r="J153" s="66">
        <f>IF(VLOOKUP($D153,$C$5:$AU$501,3,)=0,0,(VLOOKUP($D153,$C$5:$AU$501,8,)/VLOOKUP($D153,$C$5:$AU$501,3,))*$E153)</f>
        <v>200.65353179927979</v>
      </c>
      <c r="K153" s="66">
        <f>IF(VLOOKUP($D153,$C$5:$AU$501,3,)=0,0,(VLOOKUP($D153,$C$5:$AU$501,9,)/VLOOKUP($D153,$C$5:$AU$501,3,))*$E153)</f>
        <v>10.423560093469078</v>
      </c>
      <c r="L153" s="66">
        <f>IF(VLOOKUP($D153,$C$5:$AU$501,3,)=0,0,(VLOOKUP($D153,$C$5:$AU$501,10,)/VLOOKUP($D153,$C$5:$AU$501,3,))*$E153)</f>
        <v>7.8176700701018094</v>
      </c>
      <c r="M153" s="66">
        <f>IF(VLOOKUP($D153,$C$5:$AU$501,3,)=0,0,(VLOOKUP($D153,$C$5:$AU$501,11,)/VLOOKUP($D153,$C$5:$AU$501,3,))*$E153)</f>
        <v>1296.4302866252167</v>
      </c>
      <c r="N153" s="66">
        <f>IF(VLOOKUP($D153,$C$5:$AU$501,3,)=0,0,(VLOOKUP($D153,$C$5:$AU$501,12,)/VLOOKUP($D153,$C$5:$AU$501,3,))*$E153)</f>
        <v>29.967735268723601</v>
      </c>
      <c r="O153" s="66">
        <f>IF(VLOOKUP($D153,$C$5:$AU$501,3,)=0,0,(VLOOKUP($D153,$C$5:$AU$501,13,)/VLOOKUP($D153,$C$5:$AU$501,3,))*$E153)</f>
        <v>0</v>
      </c>
      <c r="P153" s="66">
        <f>IF(VLOOKUP($D153,$C$5:$AU$501,3,)=0,0,(VLOOKUP($D153,$C$5:$AU$501,14,)/VLOOKUP($D153,$C$5:$AU$501,3,))*$E153)</f>
        <v>0</v>
      </c>
      <c r="Q153" s="66">
        <f>IF(VLOOKUP($D153,$C$5:$AU$501,3,)=0,0,(VLOOKUP($D153,$C$5:$AU$501,15,)/VLOOKUP($D153,$C$5:$AU$501,3,))*$E153)</f>
        <v>0</v>
      </c>
      <c r="R153" s="66">
        <f>IF(VLOOKUP($D153,$C$5:$AU$501,3,)=0,0,(VLOOKUP($D153,$C$5:$AU$501,16,)/VLOOKUP($D153,$C$5:$AU$501,3,))*$E153)</f>
        <v>0</v>
      </c>
      <c r="S153" s="66">
        <f>IF(VLOOKUP($D153,$C$5:$AU$501,3,)=0,0,(VLOOKUP($D153,$C$5:$AU$501,17,)/VLOOKUP($D153,$C$5:$AU$501,3,))*$E153)</f>
        <v>0</v>
      </c>
      <c r="T153" s="66">
        <f>IF(VLOOKUP($D153,$C$5:$AU$501,3,)=0,0,(VLOOKUP($D153,$C$5:$AU$501,18,)/VLOOKUP($D153,$C$5:$AU$501,3,))*$E153)</f>
        <v>0</v>
      </c>
      <c r="U153" s="66">
        <f>IF(VLOOKUP($D153,$C$5:$AU$501,3,)=0,0,(VLOOKUP($D153,$C$5:$AU$501,19,)/VLOOKUP($D153,$C$5:$AU$501,3,))*$E153)</f>
        <v>0</v>
      </c>
      <c r="V153" s="66">
        <f>IF(VLOOKUP($D153,$C$5:$AU$501,3,)=0,0,(VLOOKUP($D153,$C$5:$AU$501,20,)/VLOOKUP($D153,$C$5:$AU$501,3,))*$E153)</f>
        <v>0</v>
      </c>
      <c r="W153" s="66">
        <f>IF(VLOOKUP($D153,$C$5:$AU$501,3,)=0,0,(VLOOKUP($D153,$C$5:$AU$501,21,)/VLOOKUP($D153,$C$5:$AU$501,3,))*$E153)</f>
        <v>0</v>
      </c>
      <c r="X153" s="66">
        <f>IF(VLOOKUP($D153,$C$5:$AU$501,3,)=0,0,(VLOOKUP($D153,$C$5:$AU$501,22,)/VLOOKUP($D153,$C$5:$AU$501,3,))*$E153)</f>
        <v>0</v>
      </c>
      <c r="Y153" s="66">
        <f>IF(VLOOKUP($D153,$C$5:$AU$501,3,)=0,0,(VLOOKUP($D153,$C$5:$AU$501,23,)/VLOOKUP($D153,$C$5:$AU$501,3,))*$E153)</f>
        <v>0</v>
      </c>
      <c r="Z153" s="66">
        <f>IF(VLOOKUP($D153,$C$5:$AU$501,3,)=0,0,(VLOOKUP($D153,$C$5:$AU$501,24,)/VLOOKUP($D153,$C$5:$AU$501,3,))*$E153)</f>
        <v>0</v>
      </c>
      <c r="AA153" s="66">
        <f>IF(VLOOKUP($D153,$C$5:$AU$501,3,)=0,0,(VLOOKUP($D153,$C$5:$AU$501,25,)/VLOOKUP($D153,$C$5:$AU$501,3,))*$E153)</f>
        <v>0</v>
      </c>
      <c r="AB153" s="66">
        <f>IF(VLOOKUP($D153,$C$5:$AU$501,3,)=0,0,(VLOOKUP($D153,$C$5:$AU$501,26,)/VLOOKUP($D153,$C$5:$AU$501,3,))*$E153)</f>
        <v>0</v>
      </c>
      <c r="AC153" s="66">
        <f>IF(VLOOKUP($D153,$C$5:$AU$501,3,)=0,0,(VLOOKUP($D153,$C$5:$AU$501,27,)/VLOOKUP($D153,$C$5:$AU$501,3,))*$E153)</f>
        <v>0</v>
      </c>
      <c r="AD153" s="66">
        <f>IF(VLOOKUP($D153,$C$5:$AU$501,3,)=0,0,(VLOOKUP($D153,$C$5:$AU$501,28,)/VLOOKUP($D153,$C$5:$AU$501,3,))*$E153)</f>
        <v>0</v>
      </c>
      <c r="AE153" s="66">
        <f>IF(VLOOKUP($D153,$C$5:$AU$501,3,)=0,0,(VLOOKUP($D153,$C$5:$AU$501,29,)/VLOOKUP($D153,$C$5:$AU$501,3,))*$E153)</f>
        <v>0</v>
      </c>
      <c r="AF153" s="66">
        <f>IF(VLOOKUP($D153,$C$5:$AU$501,3,)=0,0,(VLOOKUP($D153,$C$5:$AU$501,30,)/VLOOKUP($D153,$C$5:$AU$501,3,))*$E153)</f>
        <v>0</v>
      </c>
      <c r="AG153" s="95">
        <f>SUM(F153:AF153)</f>
        <v>68979.2118635433</v>
      </c>
      <c r="AH153" s="31" t="str">
        <f>IF(ABS(E153-AG153)&lt;0.01,"ok","err")</f>
        <v>ok</v>
      </c>
    </row>
    <row r="154" spans="1:34" x14ac:dyDescent="0.2">
      <c r="E154" s="50"/>
    </row>
    <row r="155" spans="1:34" x14ac:dyDescent="0.2">
      <c r="A155" s="14" t="s">
        <v>0</v>
      </c>
      <c r="C155" s="14" t="s">
        <v>273</v>
      </c>
      <c r="E155" s="66">
        <f>E125+E128+E131+E136+E141+E144+E147+E150+E153</f>
        <v>107177178.99999999</v>
      </c>
      <c r="F155" s="66">
        <f t="shared" ref="F155:R155" si="31">F125+F128+F131+F136+F141+F144+F147+F150+F153</f>
        <v>77231659.417582497</v>
      </c>
      <c r="G155" s="66">
        <f t="shared" si="31"/>
        <v>233729.57608842518</v>
      </c>
      <c r="H155" s="66">
        <f t="shared" si="31"/>
        <v>6377148.3796195928</v>
      </c>
      <c r="I155" s="66">
        <f t="shared" si="31"/>
        <v>1734.855661184652</v>
      </c>
      <c r="J155" s="66">
        <f t="shared" si="31"/>
        <v>6870124.6206302997</v>
      </c>
      <c r="K155" s="66">
        <f t="shared" si="31"/>
        <v>6758548.1062311241</v>
      </c>
      <c r="L155" s="66">
        <f t="shared" si="31"/>
        <v>5018048.6057196818</v>
      </c>
      <c r="M155" s="66">
        <f t="shared" si="31"/>
        <v>2362281.6042962014</v>
      </c>
      <c r="N155" s="66">
        <f t="shared" si="31"/>
        <v>919614.53684221965</v>
      </c>
      <c r="O155" s="66">
        <f t="shared" si="31"/>
        <v>1404289.2973287376</v>
      </c>
      <c r="P155" s="66">
        <f t="shared" si="31"/>
        <v>0</v>
      </c>
      <c r="Q155" s="66">
        <f t="shared" si="31"/>
        <v>0</v>
      </c>
      <c r="R155" s="66">
        <f t="shared" si="31"/>
        <v>0</v>
      </c>
      <c r="S155" s="66">
        <f t="shared" ref="S155:AF155" si="32">S125+S131+S136+S141+S144+S147+S150+S153</f>
        <v>0</v>
      </c>
      <c r="T155" s="66">
        <f t="shared" si="32"/>
        <v>0</v>
      </c>
      <c r="U155" s="66">
        <f t="shared" si="32"/>
        <v>0</v>
      </c>
      <c r="V155" s="66">
        <f t="shared" si="32"/>
        <v>0</v>
      </c>
      <c r="W155" s="66">
        <f t="shared" si="32"/>
        <v>0</v>
      </c>
      <c r="X155" s="66">
        <f t="shared" si="32"/>
        <v>0</v>
      </c>
      <c r="Y155" s="66">
        <f t="shared" si="32"/>
        <v>0</v>
      </c>
      <c r="Z155" s="66">
        <f t="shared" si="32"/>
        <v>0</v>
      </c>
      <c r="AA155" s="66">
        <f t="shared" si="32"/>
        <v>0</v>
      </c>
      <c r="AB155" s="66">
        <f t="shared" si="32"/>
        <v>0</v>
      </c>
      <c r="AC155" s="66">
        <f t="shared" si="32"/>
        <v>0</v>
      </c>
      <c r="AD155" s="66">
        <f t="shared" si="32"/>
        <v>0</v>
      </c>
      <c r="AE155" s="66">
        <f t="shared" si="32"/>
        <v>0</v>
      </c>
      <c r="AF155" s="66">
        <f t="shared" si="32"/>
        <v>0</v>
      </c>
      <c r="AG155" s="95">
        <f>SUM(F155:AF155)</f>
        <v>107177178.99999999</v>
      </c>
      <c r="AH155" s="31" t="str">
        <f>IF(ABS(E155-AG155)&lt;0.01,"ok","err")</f>
        <v>ok</v>
      </c>
    </row>
    <row r="158" spans="1:34" x14ac:dyDescent="0.2">
      <c r="A158" s="29" t="s">
        <v>183</v>
      </c>
    </row>
    <row r="160" spans="1:34" x14ac:dyDescent="0.2">
      <c r="A160" s="13" t="s">
        <v>894</v>
      </c>
    </row>
    <row r="161" spans="1:34" x14ac:dyDescent="0.2">
      <c r="A161" s="98" t="s">
        <v>209</v>
      </c>
      <c r="C161" s="14" t="s">
        <v>274</v>
      </c>
      <c r="D161" s="14" t="s">
        <v>657</v>
      </c>
      <c r="E161" s="66">
        <f>'Func &amp; Classif'!H463</f>
        <v>0</v>
      </c>
      <c r="F161" s="66">
        <f>IF(VLOOKUP($D161,$C$5:$AU$501,3,)=0,0,(VLOOKUP($D161,$C$5:$AU$501,4,)/VLOOKUP($D161,$C$5:$AU$501,3,))*$E161)</f>
        <v>0</v>
      </c>
      <c r="G161" s="66">
        <f>IF(VLOOKUP($D161,$C$5:$AU$501,3,)=0,0,(VLOOKUP($D161,$C$5:$AU$501,5,)/VLOOKUP($D161,$C$5:$AU$501,3,))*$E161)</f>
        <v>0</v>
      </c>
      <c r="H161" s="66">
        <f>IF(VLOOKUP($D161,$C$5:$AU$501,3,)=0,0,(VLOOKUP($D161,$C$5:$AU$501,6,)/VLOOKUP($D161,$C$5:$AU$501,3,))*$E161)</f>
        <v>0</v>
      </c>
      <c r="I161" s="66">
        <f>IF(VLOOKUP($D161,$C$5:$AU$501,3,)=0,0,(VLOOKUP($D161,$C$5:$AU$501,7,)/VLOOKUP($D161,$C$5:$AU$501,3,))*$E161)</f>
        <v>0</v>
      </c>
      <c r="J161" s="66">
        <f>IF(VLOOKUP($D161,$C$5:$AU$501,3,)=0,0,(VLOOKUP($D161,$C$5:$AU$501,8,)/VLOOKUP($D161,$C$5:$AU$501,3,))*$E161)</f>
        <v>0</v>
      </c>
      <c r="K161" s="66">
        <f>IF(VLOOKUP($D161,$C$5:$AU$501,3,)=0,0,(VLOOKUP($D161,$C$5:$AU$501,9,)/VLOOKUP($D161,$C$5:$AU$501,3,))*$E161)</f>
        <v>0</v>
      </c>
      <c r="L161" s="66">
        <f>IF(VLOOKUP($D161,$C$5:$AU$501,3,)=0,0,(VLOOKUP($D161,$C$5:$AU$501,10,)/VLOOKUP($D161,$C$5:$AU$501,3,))*$E161)</f>
        <v>0</v>
      </c>
      <c r="M161" s="66">
        <f>IF(VLOOKUP($D161,$C$5:$AU$501,3,)=0,0,(VLOOKUP($D161,$C$5:$AU$501,11,)/VLOOKUP($D161,$C$5:$AU$501,3,))*$E161)</f>
        <v>0</v>
      </c>
      <c r="N161" s="66">
        <f>IF(VLOOKUP($D161,$C$5:$AU$501,3,)=0,0,(VLOOKUP($D161,$C$5:$AU$501,12,)/VLOOKUP($D161,$C$5:$AU$501,3,))*$E161)</f>
        <v>0</v>
      </c>
      <c r="O161" s="66">
        <f>IF(VLOOKUP($D161,$C$5:$AU$501,3,)=0,0,(VLOOKUP($D161,$C$5:$AU$501,13,)/VLOOKUP($D161,$C$5:$AU$501,3,))*$E161)</f>
        <v>0</v>
      </c>
      <c r="P161" s="66">
        <f>IF(VLOOKUP($D161,$C$5:$AU$501,3,)=0,0,(VLOOKUP($D161,$C$5:$AU$501,14,)/VLOOKUP($D161,$C$5:$AU$501,3,))*$E161)</f>
        <v>0</v>
      </c>
      <c r="Q161" s="66">
        <f>IF(VLOOKUP($D161,$C$5:$AU$501,3,)=0,0,(VLOOKUP($D161,$C$5:$AU$501,15,)/VLOOKUP($D161,$C$5:$AU$501,3,))*$E161)</f>
        <v>0</v>
      </c>
      <c r="R161" s="66">
        <f>IF(VLOOKUP($D161,$C$5:$AU$501,3,)=0,0,(VLOOKUP($D161,$C$5:$AU$501,16,)/VLOOKUP($D161,$C$5:$AU$501,3,))*$E161)</f>
        <v>0</v>
      </c>
      <c r="S161" s="66">
        <f>IF(VLOOKUP($D161,$C$5:$AU$501,3,)=0,0,(VLOOKUP($D161,$C$5:$AU$501,17,)/VLOOKUP($D161,$C$5:$AU$501,3,))*$E161)</f>
        <v>0</v>
      </c>
      <c r="T161" s="66">
        <f>IF(VLOOKUP($D161,$C$5:$AU$501,3,)=0,0,(VLOOKUP($D161,$C$5:$AU$501,18,)/VLOOKUP($D161,$C$5:$AU$501,3,))*$E161)</f>
        <v>0</v>
      </c>
      <c r="U161" s="66">
        <f>IF(VLOOKUP($D161,$C$5:$AU$501,3,)=0,0,(VLOOKUP($D161,$C$5:$AU$501,19,)/VLOOKUP($D161,$C$5:$AU$501,3,))*$E161)</f>
        <v>0</v>
      </c>
      <c r="V161" s="66">
        <f>IF(VLOOKUP($D161,$C$5:$AU$501,3,)=0,0,(VLOOKUP($D161,$C$5:$AU$501,20,)/VLOOKUP($D161,$C$5:$AU$501,3,))*$E161)</f>
        <v>0</v>
      </c>
      <c r="W161" s="66">
        <f>IF(VLOOKUP($D161,$C$5:$AU$501,3,)=0,0,(VLOOKUP($D161,$C$5:$AU$501,21,)/VLOOKUP($D161,$C$5:$AU$501,3,))*$E161)</f>
        <v>0</v>
      </c>
      <c r="X161" s="66">
        <f>IF(VLOOKUP($D161,$C$5:$AU$501,3,)=0,0,(VLOOKUP($D161,$C$5:$AU$501,22,)/VLOOKUP($D161,$C$5:$AU$501,3,))*$E161)</f>
        <v>0</v>
      </c>
      <c r="Y161" s="66">
        <f>IF(VLOOKUP($D161,$C$5:$AU$501,3,)=0,0,(VLOOKUP($D161,$C$5:$AU$501,23,)/VLOOKUP($D161,$C$5:$AU$501,3,))*$E161)</f>
        <v>0</v>
      </c>
      <c r="Z161" s="66">
        <f>IF(VLOOKUP($D161,$C$5:$AU$501,3,)=0,0,(VLOOKUP($D161,$C$5:$AU$501,24,)/VLOOKUP($D161,$C$5:$AU$501,3,))*$E161)</f>
        <v>0</v>
      </c>
      <c r="AA161" s="66">
        <f>IF(VLOOKUP($D161,$C$5:$AU$501,3,)=0,0,(VLOOKUP($D161,$C$5:$AU$501,25,)/VLOOKUP($D161,$C$5:$AU$501,3,))*$E161)</f>
        <v>0</v>
      </c>
      <c r="AB161" s="66">
        <f>IF(VLOOKUP($D161,$C$5:$AU$501,3,)=0,0,(VLOOKUP($D161,$C$5:$AU$501,26,)/VLOOKUP($D161,$C$5:$AU$501,3,))*$E161)</f>
        <v>0</v>
      </c>
      <c r="AC161" s="66">
        <f>IF(VLOOKUP($D161,$C$5:$AU$501,3,)=0,0,(VLOOKUP($D161,$C$5:$AU$501,27,)/VLOOKUP($D161,$C$5:$AU$501,3,))*$E161)</f>
        <v>0</v>
      </c>
      <c r="AD161" s="66">
        <f>IF(VLOOKUP($D161,$C$5:$AU$501,3,)=0,0,(VLOOKUP($D161,$C$5:$AU$501,28,)/VLOOKUP($D161,$C$5:$AU$501,3,))*$E161)</f>
        <v>0</v>
      </c>
      <c r="AE161" s="66">
        <f>IF(VLOOKUP($D161,$C$5:$AU$501,3,)=0,0,(VLOOKUP($D161,$C$5:$AU$501,29,)/VLOOKUP($D161,$C$5:$AU$501,3,))*$E161)</f>
        <v>0</v>
      </c>
      <c r="AF161" s="66">
        <f>IF(VLOOKUP($D161,$C$5:$AU$501,3,)=0,0,(VLOOKUP($D161,$C$5:$AU$501,30,)/VLOOKUP($D161,$C$5:$AU$501,3,))*$E161)</f>
        <v>0</v>
      </c>
      <c r="AG161" s="95">
        <f>SUM(F161:AF161)</f>
        <v>0</v>
      </c>
      <c r="AH161" s="31" t="str">
        <f>IF(ABS(E161-AG161)&lt;0.01,"ok","err")</f>
        <v>ok</v>
      </c>
    </row>
    <row r="162" spans="1:34" x14ac:dyDescent="0.2">
      <c r="A162" s="98" t="s">
        <v>212</v>
      </c>
      <c r="C162" s="14" t="s">
        <v>275</v>
      </c>
      <c r="D162" s="14" t="s">
        <v>666</v>
      </c>
      <c r="E162" s="50">
        <f>'Func &amp; Classif'!I463</f>
        <v>0</v>
      </c>
      <c r="F162" s="66">
        <f>IF(VLOOKUP($D162,$C$5:$AU$501,3,)=0,0,(VLOOKUP($D162,$C$5:$AU$501,4,)/VLOOKUP($D162,$C$5:$AU$501,3,))*$E162)</f>
        <v>0</v>
      </c>
      <c r="G162" s="66">
        <f>IF(VLOOKUP($D162,$C$5:$AU$501,3,)=0,0,(VLOOKUP($D162,$C$5:$AU$501,5,)/VLOOKUP($D162,$C$5:$AU$501,3,))*$E162)</f>
        <v>0</v>
      </c>
      <c r="H162" s="66">
        <f>IF(VLOOKUP($D162,$C$5:$AU$501,3,)=0,0,(VLOOKUP($D162,$C$5:$AU$501,6,)/VLOOKUP($D162,$C$5:$AU$501,3,))*$E162)</f>
        <v>0</v>
      </c>
      <c r="I162" s="66">
        <f>IF(VLOOKUP($D162,$C$5:$AU$501,3,)=0,0,(VLOOKUP($D162,$C$5:$AU$501,7,)/VLOOKUP($D162,$C$5:$AU$501,3,))*$E162)</f>
        <v>0</v>
      </c>
      <c r="J162" s="66">
        <f>IF(VLOOKUP($D162,$C$5:$AU$501,3,)=0,0,(VLOOKUP($D162,$C$5:$AU$501,8,)/VLOOKUP($D162,$C$5:$AU$501,3,))*$E162)</f>
        <v>0</v>
      </c>
      <c r="K162" s="66">
        <f>IF(VLOOKUP($D162,$C$5:$AU$501,3,)=0,0,(VLOOKUP($D162,$C$5:$AU$501,9,)/VLOOKUP($D162,$C$5:$AU$501,3,))*$E162)</f>
        <v>0</v>
      </c>
      <c r="L162" s="66">
        <f>IF(VLOOKUP($D162,$C$5:$AU$501,3,)=0,0,(VLOOKUP($D162,$C$5:$AU$501,10,)/VLOOKUP($D162,$C$5:$AU$501,3,))*$E162)</f>
        <v>0</v>
      </c>
      <c r="M162" s="66">
        <f>IF(VLOOKUP($D162,$C$5:$AU$501,3,)=0,0,(VLOOKUP($D162,$C$5:$AU$501,11,)/VLOOKUP($D162,$C$5:$AU$501,3,))*$E162)</f>
        <v>0</v>
      </c>
      <c r="N162" s="66">
        <f>IF(VLOOKUP($D162,$C$5:$AU$501,3,)=0,0,(VLOOKUP($D162,$C$5:$AU$501,12,)/VLOOKUP($D162,$C$5:$AU$501,3,))*$E162)</f>
        <v>0</v>
      </c>
      <c r="O162" s="66">
        <f>IF(VLOOKUP($D162,$C$5:$AU$501,3,)=0,0,(VLOOKUP($D162,$C$5:$AU$501,13,)/VLOOKUP($D162,$C$5:$AU$501,3,))*$E162)</f>
        <v>0</v>
      </c>
      <c r="P162" s="66">
        <f>IF(VLOOKUP($D162,$C$5:$AU$501,3,)=0,0,(VLOOKUP($D162,$C$5:$AU$501,14,)/VLOOKUP($D162,$C$5:$AU$501,3,))*$E162)</f>
        <v>0</v>
      </c>
      <c r="Q162" s="66">
        <f>IF(VLOOKUP($D162,$C$5:$AU$501,3,)=0,0,(VLOOKUP($D162,$C$5:$AU$501,15,)/VLOOKUP($D162,$C$5:$AU$501,3,))*$E162)</f>
        <v>0</v>
      </c>
      <c r="R162" s="66">
        <f>IF(VLOOKUP($D162,$C$5:$AU$501,3,)=0,0,(VLOOKUP($D162,$C$5:$AU$501,16,)/VLOOKUP($D162,$C$5:$AU$501,3,))*$E162)</f>
        <v>0</v>
      </c>
      <c r="S162" s="66">
        <f>IF(VLOOKUP($D162,$C$5:$AU$501,3,)=0,0,(VLOOKUP($D162,$C$5:$AU$501,17,)/VLOOKUP($D162,$C$5:$AU$501,3,))*$E162)</f>
        <v>0</v>
      </c>
      <c r="T162" s="66">
        <f>IF(VLOOKUP($D162,$C$5:$AU$501,3,)=0,0,(VLOOKUP($D162,$C$5:$AU$501,18,)/VLOOKUP($D162,$C$5:$AU$501,3,))*$E162)</f>
        <v>0</v>
      </c>
      <c r="U162" s="66">
        <f>IF(VLOOKUP($D162,$C$5:$AU$501,3,)=0,0,(VLOOKUP($D162,$C$5:$AU$501,19,)/VLOOKUP($D162,$C$5:$AU$501,3,))*$E162)</f>
        <v>0</v>
      </c>
      <c r="V162" s="66">
        <f>IF(VLOOKUP($D162,$C$5:$AU$501,3,)=0,0,(VLOOKUP($D162,$C$5:$AU$501,20,)/VLOOKUP($D162,$C$5:$AU$501,3,))*$E162)</f>
        <v>0</v>
      </c>
      <c r="W162" s="66">
        <f>IF(VLOOKUP($D162,$C$5:$AU$501,3,)=0,0,(VLOOKUP($D162,$C$5:$AU$501,21,)/VLOOKUP($D162,$C$5:$AU$501,3,))*$E162)</f>
        <v>0</v>
      </c>
      <c r="X162" s="66">
        <f>IF(VLOOKUP($D162,$C$5:$AU$501,3,)=0,0,(VLOOKUP($D162,$C$5:$AU$501,22,)/VLOOKUP($D162,$C$5:$AU$501,3,))*$E162)</f>
        <v>0</v>
      </c>
      <c r="Y162" s="66">
        <f>IF(VLOOKUP($D162,$C$5:$AU$501,3,)=0,0,(VLOOKUP($D162,$C$5:$AU$501,23,)/VLOOKUP($D162,$C$5:$AU$501,3,))*$E162)</f>
        <v>0</v>
      </c>
      <c r="Z162" s="66">
        <f>IF(VLOOKUP($D162,$C$5:$AU$501,3,)=0,0,(VLOOKUP($D162,$C$5:$AU$501,24,)/VLOOKUP($D162,$C$5:$AU$501,3,))*$E162)</f>
        <v>0</v>
      </c>
      <c r="AA162" s="66">
        <f>IF(VLOOKUP($D162,$C$5:$AU$501,3,)=0,0,(VLOOKUP($D162,$C$5:$AU$501,25,)/VLOOKUP($D162,$C$5:$AU$501,3,))*$E162)</f>
        <v>0</v>
      </c>
      <c r="AB162" s="66">
        <f>IF(VLOOKUP($D162,$C$5:$AU$501,3,)=0,0,(VLOOKUP($D162,$C$5:$AU$501,26,)/VLOOKUP($D162,$C$5:$AU$501,3,))*$E162)</f>
        <v>0</v>
      </c>
      <c r="AC162" s="66">
        <f>IF(VLOOKUP($D162,$C$5:$AU$501,3,)=0,0,(VLOOKUP($D162,$C$5:$AU$501,27,)/VLOOKUP($D162,$C$5:$AU$501,3,))*$E162)</f>
        <v>0</v>
      </c>
      <c r="AD162" s="66">
        <f>IF(VLOOKUP($D162,$C$5:$AU$501,3,)=0,0,(VLOOKUP($D162,$C$5:$AU$501,28,)/VLOOKUP($D162,$C$5:$AU$501,3,))*$E162)</f>
        <v>0</v>
      </c>
      <c r="AE162" s="66">
        <f>IF(VLOOKUP($D162,$C$5:$AU$501,3,)=0,0,(VLOOKUP($D162,$C$5:$AU$501,29,)/VLOOKUP($D162,$C$5:$AU$501,3,))*$E162)</f>
        <v>0</v>
      </c>
      <c r="AF162" s="66">
        <f>IF(VLOOKUP($D162,$C$5:$AU$501,3,)=0,0,(VLOOKUP($D162,$C$5:$AU$501,30,)/VLOOKUP($D162,$C$5:$AU$501,3,))*$E162)</f>
        <v>0</v>
      </c>
      <c r="AG162" s="95">
        <f>SUM(F162:AF162)</f>
        <v>0</v>
      </c>
      <c r="AH162" s="31" t="str">
        <f>IF(ABS(E162-AG162)&lt;0.01,"ok","err")</f>
        <v>ok</v>
      </c>
    </row>
    <row r="163" spans="1:34" x14ac:dyDescent="0.2">
      <c r="A163" s="14" t="s">
        <v>215</v>
      </c>
      <c r="C163" s="14" t="s">
        <v>276</v>
      </c>
      <c r="E163" s="50">
        <f t="shared" ref="E163:T163" si="33">E161+E162</f>
        <v>0</v>
      </c>
      <c r="F163" s="66">
        <f t="shared" si="33"/>
        <v>0</v>
      </c>
      <c r="G163" s="66">
        <f t="shared" si="33"/>
        <v>0</v>
      </c>
      <c r="H163" s="66">
        <f t="shared" si="33"/>
        <v>0</v>
      </c>
      <c r="I163" s="66">
        <f t="shared" si="33"/>
        <v>0</v>
      </c>
      <c r="J163" s="66">
        <f t="shared" si="33"/>
        <v>0</v>
      </c>
      <c r="K163" s="66">
        <f t="shared" si="33"/>
        <v>0</v>
      </c>
      <c r="L163" s="66">
        <f t="shared" si="33"/>
        <v>0</v>
      </c>
      <c r="M163" s="66">
        <f t="shared" si="33"/>
        <v>0</v>
      </c>
      <c r="N163" s="66">
        <f t="shared" si="33"/>
        <v>0</v>
      </c>
      <c r="O163" s="66">
        <f t="shared" si="33"/>
        <v>0</v>
      </c>
      <c r="P163" s="66">
        <f t="shared" si="33"/>
        <v>0</v>
      </c>
      <c r="Q163" s="66">
        <f t="shared" si="33"/>
        <v>0</v>
      </c>
      <c r="R163" s="66">
        <f t="shared" si="33"/>
        <v>0</v>
      </c>
      <c r="S163" s="66">
        <f t="shared" si="33"/>
        <v>0</v>
      </c>
      <c r="T163" s="66">
        <f t="shared" si="33"/>
        <v>0</v>
      </c>
      <c r="U163" s="66">
        <f t="shared" ref="U163:AF163" si="34">U161+U162</f>
        <v>0</v>
      </c>
      <c r="V163" s="66">
        <f t="shared" si="34"/>
        <v>0</v>
      </c>
      <c r="W163" s="66">
        <f t="shared" si="34"/>
        <v>0</v>
      </c>
      <c r="X163" s="66">
        <f t="shared" si="34"/>
        <v>0</v>
      </c>
      <c r="Y163" s="66">
        <f t="shared" si="34"/>
        <v>0</v>
      </c>
      <c r="Z163" s="66">
        <f t="shared" si="34"/>
        <v>0</v>
      </c>
      <c r="AA163" s="66">
        <f t="shared" si="34"/>
        <v>0</v>
      </c>
      <c r="AB163" s="66">
        <f t="shared" si="34"/>
        <v>0</v>
      </c>
      <c r="AC163" s="66">
        <f t="shared" si="34"/>
        <v>0</v>
      </c>
      <c r="AD163" s="66">
        <f t="shared" si="34"/>
        <v>0</v>
      </c>
      <c r="AE163" s="66">
        <f t="shared" si="34"/>
        <v>0</v>
      </c>
      <c r="AF163" s="66">
        <f t="shared" si="34"/>
        <v>0</v>
      </c>
      <c r="AG163" s="95">
        <f>SUM(F163:AF163)</f>
        <v>0</v>
      </c>
      <c r="AH163" s="31" t="str">
        <f>IF(ABS(E163-AG163)&lt;0.01,"ok","err")</f>
        <v>ok</v>
      </c>
    </row>
    <row r="164" spans="1:34" x14ac:dyDescent="0.2">
      <c r="E164" s="50"/>
      <c r="F164" s="50"/>
    </row>
    <row r="165" spans="1:34" x14ac:dyDescent="0.2">
      <c r="A165" s="13" t="s">
        <v>350</v>
      </c>
      <c r="E165" s="50"/>
      <c r="F165" s="50"/>
    </row>
    <row r="166" spans="1:34" x14ac:dyDescent="0.2">
      <c r="A166" s="98" t="s">
        <v>209</v>
      </c>
      <c r="C166" s="14" t="s">
        <v>887</v>
      </c>
      <c r="D166" s="14" t="s">
        <v>625</v>
      </c>
      <c r="E166" s="66">
        <f>'Func &amp; Classif'!K463</f>
        <v>0</v>
      </c>
      <c r="F166" s="66">
        <f>IF(VLOOKUP($D166,$C$5:$AU$501,3,)=0,0,(VLOOKUP($D166,$C$5:$AU$501,4,)/VLOOKUP($D166,$C$5:$AU$501,3,))*$E166)</f>
        <v>0</v>
      </c>
      <c r="G166" s="66">
        <f>IF(VLOOKUP($D166,$C$5:$AU$501,3,)=0,0,(VLOOKUP($D166,$C$5:$AU$501,5,)/VLOOKUP($D166,$C$5:$AU$501,3,))*$E166)</f>
        <v>0</v>
      </c>
      <c r="H166" s="66">
        <f>IF(VLOOKUP($D166,$C$5:$AU$501,3,)=0,0,(VLOOKUP($D166,$C$5:$AU$501,6,)/VLOOKUP($D166,$C$5:$AU$501,3,))*$E166)</f>
        <v>0</v>
      </c>
      <c r="I166" s="66">
        <f>IF(VLOOKUP($D166,$C$5:$AU$501,3,)=0,0,(VLOOKUP($D166,$C$5:$AU$501,7,)/VLOOKUP($D166,$C$5:$AU$501,3,))*$E166)</f>
        <v>0</v>
      </c>
      <c r="J166" s="66">
        <f>IF(VLOOKUP($D166,$C$5:$AU$501,3,)=0,0,(VLOOKUP($D166,$C$5:$AU$501,8,)/VLOOKUP($D166,$C$5:$AU$501,3,))*$E166)</f>
        <v>0</v>
      </c>
      <c r="K166" s="66">
        <f>IF(VLOOKUP($D166,$C$5:$AU$501,3,)=0,0,(VLOOKUP($D166,$C$5:$AU$501,9,)/VLOOKUP($D166,$C$5:$AU$501,3,))*$E166)</f>
        <v>0</v>
      </c>
      <c r="L166" s="66">
        <f>IF(VLOOKUP($D166,$C$5:$AU$501,3,)=0,0,(VLOOKUP($D166,$C$5:$AU$501,10,)/VLOOKUP($D166,$C$5:$AU$501,3,))*$E166)</f>
        <v>0</v>
      </c>
      <c r="M166" s="66">
        <f>IF(VLOOKUP($D166,$C$5:$AU$501,3,)=0,0,(VLOOKUP($D166,$C$5:$AU$501,11,)/VLOOKUP($D166,$C$5:$AU$501,3,))*$E166)</f>
        <v>0</v>
      </c>
      <c r="N166" s="66">
        <f>IF(VLOOKUP($D166,$C$5:$AU$501,3,)=0,0,(VLOOKUP($D166,$C$5:$AU$501,12,)/VLOOKUP($D166,$C$5:$AU$501,3,))*$E166)</f>
        <v>0</v>
      </c>
      <c r="O166" s="66">
        <f>IF(VLOOKUP($D166,$C$5:$AU$501,3,)=0,0,(VLOOKUP($D166,$C$5:$AU$501,13,)/VLOOKUP($D166,$C$5:$AU$501,3,))*$E166)</f>
        <v>0</v>
      </c>
      <c r="P166" s="66">
        <f>IF(VLOOKUP($D166,$C$5:$AU$501,3,)=0,0,(VLOOKUP($D166,$C$5:$AU$501,14,)/VLOOKUP($D166,$C$5:$AU$501,3,))*$E166)</f>
        <v>0</v>
      </c>
      <c r="Q166" s="66">
        <f>IF(VLOOKUP($D166,$C$5:$AU$501,3,)=0,0,(VLOOKUP($D166,$C$5:$AU$501,15,)/VLOOKUP($D166,$C$5:$AU$501,3,))*$E166)</f>
        <v>0</v>
      </c>
      <c r="R166" s="66">
        <f>IF(VLOOKUP($D166,$C$5:$AU$501,3,)=0,0,(VLOOKUP($D166,$C$5:$AU$501,16,)/VLOOKUP($D166,$C$5:$AU$501,3,))*$E166)</f>
        <v>0</v>
      </c>
      <c r="S166" s="66">
        <f>IF(VLOOKUP($D166,$C$5:$AU$501,3,)=0,0,(VLOOKUP($D166,$C$5:$AU$501,17,)/VLOOKUP($D166,$C$5:$AU$501,3,))*$E166)</f>
        <v>0</v>
      </c>
      <c r="T166" s="66">
        <f>IF(VLOOKUP($D166,$C$5:$AU$501,3,)=0,0,(VLOOKUP($D166,$C$5:$AU$501,18,)/VLOOKUP($D166,$C$5:$AU$501,3,))*$E166)</f>
        <v>0</v>
      </c>
      <c r="U166" s="66">
        <f>IF(VLOOKUP($D166,$C$5:$AU$501,3,)=0,0,(VLOOKUP($D166,$C$5:$AU$501,19,)/VLOOKUP($D166,$C$5:$AU$501,3,))*$E166)</f>
        <v>0</v>
      </c>
      <c r="V166" s="66">
        <f>IF(VLOOKUP($D166,$C$5:$AU$501,3,)=0,0,(VLOOKUP($D166,$C$5:$AU$501,20,)/VLOOKUP($D166,$C$5:$AU$501,3,))*$E166)</f>
        <v>0</v>
      </c>
      <c r="W166" s="66">
        <f>IF(VLOOKUP($D166,$C$5:$AU$501,3,)=0,0,(VLOOKUP($D166,$C$5:$AU$501,21,)/VLOOKUP($D166,$C$5:$AU$501,3,))*$E166)</f>
        <v>0</v>
      </c>
      <c r="X166" s="66">
        <f>IF(VLOOKUP($D166,$C$5:$AU$501,3,)=0,0,(VLOOKUP($D166,$C$5:$AU$501,22,)/VLOOKUP($D166,$C$5:$AU$501,3,))*$E166)</f>
        <v>0</v>
      </c>
      <c r="Y166" s="66">
        <f>IF(VLOOKUP($D166,$C$5:$AU$501,3,)=0,0,(VLOOKUP($D166,$C$5:$AU$501,23,)/VLOOKUP($D166,$C$5:$AU$501,3,))*$E166)</f>
        <v>0</v>
      </c>
      <c r="Z166" s="66">
        <f>IF(VLOOKUP($D166,$C$5:$AU$501,3,)=0,0,(VLOOKUP($D166,$C$5:$AU$501,24,)/VLOOKUP($D166,$C$5:$AU$501,3,))*$E166)</f>
        <v>0</v>
      </c>
      <c r="AA166" s="66">
        <f>IF(VLOOKUP($D166,$C$5:$AU$501,3,)=0,0,(VLOOKUP($D166,$C$5:$AU$501,25,)/VLOOKUP($D166,$C$5:$AU$501,3,))*$E166)</f>
        <v>0</v>
      </c>
      <c r="AB166" s="66">
        <f>IF(VLOOKUP($D166,$C$5:$AU$501,3,)=0,0,(VLOOKUP($D166,$C$5:$AU$501,26,)/VLOOKUP($D166,$C$5:$AU$501,3,))*$E166)</f>
        <v>0</v>
      </c>
      <c r="AC166" s="66">
        <f>IF(VLOOKUP($D166,$C$5:$AU$501,3,)=0,0,(VLOOKUP($D166,$C$5:$AU$501,27,)/VLOOKUP($D166,$C$5:$AU$501,3,))*$E166)</f>
        <v>0</v>
      </c>
      <c r="AD166" s="66">
        <f>IF(VLOOKUP($D166,$C$5:$AU$501,3,)=0,0,(VLOOKUP($D166,$C$5:$AU$501,28,)/VLOOKUP($D166,$C$5:$AU$501,3,))*$E166)</f>
        <v>0</v>
      </c>
      <c r="AE166" s="66">
        <f>IF(VLOOKUP($D166,$C$5:$AU$501,3,)=0,0,(VLOOKUP($D166,$C$5:$AU$501,29,)/VLOOKUP($D166,$C$5:$AU$501,3,))*$E166)</f>
        <v>0</v>
      </c>
      <c r="AF166" s="66">
        <f>IF(VLOOKUP($D166,$C$5:$AU$501,3,)=0,0,(VLOOKUP($D166,$C$5:$AU$501,30,)/VLOOKUP($D166,$C$5:$AU$501,3,))*$E166)</f>
        <v>0</v>
      </c>
      <c r="AG166" s="95">
        <f>SUM(F166:AF166)</f>
        <v>0</v>
      </c>
      <c r="AH166" s="31" t="str">
        <f>IF(ABS(E166-AG166)&lt;0.01,"ok","err")</f>
        <v>ok</v>
      </c>
    </row>
    <row r="167" spans="1:34" x14ac:dyDescent="0.2">
      <c r="E167" s="50"/>
    </row>
    <row r="168" spans="1:34" x14ac:dyDescent="0.2">
      <c r="A168" s="13" t="s">
        <v>1</v>
      </c>
      <c r="E168" s="50"/>
      <c r="F168" s="50"/>
    </row>
    <row r="169" spans="1:34" x14ac:dyDescent="0.2">
      <c r="A169" s="98" t="s">
        <v>209</v>
      </c>
      <c r="C169" s="14" t="s">
        <v>277</v>
      </c>
      <c r="D169" s="14" t="s">
        <v>632</v>
      </c>
      <c r="E169" s="66">
        <f>'Func &amp; Classif'!M463</f>
        <v>24470.795825426289</v>
      </c>
      <c r="F169" s="66">
        <f>IF(VLOOKUP($D169,$C$5:$AU$501,3,)=0,0,(VLOOKUP($D169,$C$5:$AU$501,4,)/VLOOKUP($D169,$C$5:$AU$501,3,))*$E169)</f>
        <v>18264.663817265966</v>
      </c>
      <c r="G169" s="66">
        <f>IF(VLOOKUP($D169,$C$5:$AU$501,3,)=0,0,(VLOOKUP($D169,$C$5:$AU$501,5,)/VLOOKUP($D169,$C$5:$AU$501,3,))*$E169)</f>
        <v>0</v>
      </c>
      <c r="H169" s="66">
        <f>IF(VLOOKUP($D169,$C$5:$AU$501,3,)=0,0,(VLOOKUP($D169,$C$5:$AU$501,6,)/VLOOKUP($D169,$C$5:$AU$501,3,))*$E169)</f>
        <v>1183.8097663667572</v>
      </c>
      <c r="I169" s="66">
        <f>IF(VLOOKUP($D169,$C$5:$AU$501,3,)=0,0,(VLOOKUP($D169,$C$5:$AU$501,7,)/VLOOKUP($D169,$C$5:$AU$501,3,))*$E169)</f>
        <v>0</v>
      </c>
      <c r="J169" s="66">
        <f>IF(VLOOKUP($D169,$C$5:$AU$501,3,)=0,0,(VLOOKUP($D169,$C$5:$AU$501,8,)/VLOOKUP($D169,$C$5:$AU$501,3,))*$E169)</f>
        <v>1493.4633666899285</v>
      </c>
      <c r="K169" s="66">
        <f>IF(VLOOKUP($D169,$C$5:$AU$501,3,)=0,0,(VLOOKUP($D169,$C$5:$AU$501,9,)/VLOOKUP($D169,$C$5:$AU$501,3,))*$E169)</f>
        <v>1949.0675940548081</v>
      </c>
      <c r="L169" s="66">
        <f>IF(VLOOKUP($D169,$C$5:$AU$501,3,)=0,0,(VLOOKUP($D169,$C$5:$AU$501,10,)/VLOOKUP($D169,$C$5:$AU$501,3,))*$E169)</f>
        <v>1261.7579247248711</v>
      </c>
      <c r="M169" s="66">
        <f>IF(VLOOKUP($D169,$C$5:$AU$501,3,)=0,0,(VLOOKUP($D169,$C$5:$AU$501,11,)/VLOOKUP($D169,$C$5:$AU$501,3,))*$E169)</f>
        <v>169.59917734214247</v>
      </c>
      <c r="N169" s="66">
        <f>IF(VLOOKUP($D169,$C$5:$AU$501,3,)=0,0,(VLOOKUP($D169,$C$5:$AU$501,12,)/VLOOKUP($D169,$C$5:$AU$501,3,))*$E169)</f>
        <v>148.43417898181778</v>
      </c>
      <c r="O169" s="66">
        <f>IF(VLOOKUP($D169,$C$5:$AU$501,3,)=0,0,(VLOOKUP($D169,$C$5:$AU$501,13,)/VLOOKUP($D169,$C$5:$AU$501,3,))*$E169)</f>
        <v>0</v>
      </c>
      <c r="P169" s="66">
        <f>IF(VLOOKUP($D169,$C$5:$AU$501,3,)=0,0,(VLOOKUP($D169,$C$5:$AU$501,14,)/VLOOKUP($D169,$C$5:$AU$501,3,))*$E169)</f>
        <v>0</v>
      </c>
      <c r="Q169" s="66">
        <f>IF(VLOOKUP($D169,$C$5:$AU$501,3,)=0,0,(VLOOKUP($D169,$C$5:$AU$501,15,)/VLOOKUP($D169,$C$5:$AU$501,3,))*$E169)</f>
        <v>0</v>
      </c>
      <c r="R169" s="66">
        <f>IF(VLOOKUP($D169,$C$5:$AU$501,3,)=0,0,(VLOOKUP($D169,$C$5:$AU$501,16,)/VLOOKUP($D169,$C$5:$AU$501,3,))*$E169)</f>
        <v>0</v>
      </c>
      <c r="S169" s="66">
        <f>IF(VLOOKUP($D169,$C$5:$AU$501,3,)=0,0,(VLOOKUP($D169,$C$5:$AU$501,17,)/VLOOKUP($D169,$C$5:$AU$501,3,))*$E169)</f>
        <v>0</v>
      </c>
      <c r="T169" s="66">
        <f>IF(VLOOKUP($D169,$C$5:$AU$501,3,)=0,0,(VLOOKUP($D169,$C$5:$AU$501,18,)/VLOOKUP($D169,$C$5:$AU$501,3,))*$E169)</f>
        <v>0</v>
      </c>
      <c r="U169" s="66">
        <f>IF(VLOOKUP($D169,$C$5:$AU$501,3,)=0,0,(VLOOKUP($D169,$C$5:$AU$501,19,)/VLOOKUP($D169,$C$5:$AU$501,3,))*$E169)</f>
        <v>0</v>
      </c>
      <c r="V169" s="66">
        <f>IF(VLOOKUP($D169,$C$5:$AU$501,3,)=0,0,(VLOOKUP($D169,$C$5:$AU$501,20,)/VLOOKUP($D169,$C$5:$AU$501,3,))*$E169)</f>
        <v>0</v>
      </c>
      <c r="W169" s="66">
        <f>IF(VLOOKUP($D169,$C$5:$AU$501,3,)=0,0,(VLOOKUP($D169,$C$5:$AU$501,21,)/VLOOKUP($D169,$C$5:$AU$501,3,))*$E169)</f>
        <v>0</v>
      </c>
      <c r="X169" s="66">
        <f>IF(VLOOKUP($D169,$C$5:$AU$501,3,)=0,0,(VLOOKUP($D169,$C$5:$AU$501,22,)/VLOOKUP($D169,$C$5:$AU$501,3,))*$E169)</f>
        <v>0</v>
      </c>
      <c r="Y169" s="66">
        <f>IF(VLOOKUP($D169,$C$5:$AU$501,3,)=0,0,(VLOOKUP($D169,$C$5:$AU$501,23,)/VLOOKUP($D169,$C$5:$AU$501,3,))*$E169)</f>
        <v>0</v>
      </c>
      <c r="Z169" s="66">
        <f>IF(VLOOKUP($D169,$C$5:$AU$501,3,)=0,0,(VLOOKUP($D169,$C$5:$AU$501,24,)/VLOOKUP($D169,$C$5:$AU$501,3,))*$E169)</f>
        <v>0</v>
      </c>
      <c r="AA169" s="66">
        <f>IF(VLOOKUP($D169,$C$5:$AU$501,3,)=0,0,(VLOOKUP($D169,$C$5:$AU$501,25,)/VLOOKUP($D169,$C$5:$AU$501,3,))*$E169)</f>
        <v>0</v>
      </c>
      <c r="AB169" s="66">
        <f>IF(VLOOKUP($D169,$C$5:$AU$501,3,)=0,0,(VLOOKUP($D169,$C$5:$AU$501,26,)/VLOOKUP($D169,$C$5:$AU$501,3,))*$E169)</f>
        <v>0</v>
      </c>
      <c r="AC169" s="66">
        <f>IF(VLOOKUP($D169,$C$5:$AU$501,3,)=0,0,(VLOOKUP($D169,$C$5:$AU$501,27,)/VLOOKUP($D169,$C$5:$AU$501,3,))*$E169)</f>
        <v>0</v>
      </c>
      <c r="AD169" s="66">
        <f>IF(VLOOKUP($D169,$C$5:$AU$501,3,)=0,0,(VLOOKUP($D169,$C$5:$AU$501,28,)/VLOOKUP($D169,$C$5:$AU$501,3,))*$E169)</f>
        <v>0</v>
      </c>
      <c r="AE169" s="66">
        <f>IF(VLOOKUP($D169,$C$5:$AU$501,3,)=0,0,(VLOOKUP($D169,$C$5:$AU$501,29,)/VLOOKUP($D169,$C$5:$AU$501,3,))*$E169)</f>
        <v>0</v>
      </c>
      <c r="AF169" s="66">
        <f>IF(VLOOKUP($D169,$C$5:$AU$501,3,)=0,0,(VLOOKUP($D169,$C$5:$AU$501,30,)/VLOOKUP($D169,$C$5:$AU$501,3,))*$E169)</f>
        <v>0</v>
      </c>
      <c r="AG169" s="95">
        <f>SUM(F169:AF169)</f>
        <v>24470.795825426289</v>
      </c>
      <c r="AH169" s="31" t="str">
        <f>IF(ABS(E169-AG169)&lt;0.01,"ok","err")</f>
        <v>ok</v>
      </c>
    </row>
    <row r="170" spans="1:34" x14ac:dyDescent="0.2">
      <c r="E170" s="50"/>
    </row>
    <row r="171" spans="1:34" x14ac:dyDescent="0.2">
      <c r="A171" s="13" t="s">
        <v>2</v>
      </c>
      <c r="E171" s="50"/>
    </row>
    <row r="172" spans="1:34" x14ac:dyDescent="0.2">
      <c r="A172" s="98" t="s">
        <v>209</v>
      </c>
      <c r="C172" s="14" t="s">
        <v>278</v>
      </c>
      <c r="D172" s="14" t="s">
        <v>629</v>
      </c>
      <c r="E172" s="66">
        <f>'Func &amp; Classif'!O463</f>
        <v>3870174.2154419851</v>
      </c>
      <c r="F172" s="66">
        <f>IF(VLOOKUP($D172,$C$5:$AU$501,3,)=0,0,(VLOOKUP($D172,$C$5:$AU$501,4,)/VLOOKUP($D172,$C$5:$AU$501,3,))*$E172)</f>
        <v>3188327.4666857962</v>
      </c>
      <c r="G172" s="66">
        <f>IF(VLOOKUP($D172,$C$5:$AU$501,3,)=0,0,(VLOOKUP($D172,$C$5:$AU$501,5,)/VLOOKUP($D172,$C$5:$AU$501,3,))*$E172)</f>
        <v>0</v>
      </c>
      <c r="H172" s="66">
        <f>IF(VLOOKUP($D172,$C$5:$AU$501,3,)=0,0,(VLOOKUP($D172,$C$5:$AU$501,6,)/VLOOKUP($D172,$C$5:$AU$501,3,))*$E172)</f>
        <v>71550.149436114574</v>
      </c>
      <c r="I172" s="66">
        <f>IF(VLOOKUP($D172,$C$5:$AU$501,3,)=0,0,(VLOOKUP($D172,$C$5:$AU$501,7,)/VLOOKUP($D172,$C$5:$AU$501,3,))*$E172)</f>
        <v>0</v>
      </c>
      <c r="J172" s="66">
        <f>IF(VLOOKUP($D172,$C$5:$AU$501,3,)=0,0,(VLOOKUP($D172,$C$5:$AU$501,8,)/VLOOKUP($D172,$C$5:$AU$501,3,))*$E172)</f>
        <v>168949.75845973176</v>
      </c>
      <c r="K172" s="66">
        <f>IF(VLOOKUP($D172,$C$5:$AU$501,3,)=0,0,(VLOOKUP($D172,$C$5:$AU$501,9,)/VLOOKUP($D172,$C$5:$AU$501,3,))*$E172)</f>
        <v>118823.29095832066</v>
      </c>
      <c r="L172" s="66">
        <f>IF(VLOOKUP($D172,$C$5:$AU$501,3,)=0,0,(VLOOKUP($D172,$C$5:$AU$501,10,)/VLOOKUP($D172,$C$5:$AU$501,3,))*$E172)</f>
        <v>93426.345052777659</v>
      </c>
      <c r="M172" s="66">
        <f>IF(VLOOKUP($D172,$C$5:$AU$501,3,)=0,0,(VLOOKUP($D172,$C$5:$AU$501,11,)/VLOOKUP($D172,$C$5:$AU$501,3,))*$E172)</f>
        <v>150466.52177103321</v>
      </c>
      <c r="N172" s="66">
        <f>IF(VLOOKUP($D172,$C$5:$AU$501,3,)=0,0,(VLOOKUP($D172,$C$5:$AU$501,12,)/VLOOKUP($D172,$C$5:$AU$501,3,))*$E172)</f>
        <v>42942.120126247653</v>
      </c>
      <c r="O172" s="66">
        <f>IF(VLOOKUP($D172,$C$5:$AU$501,3,)=0,0,(VLOOKUP($D172,$C$5:$AU$501,13,)/VLOOKUP($D172,$C$5:$AU$501,3,))*$E172)</f>
        <v>35688.562951963773</v>
      </c>
      <c r="P172" s="66">
        <f>IF(VLOOKUP($D172,$C$5:$AU$501,3,)=0,0,(VLOOKUP($D172,$C$5:$AU$501,14,)/VLOOKUP($D172,$C$5:$AU$501,3,))*$E172)</f>
        <v>0</v>
      </c>
      <c r="Q172" s="66">
        <f>IF(VLOOKUP($D172,$C$5:$AU$501,3,)=0,0,(VLOOKUP($D172,$C$5:$AU$501,15,)/VLOOKUP($D172,$C$5:$AU$501,3,))*$E172)</f>
        <v>0</v>
      </c>
      <c r="R172" s="66">
        <f>IF(VLOOKUP($D172,$C$5:$AU$501,3,)=0,0,(VLOOKUP($D172,$C$5:$AU$501,16,)/VLOOKUP($D172,$C$5:$AU$501,3,))*$E172)</f>
        <v>0</v>
      </c>
      <c r="S172" s="66">
        <f>IF(VLOOKUP($D172,$C$5:$AU$501,3,)=0,0,(VLOOKUP($D172,$C$5:$AU$501,17,)/VLOOKUP($D172,$C$5:$AU$501,3,))*$E172)</f>
        <v>0</v>
      </c>
      <c r="T172" s="66">
        <f>IF(VLOOKUP($D172,$C$5:$AU$501,3,)=0,0,(VLOOKUP($D172,$C$5:$AU$501,18,)/VLOOKUP($D172,$C$5:$AU$501,3,))*$E172)</f>
        <v>0</v>
      </c>
      <c r="U172" s="66">
        <f>IF(VLOOKUP($D172,$C$5:$AU$501,3,)=0,0,(VLOOKUP($D172,$C$5:$AU$501,19,)/VLOOKUP($D172,$C$5:$AU$501,3,))*$E172)</f>
        <v>0</v>
      </c>
      <c r="V172" s="66">
        <f>IF(VLOOKUP($D172,$C$5:$AU$501,3,)=0,0,(VLOOKUP($D172,$C$5:$AU$501,20,)/VLOOKUP($D172,$C$5:$AU$501,3,))*$E172)</f>
        <v>0</v>
      </c>
      <c r="W172" s="66">
        <f>IF(VLOOKUP($D172,$C$5:$AU$501,3,)=0,0,(VLOOKUP($D172,$C$5:$AU$501,21,)/VLOOKUP($D172,$C$5:$AU$501,3,))*$E172)</f>
        <v>0</v>
      </c>
      <c r="X172" s="66">
        <f>IF(VLOOKUP($D172,$C$5:$AU$501,3,)=0,0,(VLOOKUP($D172,$C$5:$AU$501,22,)/VLOOKUP($D172,$C$5:$AU$501,3,))*$E172)</f>
        <v>0</v>
      </c>
      <c r="Y172" s="66">
        <f>IF(VLOOKUP($D172,$C$5:$AU$501,3,)=0,0,(VLOOKUP($D172,$C$5:$AU$501,23,)/VLOOKUP($D172,$C$5:$AU$501,3,))*$E172)</f>
        <v>0</v>
      </c>
      <c r="Z172" s="66">
        <f>IF(VLOOKUP($D172,$C$5:$AU$501,3,)=0,0,(VLOOKUP($D172,$C$5:$AU$501,24,)/VLOOKUP($D172,$C$5:$AU$501,3,))*$E172)</f>
        <v>0</v>
      </c>
      <c r="AA172" s="66">
        <f>IF(VLOOKUP($D172,$C$5:$AU$501,3,)=0,0,(VLOOKUP($D172,$C$5:$AU$501,25,)/VLOOKUP($D172,$C$5:$AU$501,3,))*$E172)</f>
        <v>0</v>
      </c>
      <c r="AB172" s="66">
        <f>IF(VLOOKUP($D172,$C$5:$AU$501,3,)=0,0,(VLOOKUP($D172,$C$5:$AU$501,26,)/VLOOKUP($D172,$C$5:$AU$501,3,))*$E172)</f>
        <v>0</v>
      </c>
      <c r="AC172" s="66">
        <f>IF(VLOOKUP($D172,$C$5:$AU$501,3,)=0,0,(VLOOKUP($D172,$C$5:$AU$501,27,)/VLOOKUP($D172,$C$5:$AU$501,3,))*$E172)</f>
        <v>0</v>
      </c>
      <c r="AD172" s="66">
        <f>IF(VLOOKUP($D172,$C$5:$AU$501,3,)=0,0,(VLOOKUP($D172,$C$5:$AU$501,28,)/VLOOKUP($D172,$C$5:$AU$501,3,))*$E172)</f>
        <v>0</v>
      </c>
      <c r="AE172" s="66">
        <f>IF(VLOOKUP($D172,$C$5:$AU$501,3,)=0,0,(VLOOKUP($D172,$C$5:$AU$501,29,)/VLOOKUP($D172,$C$5:$AU$501,3,))*$E172)</f>
        <v>0</v>
      </c>
      <c r="AF172" s="66">
        <f>IF(VLOOKUP($D172,$C$5:$AU$501,3,)=0,0,(VLOOKUP($D172,$C$5:$AU$501,30,)/VLOOKUP($D172,$C$5:$AU$501,3,))*$E172)</f>
        <v>0</v>
      </c>
      <c r="AG172" s="95">
        <f>SUM(F172:AF172)</f>
        <v>3870174.215441986</v>
      </c>
      <c r="AH172" s="31" t="str">
        <f>IF(ABS(E172-AG172)&lt;0.01,"ok","err")</f>
        <v>ok</v>
      </c>
    </row>
    <row r="173" spans="1:34" x14ac:dyDescent="0.2">
      <c r="A173" s="98" t="s">
        <v>221</v>
      </c>
      <c r="C173" s="14" t="s">
        <v>279</v>
      </c>
      <c r="D173" s="14" t="s">
        <v>223</v>
      </c>
      <c r="E173" s="50">
        <f>'Func &amp; Classif'!P463</f>
        <v>2617658.6686641308</v>
      </c>
      <c r="F173" s="66">
        <f>IF(VLOOKUP($D173,$C$5:$AU$501,3,)=0,0,(VLOOKUP($D173,$C$5:$AU$501,4,)/VLOOKUP($D173,$C$5:$AU$501,3,))*$E173)</f>
        <v>2379631.2639881871</v>
      </c>
      <c r="G173" s="66">
        <f>IF(VLOOKUP($D173,$C$5:$AU$501,3,)=0,0,(VLOOKUP($D173,$C$5:$AU$501,5,)/VLOOKUP($D173,$C$5:$AU$501,3,))*$E173)</f>
        <v>0</v>
      </c>
      <c r="H173" s="66">
        <f>IF(VLOOKUP($D173,$C$5:$AU$501,3,)=0,0,(VLOOKUP($D173,$C$5:$AU$501,6,)/VLOOKUP($D173,$C$5:$AU$501,3,))*$E173)</f>
        <v>179385.83800671439</v>
      </c>
      <c r="I173" s="66">
        <f>IF(VLOOKUP($D173,$C$5:$AU$501,3,)=0,0,(VLOOKUP($D173,$C$5:$AU$501,7,)/VLOOKUP($D173,$C$5:$AU$501,3,))*$E173)</f>
        <v>0</v>
      </c>
      <c r="J173" s="66">
        <f>IF(VLOOKUP($D173,$C$5:$AU$501,3,)=0,0,(VLOOKUP($D173,$C$5:$AU$501,8,)/VLOOKUP($D173,$C$5:$AU$501,3,))*$E173)</f>
        <v>7614.5035978594315</v>
      </c>
      <c r="K173" s="66">
        <f>IF(VLOOKUP($D173,$C$5:$AU$501,3,)=0,0,(VLOOKUP($D173,$C$5:$AU$501,9,)/VLOOKUP($D173,$C$5:$AU$501,3,))*$E173)</f>
        <v>395.55862846023018</v>
      </c>
      <c r="L173" s="66">
        <f>IF(VLOOKUP($D173,$C$5:$AU$501,3,)=0,0,(VLOOKUP($D173,$C$5:$AU$501,10,)/VLOOKUP($D173,$C$5:$AU$501,3,))*$E173)</f>
        <v>296.66897134517262</v>
      </c>
      <c r="M173" s="66">
        <f>IF(VLOOKUP($D173,$C$5:$AU$501,3,)=0,0,(VLOOKUP($D173,$C$5:$AU$501,11,)/VLOOKUP($D173,$C$5:$AU$501,3,))*$E173)</f>
        <v>49197.60441474113</v>
      </c>
      <c r="N173" s="66">
        <f>IF(VLOOKUP($D173,$C$5:$AU$501,3,)=0,0,(VLOOKUP($D173,$C$5:$AU$501,12,)/VLOOKUP($D173,$C$5:$AU$501,3,))*$E173)</f>
        <v>1137.2310568231617</v>
      </c>
      <c r="O173" s="66">
        <f>IF(VLOOKUP($D173,$C$5:$AU$501,3,)=0,0,(VLOOKUP($D173,$C$5:$AU$501,13,)/VLOOKUP($D173,$C$5:$AU$501,3,))*$E173)</f>
        <v>0</v>
      </c>
      <c r="P173" s="66">
        <f>IF(VLOOKUP($D173,$C$5:$AU$501,3,)=0,0,(VLOOKUP($D173,$C$5:$AU$501,14,)/VLOOKUP($D173,$C$5:$AU$501,3,))*$E173)</f>
        <v>0</v>
      </c>
      <c r="Q173" s="66">
        <f>IF(VLOOKUP($D173,$C$5:$AU$501,3,)=0,0,(VLOOKUP($D173,$C$5:$AU$501,15,)/VLOOKUP($D173,$C$5:$AU$501,3,))*$E173)</f>
        <v>0</v>
      </c>
      <c r="R173" s="66">
        <f>IF(VLOOKUP($D173,$C$5:$AU$501,3,)=0,0,(VLOOKUP($D173,$C$5:$AU$501,16,)/VLOOKUP($D173,$C$5:$AU$501,3,))*$E173)</f>
        <v>0</v>
      </c>
      <c r="S173" s="66">
        <f>IF(VLOOKUP($D173,$C$5:$AU$501,3,)=0,0,(VLOOKUP($D173,$C$5:$AU$501,17,)/VLOOKUP($D173,$C$5:$AU$501,3,))*$E173)</f>
        <v>0</v>
      </c>
      <c r="T173" s="66">
        <f>IF(VLOOKUP($D173,$C$5:$AU$501,3,)=0,0,(VLOOKUP($D173,$C$5:$AU$501,18,)/VLOOKUP($D173,$C$5:$AU$501,3,))*$E173)</f>
        <v>0</v>
      </c>
      <c r="U173" s="66">
        <f>IF(VLOOKUP($D173,$C$5:$AU$501,3,)=0,0,(VLOOKUP($D173,$C$5:$AU$501,19,)/VLOOKUP($D173,$C$5:$AU$501,3,))*$E173)</f>
        <v>0</v>
      </c>
      <c r="V173" s="66">
        <f>IF(VLOOKUP($D173,$C$5:$AU$501,3,)=0,0,(VLOOKUP($D173,$C$5:$AU$501,20,)/VLOOKUP($D173,$C$5:$AU$501,3,))*$E173)</f>
        <v>0</v>
      </c>
      <c r="W173" s="66">
        <f>IF(VLOOKUP($D173,$C$5:$AU$501,3,)=0,0,(VLOOKUP($D173,$C$5:$AU$501,21,)/VLOOKUP($D173,$C$5:$AU$501,3,))*$E173)</f>
        <v>0</v>
      </c>
      <c r="X173" s="66">
        <f>IF(VLOOKUP($D173,$C$5:$AU$501,3,)=0,0,(VLOOKUP($D173,$C$5:$AU$501,22,)/VLOOKUP($D173,$C$5:$AU$501,3,))*$E173)</f>
        <v>0</v>
      </c>
      <c r="Y173" s="66">
        <f>IF(VLOOKUP($D173,$C$5:$AU$501,3,)=0,0,(VLOOKUP($D173,$C$5:$AU$501,23,)/VLOOKUP($D173,$C$5:$AU$501,3,))*$E173)</f>
        <v>0</v>
      </c>
      <c r="Z173" s="66">
        <f>IF(VLOOKUP($D173,$C$5:$AU$501,3,)=0,0,(VLOOKUP($D173,$C$5:$AU$501,24,)/VLOOKUP($D173,$C$5:$AU$501,3,))*$E173)</f>
        <v>0</v>
      </c>
      <c r="AA173" s="66">
        <f>IF(VLOOKUP($D173,$C$5:$AU$501,3,)=0,0,(VLOOKUP($D173,$C$5:$AU$501,25,)/VLOOKUP($D173,$C$5:$AU$501,3,))*$E173)</f>
        <v>0</v>
      </c>
      <c r="AB173" s="66">
        <f>IF(VLOOKUP($D173,$C$5:$AU$501,3,)=0,0,(VLOOKUP($D173,$C$5:$AU$501,26,)/VLOOKUP($D173,$C$5:$AU$501,3,))*$E173)</f>
        <v>0</v>
      </c>
      <c r="AC173" s="66">
        <f>IF(VLOOKUP($D173,$C$5:$AU$501,3,)=0,0,(VLOOKUP($D173,$C$5:$AU$501,27,)/VLOOKUP($D173,$C$5:$AU$501,3,))*$E173)</f>
        <v>0</v>
      </c>
      <c r="AD173" s="66">
        <f>IF(VLOOKUP($D173,$C$5:$AU$501,3,)=0,0,(VLOOKUP($D173,$C$5:$AU$501,28,)/VLOOKUP($D173,$C$5:$AU$501,3,))*$E173)</f>
        <v>0</v>
      </c>
      <c r="AE173" s="66">
        <f>IF(VLOOKUP($D173,$C$5:$AU$501,3,)=0,0,(VLOOKUP($D173,$C$5:$AU$501,29,)/VLOOKUP($D173,$C$5:$AU$501,3,))*$E173)</f>
        <v>0</v>
      </c>
      <c r="AF173" s="66">
        <f>IF(VLOOKUP($D173,$C$5:$AU$501,3,)=0,0,(VLOOKUP($D173,$C$5:$AU$501,30,)/VLOOKUP($D173,$C$5:$AU$501,3,))*$E173)</f>
        <v>0</v>
      </c>
      <c r="AG173" s="95">
        <f>SUM(F173:AF173)</f>
        <v>2617658.6686641304</v>
      </c>
      <c r="AH173" s="31" t="str">
        <f>IF(ABS(E173-AG173)&lt;0.01,"ok","err")</f>
        <v>ok</v>
      </c>
    </row>
    <row r="174" spans="1:34" x14ac:dyDescent="0.2">
      <c r="A174" s="14" t="s">
        <v>224</v>
      </c>
      <c r="E174" s="66">
        <f t="shared" ref="E174:T174" si="35">E172+E173</f>
        <v>6487832.8841061164</v>
      </c>
      <c r="F174" s="66">
        <f t="shared" si="35"/>
        <v>5567958.7306739837</v>
      </c>
      <c r="G174" s="66">
        <f t="shared" si="35"/>
        <v>0</v>
      </c>
      <c r="H174" s="66">
        <f t="shared" si="35"/>
        <v>250935.98744282895</v>
      </c>
      <c r="I174" s="66">
        <f t="shared" si="35"/>
        <v>0</v>
      </c>
      <c r="J174" s="66">
        <f t="shared" si="35"/>
        <v>176564.2620575912</v>
      </c>
      <c r="K174" s="66">
        <f t="shared" si="35"/>
        <v>119218.8495867809</v>
      </c>
      <c r="L174" s="66">
        <f t="shared" si="35"/>
        <v>93723.014024122836</v>
      </c>
      <c r="M174" s="66">
        <f t="shared" si="35"/>
        <v>199664.12618577434</v>
      </c>
      <c r="N174" s="66">
        <f t="shared" si="35"/>
        <v>44079.351183070816</v>
      </c>
      <c r="O174" s="66">
        <f t="shared" si="35"/>
        <v>35688.562951963773</v>
      </c>
      <c r="P174" s="66">
        <f t="shared" si="35"/>
        <v>0</v>
      </c>
      <c r="Q174" s="66">
        <f t="shared" si="35"/>
        <v>0</v>
      </c>
      <c r="R174" s="66">
        <f t="shared" si="35"/>
        <v>0</v>
      </c>
      <c r="S174" s="66">
        <f t="shared" si="35"/>
        <v>0</v>
      </c>
      <c r="T174" s="66">
        <f t="shared" si="35"/>
        <v>0</v>
      </c>
      <c r="U174" s="66">
        <f t="shared" ref="U174:AF174" si="36">U172+U173</f>
        <v>0</v>
      </c>
      <c r="V174" s="66">
        <f t="shared" si="36"/>
        <v>0</v>
      </c>
      <c r="W174" s="66">
        <f t="shared" si="36"/>
        <v>0</v>
      </c>
      <c r="X174" s="66">
        <f t="shared" si="36"/>
        <v>0</v>
      </c>
      <c r="Y174" s="66">
        <f t="shared" si="36"/>
        <v>0</v>
      </c>
      <c r="Z174" s="66">
        <f t="shared" si="36"/>
        <v>0</v>
      </c>
      <c r="AA174" s="66">
        <f t="shared" si="36"/>
        <v>0</v>
      </c>
      <c r="AB174" s="66">
        <f t="shared" si="36"/>
        <v>0</v>
      </c>
      <c r="AC174" s="66">
        <f t="shared" si="36"/>
        <v>0</v>
      </c>
      <c r="AD174" s="66">
        <f t="shared" si="36"/>
        <v>0</v>
      </c>
      <c r="AE174" s="66">
        <f t="shared" si="36"/>
        <v>0</v>
      </c>
      <c r="AF174" s="66">
        <f t="shared" si="36"/>
        <v>0</v>
      </c>
      <c r="AG174" s="95">
        <f>SUM(F174:AF174)</f>
        <v>6487832.8841061154</v>
      </c>
      <c r="AH174" s="31" t="str">
        <f>IF(ABS(E174-AG174)&lt;0.01,"ok","err")</f>
        <v>ok</v>
      </c>
    </row>
    <row r="175" spans="1:34" x14ac:dyDescent="0.2">
      <c r="E175" s="50"/>
    </row>
    <row r="176" spans="1:34" x14ac:dyDescent="0.2">
      <c r="A176" s="13" t="s">
        <v>3</v>
      </c>
      <c r="E176" s="50"/>
    </row>
    <row r="177" spans="1:34" x14ac:dyDescent="0.2">
      <c r="A177" s="98" t="s">
        <v>209</v>
      </c>
      <c r="C177" s="14" t="s">
        <v>280</v>
      </c>
      <c r="D177" s="14" t="s">
        <v>700</v>
      </c>
      <c r="E177" s="66">
        <f>'Func &amp; Classif'!R463</f>
        <v>0</v>
      </c>
      <c r="F177" s="66">
        <f>IF(VLOOKUP($D177,$C$5:$AU$501,3,)=0,0,(VLOOKUP($D177,$C$5:$AU$501,4,)/VLOOKUP($D177,$C$5:$AU$501,3,))*$E177)</f>
        <v>0</v>
      </c>
      <c r="G177" s="66">
        <f>IF(VLOOKUP($D177,$C$5:$AU$501,3,)=0,0,(VLOOKUP($D177,$C$5:$AU$501,5,)/VLOOKUP($D177,$C$5:$AU$501,3,))*$E177)</f>
        <v>0</v>
      </c>
      <c r="H177" s="66">
        <f>IF(VLOOKUP($D177,$C$5:$AU$501,3,)=0,0,(VLOOKUP($D177,$C$5:$AU$501,6,)/VLOOKUP($D177,$C$5:$AU$501,3,))*$E177)</f>
        <v>0</v>
      </c>
      <c r="I177" s="66">
        <f>IF(VLOOKUP($D177,$C$5:$AU$501,3,)=0,0,(VLOOKUP($D177,$C$5:$AU$501,7,)/VLOOKUP($D177,$C$5:$AU$501,3,))*$E177)</f>
        <v>0</v>
      </c>
      <c r="J177" s="66">
        <f>IF(VLOOKUP($D177,$C$5:$AU$501,3,)=0,0,(VLOOKUP($D177,$C$5:$AU$501,8,)/VLOOKUP($D177,$C$5:$AU$501,3,))*$E177)</f>
        <v>0</v>
      </c>
      <c r="K177" s="66">
        <f>IF(VLOOKUP($D177,$C$5:$AU$501,3,)=0,0,(VLOOKUP($D177,$C$5:$AU$501,9,)/VLOOKUP($D177,$C$5:$AU$501,3,))*$E177)</f>
        <v>0</v>
      </c>
      <c r="L177" s="66">
        <f>IF(VLOOKUP($D177,$C$5:$AU$501,3,)=0,0,(VLOOKUP($D177,$C$5:$AU$501,10,)/VLOOKUP($D177,$C$5:$AU$501,3,))*$E177)</f>
        <v>0</v>
      </c>
      <c r="M177" s="66">
        <f>IF(VLOOKUP($D177,$C$5:$AU$501,3,)=0,0,(VLOOKUP($D177,$C$5:$AU$501,11,)/VLOOKUP($D177,$C$5:$AU$501,3,))*$E177)</f>
        <v>0</v>
      </c>
      <c r="N177" s="66">
        <f>IF(VLOOKUP($D177,$C$5:$AU$501,3,)=0,0,(VLOOKUP($D177,$C$5:$AU$501,12,)/VLOOKUP($D177,$C$5:$AU$501,3,))*$E177)</f>
        <v>0</v>
      </c>
      <c r="O177" s="66">
        <f>IF(VLOOKUP($D177,$C$5:$AU$501,3,)=0,0,(VLOOKUP($D177,$C$5:$AU$501,13,)/VLOOKUP($D177,$C$5:$AU$501,3,))*$E177)</f>
        <v>0</v>
      </c>
      <c r="P177" s="66">
        <f>IF(VLOOKUP($D177,$C$5:$AU$501,3,)=0,0,(VLOOKUP($D177,$C$5:$AU$501,14,)/VLOOKUP($D177,$C$5:$AU$501,3,))*$E177)</f>
        <v>0</v>
      </c>
      <c r="Q177" s="66">
        <f>IF(VLOOKUP($D177,$C$5:$AU$501,3,)=0,0,(VLOOKUP($D177,$C$5:$AU$501,15,)/VLOOKUP($D177,$C$5:$AU$501,3,))*$E177)</f>
        <v>0</v>
      </c>
      <c r="R177" s="66">
        <f>IF(VLOOKUP($D177,$C$5:$AU$501,3,)=0,0,(VLOOKUP($D177,$C$5:$AU$501,16,)/VLOOKUP($D177,$C$5:$AU$501,3,))*$E177)</f>
        <v>0</v>
      </c>
      <c r="S177" s="66">
        <f>IF(VLOOKUP($D177,$C$5:$AU$501,3,)=0,0,(VLOOKUP($D177,$C$5:$AU$501,17,)/VLOOKUP($D177,$C$5:$AU$501,3,))*$E177)</f>
        <v>0</v>
      </c>
      <c r="T177" s="66">
        <f>IF(VLOOKUP($D177,$C$5:$AU$501,3,)=0,0,(VLOOKUP($D177,$C$5:$AU$501,18,)/VLOOKUP($D177,$C$5:$AU$501,3,))*$E177)</f>
        <v>0</v>
      </c>
      <c r="U177" s="66">
        <f>IF(VLOOKUP($D177,$C$5:$AU$501,3,)=0,0,(VLOOKUP($D177,$C$5:$AU$501,19,)/VLOOKUP($D177,$C$5:$AU$501,3,))*$E177)</f>
        <v>0</v>
      </c>
      <c r="V177" s="66">
        <f>IF(VLOOKUP($D177,$C$5:$AU$501,3,)=0,0,(VLOOKUP($D177,$C$5:$AU$501,20,)/VLOOKUP($D177,$C$5:$AU$501,3,))*$E177)</f>
        <v>0</v>
      </c>
      <c r="W177" s="66">
        <f>IF(VLOOKUP($D177,$C$5:$AU$501,3,)=0,0,(VLOOKUP($D177,$C$5:$AU$501,21,)/VLOOKUP($D177,$C$5:$AU$501,3,))*$E177)</f>
        <v>0</v>
      </c>
      <c r="X177" s="66">
        <f>IF(VLOOKUP($D177,$C$5:$AU$501,3,)=0,0,(VLOOKUP($D177,$C$5:$AU$501,22,)/VLOOKUP($D177,$C$5:$AU$501,3,))*$E177)</f>
        <v>0</v>
      </c>
      <c r="Y177" s="66">
        <f>IF(VLOOKUP($D177,$C$5:$AU$501,3,)=0,0,(VLOOKUP($D177,$C$5:$AU$501,23,)/VLOOKUP($D177,$C$5:$AU$501,3,))*$E177)</f>
        <v>0</v>
      </c>
      <c r="Z177" s="66">
        <f>IF(VLOOKUP($D177,$C$5:$AU$501,3,)=0,0,(VLOOKUP($D177,$C$5:$AU$501,24,)/VLOOKUP($D177,$C$5:$AU$501,3,))*$E177)</f>
        <v>0</v>
      </c>
      <c r="AA177" s="66">
        <f>IF(VLOOKUP($D177,$C$5:$AU$501,3,)=0,0,(VLOOKUP($D177,$C$5:$AU$501,25,)/VLOOKUP($D177,$C$5:$AU$501,3,))*$E177)</f>
        <v>0</v>
      </c>
      <c r="AB177" s="66">
        <f>IF(VLOOKUP($D177,$C$5:$AU$501,3,)=0,0,(VLOOKUP($D177,$C$5:$AU$501,26,)/VLOOKUP($D177,$C$5:$AU$501,3,))*$E177)</f>
        <v>0</v>
      </c>
      <c r="AC177" s="66">
        <f>IF(VLOOKUP($D177,$C$5:$AU$501,3,)=0,0,(VLOOKUP($D177,$C$5:$AU$501,27,)/VLOOKUP($D177,$C$5:$AU$501,3,))*$E177)</f>
        <v>0</v>
      </c>
      <c r="AD177" s="66">
        <f>IF(VLOOKUP($D177,$C$5:$AU$501,3,)=0,0,(VLOOKUP($D177,$C$5:$AU$501,28,)/VLOOKUP($D177,$C$5:$AU$501,3,))*$E177)</f>
        <v>0</v>
      </c>
      <c r="AE177" s="66">
        <f>IF(VLOOKUP($D177,$C$5:$AU$501,3,)=0,0,(VLOOKUP($D177,$C$5:$AU$501,29,)/VLOOKUP($D177,$C$5:$AU$501,3,))*$E177)</f>
        <v>0</v>
      </c>
      <c r="AF177" s="66">
        <f>IF(VLOOKUP($D177,$C$5:$AU$501,3,)=0,0,(VLOOKUP($D177,$C$5:$AU$501,30,)/VLOOKUP($D177,$C$5:$AU$501,3,))*$E177)</f>
        <v>0</v>
      </c>
      <c r="AG177" s="95">
        <f>SUM(F177:AF177)</f>
        <v>0</v>
      </c>
      <c r="AH177" s="31" t="str">
        <f>IF(ABS(E177-AG177)&lt;0.01,"ok","err")</f>
        <v>ok</v>
      </c>
    </row>
    <row r="178" spans="1:34" x14ac:dyDescent="0.2">
      <c r="A178" s="98" t="s">
        <v>221</v>
      </c>
      <c r="C178" s="14" t="s">
        <v>281</v>
      </c>
      <c r="D178" s="14" t="s">
        <v>700</v>
      </c>
      <c r="E178" s="50">
        <f>'Func &amp; Classif'!S463</f>
        <v>151183.23360375385</v>
      </c>
      <c r="F178" s="66">
        <f>IF(VLOOKUP($D178,$C$5:$AU$501,3,)=0,0,(VLOOKUP($D178,$C$5:$AU$501,4,)/VLOOKUP($D178,$C$5:$AU$501,3,))*$E178)</f>
        <v>126493.03188107723</v>
      </c>
      <c r="G178" s="66">
        <f>IF(VLOOKUP($D178,$C$5:$AU$501,3,)=0,0,(VLOOKUP($D178,$C$5:$AU$501,5,)/VLOOKUP($D178,$C$5:$AU$501,3,))*$E178)</f>
        <v>94.619426677723141</v>
      </c>
      <c r="H178" s="66">
        <f>IF(VLOOKUP($D178,$C$5:$AU$501,3,)=0,0,(VLOOKUP($D178,$C$5:$AU$501,6,)/VLOOKUP($D178,$C$5:$AU$501,3,))*$E178)</f>
        <v>21454.954999173719</v>
      </c>
      <c r="I178" s="66">
        <f>IF(VLOOKUP($D178,$C$5:$AU$501,3,)=0,0,(VLOOKUP($D178,$C$5:$AU$501,7,)/VLOOKUP($D178,$C$5:$AU$501,3,))*$E178)</f>
        <v>0.78849522231435931</v>
      </c>
      <c r="J178" s="66">
        <f>IF(VLOOKUP($D178,$C$5:$AU$501,3,)=0,0,(VLOOKUP($D178,$C$5:$AU$501,8,)/VLOOKUP($D178,$C$5:$AU$501,3,))*$E178)</f>
        <v>404.76088078803775</v>
      </c>
      <c r="K178" s="66">
        <f>IF(VLOOKUP($D178,$C$5:$AU$501,3,)=0,0,(VLOOKUP($D178,$C$5:$AU$501,9,)/VLOOKUP($D178,$C$5:$AU$501,3,))*$E178)</f>
        <v>0</v>
      </c>
      <c r="L178" s="66">
        <f>IF(VLOOKUP($D178,$C$5:$AU$501,3,)=0,0,(VLOOKUP($D178,$C$5:$AU$501,10,)/VLOOKUP($D178,$C$5:$AU$501,3,))*$E178)</f>
        <v>0</v>
      </c>
      <c r="M178" s="66">
        <f>IF(VLOOKUP($D178,$C$5:$AU$501,3,)=0,0,(VLOOKUP($D178,$C$5:$AU$501,11,)/VLOOKUP($D178,$C$5:$AU$501,3,))*$E178)</f>
        <v>2615.1758206759582</v>
      </c>
      <c r="N178" s="66">
        <f>IF(VLOOKUP($D178,$C$5:$AU$501,3,)=0,0,(VLOOKUP($D178,$C$5:$AU$501,12,)/VLOOKUP($D178,$C$5:$AU$501,3,))*$E178)</f>
        <v>119.90210013886559</v>
      </c>
      <c r="O178" s="66">
        <f>IF(VLOOKUP($D178,$C$5:$AU$501,3,)=0,0,(VLOOKUP($D178,$C$5:$AU$501,13,)/VLOOKUP($D178,$C$5:$AU$501,3,))*$E178)</f>
        <v>0</v>
      </c>
      <c r="P178" s="66">
        <f>IF(VLOOKUP($D178,$C$5:$AU$501,3,)=0,0,(VLOOKUP($D178,$C$5:$AU$501,14,)/VLOOKUP($D178,$C$5:$AU$501,3,))*$E178)</f>
        <v>0</v>
      </c>
      <c r="Q178" s="66">
        <f>IF(VLOOKUP($D178,$C$5:$AU$501,3,)=0,0,(VLOOKUP($D178,$C$5:$AU$501,15,)/VLOOKUP($D178,$C$5:$AU$501,3,))*$E178)</f>
        <v>0</v>
      </c>
      <c r="R178" s="66">
        <f>IF(VLOOKUP($D178,$C$5:$AU$501,3,)=0,0,(VLOOKUP($D178,$C$5:$AU$501,16,)/VLOOKUP($D178,$C$5:$AU$501,3,))*$E178)</f>
        <v>0</v>
      </c>
      <c r="S178" s="66">
        <f>IF(VLOOKUP($D178,$C$5:$AU$501,3,)=0,0,(VLOOKUP($D178,$C$5:$AU$501,17,)/VLOOKUP($D178,$C$5:$AU$501,3,))*$E178)</f>
        <v>0</v>
      </c>
      <c r="T178" s="66">
        <f>IF(VLOOKUP($D178,$C$5:$AU$501,3,)=0,0,(VLOOKUP($D178,$C$5:$AU$501,18,)/VLOOKUP($D178,$C$5:$AU$501,3,))*$E178)</f>
        <v>0</v>
      </c>
      <c r="U178" s="66">
        <f>IF(VLOOKUP($D178,$C$5:$AU$501,3,)=0,0,(VLOOKUP($D178,$C$5:$AU$501,19,)/VLOOKUP($D178,$C$5:$AU$501,3,))*$E178)</f>
        <v>0</v>
      </c>
      <c r="V178" s="66">
        <f>IF(VLOOKUP($D178,$C$5:$AU$501,3,)=0,0,(VLOOKUP($D178,$C$5:$AU$501,20,)/VLOOKUP($D178,$C$5:$AU$501,3,))*$E178)</f>
        <v>0</v>
      </c>
      <c r="W178" s="66">
        <f>IF(VLOOKUP($D178,$C$5:$AU$501,3,)=0,0,(VLOOKUP($D178,$C$5:$AU$501,21,)/VLOOKUP($D178,$C$5:$AU$501,3,))*$E178)</f>
        <v>0</v>
      </c>
      <c r="X178" s="66">
        <f>IF(VLOOKUP($D178,$C$5:$AU$501,3,)=0,0,(VLOOKUP($D178,$C$5:$AU$501,22,)/VLOOKUP($D178,$C$5:$AU$501,3,))*$E178)</f>
        <v>0</v>
      </c>
      <c r="Y178" s="66">
        <f>IF(VLOOKUP($D178,$C$5:$AU$501,3,)=0,0,(VLOOKUP($D178,$C$5:$AU$501,23,)/VLOOKUP($D178,$C$5:$AU$501,3,))*$E178)</f>
        <v>0</v>
      </c>
      <c r="Z178" s="66">
        <f>IF(VLOOKUP($D178,$C$5:$AU$501,3,)=0,0,(VLOOKUP($D178,$C$5:$AU$501,24,)/VLOOKUP($D178,$C$5:$AU$501,3,))*$E178)</f>
        <v>0</v>
      </c>
      <c r="AA178" s="66">
        <f>IF(VLOOKUP($D178,$C$5:$AU$501,3,)=0,0,(VLOOKUP($D178,$C$5:$AU$501,25,)/VLOOKUP($D178,$C$5:$AU$501,3,))*$E178)</f>
        <v>0</v>
      </c>
      <c r="AB178" s="66">
        <f>IF(VLOOKUP($D178,$C$5:$AU$501,3,)=0,0,(VLOOKUP($D178,$C$5:$AU$501,26,)/VLOOKUP($D178,$C$5:$AU$501,3,))*$E178)</f>
        <v>0</v>
      </c>
      <c r="AC178" s="66">
        <f>IF(VLOOKUP($D178,$C$5:$AU$501,3,)=0,0,(VLOOKUP($D178,$C$5:$AU$501,27,)/VLOOKUP($D178,$C$5:$AU$501,3,))*$E178)</f>
        <v>0</v>
      </c>
      <c r="AD178" s="66">
        <f>IF(VLOOKUP($D178,$C$5:$AU$501,3,)=0,0,(VLOOKUP($D178,$C$5:$AU$501,28,)/VLOOKUP($D178,$C$5:$AU$501,3,))*$E178)</f>
        <v>0</v>
      </c>
      <c r="AE178" s="66">
        <f>IF(VLOOKUP($D178,$C$5:$AU$501,3,)=0,0,(VLOOKUP($D178,$C$5:$AU$501,29,)/VLOOKUP($D178,$C$5:$AU$501,3,))*$E178)</f>
        <v>0</v>
      </c>
      <c r="AF178" s="66">
        <f>IF(VLOOKUP($D178,$C$5:$AU$501,3,)=0,0,(VLOOKUP($D178,$C$5:$AU$501,30,)/VLOOKUP($D178,$C$5:$AU$501,3,))*$E178)</f>
        <v>0</v>
      </c>
      <c r="AG178" s="95">
        <f>SUM(F178:AF178)</f>
        <v>151183.23360375385</v>
      </c>
      <c r="AH178" s="31" t="str">
        <f>IF(ABS(E178-AG178)&lt;0.01,"ok","err")</f>
        <v>ok</v>
      </c>
    </row>
    <row r="179" spans="1:34" x14ac:dyDescent="0.2">
      <c r="A179" s="14" t="s">
        <v>228</v>
      </c>
      <c r="E179" s="66">
        <f t="shared" ref="E179:T179" si="37">E177+E178</f>
        <v>151183.23360375385</v>
      </c>
      <c r="F179" s="66">
        <f t="shared" si="37"/>
        <v>126493.03188107723</v>
      </c>
      <c r="G179" s="66">
        <f t="shared" si="37"/>
        <v>94.619426677723141</v>
      </c>
      <c r="H179" s="66">
        <f t="shared" si="37"/>
        <v>21454.954999173719</v>
      </c>
      <c r="I179" s="66">
        <f t="shared" si="37"/>
        <v>0.78849522231435931</v>
      </c>
      <c r="J179" s="66">
        <f t="shared" si="37"/>
        <v>404.76088078803775</v>
      </c>
      <c r="K179" s="66">
        <f t="shared" si="37"/>
        <v>0</v>
      </c>
      <c r="L179" s="66">
        <f t="shared" si="37"/>
        <v>0</v>
      </c>
      <c r="M179" s="66">
        <f t="shared" si="37"/>
        <v>2615.1758206759582</v>
      </c>
      <c r="N179" s="66">
        <f t="shared" si="37"/>
        <v>119.90210013886559</v>
      </c>
      <c r="O179" s="66">
        <f t="shared" si="37"/>
        <v>0</v>
      </c>
      <c r="P179" s="66">
        <f t="shared" si="37"/>
        <v>0</v>
      </c>
      <c r="Q179" s="66">
        <f t="shared" si="37"/>
        <v>0</v>
      </c>
      <c r="R179" s="66">
        <f t="shared" si="37"/>
        <v>0</v>
      </c>
      <c r="S179" s="66">
        <f t="shared" si="37"/>
        <v>0</v>
      </c>
      <c r="T179" s="66">
        <f t="shared" si="37"/>
        <v>0</v>
      </c>
      <c r="U179" s="66">
        <f t="shared" ref="U179:AF179" si="38">U177+U178</f>
        <v>0</v>
      </c>
      <c r="V179" s="66">
        <f t="shared" si="38"/>
        <v>0</v>
      </c>
      <c r="W179" s="66">
        <f t="shared" si="38"/>
        <v>0</v>
      </c>
      <c r="X179" s="66">
        <f t="shared" si="38"/>
        <v>0</v>
      </c>
      <c r="Y179" s="66">
        <f t="shared" si="38"/>
        <v>0</v>
      </c>
      <c r="Z179" s="66">
        <f t="shared" si="38"/>
        <v>0</v>
      </c>
      <c r="AA179" s="66">
        <f t="shared" si="38"/>
        <v>0</v>
      </c>
      <c r="AB179" s="66">
        <f t="shared" si="38"/>
        <v>0</v>
      </c>
      <c r="AC179" s="66">
        <f t="shared" si="38"/>
        <v>0</v>
      </c>
      <c r="AD179" s="66">
        <f t="shared" si="38"/>
        <v>0</v>
      </c>
      <c r="AE179" s="66">
        <f t="shared" si="38"/>
        <v>0</v>
      </c>
      <c r="AF179" s="66">
        <f t="shared" si="38"/>
        <v>0</v>
      </c>
      <c r="AG179" s="95">
        <f>SUM(F179:AF179)</f>
        <v>151183.23360375385</v>
      </c>
      <c r="AH179" s="31" t="str">
        <f>IF(ABS(E179-AG179)&lt;0.01,"ok","err")</f>
        <v>ok</v>
      </c>
    </row>
    <row r="180" spans="1:34" x14ac:dyDescent="0.2">
      <c r="E180" s="50"/>
    </row>
    <row r="181" spans="1:34" x14ac:dyDescent="0.2">
      <c r="A181" s="13" t="s">
        <v>4</v>
      </c>
      <c r="E181" s="50"/>
    </row>
    <row r="182" spans="1:34" x14ac:dyDescent="0.2">
      <c r="A182" s="98" t="s">
        <v>221</v>
      </c>
      <c r="C182" s="14" t="s">
        <v>282</v>
      </c>
      <c r="D182" s="14" t="s">
        <v>230</v>
      </c>
      <c r="E182" s="66">
        <f>'Func &amp; Classif'!U463</f>
        <v>1754564.4686053779</v>
      </c>
      <c r="F182" s="66">
        <f>IF(VLOOKUP($D182,$C$5:$AU$501,3,)=0,0,(VLOOKUP($D182,$C$5:$AU$501,4,)/VLOOKUP($D182,$C$5:$AU$501,3,))*$E182)</f>
        <v>1488822.1997155112</v>
      </c>
      <c r="G182" s="66">
        <f>IF(VLOOKUP($D182,$C$5:$AU$501,3,)=0,0,(VLOOKUP($D182,$C$5:$AU$501,5,)/VLOOKUP($D182,$C$5:$AU$501,3,))*$E182)</f>
        <v>11136.700644078875</v>
      </c>
      <c r="H182" s="66">
        <f>IF(VLOOKUP($D182,$C$5:$AU$501,3,)=0,0,(VLOOKUP($D182,$C$5:$AU$501,6,)/VLOOKUP($D182,$C$5:$AU$501,3,))*$E182)</f>
        <v>187784.88925372076</v>
      </c>
      <c r="I182" s="66">
        <f>IF(VLOOKUP($D182,$C$5:$AU$501,3,)=0,0,(VLOOKUP($D182,$C$5:$AU$501,7,)/VLOOKUP($D182,$C$5:$AU$501,3,))*$E182)</f>
        <v>155.27967689116932</v>
      </c>
      <c r="J182" s="66">
        <f>IF(VLOOKUP($D182,$C$5:$AU$501,3,)=0,0,(VLOOKUP($D182,$C$5:$AU$501,8,)/VLOOKUP($D182,$C$5:$AU$501,3,))*$E182)</f>
        <v>12809.343210374709</v>
      </c>
      <c r="K182" s="66">
        <f>IF(VLOOKUP($D182,$C$5:$AU$501,3,)=0,0,(VLOOKUP($D182,$C$5:$AU$501,9,)/VLOOKUP($D182,$C$5:$AU$501,3,))*$E182)</f>
        <v>665.42042651297197</v>
      </c>
      <c r="L182" s="66">
        <f>IF(VLOOKUP($D182,$C$5:$AU$501,3,)=0,0,(VLOOKUP($D182,$C$5:$AU$501,10,)/VLOOKUP($D182,$C$5:$AU$501,3,))*$E182)</f>
        <v>499.06531988472898</v>
      </c>
      <c r="M182" s="66">
        <f>IF(VLOOKUP($D182,$C$5:$AU$501,3,)=0,0,(VLOOKUP($D182,$C$5:$AU$501,11,)/VLOOKUP($D182,$C$5:$AU$501,3,))*$E182)</f>
        <v>51501.092835571159</v>
      </c>
      <c r="N182" s="66">
        <f>IF(VLOOKUP($D182,$C$5:$AU$501,3,)=0,0,(VLOOKUP($D182,$C$5:$AU$501,12,)/VLOOKUP($D182,$C$5:$AU$501,3,))*$E182)</f>
        <v>1190.4775228322983</v>
      </c>
      <c r="O182" s="66">
        <f>IF(VLOOKUP($D182,$C$5:$AU$501,3,)=0,0,(VLOOKUP($D182,$C$5:$AU$501,13,)/VLOOKUP($D182,$C$5:$AU$501,3,))*$E182)</f>
        <v>0</v>
      </c>
      <c r="P182" s="66">
        <f>IF(VLOOKUP($D182,$C$5:$AU$501,3,)=0,0,(VLOOKUP($D182,$C$5:$AU$501,14,)/VLOOKUP($D182,$C$5:$AU$501,3,))*$E182)</f>
        <v>0</v>
      </c>
      <c r="Q182" s="66">
        <f>IF(VLOOKUP($D182,$C$5:$AU$501,3,)=0,0,(VLOOKUP($D182,$C$5:$AU$501,15,)/VLOOKUP($D182,$C$5:$AU$501,3,))*$E182)</f>
        <v>0</v>
      </c>
      <c r="R182" s="66">
        <f>IF(VLOOKUP($D182,$C$5:$AU$501,3,)=0,0,(VLOOKUP($D182,$C$5:$AU$501,16,)/VLOOKUP($D182,$C$5:$AU$501,3,))*$E182)</f>
        <v>0</v>
      </c>
      <c r="S182" s="66">
        <f>IF(VLOOKUP($D182,$C$5:$AU$501,3,)=0,0,(VLOOKUP($D182,$C$5:$AU$501,17,)/VLOOKUP($D182,$C$5:$AU$501,3,))*$E182)</f>
        <v>0</v>
      </c>
      <c r="T182" s="66">
        <f>IF(VLOOKUP($D182,$C$5:$AU$501,3,)=0,0,(VLOOKUP($D182,$C$5:$AU$501,18,)/VLOOKUP($D182,$C$5:$AU$501,3,))*$E182)</f>
        <v>0</v>
      </c>
      <c r="U182" s="66">
        <f>IF(VLOOKUP($D182,$C$5:$AU$501,3,)=0,0,(VLOOKUP($D182,$C$5:$AU$501,19,)/VLOOKUP($D182,$C$5:$AU$501,3,))*$E182)</f>
        <v>0</v>
      </c>
      <c r="V182" s="66">
        <f>IF(VLOOKUP($D182,$C$5:$AU$501,3,)=0,0,(VLOOKUP($D182,$C$5:$AU$501,20,)/VLOOKUP($D182,$C$5:$AU$501,3,))*$E182)</f>
        <v>0</v>
      </c>
      <c r="W182" s="66">
        <f>IF(VLOOKUP($D182,$C$5:$AU$501,3,)=0,0,(VLOOKUP($D182,$C$5:$AU$501,21,)/VLOOKUP($D182,$C$5:$AU$501,3,))*$E182)</f>
        <v>0</v>
      </c>
      <c r="X182" s="66">
        <f>IF(VLOOKUP($D182,$C$5:$AU$501,3,)=0,0,(VLOOKUP($D182,$C$5:$AU$501,22,)/VLOOKUP($D182,$C$5:$AU$501,3,))*$E182)</f>
        <v>0</v>
      </c>
      <c r="Y182" s="66">
        <f>IF(VLOOKUP($D182,$C$5:$AU$501,3,)=0,0,(VLOOKUP($D182,$C$5:$AU$501,23,)/VLOOKUP($D182,$C$5:$AU$501,3,))*$E182)</f>
        <v>0</v>
      </c>
      <c r="Z182" s="66">
        <f>IF(VLOOKUP($D182,$C$5:$AU$501,3,)=0,0,(VLOOKUP($D182,$C$5:$AU$501,24,)/VLOOKUP($D182,$C$5:$AU$501,3,))*$E182)</f>
        <v>0</v>
      </c>
      <c r="AA182" s="66">
        <f>IF(VLOOKUP($D182,$C$5:$AU$501,3,)=0,0,(VLOOKUP($D182,$C$5:$AU$501,25,)/VLOOKUP($D182,$C$5:$AU$501,3,))*$E182)</f>
        <v>0</v>
      </c>
      <c r="AB182" s="66">
        <f>IF(VLOOKUP($D182,$C$5:$AU$501,3,)=0,0,(VLOOKUP($D182,$C$5:$AU$501,26,)/VLOOKUP($D182,$C$5:$AU$501,3,))*$E182)</f>
        <v>0</v>
      </c>
      <c r="AC182" s="66">
        <f>IF(VLOOKUP($D182,$C$5:$AU$501,3,)=0,0,(VLOOKUP($D182,$C$5:$AU$501,27,)/VLOOKUP($D182,$C$5:$AU$501,3,))*$E182)</f>
        <v>0</v>
      </c>
      <c r="AD182" s="66">
        <f>IF(VLOOKUP($D182,$C$5:$AU$501,3,)=0,0,(VLOOKUP($D182,$C$5:$AU$501,28,)/VLOOKUP($D182,$C$5:$AU$501,3,))*$E182)</f>
        <v>0</v>
      </c>
      <c r="AE182" s="66">
        <f>IF(VLOOKUP($D182,$C$5:$AU$501,3,)=0,0,(VLOOKUP($D182,$C$5:$AU$501,29,)/VLOOKUP($D182,$C$5:$AU$501,3,))*$E182)</f>
        <v>0</v>
      </c>
      <c r="AF182" s="66">
        <f>IF(VLOOKUP($D182,$C$5:$AU$501,3,)=0,0,(VLOOKUP($D182,$C$5:$AU$501,30,)/VLOOKUP($D182,$C$5:$AU$501,3,))*$E182)</f>
        <v>0</v>
      </c>
      <c r="AG182" s="95">
        <f>SUM(F182:AF182)</f>
        <v>1754564.4686053779</v>
      </c>
      <c r="AH182" s="31" t="str">
        <f>IF(ABS(E182-AG182)&lt;0.01,"ok","err")</f>
        <v>ok</v>
      </c>
    </row>
    <row r="183" spans="1:34" x14ac:dyDescent="0.2">
      <c r="E183" s="50"/>
    </row>
    <row r="184" spans="1:34" x14ac:dyDescent="0.2">
      <c r="A184" s="13" t="s">
        <v>5</v>
      </c>
      <c r="E184" s="50"/>
    </row>
    <row r="185" spans="1:34" x14ac:dyDescent="0.2">
      <c r="A185" s="98" t="s">
        <v>221</v>
      </c>
      <c r="C185" s="14" t="s">
        <v>283</v>
      </c>
      <c r="D185" s="14" t="s">
        <v>232</v>
      </c>
      <c r="E185" s="66">
        <f>'Func &amp; Classif'!W463</f>
        <v>48343.043836462733</v>
      </c>
      <c r="F185" s="66">
        <f>IF(VLOOKUP($D185,$C$5:$AU$501,3,)=0,0,(VLOOKUP($D185,$C$5:$AU$501,4,)/VLOOKUP($D185,$C$5:$AU$501,3,))*$E185)</f>
        <v>0</v>
      </c>
      <c r="G185" s="66">
        <f>IF(VLOOKUP($D185,$C$5:$AU$501,3,)=0,0,(VLOOKUP($D185,$C$5:$AU$501,5,)/VLOOKUP($D185,$C$5:$AU$501,3,))*$E185)</f>
        <v>0</v>
      </c>
      <c r="H185" s="66">
        <f>IF(VLOOKUP($D185,$C$5:$AU$501,3,)=0,0,(VLOOKUP($D185,$C$5:$AU$501,6,)/VLOOKUP($D185,$C$5:$AU$501,3,))*$E185)</f>
        <v>0</v>
      </c>
      <c r="I185" s="66">
        <f>IF(VLOOKUP($D185,$C$5:$AU$501,3,)=0,0,(VLOOKUP($D185,$C$5:$AU$501,7,)/VLOOKUP($D185,$C$5:$AU$501,3,))*$E185)</f>
        <v>0</v>
      </c>
      <c r="J185" s="66">
        <f>IF(VLOOKUP($D185,$C$5:$AU$501,3,)=0,0,(VLOOKUP($D185,$C$5:$AU$501,8,)/VLOOKUP($D185,$C$5:$AU$501,3,))*$E185)</f>
        <v>0</v>
      </c>
      <c r="K185" s="66">
        <f>IF(VLOOKUP($D185,$C$5:$AU$501,3,)=0,0,(VLOOKUP($D185,$C$5:$AU$501,9,)/VLOOKUP($D185,$C$5:$AU$501,3,))*$E185)</f>
        <v>0</v>
      </c>
      <c r="L185" s="66">
        <f>IF(VLOOKUP($D185,$C$5:$AU$501,3,)=0,0,(VLOOKUP($D185,$C$5:$AU$501,10,)/VLOOKUP($D185,$C$5:$AU$501,3,))*$E185)</f>
        <v>0</v>
      </c>
      <c r="M185" s="66">
        <f>IF(VLOOKUP($D185,$C$5:$AU$501,3,)=0,0,(VLOOKUP($D185,$C$5:$AU$501,11,)/VLOOKUP($D185,$C$5:$AU$501,3,))*$E185)</f>
        <v>0</v>
      </c>
      <c r="N185" s="66">
        <f>IF(VLOOKUP($D185,$C$5:$AU$501,3,)=0,0,(VLOOKUP($D185,$C$5:$AU$501,12,)/VLOOKUP($D185,$C$5:$AU$501,3,))*$E185)</f>
        <v>0</v>
      </c>
      <c r="O185" s="66">
        <f>IF(VLOOKUP($D185,$C$5:$AU$501,3,)=0,0,(VLOOKUP($D185,$C$5:$AU$501,13,)/VLOOKUP($D185,$C$5:$AU$501,3,))*$E185)</f>
        <v>48343.043836462733</v>
      </c>
      <c r="P185" s="66">
        <f>IF(VLOOKUP($D185,$C$5:$AU$501,3,)=0,0,(VLOOKUP($D185,$C$5:$AU$501,14,)/VLOOKUP($D185,$C$5:$AU$501,3,))*$E185)</f>
        <v>0</v>
      </c>
      <c r="Q185" s="66">
        <f>IF(VLOOKUP($D185,$C$5:$AU$501,3,)=0,0,(VLOOKUP($D185,$C$5:$AU$501,15,)/VLOOKUP($D185,$C$5:$AU$501,3,))*$E185)</f>
        <v>0</v>
      </c>
      <c r="R185" s="66">
        <f>IF(VLOOKUP($D185,$C$5:$AU$501,3,)=0,0,(VLOOKUP($D185,$C$5:$AU$501,16,)/VLOOKUP($D185,$C$5:$AU$501,3,))*$E185)</f>
        <v>0</v>
      </c>
      <c r="S185" s="66">
        <f>IF(VLOOKUP($D185,$C$5:$AU$501,3,)=0,0,(VLOOKUP($D185,$C$5:$AU$501,17,)/VLOOKUP($D185,$C$5:$AU$501,3,))*$E185)</f>
        <v>0</v>
      </c>
      <c r="T185" s="66">
        <f>IF(VLOOKUP($D185,$C$5:$AU$501,3,)=0,0,(VLOOKUP($D185,$C$5:$AU$501,18,)/VLOOKUP($D185,$C$5:$AU$501,3,))*$E185)</f>
        <v>0</v>
      </c>
      <c r="U185" s="66">
        <f>IF(VLOOKUP($D185,$C$5:$AU$501,3,)=0,0,(VLOOKUP($D185,$C$5:$AU$501,19,)/VLOOKUP($D185,$C$5:$AU$501,3,))*$E185)</f>
        <v>0</v>
      </c>
      <c r="V185" s="66">
        <f>IF(VLOOKUP($D185,$C$5:$AU$501,3,)=0,0,(VLOOKUP($D185,$C$5:$AU$501,20,)/VLOOKUP($D185,$C$5:$AU$501,3,))*$E185)</f>
        <v>0</v>
      </c>
      <c r="W185" s="66">
        <f>IF(VLOOKUP($D185,$C$5:$AU$501,3,)=0,0,(VLOOKUP($D185,$C$5:$AU$501,21,)/VLOOKUP($D185,$C$5:$AU$501,3,))*$E185)</f>
        <v>0</v>
      </c>
      <c r="X185" s="66">
        <f>IF(VLOOKUP($D185,$C$5:$AU$501,3,)=0,0,(VLOOKUP($D185,$C$5:$AU$501,22,)/VLOOKUP($D185,$C$5:$AU$501,3,))*$E185)</f>
        <v>0</v>
      </c>
      <c r="Y185" s="66">
        <f>IF(VLOOKUP($D185,$C$5:$AU$501,3,)=0,0,(VLOOKUP($D185,$C$5:$AU$501,23,)/VLOOKUP($D185,$C$5:$AU$501,3,))*$E185)</f>
        <v>0</v>
      </c>
      <c r="Z185" s="66">
        <f>IF(VLOOKUP($D185,$C$5:$AU$501,3,)=0,0,(VLOOKUP($D185,$C$5:$AU$501,24,)/VLOOKUP($D185,$C$5:$AU$501,3,))*$E185)</f>
        <v>0</v>
      </c>
      <c r="AA185" s="66">
        <f>IF(VLOOKUP($D185,$C$5:$AU$501,3,)=0,0,(VLOOKUP($D185,$C$5:$AU$501,25,)/VLOOKUP($D185,$C$5:$AU$501,3,))*$E185)</f>
        <v>0</v>
      </c>
      <c r="AB185" s="66">
        <f>IF(VLOOKUP($D185,$C$5:$AU$501,3,)=0,0,(VLOOKUP($D185,$C$5:$AU$501,26,)/VLOOKUP($D185,$C$5:$AU$501,3,))*$E185)</f>
        <v>0</v>
      </c>
      <c r="AC185" s="66">
        <f>IF(VLOOKUP($D185,$C$5:$AU$501,3,)=0,0,(VLOOKUP($D185,$C$5:$AU$501,27,)/VLOOKUP($D185,$C$5:$AU$501,3,))*$E185)</f>
        <v>0</v>
      </c>
      <c r="AD185" s="66">
        <f>IF(VLOOKUP($D185,$C$5:$AU$501,3,)=0,0,(VLOOKUP($D185,$C$5:$AU$501,28,)/VLOOKUP($D185,$C$5:$AU$501,3,))*$E185)</f>
        <v>0</v>
      </c>
      <c r="AE185" s="66">
        <f>IF(VLOOKUP($D185,$C$5:$AU$501,3,)=0,0,(VLOOKUP($D185,$C$5:$AU$501,29,)/VLOOKUP($D185,$C$5:$AU$501,3,))*$E185)</f>
        <v>0</v>
      </c>
      <c r="AF185" s="66">
        <f>IF(VLOOKUP($D185,$C$5:$AU$501,3,)=0,0,(VLOOKUP($D185,$C$5:$AU$501,30,)/VLOOKUP($D185,$C$5:$AU$501,3,))*$E185)</f>
        <v>0</v>
      </c>
      <c r="AG185" s="95">
        <f>SUM(F185:AF185)</f>
        <v>48343.043836462733</v>
      </c>
      <c r="AH185" s="31" t="str">
        <f>IF(ABS(E185-AG185)&lt;0.01,"ok","err")</f>
        <v>ok</v>
      </c>
    </row>
    <row r="186" spans="1:34" x14ac:dyDescent="0.2">
      <c r="E186" s="50"/>
    </row>
    <row r="187" spans="1:34" x14ac:dyDescent="0.2">
      <c r="A187" s="13" t="s">
        <v>545</v>
      </c>
      <c r="E187" s="50"/>
    </row>
    <row r="188" spans="1:34" x14ac:dyDescent="0.2">
      <c r="A188" s="98" t="s">
        <v>221</v>
      </c>
      <c r="C188" s="14" t="s">
        <v>284</v>
      </c>
      <c r="D188" s="14" t="s">
        <v>234</v>
      </c>
      <c r="E188" s="66">
        <f>'Func &amp; Classif'!Y463</f>
        <v>3100671.910289607</v>
      </c>
      <c r="F188" s="66">
        <f>IF(VLOOKUP($D188,$C$5:$AU$501,3,)=0,0,(VLOOKUP($D188,$C$5:$AU$501,4,)/VLOOKUP($D188,$C$5:$AU$501,3,))*$E188)</f>
        <v>2818723.4284676886</v>
      </c>
      <c r="G188" s="66">
        <f>IF(VLOOKUP($D188,$C$5:$AU$501,3,)=0,0,(VLOOKUP($D188,$C$5:$AU$501,5,)/VLOOKUP($D188,$C$5:$AU$501,3,))*$E188)</f>
        <v>0</v>
      </c>
      <c r="H188" s="66">
        <f>IF(VLOOKUP($D188,$C$5:$AU$501,3,)=0,0,(VLOOKUP($D188,$C$5:$AU$501,6,)/VLOOKUP($D188,$C$5:$AU$501,3,))*$E188)</f>
        <v>212486.30910883236</v>
      </c>
      <c r="I188" s="66">
        <f>IF(VLOOKUP($D188,$C$5:$AU$501,3,)=0,0,(VLOOKUP($D188,$C$5:$AU$501,7,)/VLOOKUP($D188,$C$5:$AU$501,3,))*$E188)</f>
        <v>0</v>
      </c>
      <c r="J188" s="66">
        <f>IF(VLOOKUP($D188,$C$5:$AU$501,3,)=0,0,(VLOOKUP($D188,$C$5:$AU$501,8,)/VLOOKUP($D188,$C$5:$AU$501,3,))*$E188)</f>
        <v>9019.5401330651002</v>
      </c>
      <c r="K188" s="66">
        <f>IF(VLOOKUP($D188,$C$5:$AU$501,3,)=0,0,(VLOOKUP($D188,$C$5:$AU$501,9,)/VLOOKUP($D188,$C$5:$AU$501,3,))*$E188)</f>
        <v>468.54753938000522</v>
      </c>
      <c r="L188" s="66">
        <f>IF(VLOOKUP($D188,$C$5:$AU$501,3,)=0,0,(VLOOKUP($D188,$C$5:$AU$501,10,)/VLOOKUP($D188,$C$5:$AU$501,3,))*$E188)</f>
        <v>351.41065453500391</v>
      </c>
      <c r="M188" s="66">
        <f>IF(VLOOKUP($D188,$C$5:$AU$501,3,)=0,0,(VLOOKUP($D188,$C$5:$AU$501,11,)/VLOOKUP($D188,$C$5:$AU$501,3,))*$E188)</f>
        <v>58275.600210388155</v>
      </c>
      <c r="N188" s="66">
        <f>IF(VLOOKUP($D188,$C$5:$AU$501,3,)=0,0,(VLOOKUP($D188,$C$5:$AU$501,12,)/VLOOKUP($D188,$C$5:$AU$501,3,))*$E188)</f>
        <v>1347.0741757175149</v>
      </c>
      <c r="O188" s="66">
        <f>IF(VLOOKUP($D188,$C$5:$AU$501,3,)=0,0,(VLOOKUP($D188,$C$5:$AU$501,13,)/VLOOKUP($D188,$C$5:$AU$501,3,))*$E188)</f>
        <v>0</v>
      </c>
      <c r="P188" s="66">
        <f>IF(VLOOKUP($D188,$C$5:$AU$501,3,)=0,0,(VLOOKUP($D188,$C$5:$AU$501,14,)/VLOOKUP($D188,$C$5:$AU$501,3,))*$E188)</f>
        <v>0</v>
      </c>
      <c r="Q188" s="66">
        <f>IF(VLOOKUP($D188,$C$5:$AU$501,3,)=0,0,(VLOOKUP($D188,$C$5:$AU$501,15,)/VLOOKUP($D188,$C$5:$AU$501,3,))*$E188)</f>
        <v>0</v>
      </c>
      <c r="R188" s="66">
        <f>IF(VLOOKUP($D188,$C$5:$AU$501,3,)=0,0,(VLOOKUP($D188,$C$5:$AU$501,16,)/VLOOKUP($D188,$C$5:$AU$501,3,))*$E188)</f>
        <v>0</v>
      </c>
      <c r="S188" s="66">
        <f>IF(VLOOKUP($D188,$C$5:$AU$501,3,)=0,0,(VLOOKUP($D188,$C$5:$AU$501,17,)/VLOOKUP($D188,$C$5:$AU$501,3,))*$E188)</f>
        <v>0</v>
      </c>
      <c r="T188" s="66">
        <f>IF(VLOOKUP($D188,$C$5:$AU$501,3,)=0,0,(VLOOKUP($D188,$C$5:$AU$501,18,)/VLOOKUP($D188,$C$5:$AU$501,3,))*$E188)</f>
        <v>0</v>
      </c>
      <c r="U188" s="66">
        <f>IF(VLOOKUP($D188,$C$5:$AU$501,3,)=0,0,(VLOOKUP($D188,$C$5:$AU$501,19,)/VLOOKUP($D188,$C$5:$AU$501,3,))*$E188)</f>
        <v>0</v>
      </c>
      <c r="V188" s="66">
        <f>IF(VLOOKUP($D188,$C$5:$AU$501,3,)=0,0,(VLOOKUP($D188,$C$5:$AU$501,20,)/VLOOKUP($D188,$C$5:$AU$501,3,))*$E188)</f>
        <v>0</v>
      </c>
      <c r="W188" s="66">
        <f>IF(VLOOKUP($D188,$C$5:$AU$501,3,)=0,0,(VLOOKUP($D188,$C$5:$AU$501,21,)/VLOOKUP($D188,$C$5:$AU$501,3,))*$E188)</f>
        <v>0</v>
      </c>
      <c r="X188" s="66">
        <f>IF(VLOOKUP($D188,$C$5:$AU$501,3,)=0,0,(VLOOKUP($D188,$C$5:$AU$501,22,)/VLOOKUP($D188,$C$5:$AU$501,3,))*$E188)</f>
        <v>0</v>
      </c>
      <c r="Y188" s="66">
        <f>IF(VLOOKUP($D188,$C$5:$AU$501,3,)=0,0,(VLOOKUP($D188,$C$5:$AU$501,23,)/VLOOKUP($D188,$C$5:$AU$501,3,))*$E188)</f>
        <v>0</v>
      </c>
      <c r="Z188" s="66">
        <f>IF(VLOOKUP($D188,$C$5:$AU$501,3,)=0,0,(VLOOKUP($D188,$C$5:$AU$501,24,)/VLOOKUP($D188,$C$5:$AU$501,3,))*$E188)</f>
        <v>0</v>
      </c>
      <c r="AA188" s="66">
        <f>IF(VLOOKUP($D188,$C$5:$AU$501,3,)=0,0,(VLOOKUP($D188,$C$5:$AU$501,25,)/VLOOKUP($D188,$C$5:$AU$501,3,))*$E188)</f>
        <v>0</v>
      </c>
      <c r="AB188" s="66">
        <f>IF(VLOOKUP($D188,$C$5:$AU$501,3,)=0,0,(VLOOKUP($D188,$C$5:$AU$501,26,)/VLOOKUP($D188,$C$5:$AU$501,3,))*$E188)</f>
        <v>0</v>
      </c>
      <c r="AC188" s="66">
        <f>IF(VLOOKUP($D188,$C$5:$AU$501,3,)=0,0,(VLOOKUP($D188,$C$5:$AU$501,27,)/VLOOKUP($D188,$C$5:$AU$501,3,))*$E188)</f>
        <v>0</v>
      </c>
      <c r="AD188" s="66">
        <f>IF(VLOOKUP($D188,$C$5:$AU$501,3,)=0,0,(VLOOKUP($D188,$C$5:$AU$501,28,)/VLOOKUP($D188,$C$5:$AU$501,3,))*$E188)</f>
        <v>0</v>
      </c>
      <c r="AE188" s="66">
        <f>IF(VLOOKUP($D188,$C$5:$AU$501,3,)=0,0,(VLOOKUP($D188,$C$5:$AU$501,29,)/VLOOKUP($D188,$C$5:$AU$501,3,))*$E188)</f>
        <v>0</v>
      </c>
      <c r="AF188" s="66">
        <f>IF(VLOOKUP($D188,$C$5:$AU$501,3,)=0,0,(VLOOKUP($D188,$C$5:$AU$501,30,)/VLOOKUP($D188,$C$5:$AU$501,3,))*$E188)</f>
        <v>0</v>
      </c>
      <c r="AG188" s="95">
        <f>SUM(F188:AF188)</f>
        <v>3100671.9102896065</v>
      </c>
      <c r="AH188" s="31" t="str">
        <f>IF(ABS(E188-AG188)&lt;0.01,"ok","err")</f>
        <v>ok</v>
      </c>
    </row>
    <row r="189" spans="1:34" x14ac:dyDescent="0.2">
      <c r="E189" s="50"/>
    </row>
    <row r="190" spans="1:34" x14ac:dyDescent="0.2">
      <c r="A190" s="13" t="s">
        <v>470</v>
      </c>
      <c r="E190" s="50"/>
    </row>
    <row r="191" spans="1:34" x14ac:dyDescent="0.2">
      <c r="A191" s="98" t="s">
        <v>221</v>
      </c>
      <c r="C191" s="14" t="s">
        <v>281</v>
      </c>
      <c r="D191" s="14" t="s">
        <v>235</v>
      </c>
      <c r="E191" s="66">
        <f>'Func &amp; Classif'!AA463</f>
        <v>9556.6637332566424</v>
      </c>
      <c r="F191" s="66">
        <f>IF(VLOOKUP($D191,$C$5:$AU$501,3,)=0,0,(VLOOKUP($D191,$C$5:$AU$501,4,)/VLOOKUP($D191,$C$5:$AU$501,3,))*$E191)</f>
        <v>8687.6627848065291</v>
      </c>
      <c r="G191" s="66">
        <f>IF(VLOOKUP($D191,$C$5:$AU$501,3,)=0,0,(VLOOKUP($D191,$C$5:$AU$501,5,)/VLOOKUP($D191,$C$5:$AU$501,3,))*$E191)</f>
        <v>0</v>
      </c>
      <c r="H191" s="66">
        <f>IF(VLOOKUP($D191,$C$5:$AU$501,3,)=0,0,(VLOOKUP($D191,$C$5:$AU$501,6,)/VLOOKUP($D191,$C$5:$AU$501,3,))*$E191)</f>
        <v>654.9097301572524</v>
      </c>
      <c r="I191" s="66">
        <f>IF(VLOOKUP($D191,$C$5:$AU$501,3,)=0,0,(VLOOKUP($D191,$C$5:$AU$501,7,)/VLOOKUP($D191,$C$5:$AU$501,3,))*$E191)</f>
        <v>0</v>
      </c>
      <c r="J191" s="66">
        <f>IF(VLOOKUP($D191,$C$5:$AU$501,3,)=0,0,(VLOOKUP($D191,$C$5:$AU$501,8,)/VLOOKUP($D191,$C$5:$AU$501,3,))*$E191)</f>
        <v>27.7993656130697</v>
      </c>
      <c r="K191" s="66">
        <f>IF(VLOOKUP($D191,$C$5:$AU$501,3,)=0,0,(VLOOKUP($D191,$C$5:$AU$501,9,)/VLOOKUP($D191,$C$5:$AU$501,3,))*$E191)</f>
        <v>1.4441228889906337</v>
      </c>
      <c r="L191" s="66">
        <f>IF(VLOOKUP($D191,$C$5:$AU$501,3,)=0,0,(VLOOKUP($D191,$C$5:$AU$501,10,)/VLOOKUP($D191,$C$5:$AU$501,3,))*$E191)</f>
        <v>1.0830921667429751</v>
      </c>
      <c r="M191" s="66">
        <f>IF(VLOOKUP($D191,$C$5:$AU$501,3,)=0,0,(VLOOKUP($D191,$C$5:$AU$501,11,)/VLOOKUP($D191,$C$5:$AU$501,3,))*$E191)</f>
        <v>179.61278431821009</v>
      </c>
      <c r="N191" s="66">
        <f>IF(VLOOKUP($D191,$C$5:$AU$501,3,)=0,0,(VLOOKUP($D191,$C$5:$AU$501,12,)/VLOOKUP($D191,$C$5:$AU$501,3,))*$E191)</f>
        <v>4.1518533058480713</v>
      </c>
      <c r="O191" s="66">
        <f>IF(VLOOKUP($D191,$C$5:$AU$501,3,)=0,0,(VLOOKUP($D191,$C$5:$AU$501,13,)/VLOOKUP($D191,$C$5:$AU$501,3,))*$E191)</f>
        <v>0</v>
      </c>
      <c r="P191" s="66">
        <f>IF(VLOOKUP($D191,$C$5:$AU$501,3,)=0,0,(VLOOKUP($D191,$C$5:$AU$501,14,)/VLOOKUP($D191,$C$5:$AU$501,3,))*$E191)</f>
        <v>0</v>
      </c>
      <c r="Q191" s="66">
        <f>IF(VLOOKUP($D191,$C$5:$AU$501,3,)=0,0,(VLOOKUP($D191,$C$5:$AU$501,15,)/VLOOKUP($D191,$C$5:$AU$501,3,))*$E191)</f>
        <v>0</v>
      </c>
      <c r="R191" s="66">
        <f>IF(VLOOKUP($D191,$C$5:$AU$501,3,)=0,0,(VLOOKUP($D191,$C$5:$AU$501,16,)/VLOOKUP($D191,$C$5:$AU$501,3,))*$E191)</f>
        <v>0</v>
      </c>
      <c r="S191" s="66">
        <f>IF(VLOOKUP($D191,$C$5:$AU$501,3,)=0,0,(VLOOKUP($D191,$C$5:$AU$501,17,)/VLOOKUP($D191,$C$5:$AU$501,3,))*$E191)</f>
        <v>0</v>
      </c>
      <c r="T191" s="66">
        <f>IF(VLOOKUP($D191,$C$5:$AU$501,3,)=0,0,(VLOOKUP($D191,$C$5:$AU$501,18,)/VLOOKUP($D191,$C$5:$AU$501,3,))*$E191)</f>
        <v>0</v>
      </c>
      <c r="U191" s="66">
        <f>IF(VLOOKUP($D191,$C$5:$AU$501,3,)=0,0,(VLOOKUP($D191,$C$5:$AU$501,19,)/VLOOKUP($D191,$C$5:$AU$501,3,))*$E191)</f>
        <v>0</v>
      </c>
      <c r="V191" s="66">
        <f>IF(VLOOKUP($D191,$C$5:$AU$501,3,)=0,0,(VLOOKUP($D191,$C$5:$AU$501,20,)/VLOOKUP($D191,$C$5:$AU$501,3,))*$E191)</f>
        <v>0</v>
      </c>
      <c r="W191" s="66">
        <f>IF(VLOOKUP($D191,$C$5:$AU$501,3,)=0,0,(VLOOKUP($D191,$C$5:$AU$501,21,)/VLOOKUP($D191,$C$5:$AU$501,3,))*$E191)</f>
        <v>0</v>
      </c>
      <c r="X191" s="66">
        <f>IF(VLOOKUP($D191,$C$5:$AU$501,3,)=0,0,(VLOOKUP($D191,$C$5:$AU$501,22,)/VLOOKUP($D191,$C$5:$AU$501,3,))*$E191)</f>
        <v>0</v>
      </c>
      <c r="Y191" s="66">
        <f>IF(VLOOKUP($D191,$C$5:$AU$501,3,)=0,0,(VLOOKUP($D191,$C$5:$AU$501,23,)/VLOOKUP($D191,$C$5:$AU$501,3,))*$E191)</f>
        <v>0</v>
      </c>
      <c r="Z191" s="66">
        <f>IF(VLOOKUP($D191,$C$5:$AU$501,3,)=0,0,(VLOOKUP($D191,$C$5:$AU$501,24,)/VLOOKUP($D191,$C$5:$AU$501,3,))*$E191)</f>
        <v>0</v>
      </c>
      <c r="AA191" s="66">
        <f>IF(VLOOKUP($D191,$C$5:$AU$501,3,)=0,0,(VLOOKUP($D191,$C$5:$AU$501,25,)/VLOOKUP($D191,$C$5:$AU$501,3,))*$E191)</f>
        <v>0</v>
      </c>
      <c r="AB191" s="66">
        <f>IF(VLOOKUP($D191,$C$5:$AU$501,3,)=0,0,(VLOOKUP($D191,$C$5:$AU$501,26,)/VLOOKUP($D191,$C$5:$AU$501,3,))*$E191)</f>
        <v>0</v>
      </c>
      <c r="AC191" s="66">
        <f>IF(VLOOKUP($D191,$C$5:$AU$501,3,)=0,0,(VLOOKUP($D191,$C$5:$AU$501,27,)/VLOOKUP($D191,$C$5:$AU$501,3,))*$E191)</f>
        <v>0</v>
      </c>
      <c r="AD191" s="66">
        <f>IF(VLOOKUP($D191,$C$5:$AU$501,3,)=0,0,(VLOOKUP($D191,$C$5:$AU$501,28,)/VLOOKUP($D191,$C$5:$AU$501,3,))*$E191)</f>
        <v>0</v>
      </c>
      <c r="AE191" s="66">
        <f>IF(VLOOKUP($D191,$C$5:$AU$501,3,)=0,0,(VLOOKUP($D191,$C$5:$AU$501,29,)/VLOOKUP($D191,$C$5:$AU$501,3,))*$E191)</f>
        <v>0</v>
      </c>
      <c r="AF191" s="66">
        <f>IF(VLOOKUP($D191,$C$5:$AU$501,3,)=0,0,(VLOOKUP($D191,$C$5:$AU$501,30,)/VLOOKUP($D191,$C$5:$AU$501,3,))*$E191)</f>
        <v>0</v>
      </c>
      <c r="AG191" s="95">
        <f>SUM(F191:AF191)</f>
        <v>9556.6637332566424</v>
      </c>
      <c r="AH191" s="31" t="str">
        <f>IF(ABS(E191-AG191)&lt;0.01,"ok","err")</f>
        <v>ok</v>
      </c>
    </row>
    <row r="192" spans="1:34" x14ac:dyDescent="0.2">
      <c r="E192" s="50"/>
    </row>
    <row r="193" spans="1:34" x14ac:dyDescent="0.2">
      <c r="A193" s="14" t="s">
        <v>0</v>
      </c>
      <c r="C193" s="14" t="s">
        <v>285</v>
      </c>
      <c r="E193" s="66">
        <f>E163+E166+E169+E174+E179+E182+E185+E188+E191</f>
        <v>11576623.000000002</v>
      </c>
      <c r="F193" s="66">
        <f t="shared" ref="F193:R193" si="39">F163+F166+F169+F174+F179+F182+F185+F188+F191</f>
        <v>10028949.717340333</v>
      </c>
      <c r="G193" s="66">
        <f t="shared" si="39"/>
        <v>11231.320070756599</v>
      </c>
      <c r="H193" s="66">
        <f t="shared" si="39"/>
        <v>674500.86030107981</v>
      </c>
      <c r="I193" s="66">
        <f t="shared" si="39"/>
        <v>156.06817211348368</v>
      </c>
      <c r="J193" s="66">
        <f t="shared" si="39"/>
        <v>200319.16901412202</v>
      </c>
      <c r="K193" s="66">
        <f t="shared" si="39"/>
        <v>122303.32926961766</v>
      </c>
      <c r="L193" s="66">
        <f t="shared" si="39"/>
        <v>95836.331015434174</v>
      </c>
      <c r="M193" s="66">
        <f t="shared" si="39"/>
        <v>312405.20701406995</v>
      </c>
      <c r="N193" s="66">
        <f t="shared" si="39"/>
        <v>46889.391014047163</v>
      </c>
      <c r="O193" s="66">
        <f t="shared" si="39"/>
        <v>84031.606788426507</v>
      </c>
      <c r="P193" s="66">
        <f t="shared" si="39"/>
        <v>0</v>
      </c>
      <c r="Q193" s="66">
        <f t="shared" si="39"/>
        <v>0</v>
      </c>
      <c r="R193" s="66">
        <f t="shared" si="39"/>
        <v>0</v>
      </c>
      <c r="S193" s="66">
        <f t="shared" ref="S193:AF193" si="40">S163+S169+S174+S179+S182+S185+S188+S191</f>
        <v>0</v>
      </c>
      <c r="T193" s="66">
        <f t="shared" si="40"/>
        <v>0</v>
      </c>
      <c r="U193" s="66">
        <f t="shared" si="40"/>
        <v>0</v>
      </c>
      <c r="V193" s="66">
        <f t="shared" si="40"/>
        <v>0</v>
      </c>
      <c r="W193" s="66">
        <f t="shared" si="40"/>
        <v>0</v>
      </c>
      <c r="X193" s="66">
        <f t="shared" si="40"/>
        <v>0</v>
      </c>
      <c r="Y193" s="66">
        <f t="shared" si="40"/>
        <v>0</v>
      </c>
      <c r="Z193" s="66">
        <f t="shared" si="40"/>
        <v>0</v>
      </c>
      <c r="AA193" s="66">
        <f t="shared" si="40"/>
        <v>0</v>
      </c>
      <c r="AB193" s="66">
        <f t="shared" si="40"/>
        <v>0</v>
      </c>
      <c r="AC193" s="66">
        <f t="shared" si="40"/>
        <v>0</v>
      </c>
      <c r="AD193" s="66">
        <f t="shared" si="40"/>
        <v>0</v>
      </c>
      <c r="AE193" s="66">
        <f t="shared" si="40"/>
        <v>0</v>
      </c>
      <c r="AF193" s="66">
        <f t="shared" si="40"/>
        <v>0</v>
      </c>
      <c r="AG193" s="95">
        <f>SUM(F193:AF193)</f>
        <v>11576623.000000002</v>
      </c>
      <c r="AH193" s="31" t="str">
        <f>IF(ABS(E193-AG193)&lt;0.01,"ok","err")</f>
        <v>ok</v>
      </c>
    </row>
    <row r="196" spans="1:34" x14ac:dyDescent="0.2">
      <c r="A196" s="29" t="s">
        <v>185</v>
      </c>
    </row>
    <row r="198" spans="1:34" x14ac:dyDescent="0.2">
      <c r="A198" s="13" t="s">
        <v>894</v>
      </c>
    </row>
    <row r="199" spans="1:34" x14ac:dyDescent="0.2">
      <c r="A199" s="98" t="s">
        <v>209</v>
      </c>
      <c r="C199" s="14" t="s">
        <v>286</v>
      </c>
      <c r="D199" s="14" t="s">
        <v>657</v>
      </c>
      <c r="E199" s="66">
        <f>'Func &amp; Classif'!H312</f>
        <v>0</v>
      </c>
      <c r="F199" s="66">
        <f>IF(VLOOKUP($D199,$C$5:$AU$501,3,)=0,0,(VLOOKUP($D199,$C$5:$AU$501,4,)/VLOOKUP($D199,$C$5:$AU$501,3,))*$E199)</f>
        <v>0</v>
      </c>
      <c r="G199" s="66">
        <f>IF(VLOOKUP($D199,$C$5:$AU$501,3,)=0,0,(VLOOKUP($D199,$C$5:$AU$501,5,)/VLOOKUP($D199,$C$5:$AU$501,3,))*$E199)</f>
        <v>0</v>
      </c>
      <c r="H199" s="66">
        <f>IF(VLOOKUP($D199,$C$5:$AU$501,3,)=0,0,(VLOOKUP($D199,$C$5:$AU$501,6,)/VLOOKUP($D199,$C$5:$AU$501,3,))*$E199)</f>
        <v>0</v>
      </c>
      <c r="I199" s="66">
        <f>IF(VLOOKUP($D199,$C$5:$AU$501,3,)=0,0,(VLOOKUP($D199,$C$5:$AU$501,7,)/VLOOKUP($D199,$C$5:$AU$501,3,))*$E199)</f>
        <v>0</v>
      </c>
      <c r="J199" s="66">
        <f>IF(VLOOKUP($D199,$C$5:$AU$501,3,)=0,0,(VLOOKUP($D199,$C$5:$AU$501,8,)/VLOOKUP($D199,$C$5:$AU$501,3,))*$E199)</f>
        <v>0</v>
      </c>
      <c r="K199" s="66">
        <f>IF(VLOOKUP($D199,$C$5:$AU$501,3,)=0,0,(VLOOKUP($D199,$C$5:$AU$501,9,)/VLOOKUP($D199,$C$5:$AU$501,3,))*$E199)</f>
        <v>0</v>
      </c>
      <c r="L199" s="66">
        <f>IF(VLOOKUP($D199,$C$5:$AU$501,3,)=0,0,(VLOOKUP($D199,$C$5:$AU$501,10,)/VLOOKUP($D199,$C$5:$AU$501,3,))*$E199)</f>
        <v>0</v>
      </c>
      <c r="M199" s="66">
        <f>IF(VLOOKUP($D199,$C$5:$AU$501,3,)=0,0,(VLOOKUP($D199,$C$5:$AU$501,11,)/VLOOKUP($D199,$C$5:$AU$501,3,))*$E199)</f>
        <v>0</v>
      </c>
      <c r="N199" s="66">
        <f>IF(VLOOKUP($D199,$C$5:$AU$501,3,)=0,0,(VLOOKUP($D199,$C$5:$AU$501,12,)/VLOOKUP($D199,$C$5:$AU$501,3,))*$E199)</f>
        <v>0</v>
      </c>
      <c r="O199" s="66">
        <f>IF(VLOOKUP($D199,$C$5:$AU$501,3,)=0,0,(VLOOKUP($D199,$C$5:$AU$501,13,)/VLOOKUP($D199,$C$5:$AU$501,3,))*$E199)</f>
        <v>0</v>
      </c>
      <c r="P199" s="66">
        <f>IF(VLOOKUP($D199,$C$5:$AU$501,3,)=0,0,(VLOOKUP($D199,$C$5:$AU$501,14,)/VLOOKUP($D199,$C$5:$AU$501,3,))*$E199)</f>
        <v>0</v>
      </c>
      <c r="Q199" s="66">
        <f>IF(VLOOKUP($D199,$C$5:$AU$501,3,)=0,0,(VLOOKUP($D199,$C$5:$AU$501,15,)/VLOOKUP($D199,$C$5:$AU$501,3,))*$E199)</f>
        <v>0</v>
      </c>
      <c r="R199" s="66">
        <f>IF(VLOOKUP($D199,$C$5:$AU$501,3,)=0,0,(VLOOKUP($D199,$C$5:$AU$501,16,)/VLOOKUP($D199,$C$5:$AU$501,3,))*$E199)</f>
        <v>0</v>
      </c>
      <c r="S199" s="66">
        <f>IF(VLOOKUP($D199,$C$5:$AU$501,3,)=0,0,(VLOOKUP($D199,$C$5:$AU$501,17,)/VLOOKUP($D199,$C$5:$AU$501,3,))*$E199)</f>
        <v>0</v>
      </c>
      <c r="T199" s="66">
        <f>IF(VLOOKUP($D199,$C$5:$AU$501,3,)=0,0,(VLOOKUP($D199,$C$5:$AU$501,18,)/VLOOKUP($D199,$C$5:$AU$501,3,))*$E199)</f>
        <v>0</v>
      </c>
      <c r="U199" s="66">
        <f>IF(VLOOKUP($D199,$C$5:$AU$501,3,)=0,0,(VLOOKUP($D199,$C$5:$AU$501,19,)/VLOOKUP($D199,$C$5:$AU$501,3,))*$E199)</f>
        <v>0</v>
      </c>
      <c r="V199" s="66">
        <f>IF(VLOOKUP($D199,$C$5:$AU$501,3,)=0,0,(VLOOKUP($D199,$C$5:$AU$501,20,)/VLOOKUP($D199,$C$5:$AU$501,3,))*$E199)</f>
        <v>0</v>
      </c>
      <c r="W199" s="66">
        <f>IF(VLOOKUP($D199,$C$5:$AU$501,3,)=0,0,(VLOOKUP($D199,$C$5:$AU$501,21,)/VLOOKUP($D199,$C$5:$AU$501,3,))*$E199)</f>
        <v>0</v>
      </c>
      <c r="X199" s="66">
        <f>IF(VLOOKUP($D199,$C$5:$AU$501,3,)=0,0,(VLOOKUP($D199,$C$5:$AU$501,22,)/VLOOKUP($D199,$C$5:$AU$501,3,))*$E199)</f>
        <v>0</v>
      </c>
      <c r="Y199" s="66">
        <f>IF(VLOOKUP($D199,$C$5:$AU$501,3,)=0,0,(VLOOKUP($D199,$C$5:$AU$501,23,)/VLOOKUP($D199,$C$5:$AU$501,3,))*$E199)</f>
        <v>0</v>
      </c>
      <c r="Z199" s="66">
        <f>IF(VLOOKUP($D199,$C$5:$AU$501,3,)=0,0,(VLOOKUP($D199,$C$5:$AU$501,24,)/VLOOKUP($D199,$C$5:$AU$501,3,))*$E199)</f>
        <v>0</v>
      </c>
      <c r="AA199" s="66">
        <f>IF(VLOOKUP($D199,$C$5:$AU$501,3,)=0,0,(VLOOKUP($D199,$C$5:$AU$501,25,)/VLOOKUP($D199,$C$5:$AU$501,3,))*$E199)</f>
        <v>0</v>
      </c>
      <c r="AB199" s="66">
        <f>IF(VLOOKUP($D199,$C$5:$AU$501,3,)=0,0,(VLOOKUP($D199,$C$5:$AU$501,26,)/VLOOKUP($D199,$C$5:$AU$501,3,))*$E199)</f>
        <v>0</v>
      </c>
      <c r="AC199" s="66">
        <f>IF(VLOOKUP($D199,$C$5:$AU$501,3,)=0,0,(VLOOKUP($D199,$C$5:$AU$501,27,)/VLOOKUP($D199,$C$5:$AU$501,3,))*$E199)</f>
        <v>0</v>
      </c>
      <c r="AD199" s="66">
        <f>IF(VLOOKUP($D199,$C$5:$AU$501,3,)=0,0,(VLOOKUP($D199,$C$5:$AU$501,28,)/VLOOKUP($D199,$C$5:$AU$501,3,))*$E199)</f>
        <v>0</v>
      </c>
      <c r="AE199" s="66">
        <f>IF(VLOOKUP($D199,$C$5:$AU$501,3,)=0,0,(VLOOKUP($D199,$C$5:$AU$501,29,)/VLOOKUP($D199,$C$5:$AU$501,3,))*$E199)</f>
        <v>0</v>
      </c>
      <c r="AF199" s="66">
        <f>IF(VLOOKUP($D199,$C$5:$AU$501,3,)=0,0,(VLOOKUP($D199,$C$5:$AU$501,30,)/VLOOKUP($D199,$C$5:$AU$501,3,))*$E199)</f>
        <v>0</v>
      </c>
      <c r="AG199" s="95">
        <f>SUM(F199:AF199)</f>
        <v>0</v>
      </c>
      <c r="AH199" s="31" t="str">
        <f>IF(ABS(E199-AG199)&lt;0.01,"ok","err")</f>
        <v>ok</v>
      </c>
    </row>
    <row r="200" spans="1:34" x14ac:dyDescent="0.2">
      <c r="A200" s="98" t="s">
        <v>212</v>
      </c>
      <c r="C200" s="14" t="s">
        <v>287</v>
      </c>
      <c r="D200" s="14" t="s">
        <v>666</v>
      </c>
      <c r="E200" s="50">
        <f>'Func &amp; Classif'!I312</f>
        <v>0</v>
      </c>
      <c r="F200" s="66">
        <f>IF(VLOOKUP($D200,$C$5:$AU$501,3,)=0,0,(VLOOKUP($D200,$C$5:$AU$501,4,)/VLOOKUP($D200,$C$5:$AU$501,3,))*$E200)</f>
        <v>0</v>
      </c>
      <c r="G200" s="66">
        <f>IF(VLOOKUP($D200,$C$5:$AU$501,3,)=0,0,(VLOOKUP($D200,$C$5:$AU$501,5,)/VLOOKUP($D200,$C$5:$AU$501,3,))*$E200)</f>
        <v>0</v>
      </c>
      <c r="H200" s="66">
        <f>IF(VLOOKUP($D200,$C$5:$AU$501,3,)=0,0,(VLOOKUP($D200,$C$5:$AU$501,6,)/VLOOKUP($D200,$C$5:$AU$501,3,))*$E200)</f>
        <v>0</v>
      </c>
      <c r="I200" s="66">
        <f>IF(VLOOKUP($D200,$C$5:$AU$501,3,)=0,0,(VLOOKUP($D200,$C$5:$AU$501,7,)/VLOOKUP($D200,$C$5:$AU$501,3,))*$E200)</f>
        <v>0</v>
      </c>
      <c r="J200" s="66">
        <f>IF(VLOOKUP($D200,$C$5:$AU$501,3,)=0,0,(VLOOKUP($D200,$C$5:$AU$501,8,)/VLOOKUP($D200,$C$5:$AU$501,3,))*$E200)</f>
        <v>0</v>
      </c>
      <c r="K200" s="66">
        <f>IF(VLOOKUP($D200,$C$5:$AU$501,3,)=0,0,(VLOOKUP($D200,$C$5:$AU$501,9,)/VLOOKUP($D200,$C$5:$AU$501,3,))*$E200)</f>
        <v>0</v>
      </c>
      <c r="L200" s="66">
        <f>IF(VLOOKUP($D200,$C$5:$AU$501,3,)=0,0,(VLOOKUP($D200,$C$5:$AU$501,10,)/VLOOKUP($D200,$C$5:$AU$501,3,))*$E200)</f>
        <v>0</v>
      </c>
      <c r="M200" s="66">
        <f>IF(VLOOKUP($D200,$C$5:$AU$501,3,)=0,0,(VLOOKUP($D200,$C$5:$AU$501,11,)/VLOOKUP($D200,$C$5:$AU$501,3,))*$E200)</f>
        <v>0</v>
      </c>
      <c r="N200" s="66">
        <f>IF(VLOOKUP($D200,$C$5:$AU$501,3,)=0,0,(VLOOKUP($D200,$C$5:$AU$501,12,)/VLOOKUP($D200,$C$5:$AU$501,3,))*$E200)</f>
        <v>0</v>
      </c>
      <c r="O200" s="66">
        <f>IF(VLOOKUP($D200,$C$5:$AU$501,3,)=0,0,(VLOOKUP($D200,$C$5:$AU$501,13,)/VLOOKUP($D200,$C$5:$AU$501,3,))*$E200)</f>
        <v>0</v>
      </c>
      <c r="P200" s="66">
        <f>IF(VLOOKUP($D200,$C$5:$AU$501,3,)=0,0,(VLOOKUP($D200,$C$5:$AU$501,14,)/VLOOKUP($D200,$C$5:$AU$501,3,))*$E200)</f>
        <v>0</v>
      </c>
      <c r="Q200" s="66">
        <f>IF(VLOOKUP($D200,$C$5:$AU$501,3,)=0,0,(VLOOKUP($D200,$C$5:$AU$501,15,)/VLOOKUP($D200,$C$5:$AU$501,3,))*$E200)</f>
        <v>0</v>
      </c>
      <c r="R200" s="66">
        <f>IF(VLOOKUP($D200,$C$5:$AU$501,3,)=0,0,(VLOOKUP($D200,$C$5:$AU$501,16,)/VLOOKUP($D200,$C$5:$AU$501,3,))*$E200)</f>
        <v>0</v>
      </c>
      <c r="S200" s="66">
        <f>IF(VLOOKUP($D200,$C$5:$AU$501,3,)=0,0,(VLOOKUP($D200,$C$5:$AU$501,17,)/VLOOKUP($D200,$C$5:$AU$501,3,))*$E200)</f>
        <v>0</v>
      </c>
      <c r="T200" s="66">
        <f>IF(VLOOKUP($D200,$C$5:$AU$501,3,)=0,0,(VLOOKUP($D200,$C$5:$AU$501,18,)/VLOOKUP($D200,$C$5:$AU$501,3,))*$E200)</f>
        <v>0</v>
      </c>
      <c r="U200" s="66">
        <f>IF(VLOOKUP($D200,$C$5:$AU$501,3,)=0,0,(VLOOKUP($D200,$C$5:$AU$501,19,)/VLOOKUP($D200,$C$5:$AU$501,3,))*$E200)</f>
        <v>0</v>
      </c>
      <c r="V200" s="66">
        <f>IF(VLOOKUP($D200,$C$5:$AU$501,3,)=0,0,(VLOOKUP($D200,$C$5:$AU$501,20,)/VLOOKUP($D200,$C$5:$AU$501,3,))*$E200)</f>
        <v>0</v>
      </c>
      <c r="W200" s="66">
        <f>IF(VLOOKUP($D200,$C$5:$AU$501,3,)=0,0,(VLOOKUP($D200,$C$5:$AU$501,21,)/VLOOKUP($D200,$C$5:$AU$501,3,))*$E200)</f>
        <v>0</v>
      </c>
      <c r="X200" s="66">
        <f>IF(VLOOKUP($D200,$C$5:$AU$501,3,)=0,0,(VLOOKUP($D200,$C$5:$AU$501,22,)/VLOOKUP($D200,$C$5:$AU$501,3,))*$E200)</f>
        <v>0</v>
      </c>
      <c r="Y200" s="66">
        <f>IF(VLOOKUP($D200,$C$5:$AU$501,3,)=0,0,(VLOOKUP($D200,$C$5:$AU$501,23,)/VLOOKUP($D200,$C$5:$AU$501,3,))*$E200)</f>
        <v>0</v>
      </c>
      <c r="Z200" s="66">
        <f>IF(VLOOKUP($D200,$C$5:$AU$501,3,)=0,0,(VLOOKUP($D200,$C$5:$AU$501,24,)/VLOOKUP($D200,$C$5:$AU$501,3,))*$E200)</f>
        <v>0</v>
      </c>
      <c r="AA200" s="66">
        <f>IF(VLOOKUP($D200,$C$5:$AU$501,3,)=0,0,(VLOOKUP($D200,$C$5:$AU$501,25,)/VLOOKUP($D200,$C$5:$AU$501,3,))*$E200)</f>
        <v>0</v>
      </c>
      <c r="AB200" s="66">
        <f>IF(VLOOKUP($D200,$C$5:$AU$501,3,)=0,0,(VLOOKUP($D200,$C$5:$AU$501,26,)/VLOOKUP($D200,$C$5:$AU$501,3,))*$E200)</f>
        <v>0</v>
      </c>
      <c r="AC200" s="66">
        <f>IF(VLOOKUP($D200,$C$5:$AU$501,3,)=0,0,(VLOOKUP($D200,$C$5:$AU$501,27,)/VLOOKUP($D200,$C$5:$AU$501,3,))*$E200)</f>
        <v>0</v>
      </c>
      <c r="AD200" s="66">
        <f>IF(VLOOKUP($D200,$C$5:$AU$501,3,)=0,0,(VLOOKUP($D200,$C$5:$AU$501,28,)/VLOOKUP($D200,$C$5:$AU$501,3,))*$E200)</f>
        <v>0</v>
      </c>
      <c r="AE200" s="66">
        <f>IF(VLOOKUP($D200,$C$5:$AU$501,3,)=0,0,(VLOOKUP($D200,$C$5:$AU$501,29,)/VLOOKUP($D200,$C$5:$AU$501,3,))*$E200)</f>
        <v>0</v>
      </c>
      <c r="AF200" s="66">
        <f>IF(VLOOKUP($D200,$C$5:$AU$501,3,)=0,0,(VLOOKUP($D200,$C$5:$AU$501,30,)/VLOOKUP($D200,$C$5:$AU$501,3,))*$E200)</f>
        <v>0</v>
      </c>
      <c r="AG200" s="95">
        <f>SUM(F200:AF200)</f>
        <v>0</v>
      </c>
      <c r="AH200" s="31" t="str">
        <f>IF(ABS(E200-AG200)&lt;0.01,"ok","err")</f>
        <v>ok</v>
      </c>
    </row>
    <row r="201" spans="1:34" x14ac:dyDescent="0.2">
      <c r="A201" s="14" t="s">
        <v>215</v>
      </c>
      <c r="C201" s="14" t="s">
        <v>288</v>
      </c>
      <c r="E201" s="50">
        <f t="shared" ref="E201:T201" si="41">E199+E200</f>
        <v>0</v>
      </c>
      <c r="F201" s="66">
        <f t="shared" si="41"/>
        <v>0</v>
      </c>
      <c r="G201" s="66">
        <f t="shared" si="41"/>
        <v>0</v>
      </c>
      <c r="H201" s="66">
        <f t="shared" si="41"/>
        <v>0</v>
      </c>
      <c r="I201" s="66">
        <f t="shared" si="41"/>
        <v>0</v>
      </c>
      <c r="J201" s="66">
        <f t="shared" si="41"/>
        <v>0</v>
      </c>
      <c r="K201" s="66">
        <f t="shared" si="41"/>
        <v>0</v>
      </c>
      <c r="L201" s="66">
        <f t="shared" si="41"/>
        <v>0</v>
      </c>
      <c r="M201" s="66">
        <f t="shared" si="41"/>
        <v>0</v>
      </c>
      <c r="N201" s="66">
        <f t="shared" si="41"/>
        <v>0</v>
      </c>
      <c r="O201" s="66">
        <f t="shared" si="41"/>
        <v>0</v>
      </c>
      <c r="P201" s="66">
        <f t="shared" si="41"/>
        <v>0</v>
      </c>
      <c r="Q201" s="66">
        <f t="shared" si="41"/>
        <v>0</v>
      </c>
      <c r="R201" s="66">
        <f t="shared" si="41"/>
        <v>0</v>
      </c>
      <c r="S201" s="66">
        <f t="shared" si="41"/>
        <v>0</v>
      </c>
      <c r="T201" s="66">
        <f t="shared" si="41"/>
        <v>0</v>
      </c>
      <c r="U201" s="66">
        <f t="shared" ref="U201:AF201" si="42">U199+U200</f>
        <v>0</v>
      </c>
      <c r="V201" s="66">
        <f t="shared" si="42"/>
        <v>0</v>
      </c>
      <c r="W201" s="66">
        <f t="shared" si="42"/>
        <v>0</v>
      </c>
      <c r="X201" s="66">
        <f t="shared" si="42"/>
        <v>0</v>
      </c>
      <c r="Y201" s="66">
        <f t="shared" si="42"/>
        <v>0</v>
      </c>
      <c r="Z201" s="66">
        <f t="shared" si="42"/>
        <v>0</v>
      </c>
      <c r="AA201" s="66">
        <f t="shared" si="42"/>
        <v>0</v>
      </c>
      <c r="AB201" s="66">
        <f t="shared" si="42"/>
        <v>0</v>
      </c>
      <c r="AC201" s="66">
        <f t="shared" si="42"/>
        <v>0</v>
      </c>
      <c r="AD201" s="66">
        <f t="shared" si="42"/>
        <v>0</v>
      </c>
      <c r="AE201" s="66">
        <f t="shared" si="42"/>
        <v>0</v>
      </c>
      <c r="AF201" s="66">
        <f t="shared" si="42"/>
        <v>0</v>
      </c>
      <c r="AG201" s="95">
        <f>SUM(F201:AF201)</f>
        <v>0</v>
      </c>
      <c r="AH201" s="31" t="str">
        <f>IF(ABS(E201-AG201)&lt;0.01,"ok","err")</f>
        <v>ok</v>
      </c>
    </row>
    <row r="202" spans="1:34" x14ac:dyDescent="0.2">
      <c r="E202" s="50"/>
      <c r="F202" s="50"/>
    </row>
    <row r="203" spans="1:34" x14ac:dyDescent="0.2">
      <c r="A203" s="13" t="s">
        <v>350</v>
      </c>
      <c r="E203" s="50"/>
      <c r="F203" s="50"/>
    </row>
    <row r="204" spans="1:34" x14ac:dyDescent="0.2">
      <c r="A204" s="98" t="s">
        <v>209</v>
      </c>
      <c r="C204" s="14" t="s">
        <v>888</v>
      </c>
      <c r="D204" s="14" t="s">
        <v>599</v>
      </c>
      <c r="E204" s="66">
        <f>'Func &amp; Classif'!K312</f>
        <v>0</v>
      </c>
      <c r="F204" s="66">
        <f>IF(VLOOKUP($D204,$C$5:$AU$501,3,)=0,0,(VLOOKUP($D204,$C$5:$AU$501,4,)/VLOOKUP($D204,$C$5:$AU$501,3,))*$E204)</f>
        <v>0</v>
      </c>
      <c r="G204" s="66">
        <f>IF(VLOOKUP($D204,$C$5:$AU$501,3,)=0,0,(VLOOKUP($D204,$C$5:$AU$501,5,)/VLOOKUP($D204,$C$5:$AU$501,3,))*$E204)</f>
        <v>0</v>
      </c>
      <c r="H204" s="66">
        <f>IF(VLOOKUP($D204,$C$5:$AU$501,3,)=0,0,(VLOOKUP($D204,$C$5:$AU$501,6,)/VLOOKUP($D204,$C$5:$AU$501,3,))*$E204)</f>
        <v>0</v>
      </c>
      <c r="I204" s="66">
        <f>IF(VLOOKUP($D204,$C$5:$AU$501,3,)=0,0,(VLOOKUP($D204,$C$5:$AU$501,7,)/VLOOKUP($D204,$C$5:$AU$501,3,))*$E204)</f>
        <v>0</v>
      </c>
      <c r="J204" s="66">
        <f>IF(VLOOKUP($D204,$C$5:$AU$501,3,)=0,0,(VLOOKUP($D204,$C$5:$AU$501,8,)/VLOOKUP($D204,$C$5:$AU$501,3,))*$E204)</f>
        <v>0</v>
      </c>
      <c r="K204" s="66">
        <f>IF(VLOOKUP($D204,$C$5:$AU$501,3,)=0,0,(VLOOKUP($D204,$C$5:$AU$501,9,)/VLOOKUP($D204,$C$5:$AU$501,3,))*$E204)</f>
        <v>0</v>
      </c>
      <c r="L204" s="66">
        <f>IF(VLOOKUP($D204,$C$5:$AU$501,3,)=0,0,(VLOOKUP($D204,$C$5:$AU$501,10,)/VLOOKUP($D204,$C$5:$AU$501,3,))*$E204)</f>
        <v>0</v>
      </c>
      <c r="M204" s="66">
        <f>IF(VLOOKUP($D204,$C$5:$AU$501,3,)=0,0,(VLOOKUP($D204,$C$5:$AU$501,11,)/VLOOKUP($D204,$C$5:$AU$501,3,))*$E204)</f>
        <v>0</v>
      </c>
      <c r="N204" s="66">
        <f>IF(VLOOKUP($D204,$C$5:$AU$501,3,)=0,0,(VLOOKUP($D204,$C$5:$AU$501,12,)/VLOOKUP($D204,$C$5:$AU$501,3,))*$E204)</f>
        <v>0</v>
      </c>
      <c r="O204" s="66">
        <f>IF(VLOOKUP($D204,$C$5:$AU$501,3,)=0,0,(VLOOKUP($D204,$C$5:$AU$501,13,)/VLOOKUP($D204,$C$5:$AU$501,3,))*$E204)</f>
        <v>0</v>
      </c>
      <c r="P204" s="66">
        <f>IF(VLOOKUP($D204,$C$5:$AU$501,3,)=0,0,(VLOOKUP($D204,$C$5:$AU$501,14,)/VLOOKUP($D204,$C$5:$AU$501,3,))*$E204)</f>
        <v>0</v>
      </c>
      <c r="Q204" s="66">
        <f>IF(VLOOKUP($D204,$C$5:$AU$501,3,)=0,0,(VLOOKUP($D204,$C$5:$AU$501,15,)/VLOOKUP($D204,$C$5:$AU$501,3,))*$E204)</f>
        <v>0</v>
      </c>
      <c r="R204" s="66">
        <f>IF(VLOOKUP($D204,$C$5:$AU$501,3,)=0,0,(VLOOKUP($D204,$C$5:$AU$501,16,)/VLOOKUP($D204,$C$5:$AU$501,3,))*$E204)</f>
        <v>0</v>
      </c>
      <c r="S204" s="66">
        <f>IF(VLOOKUP($D204,$C$5:$AU$501,3,)=0,0,(VLOOKUP($D204,$C$5:$AU$501,17,)/VLOOKUP($D204,$C$5:$AU$501,3,))*$E204)</f>
        <v>0</v>
      </c>
      <c r="T204" s="66">
        <f>IF(VLOOKUP($D204,$C$5:$AU$501,3,)=0,0,(VLOOKUP($D204,$C$5:$AU$501,18,)/VLOOKUP($D204,$C$5:$AU$501,3,))*$E204)</f>
        <v>0</v>
      </c>
      <c r="U204" s="66">
        <f>IF(VLOOKUP($D204,$C$5:$AU$501,3,)=0,0,(VLOOKUP($D204,$C$5:$AU$501,19,)/VLOOKUP($D204,$C$5:$AU$501,3,))*$E204)</f>
        <v>0</v>
      </c>
      <c r="V204" s="66">
        <f>IF(VLOOKUP($D204,$C$5:$AU$501,3,)=0,0,(VLOOKUP($D204,$C$5:$AU$501,20,)/VLOOKUP($D204,$C$5:$AU$501,3,))*$E204)</f>
        <v>0</v>
      </c>
      <c r="W204" s="66">
        <f>IF(VLOOKUP($D204,$C$5:$AU$501,3,)=0,0,(VLOOKUP($D204,$C$5:$AU$501,21,)/VLOOKUP($D204,$C$5:$AU$501,3,))*$E204)</f>
        <v>0</v>
      </c>
      <c r="X204" s="66">
        <f>IF(VLOOKUP($D204,$C$5:$AU$501,3,)=0,0,(VLOOKUP($D204,$C$5:$AU$501,22,)/VLOOKUP($D204,$C$5:$AU$501,3,))*$E204)</f>
        <v>0</v>
      </c>
      <c r="Y204" s="66">
        <f>IF(VLOOKUP($D204,$C$5:$AU$501,3,)=0,0,(VLOOKUP($D204,$C$5:$AU$501,23,)/VLOOKUP($D204,$C$5:$AU$501,3,))*$E204)</f>
        <v>0</v>
      </c>
      <c r="Z204" s="66">
        <f>IF(VLOOKUP($D204,$C$5:$AU$501,3,)=0,0,(VLOOKUP($D204,$C$5:$AU$501,24,)/VLOOKUP($D204,$C$5:$AU$501,3,))*$E204)</f>
        <v>0</v>
      </c>
      <c r="AA204" s="66">
        <f>IF(VLOOKUP($D204,$C$5:$AU$501,3,)=0,0,(VLOOKUP($D204,$C$5:$AU$501,25,)/VLOOKUP($D204,$C$5:$AU$501,3,))*$E204)</f>
        <v>0</v>
      </c>
      <c r="AB204" s="66">
        <f>IF(VLOOKUP($D204,$C$5:$AU$501,3,)=0,0,(VLOOKUP($D204,$C$5:$AU$501,26,)/VLOOKUP($D204,$C$5:$AU$501,3,))*$E204)</f>
        <v>0</v>
      </c>
      <c r="AC204" s="66">
        <f>IF(VLOOKUP($D204,$C$5:$AU$501,3,)=0,0,(VLOOKUP($D204,$C$5:$AU$501,27,)/VLOOKUP($D204,$C$5:$AU$501,3,))*$E204)</f>
        <v>0</v>
      </c>
      <c r="AD204" s="66">
        <f>IF(VLOOKUP($D204,$C$5:$AU$501,3,)=0,0,(VLOOKUP($D204,$C$5:$AU$501,28,)/VLOOKUP($D204,$C$5:$AU$501,3,))*$E204)</f>
        <v>0</v>
      </c>
      <c r="AE204" s="66">
        <f>IF(VLOOKUP($D204,$C$5:$AU$501,3,)=0,0,(VLOOKUP($D204,$C$5:$AU$501,29,)/VLOOKUP($D204,$C$5:$AU$501,3,))*$E204)</f>
        <v>0</v>
      </c>
      <c r="AF204" s="66">
        <f>IF(VLOOKUP($D204,$C$5:$AU$501,3,)=0,0,(VLOOKUP($D204,$C$5:$AU$501,30,)/VLOOKUP($D204,$C$5:$AU$501,3,))*$E204)</f>
        <v>0</v>
      </c>
      <c r="AG204" s="95">
        <f>SUM(F204:AF204)</f>
        <v>0</v>
      </c>
      <c r="AH204" s="31" t="str">
        <f>IF(ABS(E204-AG204)&lt;0.01,"ok","err")</f>
        <v>ok</v>
      </c>
    </row>
    <row r="205" spans="1:34" x14ac:dyDescent="0.2">
      <c r="E205" s="50"/>
    </row>
    <row r="206" spans="1:34" x14ac:dyDescent="0.2">
      <c r="A206" s="13" t="s">
        <v>1</v>
      </c>
      <c r="E206" s="50"/>
      <c r="F206" s="50"/>
    </row>
    <row r="207" spans="1:34" x14ac:dyDescent="0.2">
      <c r="A207" s="98" t="s">
        <v>209</v>
      </c>
      <c r="C207" s="14" t="s">
        <v>289</v>
      </c>
      <c r="D207" s="14" t="s">
        <v>615</v>
      </c>
      <c r="E207" s="66">
        <f>'Func &amp; Classif'!M312</f>
        <v>89433.576919695464</v>
      </c>
      <c r="F207" s="66">
        <f>IF(VLOOKUP($D207,$C$5:$AU$501,3,)=0,0,(VLOOKUP($D207,$C$5:$AU$501,4,)/VLOOKUP($D207,$C$5:$AU$501,3,))*$E207)</f>
        <v>66751.985839241854</v>
      </c>
      <c r="G207" s="66">
        <f>IF(VLOOKUP($D207,$C$5:$AU$501,3,)=0,0,(VLOOKUP($D207,$C$5:$AU$501,5,)/VLOOKUP($D207,$C$5:$AU$501,3,))*$E207)</f>
        <v>0</v>
      </c>
      <c r="H207" s="66">
        <f>IF(VLOOKUP($D207,$C$5:$AU$501,3,)=0,0,(VLOOKUP($D207,$C$5:$AU$501,6,)/VLOOKUP($D207,$C$5:$AU$501,3,))*$E207)</f>
        <v>4326.4772651423882</v>
      </c>
      <c r="I207" s="66">
        <f>IF(VLOOKUP($D207,$C$5:$AU$501,3,)=0,0,(VLOOKUP($D207,$C$5:$AU$501,7,)/VLOOKUP($D207,$C$5:$AU$501,3,))*$E207)</f>
        <v>0</v>
      </c>
      <c r="J207" s="66">
        <f>IF(VLOOKUP($D207,$C$5:$AU$501,3,)=0,0,(VLOOKUP($D207,$C$5:$AU$501,8,)/VLOOKUP($D207,$C$5:$AU$501,3,))*$E207)</f>
        <v>5458.1702955009769</v>
      </c>
      <c r="K207" s="66">
        <f>IF(VLOOKUP($D207,$C$5:$AU$501,3,)=0,0,(VLOOKUP($D207,$C$5:$AU$501,9,)/VLOOKUP($D207,$C$5:$AU$501,3,))*$E207)</f>
        <v>7123.2700333132661</v>
      </c>
      <c r="L207" s="66">
        <f>IF(VLOOKUP($D207,$C$5:$AU$501,3,)=0,0,(VLOOKUP($D207,$C$5:$AU$501,10,)/VLOOKUP($D207,$C$5:$AU$501,3,))*$E207)</f>
        <v>4611.3549072918768</v>
      </c>
      <c r="M207" s="66">
        <f>IF(VLOOKUP($D207,$C$5:$AU$501,3,)=0,0,(VLOOKUP($D207,$C$5:$AU$501,11,)/VLOOKUP($D207,$C$5:$AU$501,3,))*$E207)</f>
        <v>619.83521829663835</v>
      </c>
      <c r="N207" s="66">
        <f>IF(VLOOKUP($D207,$C$5:$AU$501,3,)=0,0,(VLOOKUP($D207,$C$5:$AU$501,12,)/VLOOKUP($D207,$C$5:$AU$501,3,))*$E207)</f>
        <v>542.48336090847135</v>
      </c>
      <c r="O207" s="66">
        <f>IF(VLOOKUP($D207,$C$5:$AU$501,3,)=0,0,(VLOOKUP($D207,$C$5:$AU$501,13,)/VLOOKUP($D207,$C$5:$AU$501,3,))*$E207)</f>
        <v>0</v>
      </c>
      <c r="P207" s="66">
        <f>IF(VLOOKUP($D207,$C$5:$AU$501,3,)=0,0,(VLOOKUP($D207,$C$5:$AU$501,14,)/VLOOKUP($D207,$C$5:$AU$501,3,))*$E207)</f>
        <v>0</v>
      </c>
      <c r="Q207" s="66">
        <f>IF(VLOOKUP($D207,$C$5:$AU$501,3,)=0,0,(VLOOKUP($D207,$C$5:$AU$501,15,)/VLOOKUP($D207,$C$5:$AU$501,3,))*$E207)</f>
        <v>0</v>
      </c>
      <c r="R207" s="66">
        <f>IF(VLOOKUP($D207,$C$5:$AU$501,3,)=0,0,(VLOOKUP($D207,$C$5:$AU$501,16,)/VLOOKUP($D207,$C$5:$AU$501,3,))*$E207)</f>
        <v>0</v>
      </c>
      <c r="S207" s="66">
        <f>IF(VLOOKUP($D207,$C$5:$AU$501,3,)=0,0,(VLOOKUP($D207,$C$5:$AU$501,17,)/VLOOKUP($D207,$C$5:$AU$501,3,))*$E207)</f>
        <v>0</v>
      </c>
      <c r="T207" s="66">
        <f>IF(VLOOKUP($D207,$C$5:$AU$501,3,)=0,0,(VLOOKUP($D207,$C$5:$AU$501,18,)/VLOOKUP($D207,$C$5:$AU$501,3,))*$E207)</f>
        <v>0</v>
      </c>
      <c r="U207" s="66">
        <f>IF(VLOOKUP($D207,$C$5:$AU$501,3,)=0,0,(VLOOKUP($D207,$C$5:$AU$501,19,)/VLOOKUP($D207,$C$5:$AU$501,3,))*$E207)</f>
        <v>0</v>
      </c>
      <c r="V207" s="66">
        <f>IF(VLOOKUP($D207,$C$5:$AU$501,3,)=0,0,(VLOOKUP($D207,$C$5:$AU$501,20,)/VLOOKUP($D207,$C$5:$AU$501,3,))*$E207)</f>
        <v>0</v>
      </c>
      <c r="W207" s="66">
        <f>IF(VLOOKUP($D207,$C$5:$AU$501,3,)=0,0,(VLOOKUP($D207,$C$5:$AU$501,21,)/VLOOKUP($D207,$C$5:$AU$501,3,))*$E207)</f>
        <v>0</v>
      </c>
      <c r="X207" s="66">
        <f>IF(VLOOKUP($D207,$C$5:$AU$501,3,)=0,0,(VLOOKUP($D207,$C$5:$AU$501,22,)/VLOOKUP($D207,$C$5:$AU$501,3,))*$E207)</f>
        <v>0</v>
      </c>
      <c r="Y207" s="66">
        <f>IF(VLOOKUP($D207,$C$5:$AU$501,3,)=0,0,(VLOOKUP($D207,$C$5:$AU$501,23,)/VLOOKUP($D207,$C$5:$AU$501,3,))*$E207)</f>
        <v>0</v>
      </c>
      <c r="Z207" s="66">
        <f>IF(VLOOKUP($D207,$C$5:$AU$501,3,)=0,0,(VLOOKUP($D207,$C$5:$AU$501,24,)/VLOOKUP($D207,$C$5:$AU$501,3,))*$E207)</f>
        <v>0</v>
      </c>
      <c r="AA207" s="66">
        <f>IF(VLOOKUP($D207,$C$5:$AU$501,3,)=0,0,(VLOOKUP($D207,$C$5:$AU$501,25,)/VLOOKUP($D207,$C$5:$AU$501,3,))*$E207)</f>
        <v>0</v>
      </c>
      <c r="AB207" s="66">
        <f>IF(VLOOKUP($D207,$C$5:$AU$501,3,)=0,0,(VLOOKUP($D207,$C$5:$AU$501,26,)/VLOOKUP($D207,$C$5:$AU$501,3,))*$E207)</f>
        <v>0</v>
      </c>
      <c r="AC207" s="66">
        <f>IF(VLOOKUP($D207,$C$5:$AU$501,3,)=0,0,(VLOOKUP($D207,$C$5:$AU$501,27,)/VLOOKUP($D207,$C$5:$AU$501,3,))*$E207)</f>
        <v>0</v>
      </c>
      <c r="AD207" s="66">
        <f>IF(VLOOKUP($D207,$C$5:$AU$501,3,)=0,0,(VLOOKUP($D207,$C$5:$AU$501,28,)/VLOOKUP($D207,$C$5:$AU$501,3,))*$E207)</f>
        <v>0</v>
      </c>
      <c r="AE207" s="66">
        <f>IF(VLOOKUP($D207,$C$5:$AU$501,3,)=0,0,(VLOOKUP($D207,$C$5:$AU$501,29,)/VLOOKUP($D207,$C$5:$AU$501,3,))*$E207)</f>
        <v>0</v>
      </c>
      <c r="AF207" s="66">
        <f>IF(VLOOKUP($D207,$C$5:$AU$501,3,)=0,0,(VLOOKUP($D207,$C$5:$AU$501,30,)/VLOOKUP($D207,$C$5:$AU$501,3,))*$E207)</f>
        <v>0</v>
      </c>
      <c r="AG207" s="95">
        <f>SUM(F207:AF207)</f>
        <v>89433.576919695479</v>
      </c>
      <c r="AH207" s="31" t="str">
        <f>IF(ABS(E207-AG207)&lt;0.01,"ok","err")</f>
        <v>ok</v>
      </c>
    </row>
    <row r="208" spans="1:34" x14ac:dyDescent="0.2">
      <c r="E208" s="50"/>
    </row>
    <row r="209" spans="1:34" x14ac:dyDescent="0.2">
      <c r="A209" s="13" t="s">
        <v>2</v>
      </c>
      <c r="E209" s="50"/>
    </row>
    <row r="210" spans="1:34" x14ac:dyDescent="0.2">
      <c r="A210" s="98" t="s">
        <v>209</v>
      </c>
      <c r="C210" s="14" t="s">
        <v>290</v>
      </c>
      <c r="D210" s="14" t="s">
        <v>607</v>
      </c>
      <c r="E210" s="66">
        <f>'Func &amp; Classif'!O312</f>
        <v>5368457.2171720909</v>
      </c>
      <c r="F210" s="66">
        <f>IF(VLOOKUP($D210,$C$5:$AU$501,3,)=0,0,(VLOOKUP($D210,$C$5:$AU$501,4,)/VLOOKUP($D210,$C$5:$AU$501,3,))*$E210)</f>
        <v>4422643.1799744265</v>
      </c>
      <c r="G210" s="66">
        <f>IF(VLOOKUP($D210,$C$5:$AU$501,3,)=0,0,(VLOOKUP($D210,$C$5:$AU$501,5,)/VLOOKUP($D210,$C$5:$AU$501,3,))*$E210)</f>
        <v>0</v>
      </c>
      <c r="H210" s="66">
        <f>IF(VLOOKUP($D210,$C$5:$AU$501,3,)=0,0,(VLOOKUP($D210,$C$5:$AU$501,6,)/VLOOKUP($D210,$C$5:$AU$501,3,))*$E210)</f>
        <v>99249.773975920092</v>
      </c>
      <c r="I210" s="66">
        <f>IF(VLOOKUP($D210,$C$5:$AU$501,3,)=0,0,(VLOOKUP($D210,$C$5:$AU$501,7,)/VLOOKUP($D210,$C$5:$AU$501,3,))*$E210)</f>
        <v>0</v>
      </c>
      <c r="J210" s="66">
        <f>IF(VLOOKUP($D210,$C$5:$AU$501,3,)=0,0,(VLOOKUP($D210,$C$5:$AU$501,8,)/VLOOKUP($D210,$C$5:$AU$501,3,))*$E210)</f>
        <v>234356.25882775578</v>
      </c>
      <c r="K210" s="66">
        <f>IF(VLOOKUP($D210,$C$5:$AU$501,3,)=0,0,(VLOOKUP($D210,$C$5:$AU$501,9,)/VLOOKUP($D210,$C$5:$AU$501,3,))*$E210)</f>
        <v>164824.04109048255</v>
      </c>
      <c r="L210" s="66">
        <f>IF(VLOOKUP($D210,$C$5:$AU$501,3,)=0,0,(VLOOKUP($D210,$C$5:$AU$501,10,)/VLOOKUP($D210,$C$5:$AU$501,3,))*$E210)</f>
        <v>129595.0281440535</v>
      </c>
      <c r="M210" s="66">
        <f>IF(VLOOKUP($D210,$C$5:$AU$501,3,)=0,0,(VLOOKUP($D210,$C$5:$AU$501,11,)/VLOOKUP($D210,$C$5:$AU$501,3,))*$E210)</f>
        <v>208717.49946590833</v>
      </c>
      <c r="N210" s="66">
        <f>IF(VLOOKUP($D210,$C$5:$AU$501,3,)=0,0,(VLOOKUP($D210,$C$5:$AU$501,12,)/VLOOKUP($D210,$C$5:$AU$501,3,))*$E210)</f>
        <v>59566.552273693334</v>
      </c>
      <c r="O210" s="66">
        <f>IF(VLOOKUP($D210,$C$5:$AU$501,3,)=0,0,(VLOOKUP($D210,$C$5:$AU$501,13,)/VLOOKUP($D210,$C$5:$AU$501,3,))*$E210)</f>
        <v>49504.883419851431</v>
      </c>
      <c r="P210" s="66">
        <f>IF(VLOOKUP($D210,$C$5:$AU$501,3,)=0,0,(VLOOKUP($D210,$C$5:$AU$501,14,)/VLOOKUP($D210,$C$5:$AU$501,3,))*$E210)</f>
        <v>0</v>
      </c>
      <c r="Q210" s="66">
        <f>IF(VLOOKUP($D210,$C$5:$AU$501,3,)=0,0,(VLOOKUP($D210,$C$5:$AU$501,15,)/VLOOKUP($D210,$C$5:$AU$501,3,))*$E210)</f>
        <v>0</v>
      </c>
      <c r="R210" s="66">
        <f>IF(VLOOKUP($D210,$C$5:$AU$501,3,)=0,0,(VLOOKUP($D210,$C$5:$AU$501,16,)/VLOOKUP($D210,$C$5:$AU$501,3,))*$E210)</f>
        <v>0</v>
      </c>
      <c r="S210" s="66">
        <f>IF(VLOOKUP($D210,$C$5:$AU$501,3,)=0,0,(VLOOKUP($D210,$C$5:$AU$501,17,)/VLOOKUP($D210,$C$5:$AU$501,3,))*$E210)</f>
        <v>0</v>
      </c>
      <c r="T210" s="66">
        <f>IF(VLOOKUP($D210,$C$5:$AU$501,3,)=0,0,(VLOOKUP($D210,$C$5:$AU$501,18,)/VLOOKUP($D210,$C$5:$AU$501,3,))*$E210)</f>
        <v>0</v>
      </c>
      <c r="U210" s="66">
        <f>IF(VLOOKUP($D210,$C$5:$AU$501,3,)=0,0,(VLOOKUP($D210,$C$5:$AU$501,19,)/VLOOKUP($D210,$C$5:$AU$501,3,))*$E210)</f>
        <v>0</v>
      </c>
      <c r="V210" s="66">
        <f>IF(VLOOKUP($D210,$C$5:$AU$501,3,)=0,0,(VLOOKUP($D210,$C$5:$AU$501,20,)/VLOOKUP($D210,$C$5:$AU$501,3,))*$E210)</f>
        <v>0</v>
      </c>
      <c r="W210" s="66">
        <f>IF(VLOOKUP($D210,$C$5:$AU$501,3,)=0,0,(VLOOKUP($D210,$C$5:$AU$501,21,)/VLOOKUP($D210,$C$5:$AU$501,3,))*$E210)</f>
        <v>0</v>
      </c>
      <c r="X210" s="66">
        <f>IF(VLOOKUP($D210,$C$5:$AU$501,3,)=0,0,(VLOOKUP($D210,$C$5:$AU$501,22,)/VLOOKUP($D210,$C$5:$AU$501,3,))*$E210)</f>
        <v>0</v>
      </c>
      <c r="Y210" s="66">
        <f>IF(VLOOKUP($D210,$C$5:$AU$501,3,)=0,0,(VLOOKUP($D210,$C$5:$AU$501,23,)/VLOOKUP($D210,$C$5:$AU$501,3,))*$E210)</f>
        <v>0</v>
      </c>
      <c r="Z210" s="66">
        <f>IF(VLOOKUP($D210,$C$5:$AU$501,3,)=0,0,(VLOOKUP($D210,$C$5:$AU$501,24,)/VLOOKUP($D210,$C$5:$AU$501,3,))*$E210)</f>
        <v>0</v>
      </c>
      <c r="AA210" s="66">
        <f>IF(VLOOKUP($D210,$C$5:$AU$501,3,)=0,0,(VLOOKUP($D210,$C$5:$AU$501,25,)/VLOOKUP($D210,$C$5:$AU$501,3,))*$E210)</f>
        <v>0</v>
      </c>
      <c r="AB210" s="66">
        <f>IF(VLOOKUP($D210,$C$5:$AU$501,3,)=0,0,(VLOOKUP($D210,$C$5:$AU$501,26,)/VLOOKUP($D210,$C$5:$AU$501,3,))*$E210)</f>
        <v>0</v>
      </c>
      <c r="AC210" s="66">
        <f>IF(VLOOKUP($D210,$C$5:$AU$501,3,)=0,0,(VLOOKUP($D210,$C$5:$AU$501,27,)/VLOOKUP($D210,$C$5:$AU$501,3,))*$E210)</f>
        <v>0</v>
      </c>
      <c r="AD210" s="66">
        <f>IF(VLOOKUP($D210,$C$5:$AU$501,3,)=0,0,(VLOOKUP($D210,$C$5:$AU$501,28,)/VLOOKUP($D210,$C$5:$AU$501,3,))*$E210)</f>
        <v>0</v>
      </c>
      <c r="AE210" s="66">
        <f>IF(VLOOKUP($D210,$C$5:$AU$501,3,)=0,0,(VLOOKUP($D210,$C$5:$AU$501,29,)/VLOOKUP($D210,$C$5:$AU$501,3,))*$E210)</f>
        <v>0</v>
      </c>
      <c r="AF210" s="66">
        <f>IF(VLOOKUP($D210,$C$5:$AU$501,3,)=0,0,(VLOOKUP($D210,$C$5:$AU$501,30,)/VLOOKUP($D210,$C$5:$AU$501,3,))*$E210)</f>
        <v>0</v>
      </c>
      <c r="AG210" s="95">
        <f>SUM(F210:AF210)</f>
        <v>5368457.2171720918</v>
      </c>
      <c r="AH210" s="31" t="str">
        <f>IF(ABS(E210-AG210)&lt;0.01,"ok","err")</f>
        <v>ok</v>
      </c>
    </row>
    <row r="211" spans="1:34" x14ac:dyDescent="0.2">
      <c r="A211" s="98" t="s">
        <v>221</v>
      </c>
      <c r="C211" s="14" t="s">
        <v>291</v>
      </c>
      <c r="D211" s="14" t="s">
        <v>223</v>
      </c>
      <c r="E211" s="50">
        <f>'Func &amp; Classif'!P312</f>
        <v>4070978.1274971622</v>
      </c>
      <c r="F211" s="66">
        <f>IF(VLOOKUP($D211,$C$5:$AU$501,3,)=0,0,(VLOOKUP($D211,$C$5:$AU$501,4,)/VLOOKUP($D211,$C$5:$AU$501,3,))*$E211)</f>
        <v>3700798.3291221536</v>
      </c>
      <c r="G211" s="66">
        <f>IF(VLOOKUP($D211,$C$5:$AU$501,3,)=0,0,(VLOOKUP($D211,$C$5:$AU$501,5,)/VLOOKUP($D211,$C$5:$AU$501,3,))*$E211)</f>
        <v>0</v>
      </c>
      <c r="H211" s="66">
        <f>IF(VLOOKUP($D211,$C$5:$AU$501,3,)=0,0,(VLOOKUP($D211,$C$5:$AU$501,6,)/VLOOKUP($D211,$C$5:$AU$501,3,))*$E211)</f>
        <v>278980.53770347562</v>
      </c>
      <c r="I211" s="66">
        <f>IF(VLOOKUP($D211,$C$5:$AU$501,3,)=0,0,(VLOOKUP($D211,$C$5:$AU$501,7,)/VLOOKUP($D211,$C$5:$AU$501,3,))*$E211)</f>
        <v>0</v>
      </c>
      <c r="J211" s="66">
        <f>IF(VLOOKUP($D211,$C$5:$AU$501,3,)=0,0,(VLOOKUP($D211,$C$5:$AU$501,8,)/VLOOKUP($D211,$C$5:$AU$501,3,))*$E211)</f>
        <v>11842.062515527909</v>
      </c>
      <c r="K211" s="66">
        <f>IF(VLOOKUP($D211,$C$5:$AU$501,3,)=0,0,(VLOOKUP($D211,$C$5:$AU$501,9,)/VLOOKUP($D211,$C$5:$AU$501,3,))*$E211)</f>
        <v>615.17207872872245</v>
      </c>
      <c r="L211" s="66">
        <f>IF(VLOOKUP($D211,$C$5:$AU$501,3,)=0,0,(VLOOKUP($D211,$C$5:$AU$501,10,)/VLOOKUP($D211,$C$5:$AU$501,3,))*$E211)</f>
        <v>461.37905904654184</v>
      </c>
      <c r="M211" s="66">
        <f>IF(VLOOKUP($D211,$C$5:$AU$501,3,)=0,0,(VLOOKUP($D211,$C$5:$AU$501,11,)/VLOOKUP($D211,$C$5:$AU$501,3,))*$E211)</f>
        <v>76512.027291884864</v>
      </c>
      <c r="N211" s="66">
        <f>IF(VLOOKUP($D211,$C$5:$AU$501,3,)=0,0,(VLOOKUP($D211,$C$5:$AU$501,12,)/VLOOKUP($D211,$C$5:$AU$501,3,))*$E211)</f>
        <v>1768.619726345077</v>
      </c>
      <c r="O211" s="66">
        <f>IF(VLOOKUP($D211,$C$5:$AU$501,3,)=0,0,(VLOOKUP($D211,$C$5:$AU$501,13,)/VLOOKUP($D211,$C$5:$AU$501,3,))*$E211)</f>
        <v>0</v>
      </c>
      <c r="P211" s="66">
        <f>IF(VLOOKUP($D211,$C$5:$AU$501,3,)=0,0,(VLOOKUP($D211,$C$5:$AU$501,14,)/VLOOKUP($D211,$C$5:$AU$501,3,))*$E211)</f>
        <v>0</v>
      </c>
      <c r="Q211" s="66">
        <f>IF(VLOOKUP($D211,$C$5:$AU$501,3,)=0,0,(VLOOKUP($D211,$C$5:$AU$501,15,)/VLOOKUP($D211,$C$5:$AU$501,3,))*$E211)</f>
        <v>0</v>
      </c>
      <c r="R211" s="66">
        <f>IF(VLOOKUP($D211,$C$5:$AU$501,3,)=0,0,(VLOOKUP($D211,$C$5:$AU$501,16,)/VLOOKUP($D211,$C$5:$AU$501,3,))*$E211)</f>
        <v>0</v>
      </c>
      <c r="S211" s="66">
        <f>IF(VLOOKUP($D211,$C$5:$AU$501,3,)=0,0,(VLOOKUP($D211,$C$5:$AU$501,17,)/VLOOKUP($D211,$C$5:$AU$501,3,))*$E211)</f>
        <v>0</v>
      </c>
      <c r="T211" s="66">
        <f>IF(VLOOKUP($D211,$C$5:$AU$501,3,)=0,0,(VLOOKUP($D211,$C$5:$AU$501,18,)/VLOOKUP($D211,$C$5:$AU$501,3,))*$E211)</f>
        <v>0</v>
      </c>
      <c r="U211" s="66">
        <f>IF(VLOOKUP($D211,$C$5:$AU$501,3,)=0,0,(VLOOKUP($D211,$C$5:$AU$501,19,)/VLOOKUP($D211,$C$5:$AU$501,3,))*$E211)</f>
        <v>0</v>
      </c>
      <c r="V211" s="66">
        <f>IF(VLOOKUP($D211,$C$5:$AU$501,3,)=0,0,(VLOOKUP($D211,$C$5:$AU$501,20,)/VLOOKUP($D211,$C$5:$AU$501,3,))*$E211)</f>
        <v>0</v>
      </c>
      <c r="W211" s="66">
        <f>IF(VLOOKUP($D211,$C$5:$AU$501,3,)=0,0,(VLOOKUP($D211,$C$5:$AU$501,21,)/VLOOKUP($D211,$C$5:$AU$501,3,))*$E211)</f>
        <v>0</v>
      </c>
      <c r="X211" s="66">
        <f>IF(VLOOKUP($D211,$C$5:$AU$501,3,)=0,0,(VLOOKUP($D211,$C$5:$AU$501,22,)/VLOOKUP($D211,$C$5:$AU$501,3,))*$E211)</f>
        <v>0</v>
      </c>
      <c r="Y211" s="66">
        <f>IF(VLOOKUP($D211,$C$5:$AU$501,3,)=0,0,(VLOOKUP($D211,$C$5:$AU$501,23,)/VLOOKUP($D211,$C$5:$AU$501,3,))*$E211)</f>
        <v>0</v>
      </c>
      <c r="Z211" s="66">
        <f>IF(VLOOKUP($D211,$C$5:$AU$501,3,)=0,0,(VLOOKUP($D211,$C$5:$AU$501,24,)/VLOOKUP($D211,$C$5:$AU$501,3,))*$E211)</f>
        <v>0</v>
      </c>
      <c r="AA211" s="66">
        <f>IF(VLOOKUP($D211,$C$5:$AU$501,3,)=0,0,(VLOOKUP($D211,$C$5:$AU$501,25,)/VLOOKUP($D211,$C$5:$AU$501,3,))*$E211)</f>
        <v>0</v>
      </c>
      <c r="AB211" s="66">
        <f>IF(VLOOKUP($D211,$C$5:$AU$501,3,)=0,0,(VLOOKUP($D211,$C$5:$AU$501,26,)/VLOOKUP($D211,$C$5:$AU$501,3,))*$E211)</f>
        <v>0</v>
      </c>
      <c r="AC211" s="66">
        <f>IF(VLOOKUP($D211,$C$5:$AU$501,3,)=0,0,(VLOOKUP($D211,$C$5:$AU$501,27,)/VLOOKUP($D211,$C$5:$AU$501,3,))*$E211)</f>
        <v>0</v>
      </c>
      <c r="AD211" s="66">
        <f>IF(VLOOKUP($D211,$C$5:$AU$501,3,)=0,0,(VLOOKUP($D211,$C$5:$AU$501,28,)/VLOOKUP($D211,$C$5:$AU$501,3,))*$E211)</f>
        <v>0</v>
      </c>
      <c r="AE211" s="66">
        <f>IF(VLOOKUP($D211,$C$5:$AU$501,3,)=0,0,(VLOOKUP($D211,$C$5:$AU$501,29,)/VLOOKUP($D211,$C$5:$AU$501,3,))*$E211)</f>
        <v>0</v>
      </c>
      <c r="AF211" s="66">
        <f>IF(VLOOKUP($D211,$C$5:$AU$501,3,)=0,0,(VLOOKUP($D211,$C$5:$AU$501,30,)/VLOOKUP($D211,$C$5:$AU$501,3,))*$E211)</f>
        <v>0</v>
      </c>
      <c r="AG211" s="95">
        <f>SUM(F211:AF211)</f>
        <v>4070978.1274971617</v>
      </c>
      <c r="AH211" s="31" t="str">
        <f>IF(ABS(E211-AG211)&lt;0.01,"ok","err")</f>
        <v>ok</v>
      </c>
    </row>
    <row r="212" spans="1:34" x14ac:dyDescent="0.2">
      <c r="A212" s="14" t="s">
        <v>224</v>
      </c>
      <c r="E212" s="66">
        <f t="shared" ref="E212:T212" si="43">E210+E211</f>
        <v>9439435.3446692526</v>
      </c>
      <c r="F212" s="66">
        <f t="shared" si="43"/>
        <v>8123441.5090965796</v>
      </c>
      <c r="G212" s="66">
        <f t="shared" si="43"/>
        <v>0</v>
      </c>
      <c r="H212" s="66">
        <f t="shared" si="43"/>
        <v>378230.31167939573</v>
      </c>
      <c r="I212" s="66">
        <f t="shared" si="43"/>
        <v>0</v>
      </c>
      <c r="J212" s="66">
        <f t="shared" si="43"/>
        <v>246198.32134328369</v>
      </c>
      <c r="K212" s="66">
        <f t="shared" si="43"/>
        <v>165439.21316921129</v>
      </c>
      <c r="L212" s="66">
        <f t="shared" si="43"/>
        <v>130056.40720310004</v>
      </c>
      <c r="M212" s="66">
        <f t="shared" si="43"/>
        <v>285229.52675779321</v>
      </c>
      <c r="N212" s="66">
        <f t="shared" si="43"/>
        <v>61335.172000038408</v>
      </c>
      <c r="O212" s="66">
        <f t="shared" si="43"/>
        <v>49504.883419851431</v>
      </c>
      <c r="P212" s="66">
        <f t="shared" si="43"/>
        <v>0</v>
      </c>
      <c r="Q212" s="66">
        <f t="shared" si="43"/>
        <v>0</v>
      </c>
      <c r="R212" s="66">
        <f t="shared" si="43"/>
        <v>0</v>
      </c>
      <c r="S212" s="66">
        <f t="shared" si="43"/>
        <v>0</v>
      </c>
      <c r="T212" s="66">
        <f t="shared" si="43"/>
        <v>0</v>
      </c>
      <c r="U212" s="66">
        <f t="shared" ref="U212:AF212" si="44">U210+U211</f>
        <v>0</v>
      </c>
      <c r="V212" s="66">
        <f t="shared" si="44"/>
        <v>0</v>
      </c>
      <c r="W212" s="66">
        <f t="shared" si="44"/>
        <v>0</v>
      </c>
      <c r="X212" s="66">
        <f t="shared" si="44"/>
        <v>0</v>
      </c>
      <c r="Y212" s="66">
        <f t="shared" si="44"/>
        <v>0</v>
      </c>
      <c r="Z212" s="66">
        <f t="shared" si="44"/>
        <v>0</v>
      </c>
      <c r="AA212" s="66">
        <f t="shared" si="44"/>
        <v>0</v>
      </c>
      <c r="AB212" s="66">
        <f t="shared" si="44"/>
        <v>0</v>
      </c>
      <c r="AC212" s="66">
        <f t="shared" si="44"/>
        <v>0</v>
      </c>
      <c r="AD212" s="66">
        <f t="shared" si="44"/>
        <v>0</v>
      </c>
      <c r="AE212" s="66">
        <f t="shared" si="44"/>
        <v>0</v>
      </c>
      <c r="AF212" s="66">
        <f t="shared" si="44"/>
        <v>0</v>
      </c>
      <c r="AG212" s="95">
        <f>SUM(F212:AF212)</f>
        <v>9439435.3446692526</v>
      </c>
      <c r="AH212" s="31" t="str">
        <f>IF(ABS(E212-AG212)&lt;0.01,"ok","err")</f>
        <v>ok</v>
      </c>
    </row>
    <row r="213" spans="1:34" x14ac:dyDescent="0.2">
      <c r="E213" s="50"/>
    </row>
    <row r="214" spans="1:34" x14ac:dyDescent="0.2">
      <c r="A214" s="13" t="s">
        <v>3</v>
      </c>
      <c r="E214" s="50"/>
    </row>
    <row r="215" spans="1:34" x14ac:dyDescent="0.2">
      <c r="A215" s="98" t="s">
        <v>209</v>
      </c>
      <c r="C215" s="14" t="s">
        <v>292</v>
      </c>
      <c r="D215" s="14" t="s">
        <v>700</v>
      </c>
      <c r="E215" s="66">
        <f>'Func &amp; Classif'!R312</f>
        <v>0</v>
      </c>
      <c r="F215" s="66">
        <f>IF(VLOOKUP($D215,$C$5:$AU$501,3,)=0,0,(VLOOKUP($D215,$C$5:$AU$501,4,)/VLOOKUP($D215,$C$5:$AU$501,3,))*$E215)</f>
        <v>0</v>
      </c>
      <c r="G215" s="66">
        <f>IF(VLOOKUP($D215,$C$5:$AU$501,3,)=0,0,(VLOOKUP($D215,$C$5:$AU$501,5,)/VLOOKUP($D215,$C$5:$AU$501,3,))*$E215)</f>
        <v>0</v>
      </c>
      <c r="H215" s="66">
        <f>IF(VLOOKUP($D215,$C$5:$AU$501,3,)=0,0,(VLOOKUP($D215,$C$5:$AU$501,6,)/VLOOKUP($D215,$C$5:$AU$501,3,))*$E215)</f>
        <v>0</v>
      </c>
      <c r="I215" s="66">
        <f>IF(VLOOKUP($D215,$C$5:$AU$501,3,)=0,0,(VLOOKUP($D215,$C$5:$AU$501,7,)/VLOOKUP($D215,$C$5:$AU$501,3,))*$E215)</f>
        <v>0</v>
      </c>
      <c r="J215" s="66">
        <f>IF(VLOOKUP($D215,$C$5:$AU$501,3,)=0,0,(VLOOKUP($D215,$C$5:$AU$501,8,)/VLOOKUP($D215,$C$5:$AU$501,3,))*$E215)</f>
        <v>0</v>
      </c>
      <c r="K215" s="66">
        <f>IF(VLOOKUP($D215,$C$5:$AU$501,3,)=0,0,(VLOOKUP($D215,$C$5:$AU$501,9,)/VLOOKUP($D215,$C$5:$AU$501,3,))*$E215)</f>
        <v>0</v>
      </c>
      <c r="L215" s="66">
        <f>IF(VLOOKUP($D215,$C$5:$AU$501,3,)=0,0,(VLOOKUP($D215,$C$5:$AU$501,10,)/VLOOKUP($D215,$C$5:$AU$501,3,))*$E215)</f>
        <v>0</v>
      </c>
      <c r="M215" s="66">
        <f>IF(VLOOKUP($D215,$C$5:$AU$501,3,)=0,0,(VLOOKUP($D215,$C$5:$AU$501,11,)/VLOOKUP($D215,$C$5:$AU$501,3,))*$E215)</f>
        <v>0</v>
      </c>
      <c r="N215" s="66">
        <f>IF(VLOOKUP($D215,$C$5:$AU$501,3,)=0,0,(VLOOKUP($D215,$C$5:$AU$501,12,)/VLOOKUP($D215,$C$5:$AU$501,3,))*$E215)</f>
        <v>0</v>
      </c>
      <c r="O215" s="66">
        <f>IF(VLOOKUP($D215,$C$5:$AU$501,3,)=0,0,(VLOOKUP($D215,$C$5:$AU$501,13,)/VLOOKUP($D215,$C$5:$AU$501,3,))*$E215)</f>
        <v>0</v>
      </c>
      <c r="P215" s="66">
        <f>IF(VLOOKUP($D215,$C$5:$AU$501,3,)=0,0,(VLOOKUP($D215,$C$5:$AU$501,14,)/VLOOKUP($D215,$C$5:$AU$501,3,))*$E215)</f>
        <v>0</v>
      </c>
      <c r="Q215" s="66">
        <f>IF(VLOOKUP($D215,$C$5:$AU$501,3,)=0,0,(VLOOKUP($D215,$C$5:$AU$501,15,)/VLOOKUP($D215,$C$5:$AU$501,3,))*$E215)</f>
        <v>0</v>
      </c>
      <c r="R215" s="66">
        <f>IF(VLOOKUP($D215,$C$5:$AU$501,3,)=0,0,(VLOOKUP($D215,$C$5:$AU$501,16,)/VLOOKUP($D215,$C$5:$AU$501,3,))*$E215)</f>
        <v>0</v>
      </c>
      <c r="S215" s="66">
        <f>IF(VLOOKUP($D215,$C$5:$AU$501,3,)=0,0,(VLOOKUP($D215,$C$5:$AU$501,17,)/VLOOKUP($D215,$C$5:$AU$501,3,))*$E215)</f>
        <v>0</v>
      </c>
      <c r="T215" s="66">
        <f>IF(VLOOKUP($D215,$C$5:$AU$501,3,)=0,0,(VLOOKUP($D215,$C$5:$AU$501,18,)/VLOOKUP($D215,$C$5:$AU$501,3,))*$E215)</f>
        <v>0</v>
      </c>
      <c r="U215" s="66">
        <f>IF(VLOOKUP($D215,$C$5:$AU$501,3,)=0,0,(VLOOKUP($D215,$C$5:$AU$501,19,)/VLOOKUP($D215,$C$5:$AU$501,3,))*$E215)</f>
        <v>0</v>
      </c>
      <c r="V215" s="66">
        <f>IF(VLOOKUP($D215,$C$5:$AU$501,3,)=0,0,(VLOOKUP($D215,$C$5:$AU$501,20,)/VLOOKUP($D215,$C$5:$AU$501,3,))*$E215)</f>
        <v>0</v>
      </c>
      <c r="W215" s="66">
        <f>IF(VLOOKUP($D215,$C$5:$AU$501,3,)=0,0,(VLOOKUP($D215,$C$5:$AU$501,21,)/VLOOKUP($D215,$C$5:$AU$501,3,))*$E215)</f>
        <v>0</v>
      </c>
      <c r="X215" s="66">
        <f>IF(VLOOKUP($D215,$C$5:$AU$501,3,)=0,0,(VLOOKUP($D215,$C$5:$AU$501,22,)/VLOOKUP($D215,$C$5:$AU$501,3,))*$E215)</f>
        <v>0</v>
      </c>
      <c r="Y215" s="66">
        <f>IF(VLOOKUP($D215,$C$5:$AU$501,3,)=0,0,(VLOOKUP($D215,$C$5:$AU$501,23,)/VLOOKUP($D215,$C$5:$AU$501,3,))*$E215)</f>
        <v>0</v>
      </c>
      <c r="Z215" s="66">
        <f>IF(VLOOKUP($D215,$C$5:$AU$501,3,)=0,0,(VLOOKUP($D215,$C$5:$AU$501,24,)/VLOOKUP($D215,$C$5:$AU$501,3,))*$E215)</f>
        <v>0</v>
      </c>
      <c r="AA215" s="66">
        <f>IF(VLOOKUP($D215,$C$5:$AU$501,3,)=0,0,(VLOOKUP($D215,$C$5:$AU$501,25,)/VLOOKUP($D215,$C$5:$AU$501,3,))*$E215)</f>
        <v>0</v>
      </c>
      <c r="AB215" s="66">
        <f>IF(VLOOKUP($D215,$C$5:$AU$501,3,)=0,0,(VLOOKUP($D215,$C$5:$AU$501,26,)/VLOOKUP($D215,$C$5:$AU$501,3,))*$E215)</f>
        <v>0</v>
      </c>
      <c r="AC215" s="66">
        <f>IF(VLOOKUP($D215,$C$5:$AU$501,3,)=0,0,(VLOOKUP($D215,$C$5:$AU$501,27,)/VLOOKUP($D215,$C$5:$AU$501,3,))*$E215)</f>
        <v>0</v>
      </c>
      <c r="AD215" s="66">
        <f>IF(VLOOKUP($D215,$C$5:$AU$501,3,)=0,0,(VLOOKUP($D215,$C$5:$AU$501,28,)/VLOOKUP($D215,$C$5:$AU$501,3,))*$E215)</f>
        <v>0</v>
      </c>
      <c r="AE215" s="66">
        <f>IF(VLOOKUP($D215,$C$5:$AU$501,3,)=0,0,(VLOOKUP($D215,$C$5:$AU$501,29,)/VLOOKUP($D215,$C$5:$AU$501,3,))*$E215)</f>
        <v>0</v>
      </c>
      <c r="AF215" s="66">
        <f>IF(VLOOKUP($D215,$C$5:$AU$501,3,)=0,0,(VLOOKUP($D215,$C$5:$AU$501,30,)/VLOOKUP($D215,$C$5:$AU$501,3,))*$E215)</f>
        <v>0</v>
      </c>
      <c r="AG215" s="95">
        <f>SUM(F215:AF215)</f>
        <v>0</v>
      </c>
      <c r="AH215" s="31" t="str">
        <f>IF(ABS(E215-AG215)&lt;0.01,"ok","err")</f>
        <v>ok</v>
      </c>
    </row>
    <row r="216" spans="1:34" x14ac:dyDescent="0.2">
      <c r="A216" s="98" t="s">
        <v>221</v>
      </c>
      <c r="C216" s="14" t="s">
        <v>293</v>
      </c>
      <c r="D216" s="14" t="s">
        <v>700</v>
      </c>
      <c r="E216" s="50">
        <f>'Func &amp; Classif'!S312</f>
        <v>1279138.9207755008</v>
      </c>
      <c r="F216" s="66">
        <f>IF(VLOOKUP($D216,$C$5:$AU$501,3,)=0,0,(VLOOKUP($D216,$C$5:$AU$501,4,)/VLOOKUP($D216,$C$5:$AU$501,3,))*$E216)</f>
        <v>1070238.7852746963</v>
      </c>
      <c r="G216" s="66">
        <f>IF(VLOOKUP($D216,$C$5:$AU$501,3,)=0,0,(VLOOKUP($D216,$C$5:$AU$501,5,)/VLOOKUP($D216,$C$5:$AU$501,3,))*$E216)</f>
        <v>800.56093814052554</v>
      </c>
      <c r="H216" s="66">
        <f>IF(VLOOKUP($D216,$C$5:$AU$501,3,)=0,0,(VLOOKUP($D216,$C$5:$AU$501,6,)/VLOOKUP($D216,$C$5:$AU$501,3,))*$E216)</f>
        <v>181527.19272336413</v>
      </c>
      <c r="I216" s="66">
        <f>IF(VLOOKUP($D216,$C$5:$AU$501,3,)=0,0,(VLOOKUP($D216,$C$5:$AU$501,7,)/VLOOKUP($D216,$C$5:$AU$501,3,))*$E216)</f>
        <v>6.6713411511710454</v>
      </c>
      <c r="J216" s="66">
        <f>IF(VLOOKUP($D216,$C$5:$AU$501,3,)=0,0,(VLOOKUP($D216,$C$5:$AU$501,8,)/VLOOKUP($D216,$C$5:$AU$501,3,))*$E216)</f>
        <v>3424.6217909344696</v>
      </c>
      <c r="K216" s="66">
        <f>IF(VLOOKUP($D216,$C$5:$AU$501,3,)=0,0,(VLOOKUP($D216,$C$5:$AU$501,9,)/VLOOKUP($D216,$C$5:$AU$501,3,))*$E216)</f>
        <v>0</v>
      </c>
      <c r="L216" s="66">
        <f>IF(VLOOKUP($D216,$C$5:$AU$501,3,)=0,0,(VLOOKUP($D216,$C$5:$AU$501,10,)/VLOOKUP($D216,$C$5:$AU$501,3,))*$E216)</f>
        <v>0</v>
      </c>
      <c r="M216" s="66">
        <f>IF(VLOOKUP($D216,$C$5:$AU$501,3,)=0,0,(VLOOKUP($D216,$C$5:$AU$501,11,)/VLOOKUP($D216,$C$5:$AU$501,3,))*$E216)</f>
        <v>22126.614818050632</v>
      </c>
      <c r="N216" s="66">
        <f>IF(VLOOKUP($D216,$C$5:$AU$501,3,)=0,0,(VLOOKUP($D216,$C$5:$AU$501,12,)/VLOOKUP($D216,$C$5:$AU$501,3,))*$E216)</f>
        <v>1014.4738891637014</v>
      </c>
      <c r="O216" s="66">
        <f>IF(VLOOKUP($D216,$C$5:$AU$501,3,)=0,0,(VLOOKUP($D216,$C$5:$AU$501,13,)/VLOOKUP($D216,$C$5:$AU$501,3,))*$E216)</f>
        <v>0</v>
      </c>
      <c r="P216" s="66">
        <f>IF(VLOOKUP($D216,$C$5:$AU$501,3,)=0,0,(VLOOKUP($D216,$C$5:$AU$501,14,)/VLOOKUP($D216,$C$5:$AU$501,3,))*$E216)</f>
        <v>0</v>
      </c>
      <c r="Q216" s="66">
        <f>IF(VLOOKUP($D216,$C$5:$AU$501,3,)=0,0,(VLOOKUP($D216,$C$5:$AU$501,15,)/VLOOKUP($D216,$C$5:$AU$501,3,))*$E216)</f>
        <v>0</v>
      </c>
      <c r="R216" s="66">
        <f>IF(VLOOKUP($D216,$C$5:$AU$501,3,)=0,0,(VLOOKUP($D216,$C$5:$AU$501,16,)/VLOOKUP($D216,$C$5:$AU$501,3,))*$E216)</f>
        <v>0</v>
      </c>
      <c r="S216" s="66">
        <f>IF(VLOOKUP($D216,$C$5:$AU$501,3,)=0,0,(VLOOKUP($D216,$C$5:$AU$501,17,)/VLOOKUP($D216,$C$5:$AU$501,3,))*$E216)</f>
        <v>0</v>
      </c>
      <c r="T216" s="66">
        <f>IF(VLOOKUP($D216,$C$5:$AU$501,3,)=0,0,(VLOOKUP($D216,$C$5:$AU$501,18,)/VLOOKUP($D216,$C$5:$AU$501,3,))*$E216)</f>
        <v>0</v>
      </c>
      <c r="U216" s="66">
        <f>IF(VLOOKUP($D216,$C$5:$AU$501,3,)=0,0,(VLOOKUP($D216,$C$5:$AU$501,19,)/VLOOKUP($D216,$C$5:$AU$501,3,))*$E216)</f>
        <v>0</v>
      </c>
      <c r="V216" s="66">
        <f>IF(VLOOKUP($D216,$C$5:$AU$501,3,)=0,0,(VLOOKUP($D216,$C$5:$AU$501,20,)/VLOOKUP($D216,$C$5:$AU$501,3,))*$E216)</f>
        <v>0</v>
      </c>
      <c r="W216" s="66">
        <f>IF(VLOOKUP($D216,$C$5:$AU$501,3,)=0,0,(VLOOKUP($D216,$C$5:$AU$501,21,)/VLOOKUP($D216,$C$5:$AU$501,3,))*$E216)</f>
        <v>0</v>
      </c>
      <c r="X216" s="66">
        <f>IF(VLOOKUP($D216,$C$5:$AU$501,3,)=0,0,(VLOOKUP($D216,$C$5:$AU$501,22,)/VLOOKUP($D216,$C$5:$AU$501,3,))*$E216)</f>
        <v>0</v>
      </c>
      <c r="Y216" s="66">
        <f>IF(VLOOKUP($D216,$C$5:$AU$501,3,)=0,0,(VLOOKUP($D216,$C$5:$AU$501,23,)/VLOOKUP($D216,$C$5:$AU$501,3,))*$E216)</f>
        <v>0</v>
      </c>
      <c r="Z216" s="66">
        <f>IF(VLOOKUP($D216,$C$5:$AU$501,3,)=0,0,(VLOOKUP($D216,$C$5:$AU$501,24,)/VLOOKUP($D216,$C$5:$AU$501,3,))*$E216)</f>
        <v>0</v>
      </c>
      <c r="AA216" s="66">
        <f>IF(VLOOKUP($D216,$C$5:$AU$501,3,)=0,0,(VLOOKUP($D216,$C$5:$AU$501,25,)/VLOOKUP($D216,$C$5:$AU$501,3,))*$E216)</f>
        <v>0</v>
      </c>
      <c r="AB216" s="66">
        <f>IF(VLOOKUP($D216,$C$5:$AU$501,3,)=0,0,(VLOOKUP($D216,$C$5:$AU$501,26,)/VLOOKUP($D216,$C$5:$AU$501,3,))*$E216)</f>
        <v>0</v>
      </c>
      <c r="AC216" s="66">
        <f>IF(VLOOKUP($D216,$C$5:$AU$501,3,)=0,0,(VLOOKUP($D216,$C$5:$AU$501,27,)/VLOOKUP($D216,$C$5:$AU$501,3,))*$E216)</f>
        <v>0</v>
      </c>
      <c r="AD216" s="66">
        <f>IF(VLOOKUP($D216,$C$5:$AU$501,3,)=0,0,(VLOOKUP($D216,$C$5:$AU$501,28,)/VLOOKUP($D216,$C$5:$AU$501,3,))*$E216)</f>
        <v>0</v>
      </c>
      <c r="AE216" s="66">
        <f>IF(VLOOKUP($D216,$C$5:$AU$501,3,)=0,0,(VLOOKUP($D216,$C$5:$AU$501,29,)/VLOOKUP($D216,$C$5:$AU$501,3,))*$E216)</f>
        <v>0</v>
      </c>
      <c r="AF216" s="66">
        <f>IF(VLOOKUP($D216,$C$5:$AU$501,3,)=0,0,(VLOOKUP($D216,$C$5:$AU$501,30,)/VLOOKUP($D216,$C$5:$AU$501,3,))*$E216)</f>
        <v>0</v>
      </c>
      <c r="AG216" s="95">
        <f>SUM(F216:AF216)</f>
        <v>1279138.9207755008</v>
      </c>
      <c r="AH216" s="31" t="str">
        <f>IF(ABS(E216-AG216)&lt;0.01,"ok","err")</f>
        <v>ok</v>
      </c>
    </row>
    <row r="217" spans="1:34" x14ac:dyDescent="0.2">
      <c r="A217" s="14" t="s">
        <v>228</v>
      </c>
      <c r="E217" s="66">
        <f t="shared" ref="E217:T217" si="45">E215+E216</f>
        <v>1279138.9207755008</v>
      </c>
      <c r="F217" s="66">
        <f t="shared" si="45"/>
        <v>1070238.7852746963</v>
      </c>
      <c r="G217" s="66">
        <f t="shared" si="45"/>
        <v>800.56093814052554</v>
      </c>
      <c r="H217" s="66">
        <f t="shared" si="45"/>
        <v>181527.19272336413</v>
      </c>
      <c r="I217" s="66">
        <f t="shared" si="45"/>
        <v>6.6713411511710454</v>
      </c>
      <c r="J217" s="66">
        <f t="shared" si="45"/>
        <v>3424.6217909344696</v>
      </c>
      <c r="K217" s="66">
        <f t="shared" si="45"/>
        <v>0</v>
      </c>
      <c r="L217" s="66">
        <f t="shared" si="45"/>
        <v>0</v>
      </c>
      <c r="M217" s="66">
        <f t="shared" si="45"/>
        <v>22126.614818050632</v>
      </c>
      <c r="N217" s="66">
        <f t="shared" si="45"/>
        <v>1014.4738891637014</v>
      </c>
      <c r="O217" s="66">
        <f t="shared" si="45"/>
        <v>0</v>
      </c>
      <c r="P217" s="66">
        <f t="shared" si="45"/>
        <v>0</v>
      </c>
      <c r="Q217" s="66">
        <f t="shared" si="45"/>
        <v>0</v>
      </c>
      <c r="R217" s="66">
        <f t="shared" si="45"/>
        <v>0</v>
      </c>
      <c r="S217" s="66">
        <f t="shared" si="45"/>
        <v>0</v>
      </c>
      <c r="T217" s="66">
        <f t="shared" si="45"/>
        <v>0</v>
      </c>
      <c r="U217" s="66">
        <f t="shared" ref="U217:AF217" si="46">U215+U216</f>
        <v>0</v>
      </c>
      <c r="V217" s="66">
        <f t="shared" si="46"/>
        <v>0</v>
      </c>
      <c r="W217" s="66">
        <f t="shared" si="46"/>
        <v>0</v>
      </c>
      <c r="X217" s="66">
        <f t="shared" si="46"/>
        <v>0</v>
      </c>
      <c r="Y217" s="66">
        <f t="shared" si="46"/>
        <v>0</v>
      </c>
      <c r="Z217" s="66">
        <f t="shared" si="46"/>
        <v>0</v>
      </c>
      <c r="AA217" s="66">
        <f t="shared" si="46"/>
        <v>0</v>
      </c>
      <c r="AB217" s="66">
        <f t="shared" si="46"/>
        <v>0</v>
      </c>
      <c r="AC217" s="66">
        <f t="shared" si="46"/>
        <v>0</v>
      </c>
      <c r="AD217" s="66">
        <f t="shared" si="46"/>
        <v>0</v>
      </c>
      <c r="AE217" s="66">
        <f t="shared" si="46"/>
        <v>0</v>
      </c>
      <c r="AF217" s="66">
        <f t="shared" si="46"/>
        <v>0</v>
      </c>
      <c r="AG217" s="95">
        <f>SUM(F217:AF217)</f>
        <v>1279138.9207755008</v>
      </c>
      <c r="AH217" s="31" t="str">
        <f>IF(ABS(E217-AG217)&lt;0.01,"ok","err")</f>
        <v>ok</v>
      </c>
    </row>
    <row r="218" spans="1:34" x14ac:dyDescent="0.2">
      <c r="E218" s="50"/>
    </row>
    <row r="219" spans="1:34" x14ac:dyDescent="0.2">
      <c r="A219" s="13" t="s">
        <v>4</v>
      </c>
      <c r="E219" s="50"/>
    </row>
    <row r="220" spans="1:34" x14ac:dyDescent="0.2">
      <c r="A220" s="98" t="s">
        <v>221</v>
      </c>
      <c r="C220" s="14" t="s">
        <v>294</v>
      </c>
      <c r="D220" s="14" t="s">
        <v>230</v>
      </c>
      <c r="E220" s="66">
        <f>'Func &amp; Classif'!U312</f>
        <v>652729.24147881626</v>
      </c>
      <c r="F220" s="66">
        <f>IF(VLOOKUP($D220,$C$5:$AU$501,3,)=0,0,(VLOOKUP($D220,$C$5:$AU$501,4,)/VLOOKUP($D220,$C$5:$AU$501,3,))*$E220)</f>
        <v>553868.38301220431</v>
      </c>
      <c r="G220" s="66">
        <f>IF(VLOOKUP($D220,$C$5:$AU$501,3,)=0,0,(VLOOKUP($D220,$C$5:$AU$501,5,)/VLOOKUP($D220,$C$5:$AU$501,3,))*$E220)</f>
        <v>4143.0510500216842</v>
      </c>
      <c r="H220" s="66">
        <f>IF(VLOOKUP($D220,$C$5:$AU$501,3,)=0,0,(VLOOKUP($D220,$C$5:$AU$501,6,)/VLOOKUP($D220,$C$5:$AU$501,3,))*$E220)</f>
        <v>69859.324360530343</v>
      </c>
      <c r="I220" s="66">
        <f>IF(VLOOKUP($D220,$C$5:$AU$501,3,)=0,0,(VLOOKUP($D220,$C$5:$AU$501,7,)/VLOOKUP($D220,$C$5:$AU$501,3,))*$E220)</f>
        <v>57.766806251816718</v>
      </c>
      <c r="J220" s="66">
        <f>IF(VLOOKUP($D220,$C$5:$AU$501,3,)=0,0,(VLOOKUP($D220,$C$5:$AU$501,8,)/VLOOKUP($D220,$C$5:$AU$501,3,))*$E220)</f>
        <v>4765.3038843283466</v>
      </c>
      <c r="K220" s="66">
        <f>IF(VLOOKUP($D220,$C$5:$AU$501,3,)=0,0,(VLOOKUP($D220,$C$5:$AU$501,9,)/VLOOKUP($D220,$C$5:$AU$501,3,))*$E220)</f>
        <v>247.5482537313427</v>
      </c>
      <c r="L220" s="66">
        <f>IF(VLOOKUP($D220,$C$5:$AU$501,3,)=0,0,(VLOOKUP($D220,$C$5:$AU$501,10,)/VLOOKUP($D220,$C$5:$AU$501,3,))*$E220)</f>
        <v>185.66119029850702</v>
      </c>
      <c r="M220" s="66">
        <f>IF(VLOOKUP($D220,$C$5:$AU$501,3,)=0,0,(VLOOKUP($D220,$C$5:$AU$501,11,)/VLOOKUP($D220,$C$5:$AU$501,3,))*$E220)</f>
        <v>19159.324073519212</v>
      </c>
      <c r="N220" s="66">
        <f>IF(VLOOKUP($D220,$C$5:$AU$501,3,)=0,0,(VLOOKUP($D220,$C$5:$AU$501,12,)/VLOOKUP($D220,$C$5:$AU$501,3,))*$E220)</f>
        <v>442.87884793059487</v>
      </c>
      <c r="O220" s="66">
        <f>IF(VLOOKUP($D220,$C$5:$AU$501,3,)=0,0,(VLOOKUP($D220,$C$5:$AU$501,13,)/VLOOKUP($D220,$C$5:$AU$501,3,))*$E220)</f>
        <v>0</v>
      </c>
      <c r="P220" s="66">
        <f>IF(VLOOKUP($D220,$C$5:$AU$501,3,)=0,0,(VLOOKUP($D220,$C$5:$AU$501,14,)/VLOOKUP($D220,$C$5:$AU$501,3,))*$E220)</f>
        <v>0</v>
      </c>
      <c r="Q220" s="66">
        <f>IF(VLOOKUP($D220,$C$5:$AU$501,3,)=0,0,(VLOOKUP($D220,$C$5:$AU$501,15,)/VLOOKUP($D220,$C$5:$AU$501,3,))*$E220)</f>
        <v>0</v>
      </c>
      <c r="R220" s="66">
        <f>IF(VLOOKUP($D220,$C$5:$AU$501,3,)=0,0,(VLOOKUP($D220,$C$5:$AU$501,16,)/VLOOKUP($D220,$C$5:$AU$501,3,))*$E220)</f>
        <v>0</v>
      </c>
      <c r="S220" s="66">
        <f>IF(VLOOKUP($D220,$C$5:$AU$501,3,)=0,0,(VLOOKUP($D220,$C$5:$AU$501,17,)/VLOOKUP($D220,$C$5:$AU$501,3,))*$E220)</f>
        <v>0</v>
      </c>
      <c r="T220" s="66">
        <f>IF(VLOOKUP($D220,$C$5:$AU$501,3,)=0,0,(VLOOKUP($D220,$C$5:$AU$501,18,)/VLOOKUP($D220,$C$5:$AU$501,3,))*$E220)</f>
        <v>0</v>
      </c>
      <c r="U220" s="66">
        <f>IF(VLOOKUP($D220,$C$5:$AU$501,3,)=0,0,(VLOOKUP($D220,$C$5:$AU$501,19,)/VLOOKUP($D220,$C$5:$AU$501,3,))*$E220)</f>
        <v>0</v>
      </c>
      <c r="V220" s="66">
        <f>IF(VLOOKUP($D220,$C$5:$AU$501,3,)=0,0,(VLOOKUP($D220,$C$5:$AU$501,20,)/VLOOKUP($D220,$C$5:$AU$501,3,))*$E220)</f>
        <v>0</v>
      </c>
      <c r="W220" s="66">
        <f>IF(VLOOKUP($D220,$C$5:$AU$501,3,)=0,0,(VLOOKUP($D220,$C$5:$AU$501,21,)/VLOOKUP($D220,$C$5:$AU$501,3,))*$E220)</f>
        <v>0</v>
      </c>
      <c r="X220" s="66">
        <f>IF(VLOOKUP($D220,$C$5:$AU$501,3,)=0,0,(VLOOKUP($D220,$C$5:$AU$501,22,)/VLOOKUP($D220,$C$5:$AU$501,3,))*$E220)</f>
        <v>0</v>
      </c>
      <c r="Y220" s="66">
        <f>IF(VLOOKUP($D220,$C$5:$AU$501,3,)=0,0,(VLOOKUP($D220,$C$5:$AU$501,23,)/VLOOKUP($D220,$C$5:$AU$501,3,))*$E220)</f>
        <v>0</v>
      </c>
      <c r="Z220" s="66">
        <f>IF(VLOOKUP($D220,$C$5:$AU$501,3,)=0,0,(VLOOKUP($D220,$C$5:$AU$501,24,)/VLOOKUP($D220,$C$5:$AU$501,3,))*$E220)</f>
        <v>0</v>
      </c>
      <c r="AA220" s="66">
        <f>IF(VLOOKUP($D220,$C$5:$AU$501,3,)=0,0,(VLOOKUP($D220,$C$5:$AU$501,25,)/VLOOKUP($D220,$C$5:$AU$501,3,))*$E220)</f>
        <v>0</v>
      </c>
      <c r="AB220" s="66">
        <f>IF(VLOOKUP($D220,$C$5:$AU$501,3,)=0,0,(VLOOKUP($D220,$C$5:$AU$501,26,)/VLOOKUP($D220,$C$5:$AU$501,3,))*$E220)</f>
        <v>0</v>
      </c>
      <c r="AC220" s="66">
        <f>IF(VLOOKUP($D220,$C$5:$AU$501,3,)=0,0,(VLOOKUP($D220,$C$5:$AU$501,27,)/VLOOKUP($D220,$C$5:$AU$501,3,))*$E220)</f>
        <v>0</v>
      </c>
      <c r="AD220" s="66">
        <f>IF(VLOOKUP($D220,$C$5:$AU$501,3,)=0,0,(VLOOKUP($D220,$C$5:$AU$501,28,)/VLOOKUP($D220,$C$5:$AU$501,3,))*$E220)</f>
        <v>0</v>
      </c>
      <c r="AE220" s="66">
        <f>IF(VLOOKUP($D220,$C$5:$AU$501,3,)=0,0,(VLOOKUP($D220,$C$5:$AU$501,29,)/VLOOKUP($D220,$C$5:$AU$501,3,))*$E220)</f>
        <v>0</v>
      </c>
      <c r="AF220" s="66">
        <f>IF(VLOOKUP($D220,$C$5:$AU$501,3,)=0,0,(VLOOKUP($D220,$C$5:$AU$501,30,)/VLOOKUP($D220,$C$5:$AU$501,3,))*$E220)</f>
        <v>0</v>
      </c>
      <c r="AG220" s="95">
        <f>SUM(F220:AF220)</f>
        <v>652729.24147881614</v>
      </c>
      <c r="AH220" s="31" t="str">
        <f>IF(ABS(E220-AG220)&lt;0.01,"ok","err")</f>
        <v>ok</v>
      </c>
    </row>
    <row r="221" spans="1:34" x14ac:dyDescent="0.2">
      <c r="E221" s="50"/>
    </row>
    <row r="222" spans="1:34" x14ac:dyDescent="0.2">
      <c r="A222" s="13" t="s">
        <v>5</v>
      </c>
      <c r="E222" s="50"/>
    </row>
    <row r="223" spans="1:34" x14ac:dyDescent="0.2">
      <c r="A223" s="98" t="s">
        <v>221</v>
      </c>
      <c r="C223" s="14" t="s">
        <v>295</v>
      </c>
      <c r="D223" s="14" t="s">
        <v>232</v>
      </c>
      <c r="E223" s="66">
        <f>'Func &amp; Classif'!W312</f>
        <v>474683.91615673329</v>
      </c>
      <c r="F223" s="66">
        <f>IF(VLOOKUP($D223,$C$5:$AU$501,3,)=0,0,(VLOOKUP($D223,$C$5:$AU$501,4,)/VLOOKUP($D223,$C$5:$AU$501,3,))*$E223)</f>
        <v>0</v>
      </c>
      <c r="G223" s="66">
        <f>IF(VLOOKUP($D223,$C$5:$AU$501,3,)=0,0,(VLOOKUP($D223,$C$5:$AU$501,5,)/VLOOKUP($D223,$C$5:$AU$501,3,))*$E223)</f>
        <v>0</v>
      </c>
      <c r="H223" s="66">
        <f>IF(VLOOKUP($D223,$C$5:$AU$501,3,)=0,0,(VLOOKUP($D223,$C$5:$AU$501,6,)/VLOOKUP($D223,$C$5:$AU$501,3,))*$E223)</f>
        <v>0</v>
      </c>
      <c r="I223" s="66">
        <f>IF(VLOOKUP($D223,$C$5:$AU$501,3,)=0,0,(VLOOKUP($D223,$C$5:$AU$501,7,)/VLOOKUP($D223,$C$5:$AU$501,3,))*$E223)</f>
        <v>0</v>
      </c>
      <c r="J223" s="66">
        <f>IF(VLOOKUP($D223,$C$5:$AU$501,3,)=0,0,(VLOOKUP($D223,$C$5:$AU$501,8,)/VLOOKUP($D223,$C$5:$AU$501,3,))*$E223)</f>
        <v>0</v>
      </c>
      <c r="K223" s="66">
        <f>IF(VLOOKUP($D223,$C$5:$AU$501,3,)=0,0,(VLOOKUP($D223,$C$5:$AU$501,9,)/VLOOKUP($D223,$C$5:$AU$501,3,))*$E223)</f>
        <v>0</v>
      </c>
      <c r="L223" s="66">
        <f>IF(VLOOKUP($D223,$C$5:$AU$501,3,)=0,0,(VLOOKUP($D223,$C$5:$AU$501,10,)/VLOOKUP($D223,$C$5:$AU$501,3,))*$E223)</f>
        <v>0</v>
      </c>
      <c r="M223" s="66">
        <f>IF(VLOOKUP($D223,$C$5:$AU$501,3,)=0,0,(VLOOKUP($D223,$C$5:$AU$501,11,)/VLOOKUP($D223,$C$5:$AU$501,3,))*$E223)</f>
        <v>0</v>
      </c>
      <c r="N223" s="66">
        <f>IF(VLOOKUP($D223,$C$5:$AU$501,3,)=0,0,(VLOOKUP($D223,$C$5:$AU$501,12,)/VLOOKUP($D223,$C$5:$AU$501,3,))*$E223)</f>
        <v>0</v>
      </c>
      <c r="O223" s="66">
        <f>IF(VLOOKUP($D223,$C$5:$AU$501,3,)=0,0,(VLOOKUP($D223,$C$5:$AU$501,13,)/VLOOKUP($D223,$C$5:$AU$501,3,))*$E223)</f>
        <v>474683.91615673329</v>
      </c>
      <c r="P223" s="66">
        <f>IF(VLOOKUP($D223,$C$5:$AU$501,3,)=0,0,(VLOOKUP($D223,$C$5:$AU$501,14,)/VLOOKUP($D223,$C$5:$AU$501,3,))*$E223)</f>
        <v>0</v>
      </c>
      <c r="Q223" s="66">
        <f>IF(VLOOKUP($D223,$C$5:$AU$501,3,)=0,0,(VLOOKUP($D223,$C$5:$AU$501,15,)/VLOOKUP($D223,$C$5:$AU$501,3,))*$E223)</f>
        <v>0</v>
      </c>
      <c r="R223" s="66">
        <f>IF(VLOOKUP($D223,$C$5:$AU$501,3,)=0,0,(VLOOKUP($D223,$C$5:$AU$501,16,)/VLOOKUP($D223,$C$5:$AU$501,3,))*$E223)</f>
        <v>0</v>
      </c>
      <c r="S223" s="66">
        <f>IF(VLOOKUP($D223,$C$5:$AU$501,3,)=0,0,(VLOOKUP($D223,$C$5:$AU$501,17,)/VLOOKUP($D223,$C$5:$AU$501,3,))*$E223)</f>
        <v>0</v>
      </c>
      <c r="T223" s="66">
        <f>IF(VLOOKUP($D223,$C$5:$AU$501,3,)=0,0,(VLOOKUP($D223,$C$5:$AU$501,18,)/VLOOKUP($D223,$C$5:$AU$501,3,))*$E223)</f>
        <v>0</v>
      </c>
      <c r="U223" s="66">
        <f>IF(VLOOKUP($D223,$C$5:$AU$501,3,)=0,0,(VLOOKUP($D223,$C$5:$AU$501,19,)/VLOOKUP($D223,$C$5:$AU$501,3,))*$E223)</f>
        <v>0</v>
      </c>
      <c r="V223" s="66">
        <f>IF(VLOOKUP($D223,$C$5:$AU$501,3,)=0,0,(VLOOKUP($D223,$C$5:$AU$501,20,)/VLOOKUP($D223,$C$5:$AU$501,3,))*$E223)</f>
        <v>0</v>
      </c>
      <c r="W223" s="66">
        <f>IF(VLOOKUP($D223,$C$5:$AU$501,3,)=0,0,(VLOOKUP($D223,$C$5:$AU$501,21,)/VLOOKUP($D223,$C$5:$AU$501,3,))*$E223)</f>
        <v>0</v>
      </c>
      <c r="X223" s="66">
        <f>IF(VLOOKUP($D223,$C$5:$AU$501,3,)=0,0,(VLOOKUP($D223,$C$5:$AU$501,22,)/VLOOKUP($D223,$C$5:$AU$501,3,))*$E223)</f>
        <v>0</v>
      </c>
      <c r="Y223" s="66">
        <f>IF(VLOOKUP($D223,$C$5:$AU$501,3,)=0,0,(VLOOKUP($D223,$C$5:$AU$501,23,)/VLOOKUP($D223,$C$5:$AU$501,3,))*$E223)</f>
        <v>0</v>
      </c>
      <c r="Z223" s="66">
        <f>IF(VLOOKUP($D223,$C$5:$AU$501,3,)=0,0,(VLOOKUP($D223,$C$5:$AU$501,24,)/VLOOKUP($D223,$C$5:$AU$501,3,))*$E223)</f>
        <v>0</v>
      </c>
      <c r="AA223" s="66">
        <f>IF(VLOOKUP($D223,$C$5:$AU$501,3,)=0,0,(VLOOKUP($D223,$C$5:$AU$501,25,)/VLOOKUP($D223,$C$5:$AU$501,3,))*$E223)</f>
        <v>0</v>
      </c>
      <c r="AB223" s="66">
        <f>IF(VLOOKUP($D223,$C$5:$AU$501,3,)=0,0,(VLOOKUP($D223,$C$5:$AU$501,26,)/VLOOKUP($D223,$C$5:$AU$501,3,))*$E223)</f>
        <v>0</v>
      </c>
      <c r="AC223" s="66">
        <f>IF(VLOOKUP($D223,$C$5:$AU$501,3,)=0,0,(VLOOKUP($D223,$C$5:$AU$501,27,)/VLOOKUP($D223,$C$5:$AU$501,3,))*$E223)</f>
        <v>0</v>
      </c>
      <c r="AD223" s="66">
        <f>IF(VLOOKUP($D223,$C$5:$AU$501,3,)=0,0,(VLOOKUP($D223,$C$5:$AU$501,28,)/VLOOKUP($D223,$C$5:$AU$501,3,))*$E223)</f>
        <v>0</v>
      </c>
      <c r="AE223" s="66">
        <f>IF(VLOOKUP($D223,$C$5:$AU$501,3,)=0,0,(VLOOKUP($D223,$C$5:$AU$501,29,)/VLOOKUP($D223,$C$5:$AU$501,3,))*$E223)</f>
        <v>0</v>
      </c>
      <c r="AF223" s="66">
        <f>IF(VLOOKUP($D223,$C$5:$AU$501,3,)=0,0,(VLOOKUP($D223,$C$5:$AU$501,30,)/VLOOKUP($D223,$C$5:$AU$501,3,))*$E223)</f>
        <v>0</v>
      </c>
      <c r="AG223" s="95">
        <f>SUM(F223:AF223)</f>
        <v>474683.91615673329</v>
      </c>
      <c r="AH223" s="31" t="str">
        <f>IF(ABS(E223-AG223)&lt;0.01,"ok","err")</f>
        <v>ok</v>
      </c>
    </row>
    <row r="224" spans="1:34" x14ac:dyDescent="0.2">
      <c r="E224" s="50"/>
    </row>
    <row r="225" spans="1:34" x14ac:dyDescent="0.2">
      <c r="A225" s="13" t="s">
        <v>545</v>
      </c>
      <c r="E225" s="50"/>
    </row>
    <row r="226" spans="1:34" x14ac:dyDescent="0.2">
      <c r="A226" s="98" t="s">
        <v>221</v>
      </c>
      <c r="C226" s="14" t="s">
        <v>296</v>
      </c>
      <c r="D226" s="14" t="s">
        <v>234</v>
      </c>
      <c r="E226" s="66">
        <f>'Func &amp; Classif'!Y312</f>
        <v>0</v>
      </c>
      <c r="F226" s="66">
        <f>IF(VLOOKUP($D226,$C$5:$AU$501,3,)=0,0,(VLOOKUP($D226,$C$5:$AU$501,4,)/VLOOKUP($D226,$C$5:$AU$501,3,))*$E226)</f>
        <v>0</v>
      </c>
      <c r="G226" s="66">
        <f>IF(VLOOKUP($D226,$C$5:$AU$501,3,)=0,0,(VLOOKUP($D226,$C$5:$AU$501,5,)/VLOOKUP($D226,$C$5:$AU$501,3,))*$E226)</f>
        <v>0</v>
      </c>
      <c r="H226" s="66">
        <f>IF(VLOOKUP($D226,$C$5:$AU$501,3,)=0,0,(VLOOKUP($D226,$C$5:$AU$501,6,)/VLOOKUP($D226,$C$5:$AU$501,3,))*$E226)</f>
        <v>0</v>
      </c>
      <c r="I226" s="66">
        <f>IF(VLOOKUP($D226,$C$5:$AU$501,3,)=0,0,(VLOOKUP($D226,$C$5:$AU$501,7,)/VLOOKUP($D226,$C$5:$AU$501,3,))*$E226)</f>
        <v>0</v>
      </c>
      <c r="J226" s="66">
        <f>IF(VLOOKUP($D226,$C$5:$AU$501,3,)=0,0,(VLOOKUP($D226,$C$5:$AU$501,8,)/VLOOKUP($D226,$C$5:$AU$501,3,))*$E226)</f>
        <v>0</v>
      </c>
      <c r="K226" s="66">
        <f>IF(VLOOKUP($D226,$C$5:$AU$501,3,)=0,0,(VLOOKUP($D226,$C$5:$AU$501,9,)/VLOOKUP($D226,$C$5:$AU$501,3,))*$E226)</f>
        <v>0</v>
      </c>
      <c r="L226" s="66">
        <f>IF(VLOOKUP($D226,$C$5:$AU$501,3,)=0,0,(VLOOKUP($D226,$C$5:$AU$501,10,)/VLOOKUP($D226,$C$5:$AU$501,3,))*$E226)</f>
        <v>0</v>
      </c>
      <c r="M226" s="66">
        <f>IF(VLOOKUP($D226,$C$5:$AU$501,3,)=0,0,(VLOOKUP($D226,$C$5:$AU$501,11,)/VLOOKUP($D226,$C$5:$AU$501,3,))*$E226)</f>
        <v>0</v>
      </c>
      <c r="N226" s="66">
        <f>IF(VLOOKUP($D226,$C$5:$AU$501,3,)=0,0,(VLOOKUP($D226,$C$5:$AU$501,12,)/VLOOKUP($D226,$C$5:$AU$501,3,))*$E226)</f>
        <v>0</v>
      </c>
      <c r="O226" s="66">
        <f>IF(VLOOKUP($D226,$C$5:$AU$501,3,)=0,0,(VLOOKUP($D226,$C$5:$AU$501,13,)/VLOOKUP($D226,$C$5:$AU$501,3,))*$E226)</f>
        <v>0</v>
      </c>
      <c r="P226" s="66">
        <f>IF(VLOOKUP($D226,$C$5:$AU$501,3,)=0,0,(VLOOKUP($D226,$C$5:$AU$501,14,)/VLOOKUP($D226,$C$5:$AU$501,3,))*$E226)</f>
        <v>0</v>
      </c>
      <c r="Q226" s="66">
        <f>IF(VLOOKUP($D226,$C$5:$AU$501,3,)=0,0,(VLOOKUP($D226,$C$5:$AU$501,15,)/VLOOKUP($D226,$C$5:$AU$501,3,))*$E226)</f>
        <v>0</v>
      </c>
      <c r="R226" s="66">
        <f>IF(VLOOKUP($D226,$C$5:$AU$501,3,)=0,0,(VLOOKUP($D226,$C$5:$AU$501,16,)/VLOOKUP($D226,$C$5:$AU$501,3,))*$E226)</f>
        <v>0</v>
      </c>
      <c r="S226" s="66">
        <f>IF(VLOOKUP($D226,$C$5:$AU$501,3,)=0,0,(VLOOKUP($D226,$C$5:$AU$501,17,)/VLOOKUP($D226,$C$5:$AU$501,3,))*$E226)</f>
        <v>0</v>
      </c>
      <c r="T226" s="66">
        <f>IF(VLOOKUP($D226,$C$5:$AU$501,3,)=0,0,(VLOOKUP($D226,$C$5:$AU$501,18,)/VLOOKUP($D226,$C$5:$AU$501,3,))*$E226)</f>
        <v>0</v>
      </c>
      <c r="U226" s="66">
        <f>IF(VLOOKUP($D226,$C$5:$AU$501,3,)=0,0,(VLOOKUP($D226,$C$5:$AU$501,19,)/VLOOKUP($D226,$C$5:$AU$501,3,))*$E226)</f>
        <v>0</v>
      </c>
      <c r="V226" s="66">
        <f>IF(VLOOKUP($D226,$C$5:$AU$501,3,)=0,0,(VLOOKUP($D226,$C$5:$AU$501,20,)/VLOOKUP($D226,$C$5:$AU$501,3,))*$E226)</f>
        <v>0</v>
      </c>
      <c r="W226" s="66">
        <f>IF(VLOOKUP($D226,$C$5:$AU$501,3,)=0,0,(VLOOKUP($D226,$C$5:$AU$501,21,)/VLOOKUP($D226,$C$5:$AU$501,3,))*$E226)</f>
        <v>0</v>
      </c>
      <c r="X226" s="66">
        <f>IF(VLOOKUP($D226,$C$5:$AU$501,3,)=0,0,(VLOOKUP($D226,$C$5:$AU$501,22,)/VLOOKUP($D226,$C$5:$AU$501,3,))*$E226)</f>
        <v>0</v>
      </c>
      <c r="Y226" s="66">
        <f>IF(VLOOKUP($D226,$C$5:$AU$501,3,)=0,0,(VLOOKUP($D226,$C$5:$AU$501,23,)/VLOOKUP($D226,$C$5:$AU$501,3,))*$E226)</f>
        <v>0</v>
      </c>
      <c r="Z226" s="66">
        <f>IF(VLOOKUP($D226,$C$5:$AU$501,3,)=0,0,(VLOOKUP($D226,$C$5:$AU$501,24,)/VLOOKUP($D226,$C$5:$AU$501,3,))*$E226)</f>
        <v>0</v>
      </c>
      <c r="AA226" s="66">
        <f>IF(VLOOKUP($D226,$C$5:$AU$501,3,)=0,0,(VLOOKUP($D226,$C$5:$AU$501,25,)/VLOOKUP($D226,$C$5:$AU$501,3,))*$E226)</f>
        <v>0</v>
      </c>
      <c r="AB226" s="66">
        <f>IF(VLOOKUP($D226,$C$5:$AU$501,3,)=0,0,(VLOOKUP($D226,$C$5:$AU$501,26,)/VLOOKUP($D226,$C$5:$AU$501,3,))*$E226)</f>
        <v>0</v>
      </c>
      <c r="AC226" s="66">
        <f>IF(VLOOKUP($D226,$C$5:$AU$501,3,)=0,0,(VLOOKUP($D226,$C$5:$AU$501,27,)/VLOOKUP($D226,$C$5:$AU$501,3,))*$E226)</f>
        <v>0</v>
      </c>
      <c r="AD226" s="66">
        <f>IF(VLOOKUP($D226,$C$5:$AU$501,3,)=0,0,(VLOOKUP($D226,$C$5:$AU$501,28,)/VLOOKUP($D226,$C$5:$AU$501,3,))*$E226)</f>
        <v>0</v>
      </c>
      <c r="AE226" s="66">
        <f>IF(VLOOKUP($D226,$C$5:$AU$501,3,)=0,0,(VLOOKUP($D226,$C$5:$AU$501,29,)/VLOOKUP($D226,$C$5:$AU$501,3,))*$E226)</f>
        <v>0</v>
      </c>
      <c r="AF226" s="66">
        <f>IF(VLOOKUP($D226,$C$5:$AU$501,3,)=0,0,(VLOOKUP($D226,$C$5:$AU$501,30,)/VLOOKUP($D226,$C$5:$AU$501,3,))*$E226)</f>
        <v>0</v>
      </c>
      <c r="AG226" s="95">
        <f>SUM(F226:AF226)</f>
        <v>0</v>
      </c>
      <c r="AH226" s="31" t="str">
        <f>IF(ABS(E226-AG226)&lt;0.01,"ok","err")</f>
        <v>ok</v>
      </c>
    </row>
    <row r="227" spans="1:34" x14ac:dyDescent="0.2">
      <c r="E227" s="50"/>
    </row>
    <row r="228" spans="1:34" x14ac:dyDescent="0.2">
      <c r="A228" s="13" t="s">
        <v>470</v>
      </c>
      <c r="E228" s="50"/>
    </row>
    <row r="229" spans="1:34" x14ac:dyDescent="0.2">
      <c r="A229" s="98" t="s">
        <v>221</v>
      </c>
      <c r="C229" s="14" t="s">
        <v>293</v>
      </c>
      <c r="D229" s="14" t="s">
        <v>235</v>
      </c>
      <c r="E229" s="66">
        <f>'Func &amp; Classif'!AA312</f>
        <v>0</v>
      </c>
      <c r="F229" s="66">
        <f>IF(VLOOKUP($D229,$C$5:$AU$501,3,)=0,0,(VLOOKUP($D229,$C$5:$AU$501,4,)/VLOOKUP($D229,$C$5:$AU$501,3,))*$E229)</f>
        <v>0</v>
      </c>
      <c r="G229" s="66">
        <f>IF(VLOOKUP($D229,$C$5:$AU$501,3,)=0,0,(VLOOKUP($D229,$C$5:$AU$501,5,)/VLOOKUP($D229,$C$5:$AU$501,3,))*$E229)</f>
        <v>0</v>
      </c>
      <c r="H229" s="66">
        <f>IF(VLOOKUP($D229,$C$5:$AU$501,3,)=0,0,(VLOOKUP($D229,$C$5:$AU$501,6,)/VLOOKUP($D229,$C$5:$AU$501,3,))*$E229)</f>
        <v>0</v>
      </c>
      <c r="I229" s="66">
        <f>IF(VLOOKUP($D229,$C$5:$AU$501,3,)=0,0,(VLOOKUP($D229,$C$5:$AU$501,7,)/VLOOKUP($D229,$C$5:$AU$501,3,))*$E229)</f>
        <v>0</v>
      </c>
      <c r="J229" s="66">
        <f>IF(VLOOKUP($D229,$C$5:$AU$501,3,)=0,0,(VLOOKUP($D229,$C$5:$AU$501,8,)/VLOOKUP($D229,$C$5:$AU$501,3,))*$E229)</f>
        <v>0</v>
      </c>
      <c r="K229" s="66">
        <f>IF(VLOOKUP($D229,$C$5:$AU$501,3,)=0,0,(VLOOKUP($D229,$C$5:$AU$501,9,)/VLOOKUP($D229,$C$5:$AU$501,3,))*$E229)</f>
        <v>0</v>
      </c>
      <c r="L229" s="66">
        <f>IF(VLOOKUP($D229,$C$5:$AU$501,3,)=0,0,(VLOOKUP($D229,$C$5:$AU$501,10,)/VLOOKUP($D229,$C$5:$AU$501,3,))*$E229)</f>
        <v>0</v>
      </c>
      <c r="M229" s="66">
        <f>IF(VLOOKUP($D229,$C$5:$AU$501,3,)=0,0,(VLOOKUP($D229,$C$5:$AU$501,11,)/VLOOKUP($D229,$C$5:$AU$501,3,))*$E229)</f>
        <v>0</v>
      </c>
      <c r="N229" s="66">
        <f>IF(VLOOKUP($D229,$C$5:$AU$501,3,)=0,0,(VLOOKUP($D229,$C$5:$AU$501,12,)/VLOOKUP($D229,$C$5:$AU$501,3,))*$E229)</f>
        <v>0</v>
      </c>
      <c r="O229" s="66">
        <f>IF(VLOOKUP($D229,$C$5:$AU$501,3,)=0,0,(VLOOKUP($D229,$C$5:$AU$501,13,)/VLOOKUP($D229,$C$5:$AU$501,3,))*$E229)</f>
        <v>0</v>
      </c>
      <c r="P229" s="66">
        <f>IF(VLOOKUP($D229,$C$5:$AU$501,3,)=0,0,(VLOOKUP($D229,$C$5:$AU$501,14,)/VLOOKUP($D229,$C$5:$AU$501,3,))*$E229)</f>
        <v>0</v>
      </c>
      <c r="Q229" s="66">
        <f>IF(VLOOKUP($D229,$C$5:$AU$501,3,)=0,0,(VLOOKUP($D229,$C$5:$AU$501,15,)/VLOOKUP($D229,$C$5:$AU$501,3,))*$E229)</f>
        <v>0</v>
      </c>
      <c r="R229" s="66">
        <f>IF(VLOOKUP($D229,$C$5:$AU$501,3,)=0,0,(VLOOKUP($D229,$C$5:$AU$501,16,)/VLOOKUP($D229,$C$5:$AU$501,3,))*$E229)</f>
        <v>0</v>
      </c>
      <c r="S229" s="66">
        <f>IF(VLOOKUP($D229,$C$5:$AU$501,3,)=0,0,(VLOOKUP($D229,$C$5:$AU$501,17,)/VLOOKUP($D229,$C$5:$AU$501,3,))*$E229)</f>
        <v>0</v>
      </c>
      <c r="T229" s="66">
        <f>IF(VLOOKUP($D229,$C$5:$AU$501,3,)=0,0,(VLOOKUP($D229,$C$5:$AU$501,18,)/VLOOKUP($D229,$C$5:$AU$501,3,))*$E229)</f>
        <v>0</v>
      </c>
      <c r="U229" s="66">
        <f>IF(VLOOKUP($D229,$C$5:$AU$501,3,)=0,0,(VLOOKUP($D229,$C$5:$AU$501,19,)/VLOOKUP($D229,$C$5:$AU$501,3,))*$E229)</f>
        <v>0</v>
      </c>
      <c r="V229" s="66">
        <f>IF(VLOOKUP($D229,$C$5:$AU$501,3,)=0,0,(VLOOKUP($D229,$C$5:$AU$501,20,)/VLOOKUP($D229,$C$5:$AU$501,3,))*$E229)</f>
        <v>0</v>
      </c>
      <c r="W229" s="66">
        <f>IF(VLOOKUP($D229,$C$5:$AU$501,3,)=0,0,(VLOOKUP($D229,$C$5:$AU$501,21,)/VLOOKUP($D229,$C$5:$AU$501,3,))*$E229)</f>
        <v>0</v>
      </c>
      <c r="X229" s="66">
        <f>IF(VLOOKUP($D229,$C$5:$AU$501,3,)=0,0,(VLOOKUP($D229,$C$5:$AU$501,22,)/VLOOKUP($D229,$C$5:$AU$501,3,))*$E229)</f>
        <v>0</v>
      </c>
      <c r="Y229" s="66">
        <f>IF(VLOOKUP($D229,$C$5:$AU$501,3,)=0,0,(VLOOKUP($D229,$C$5:$AU$501,23,)/VLOOKUP($D229,$C$5:$AU$501,3,))*$E229)</f>
        <v>0</v>
      </c>
      <c r="Z229" s="66">
        <f>IF(VLOOKUP($D229,$C$5:$AU$501,3,)=0,0,(VLOOKUP($D229,$C$5:$AU$501,24,)/VLOOKUP($D229,$C$5:$AU$501,3,))*$E229)</f>
        <v>0</v>
      </c>
      <c r="AA229" s="66">
        <f>IF(VLOOKUP($D229,$C$5:$AU$501,3,)=0,0,(VLOOKUP($D229,$C$5:$AU$501,25,)/VLOOKUP($D229,$C$5:$AU$501,3,))*$E229)</f>
        <v>0</v>
      </c>
      <c r="AB229" s="66">
        <f>IF(VLOOKUP($D229,$C$5:$AU$501,3,)=0,0,(VLOOKUP($D229,$C$5:$AU$501,26,)/VLOOKUP($D229,$C$5:$AU$501,3,))*$E229)</f>
        <v>0</v>
      </c>
      <c r="AC229" s="66">
        <f>IF(VLOOKUP($D229,$C$5:$AU$501,3,)=0,0,(VLOOKUP($D229,$C$5:$AU$501,27,)/VLOOKUP($D229,$C$5:$AU$501,3,))*$E229)</f>
        <v>0</v>
      </c>
      <c r="AD229" s="66">
        <f>IF(VLOOKUP($D229,$C$5:$AU$501,3,)=0,0,(VLOOKUP($D229,$C$5:$AU$501,28,)/VLOOKUP($D229,$C$5:$AU$501,3,))*$E229)</f>
        <v>0</v>
      </c>
      <c r="AE229" s="66">
        <f>IF(VLOOKUP($D229,$C$5:$AU$501,3,)=0,0,(VLOOKUP($D229,$C$5:$AU$501,29,)/VLOOKUP($D229,$C$5:$AU$501,3,))*$E229)</f>
        <v>0</v>
      </c>
      <c r="AF229" s="66">
        <f>IF(VLOOKUP($D229,$C$5:$AU$501,3,)=0,0,(VLOOKUP($D229,$C$5:$AU$501,30,)/VLOOKUP($D229,$C$5:$AU$501,3,))*$E229)</f>
        <v>0</v>
      </c>
      <c r="AG229" s="95">
        <f>SUM(F229:AF229)</f>
        <v>0</v>
      </c>
      <c r="AH229" s="31" t="str">
        <f>IF(ABS(E229-AG229)&lt;0.01,"ok","err")</f>
        <v>ok</v>
      </c>
    </row>
    <row r="230" spans="1:34" x14ac:dyDescent="0.2">
      <c r="E230" s="50"/>
    </row>
    <row r="231" spans="1:34" x14ac:dyDescent="0.2">
      <c r="A231" s="14" t="s">
        <v>0</v>
      </c>
      <c r="C231" s="14" t="s">
        <v>297</v>
      </c>
      <c r="E231" s="66">
        <f>E201+E204+E207+E212+E217+E220+E223+E226+E229</f>
        <v>11935420.999999998</v>
      </c>
      <c r="F231" s="66">
        <f t="shared" ref="F231:R231" si="47">F201+F204+F207+F212+F217+F220+F223+F226+F229</f>
        <v>9814300.6632227208</v>
      </c>
      <c r="G231" s="66">
        <f t="shared" si="47"/>
        <v>4943.6119881622099</v>
      </c>
      <c r="H231" s="66">
        <f t="shared" si="47"/>
        <v>633943.30602843256</v>
      </c>
      <c r="I231" s="66">
        <f t="shared" si="47"/>
        <v>64.438147402987767</v>
      </c>
      <c r="J231" s="66">
        <f t="shared" si="47"/>
        <v>259846.41731404749</v>
      </c>
      <c r="K231" s="66">
        <f t="shared" si="47"/>
        <v>172810.03145625588</v>
      </c>
      <c r="L231" s="66">
        <f t="shared" si="47"/>
        <v>134853.42330069043</v>
      </c>
      <c r="M231" s="66">
        <f t="shared" si="47"/>
        <v>327135.30086765968</v>
      </c>
      <c r="N231" s="66">
        <f t="shared" si="47"/>
        <v>63335.00809804118</v>
      </c>
      <c r="O231" s="66">
        <f t="shared" si="47"/>
        <v>524188.79957658472</v>
      </c>
      <c r="P231" s="66">
        <f t="shared" si="47"/>
        <v>0</v>
      </c>
      <c r="Q231" s="66">
        <f t="shared" si="47"/>
        <v>0</v>
      </c>
      <c r="R231" s="66">
        <f t="shared" si="47"/>
        <v>0</v>
      </c>
      <c r="S231" s="66">
        <f t="shared" ref="S231:AF231" si="48">S201+S207+S212+S217+S220+S223+S226+S229</f>
        <v>0</v>
      </c>
      <c r="T231" s="66">
        <f t="shared" si="48"/>
        <v>0</v>
      </c>
      <c r="U231" s="66">
        <f t="shared" si="48"/>
        <v>0</v>
      </c>
      <c r="V231" s="66">
        <f t="shared" si="48"/>
        <v>0</v>
      </c>
      <c r="W231" s="66">
        <f t="shared" si="48"/>
        <v>0</v>
      </c>
      <c r="X231" s="66">
        <f t="shared" si="48"/>
        <v>0</v>
      </c>
      <c r="Y231" s="66">
        <f t="shared" si="48"/>
        <v>0</v>
      </c>
      <c r="Z231" s="66">
        <f t="shared" si="48"/>
        <v>0</v>
      </c>
      <c r="AA231" s="66">
        <f t="shared" si="48"/>
        <v>0</v>
      </c>
      <c r="AB231" s="66">
        <f t="shared" si="48"/>
        <v>0</v>
      </c>
      <c r="AC231" s="66">
        <f t="shared" si="48"/>
        <v>0</v>
      </c>
      <c r="AD231" s="66">
        <f t="shared" si="48"/>
        <v>0</v>
      </c>
      <c r="AE231" s="66">
        <f t="shared" si="48"/>
        <v>0</v>
      </c>
      <c r="AF231" s="66">
        <f t="shared" si="48"/>
        <v>0</v>
      </c>
      <c r="AG231" s="95">
        <f>SUM(F231:AF231)</f>
        <v>11935421</v>
      </c>
      <c r="AH231" s="31" t="str">
        <f>IF(ABS(E231-AG231)&lt;0.01,"ok","err")</f>
        <v>ok</v>
      </c>
    </row>
    <row r="234" spans="1:34" x14ac:dyDescent="0.2">
      <c r="A234" s="29" t="s">
        <v>188</v>
      </c>
    </row>
    <row r="236" spans="1:34" x14ac:dyDescent="0.2">
      <c r="A236" s="13" t="s">
        <v>894</v>
      </c>
    </row>
    <row r="237" spans="1:34" x14ac:dyDescent="0.2">
      <c r="A237" s="98" t="s">
        <v>209</v>
      </c>
      <c r="C237" s="14" t="s">
        <v>298</v>
      </c>
      <c r="D237" s="14" t="s">
        <v>657</v>
      </c>
      <c r="E237" s="66">
        <f>'Func &amp; Classif'!H314</f>
        <v>0</v>
      </c>
      <c r="F237" s="66">
        <f>IF(VLOOKUP($D237,$C$5:$AU$501,3,)=0,0,(VLOOKUP($D237,$C$5:$AU$501,4,)/VLOOKUP($D237,$C$5:$AU$501,3,))*$E237)</f>
        <v>0</v>
      </c>
      <c r="G237" s="66">
        <f>IF(VLOOKUP($D237,$C$5:$AU$501,3,)=0,0,(VLOOKUP($D237,$C$5:$AU$501,5,)/VLOOKUP($D237,$C$5:$AU$501,3,))*$E237)</f>
        <v>0</v>
      </c>
      <c r="H237" s="66">
        <f>IF(VLOOKUP($D237,$C$5:$AU$501,3,)=0,0,(VLOOKUP($D237,$C$5:$AU$501,6,)/VLOOKUP($D237,$C$5:$AU$501,3,))*$E237)</f>
        <v>0</v>
      </c>
      <c r="I237" s="66">
        <f>IF(VLOOKUP($D237,$C$5:$AU$501,3,)=0,0,(VLOOKUP($D237,$C$5:$AU$501,7,)/VLOOKUP($D237,$C$5:$AU$501,3,))*$E237)</f>
        <v>0</v>
      </c>
      <c r="J237" s="66">
        <f>IF(VLOOKUP($D237,$C$5:$AU$501,3,)=0,0,(VLOOKUP($D237,$C$5:$AU$501,8,)/VLOOKUP($D237,$C$5:$AU$501,3,))*$E237)</f>
        <v>0</v>
      </c>
      <c r="K237" s="66">
        <f>IF(VLOOKUP($D237,$C$5:$AU$501,3,)=0,0,(VLOOKUP($D237,$C$5:$AU$501,9,)/VLOOKUP($D237,$C$5:$AU$501,3,))*$E237)</f>
        <v>0</v>
      </c>
      <c r="L237" s="66">
        <f>IF(VLOOKUP($D237,$C$5:$AU$501,3,)=0,0,(VLOOKUP($D237,$C$5:$AU$501,10,)/VLOOKUP($D237,$C$5:$AU$501,3,))*$E237)</f>
        <v>0</v>
      </c>
      <c r="M237" s="66">
        <f>IF(VLOOKUP($D237,$C$5:$AU$501,3,)=0,0,(VLOOKUP($D237,$C$5:$AU$501,11,)/VLOOKUP($D237,$C$5:$AU$501,3,))*$E237)</f>
        <v>0</v>
      </c>
      <c r="N237" s="66">
        <f>IF(VLOOKUP($D237,$C$5:$AU$501,3,)=0,0,(VLOOKUP($D237,$C$5:$AU$501,12,)/VLOOKUP($D237,$C$5:$AU$501,3,))*$E237)</f>
        <v>0</v>
      </c>
      <c r="O237" s="66">
        <f>IF(VLOOKUP($D237,$C$5:$AU$501,3,)=0,0,(VLOOKUP($D237,$C$5:$AU$501,13,)/VLOOKUP($D237,$C$5:$AU$501,3,))*$E237)</f>
        <v>0</v>
      </c>
      <c r="P237" s="66">
        <f>IF(VLOOKUP($D237,$C$5:$AU$501,3,)=0,0,(VLOOKUP($D237,$C$5:$AU$501,14,)/VLOOKUP($D237,$C$5:$AU$501,3,))*$E237)</f>
        <v>0</v>
      </c>
      <c r="Q237" s="66">
        <f>IF(VLOOKUP($D237,$C$5:$AU$501,3,)=0,0,(VLOOKUP($D237,$C$5:$AU$501,15,)/VLOOKUP($D237,$C$5:$AU$501,3,))*$E237)</f>
        <v>0</v>
      </c>
      <c r="R237" s="66">
        <f>IF(VLOOKUP($D237,$C$5:$AU$501,3,)=0,0,(VLOOKUP($D237,$C$5:$AU$501,16,)/VLOOKUP($D237,$C$5:$AU$501,3,))*$E237)</f>
        <v>0</v>
      </c>
      <c r="S237" s="66">
        <f>IF(VLOOKUP($D237,$C$5:$AU$501,3,)=0,0,(VLOOKUP($D237,$C$5:$AU$501,17,)/VLOOKUP($D237,$C$5:$AU$501,3,))*$E237)</f>
        <v>0</v>
      </c>
      <c r="T237" s="66">
        <f>IF(VLOOKUP($D237,$C$5:$AU$501,3,)=0,0,(VLOOKUP($D237,$C$5:$AU$501,18,)/VLOOKUP($D237,$C$5:$AU$501,3,))*$E237)</f>
        <v>0</v>
      </c>
      <c r="U237" s="66">
        <f>IF(VLOOKUP($D237,$C$5:$AU$501,3,)=0,0,(VLOOKUP($D237,$C$5:$AU$501,19,)/VLOOKUP($D237,$C$5:$AU$501,3,))*$E237)</f>
        <v>0</v>
      </c>
      <c r="V237" s="66">
        <f>IF(VLOOKUP($D237,$C$5:$AU$501,3,)=0,0,(VLOOKUP($D237,$C$5:$AU$501,20,)/VLOOKUP($D237,$C$5:$AU$501,3,))*$E237)</f>
        <v>0</v>
      </c>
      <c r="W237" s="66">
        <f>IF(VLOOKUP($D237,$C$5:$AU$501,3,)=0,0,(VLOOKUP($D237,$C$5:$AU$501,21,)/VLOOKUP($D237,$C$5:$AU$501,3,))*$E237)</f>
        <v>0</v>
      </c>
      <c r="X237" s="66">
        <f>IF(VLOOKUP($D237,$C$5:$AU$501,3,)=0,0,(VLOOKUP($D237,$C$5:$AU$501,22,)/VLOOKUP($D237,$C$5:$AU$501,3,))*$E237)</f>
        <v>0</v>
      </c>
      <c r="Y237" s="66">
        <f>IF(VLOOKUP($D237,$C$5:$AU$501,3,)=0,0,(VLOOKUP($D237,$C$5:$AU$501,23,)/VLOOKUP($D237,$C$5:$AU$501,3,))*$E237)</f>
        <v>0</v>
      </c>
      <c r="Z237" s="66">
        <f>IF(VLOOKUP($D237,$C$5:$AU$501,3,)=0,0,(VLOOKUP($D237,$C$5:$AU$501,24,)/VLOOKUP($D237,$C$5:$AU$501,3,))*$E237)</f>
        <v>0</v>
      </c>
      <c r="AA237" s="66">
        <f>IF(VLOOKUP($D237,$C$5:$AU$501,3,)=0,0,(VLOOKUP($D237,$C$5:$AU$501,25,)/VLOOKUP($D237,$C$5:$AU$501,3,))*$E237)</f>
        <v>0</v>
      </c>
      <c r="AB237" s="66">
        <f>IF(VLOOKUP($D237,$C$5:$AU$501,3,)=0,0,(VLOOKUP($D237,$C$5:$AU$501,26,)/VLOOKUP($D237,$C$5:$AU$501,3,))*$E237)</f>
        <v>0</v>
      </c>
      <c r="AC237" s="66">
        <f>IF(VLOOKUP($D237,$C$5:$AU$501,3,)=0,0,(VLOOKUP($D237,$C$5:$AU$501,27,)/VLOOKUP($D237,$C$5:$AU$501,3,))*$E237)</f>
        <v>0</v>
      </c>
      <c r="AD237" s="66">
        <f>IF(VLOOKUP($D237,$C$5:$AU$501,3,)=0,0,(VLOOKUP($D237,$C$5:$AU$501,28,)/VLOOKUP($D237,$C$5:$AU$501,3,))*$E237)</f>
        <v>0</v>
      </c>
      <c r="AE237" s="66">
        <f>IF(VLOOKUP($D237,$C$5:$AU$501,3,)=0,0,(VLOOKUP($D237,$C$5:$AU$501,29,)/VLOOKUP($D237,$C$5:$AU$501,3,))*$E237)</f>
        <v>0</v>
      </c>
      <c r="AF237" s="66">
        <f>IF(VLOOKUP($D237,$C$5:$AU$501,3,)=0,0,(VLOOKUP($D237,$C$5:$AU$501,30,)/VLOOKUP($D237,$C$5:$AU$501,3,))*$E237)</f>
        <v>0</v>
      </c>
      <c r="AG237" s="95">
        <f>SUM(F237:AF237)</f>
        <v>0</v>
      </c>
      <c r="AH237" s="31" t="str">
        <f>IF(ABS(E237-AG237)&lt;0.01,"ok","err")</f>
        <v>ok</v>
      </c>
    </row>
    <row r="238" spans="1:34" x14ac:dyDescent="0.2">
      <c r="A238" s="98" t="s">
        <v>212</v>
      </c>
      <c r="C238" s="14" t="s">
        <v>299</v>
      </c>
      <c r="D238" s="14" t="s">
        <v>666</v>
      </c>
      <c r="E238" s="50">
        <f>'Func &amp; Classif'!I314</f>
        <v>0</v>
      </c>
      <c r="F238" s="66">
        <f>IF(VLOOKUP($D238,$C$5:$AU$501,3,)=0,0,(VLOOKUP($D238,$C$5:$AU$501,4,)/VLOOKUP($D238,$C$5:$AU$501,3,))*$E238)</f>
        <v>0</v>
      </c>
      <c r="G238" s="66">
        <f>IF(VLOOKUP($D238,$C$5:$AU$501,3,)=0,0,(VLOOKUP($D238,$C$5:$AU$501,5,)/VLOOKUP($D238,$C$5:$AU$501,3,))*$E238)</f>
        <v>0</v>
      </c>
      <c r="H238" s="66">
        <f>IF(VLOOKUP($D238,$C$5:$AU$501,3,)=0,0,(VLOOKUP($D238,$C$5:$AU$501,6,)/VLOOKUP($D238,$C$5:$AU$501,3,))*$E238)</f>
        <v>0</v>
      </c>
      <c r="I238" s="66">
        <f>IF(VLOOKUP($D238,$C$5:$AU$501,3,)=0,0,(VLOOKUP($D238,$C$5:$AU$501,7,)/VLOOKUP($D238,$C$5:$AU$501,3,))*$E238)</f>
        <v>0</v>
      </c>
      <c r="J238" s="66">
        <f>IF(VLOOKUP($D238,$C$5:$AU$501,3,)=0,0,(VLOOKUP($D238,$C$5:$AU$501,8,)/VLOOKUP($D238,$C$5:$AU$501,3,))*$E238)</f>
        <v>0</v>
      </c>
      <c r="K238" s="66">
        <f>IF(VLOOKUP($D238,$C$5:$AU$501,3,)=0,0,(VLOOKUP($D238,$C$5:$AU$501,9,)/VLOOKUP($D238,$C$5:$AU$501,3,))*$E238)</f>
        <v>0</v>
      </c>
      <c r="L238" s="66">
        <f>IF(VLOOKUP($D238,$C$5:$AU$501,3,)=0,0,(VLOOKUP($D238,$C$5:$AU$501,10,)/VLOOKUP($D238,$C$5:$AU$501,3,))*$E238)</f>
        <v>0</v>
      </c>
      <c r="M238" s="66">
        <f>IF(VLOOKUP($D238,$C$5:$AU$501,3,)=0,0,(VLOOKUP($D238,$C$5:$AU$501,11,)/VLOOKUP($D238,$C$5:$AU$501,3,))*$E238)</f>
        <v>0</v>
      </c>
      <c r="N238" s="66">
        <f>IF(VLOOKUP($D238,$C$5:$AU$501,3,)=0,0,(VLOOKUP($D238,$C$5:$AU$501,12,)/VLOOKUP($D238,$C$5:$AU$501,3,))*$E238)</f>
        <v>0</v>
      </c>
      <c r="O238" s="66">
        <f>IF(VLOOKUP($D238,$C$5:$AU$501,3,)=0,0,(VLOOKUP($D238,$C$5:$AU$501,13,)/VLOOKUP($D238,$C$5:$AU$501,3,))*$E238)</f>
        <v>0</v>
      </c>
      <c r="P238" s="66">
        <f>IF(VLOOKUP($D238,$C$5:$AU$501,3,)=0,0,(VLOOKUP($D238,$C$5:$AU$501,14,)/VLOOKUP($D238,$C$5:$AU$501,3,))*$E238)</f>
        <v>0</v>
      </c>
      <c r="Q238" s="66">
        <f>IF(VLOOKUP($D238,$C$5:$AU$501,3,)=0,0,(VLOOKUP($D238,$C$5:$AU$501,15,)/VLOOKUP($D238,$C$5:$AU$501,3,))*$E238)</f>
        <v>0</v>
      </c>
      <c r="R238" s="66">
        <f>IF(VLOOKUP($D238,$C$5:$AU$501,3,)=0,0,(VLOOKUP($D238,$C$5:$AU$501,16,)/VLOOKUP($D238,$C$5:$AU$501,3,))*$E238)</f>
        <v>0</v>
      </c>
      <c r="S238" s="66">
        <f>IF(VLOOKUP($D238,$C$5:$AU$501,3,)=0,0,(VLOOKUP($D238,$C$5:$AU$501,17,)/VLOOKUP($D238,$C$5:$AU$501,3,))*$E238)</f>
        <v>0</v>
      </c>
      <c r="T238" s="66">
        <f>IF(VLOOKUP($D238,$C$5:$AU$501,3,)=0,0,(VLOOKUP($D238,$C$5:$AU$501,18,)/VLOOKUP($D238,$C$5:$AU$501,3,))*$E238)</f>
        <v>0</v>
      </c>
      <c r="U238" s="66">
        <f>IF(VLOOKUP($D238,$C$5:$AU$501,3,)=0,0,(VLOOKUP($D238,$C$5:$AU$501,19,)/VLOOKUP($D238,$C$5:$AU$501,3,))*$E238)</f>
        <v>0</v>
      </c>
      <c r="V238" s="66">
        <f>IF(VLOOKUP($D238,$C$5:$AU$501,3,)=0,0,(VLOOKUP($D238,$C$5:$AU$501,20,)/VLOOKUP($D238,$C$5:$AU$501,3,))*$E238)</f>
        <v>0</v>
      </c>
      <c r="W238" s="66">
        <f>IF(VLOOKUP($D238,$C$5:$AU$501,3,)=0,0,(VLOOKUP($D238,$C$5:$AU$501,21,)/VLOOKUP($D238,$C$5:$AU$501,3,))*$E238)</f>
        <v>0</v>
      </c>
      <c r="X238" s="66">
        <f>IF(VLOOKUP($D238,$C$5:$AU$501,3,)=0,0,(VLOOKUP($D238,$C$5:$AU$501,22,)/VLOOKUP($D238,$C$5:$AU$501,3,))*$E238)</f>
        <v>0</v>
      </c>
      <c r="Y238" s="66">
        <f>IF(VLOOKUP($D238,$C$5:$AU$501,3,)=0,0,(VLOOKUP($D238,$C$5:$AU$501,23,)/VLOOKUP($D238,$C$5:$AU$501,3,))*$E238)</f>
        <v>0</v>
      </c>
      <c r="Z238" s="66">
        <f>IF(VLOOKUP($D238,$C$5:$AU$501,3,)=0,0,(VLOOKUP($D238,$C$5:$AU$501,24,)/VLOOKUP($D238,$C$5:$AU$501,3,))*$E238)</f>
        <v>0</v>
      </c>
      <c r="AA238" s="66">
        <f>IF(VLOOKUP($D238,$C$5:$AU$501,3,)=0,0,(VLOOKUP($D238,$C$5:$AU$501,25,)/VLOOKUP($D238,$C$5:$AU$501,3,))*$E238)</f>
        <v>0</v>
      </c>
      <c r="AB238" s="66">
        <f>IF(VLOOKUP($D238,$C$5:$AU$501,3,)=0,0,(VLOOKUP($D238,$C$5:$AU$501,26,)/VLOOKUP($D238,$C$5:$AU$501,3,))*$E238)</f>
        <v>0</v>
      </c>
      <c r="AC238" s="66">
        <f>IF(VLOOKUP($D238,$C$5:$AU$501,3,)=0,0,(VLOOKUP($D238,$C$5:$AU$501,27,)/VLOOKUP($D238,$C$5:$AU$501,3,))*$E238)</f>
        <v>0</v>
      </c>
      <c r="AD238" s="66">
        <f>IF(VLOOKUP($D238,$C$5:$AU$501,3,)=0,0,(VLOOKUP($D238,$C$5:$AU$501,28,)/VLOOKUP($D238,$C$5:$AU$501,3,))*$E238)</f>
        <v>0</v>
      </c>
      <c r="AE238" s="66">
        <f>IF(VLOOKUP($D238,$C$5:$AU$501,3,)=0,0,(VLOOKUP($D238,$C$5:$AU$501,29,)/VLOOKUP($D238,$C$5:$AU$501,3,))*$E238)</f>
        <v>0</v>
      </c>
      <c r="AF238" s="66">
        <f>IF(VLOOKUP($D238,$C$5:$AU$501,3,)=0,0,(VLOOKUP($D238,$C$5:$AU$501,30,)/VLOOKUP($D238,$C$5:$AU$501,3,))*$E238)</f>
        <v>0</v>
      </c>
      <c r="AG238" s="95">
        <f>SUM(F238:AF238)</f>
        <v>0</v>
      </c>
      <c r="AH238" s="31" t="str">
        <f>IF(ABS(E238-AG238)&lt;0.01,"ok","err")</f>
        <v>ok</v>
      </c>
    </row>
    <row r="239" spans="1:34" x14ac:dyDescent="0.2">
      <c r="A239" s="14" t="s">
        <v>215</v>
      </c>
      <c r="C239" s="14" t="s">
        <v>300</v>
      </c>
      <c r="E239" s="50">
        <f t="shared" ref="E239:T239" si="49">E237+E238</f>
        <v>0</v>
      </c>
      <c r="F239" s="66">
        <f t="shared" si="49"/>
        <v>0</v>
      </c>
      <c r="G239" s="66">
        <f t="shared" si="49"/>
        <v>0</v>
      </c>
      <c r="H239" s="66">
        <f t="shared" si="49"/>
        <v>0</v>
      </c>
      <c r="I239" s="66">
        <f t="shared" si="49"/>
        <v>0</v>
      </c>
      <c r="J239" s="66">
        <f t="shared" si="49"/>
        <v>0</v>
      </c>
      <c r="K239" s="66">
        <f t="shared" si="49"/>
        <v>0</v>
      </c>
      <c r="L239" s="66">
        <f t="shared" si="49"/>
        <v>0</v>
      </c>
      <c r="M239" s="66">
        <f t="shared" si="49"/>
        <v>0</v>
      </c>
      <c r="N239" s="66">
        <f t="shared" si="49"/>
        <v>0</v>
      </c>
      <c r="O239" s="66">
        <f t="shared" si="49"/>
        <v>0</v>
      </c>
      <c r="P239" s="66">
        <f t="shared" si="49"/>
        <v>0</v>
      </c>
      <c r="Q239" s="66">
        <f t="shared" si="49"/>
        <v>0</v>
      </c>
      <c r="R239" s="66">
        <f t="shared" si="49"/>
        <v>0</v>
      </c>
      <c r="S239" s="66">
        <f t="shared" si="49"/>
        <v>0</v>
      </c>
      <c r="T239" s="66">
        <f t="shared" si="49"/>
        <v>0</v>
      </c>
      <c r="U239" s="66">
        <f t="shared" ref="U239:AF239" si="50">U237+U238</f>
        <v>0</v>
      </c>
      <c r="V239" s="66">
        <f t="shared" si="50"/>
        <v>0</v>
      </c>
      <c r="W239" s="66">
        <f t="shared" si="50"/>
        <v>0</v>
      </c>
      <c r="X239" s="66">
        <f t="shared" si="50"/>
        <v>0</v>
      </c>
      <c r="Y239" s="66">
        <f t="shared" si="50"/>
        <v>0</v>
      </c>
      <c r="Z239" s="66">
        <f t="shared" si="50"/>
        <v>0</v>
      </c>
      <c r="AA239" s="66">
        <f t="shared" si="50"/>
        <v>0</v>
      </c>
      <c r="AB239" s="66">
        <f t="shared" si="50"/>
        <v>0</v>
      </c>
      <c r="AC239" s="66">
        <f t="shared" si="50"/>
        <v>0</v>
      </c>
      <c r="AD239" s="66">
        <f t="shared" si="50"/>
        <v>0</v>
      </c>
      <c r="AE239" s="66">
        <f t="shared" si="50"/>
        <v>0</v>
      </c>
      <c r="AF239" s="66">
        <f t="shared" si="50"/>
        <v>0</v>
      </c>
      <c r="AG239" s="95">
        <f>SUM(F239:AF239)</f>
        <v>0</v>
      </c>
      <c r="AH239" s="31" t="str">
        <f>IF(ABS(E239-AG239)&lt;0.01,"ok","err")</f>
        <v>ok</v>
      </c>
    </row>
    <row r="240" spans="1:34" x14ac:dyDescent="0.2">
      <c r="E240" s="50"/>
      <c r="F240" s="50"/>
    </row>
    <row r="241" spans="1:34" x14ac:dyDescent="0.2">
      <c r="A241" s="13" t="s">
        <v>350</v>
      </c>
      <c r="E241" s="50"/>
      <c r="F241" s="50"/>
    </row>
    <row r="242" spans="1:34" x14ac:dyDescent="0.2">
      <c r="A242" s="98" t="s">
        <v>209</v>
      </c>
      <c r="C242" s="14" t="s">
        <v>889</v>
      </c>
      <c r="D242" s="14" t="s">
        <v>625</v>
      </c>
      <c r="E242" s="66">
        <f>'Func &amp; Classif'!K314</f>
        <v>0</v>
      </c>
      <c r="F242" s="66">
        <f>IF(VLOOKUP($D242,$C$5:$AU$501,3,)=0,0,(VLOOKUP($D242,$C$5:$AU$501,4,)/VLOOKUP($D242,$C$5:$AU$501,3,))*$E242)</f>
        <v>0</v>
      </c>
      <c r="G242" s="66">
        <f>IF(VLOOKUP($D242,$C$5:$AU$501,3,)=0,0,(VLOOKUP($D242,$C$5:$AU$501,5,)/VLOOKUP($D242,$C$5:$AU$501,3,))*$E242)</f>
        <v>0</v>
      </c>
      <c r="H242" s="66">
        <f>IF(VLOOKUP($D242,$C$5:$AU$501,3,)=0,0,(VLOOKUP($D242,$C$5:$AU$501,6,)/VLOOKUP($D242,$C$5:$AU$501,3,))*$E242)</f>
        <v>0</v>
      </c>
      <c r="I242" s="66">
        <f>IF(VLOOKUP($D242,$C$5:$AU$501,3,)=0,0,(VLOOKUP($D242,$C$5:$AU$501,7,)/VLOOKUP($D242,$C$5:$AU$501,3,))*$E242)</f>
        <v>0</v>
      </c>
      <c r="J242" s="66">
        <f>IF(VLOOKUP($D242,$C$5:$AU$501,3,)=0,0,(VLOOKUP($D242,$C$5:$AU$501,8,)/VLOOKUP($D242,$C$5:$AU$501,3,))*$E242)</f>
        <v>0</v>
      </c>
      <c r="K242" s="66">
        <f>IF(VLOOKUP($D242,$C$5:$AU$501,3,)=0,0,(VLOOKUP($D242,$C$5:$AU$501,9,)/VLOOKUP($D242,$C$5:$AU$501,3,))*$E242)</f>
        <v>0</v>
      </c>
      <c r="L242" s="66">
        <f>IF(VLOOKUP($D242,$C$5:$AU$501,3,)=0,0,(VLOOKUP($D242,$C$5:$AU$501,10,)/VLOOKUP($D242,$C$5:$AU$501,3,))*$E242)</f>
        <v>0</v>
      </c>
      <c r="M242" s="66">
        <f>IF(VLOOKUP($D242,$C$5:$AU$501,3,)=0,0,(VLOOKUP($D242,$C$5:$AU$501,11,)/VLOOKUP($D242,$C$5:$AU$501,3,))*$E242)</f>
        <v>0</v>
      </c>
      <c r="N242" s="66">
        <f>IF(VLOOKUP($D242,$C$5:$AU$501,3,)=0,0,(VLOOKUP($D242,$C$5:$AU$501,12,)/VLOOKUP($D242,$C$5:$AU$501,3,))*$E242)</f>
        <v>0</v>
      </c>
      <c r="O242" s="66">
        <f>IF(VLOOKUP($D242,$C$5:$AU$501,3,)=0,0,(VLOOKUP($D242,$C$5:$AU$501,13,)/VLOOKUP($D242,$C$5:$AU$501,3,))*$E242)</f>
        <v>0</v>
      </c>
      <c r="P242" s="66">
        <f>IF(VLOOKUP($D242,$C$5:$AU$501,3,)=0,0,(VLOOKUP($D242,$C$5:$AU$501,14,)/VLOOKUP($D242,$C$5:$AU$501,3,))*$E242)</f>
        <v>0</v>
      </c>
      <c r="Q242" s="66">
        <f>IF(VLOOKUP($D242,$C$5:$AU$501,3,)=0,0,(VLOOKUP($D242,$C$5:$AU$501,15,)/VLOOKUP($D242,$C$5:$AU$501,3,))*$E242)</f>
        <v>0</v>
      </c>
      <c r="R242" s="66">
        <f>IF(VLOOKUP($D242,$C$5:$AU$501,3,)=0,0,(VLOOKUP($D242,$C$5:$AU$501,16,)/VLOOKUP($D242,$C$5:$AU$501,3,))*$E242)</f>
        <v>0</v>
      </c>
      <c r="S242" s="66">
        <f>IF(VLOOKUP($D242,$C$5:$AU$501,3,)=0,0,(VLOOKUP($D242,$C$5:$AU$501,17,)/VLOOKUP($D242,$C$5:$AU$501,3,))*$E242)</f>
        <v>0</v>
      </c>
      <c r="T242" s="66">
        <f>IF(VLOOKUP($D242,$C$5:$AU$501,3,)=0,0,(VLOOKUP($D242,$C$5:$AU$501,18,)/VLOOKUP($D242,$C$5:$AU$501,3,))*$E242)</f>
        <v>0</v>
      </c>
      <c r="U242" s="66">
        <f>IF(VLOOKUP($D242,$C$5:$AU$501,3,)=0,0,(VLOOKUP($D242,$C$5:$AU$501,19,)/VLOOKUP($D242,$C$5:$AU$501,3,))*$E242)</f>
        <v>0</v>
      </c>
      <c r="V242" s="66">
        <f>IF(VLOOKUP($D242,$C$5:$AU$501,3,)=0,0,(VLOOKUP($D242,$C$5:$AU$501,20,)/VLOOKUP($D242,$C$5:$AU$501,3,))*$E242)</f>
        <v>0</v>
      </c>
      <c r="W242" s="66">
        <f>IF(VLOOKUP($D242,$C$5:$AU$501,3,)=0,0,(VLOOKUP($D242,$C$5:$AU$501,21,)/VLOOKUP($D242,$C$5:$AU$501,3,))*$E242)</f>
        <v>0</v>
      </c>
      <c r="X242" s="66">
        <f>IF(VLOOKUP($D242,$C$5:$AU$501,3,)=0,0,(VLOOKUP($D242,$C$5:$AU$501,22,)/VLOOKUP($D242,$C$5:$AU$501,3,))*$E242)</f>
        <v>0</v>
      </c>
      <c r="Y242" s="66">
        <f>IF(VLOOKUP($D242,$C$5:$AU$501,3,)=0,0,(VLOOKUP($D242,$C$5:$AU$501,23,)/VLOOKUP($D242,$C$5:$AU$501,3,))*$E242)</f>
        <v>0</v>
      </c>
      <c r="Z242" s="66">
        <f>IF(VLOOKUP($D242,$C$5:$AU$501,3,)=0,0,(VLOOKUP($D242,$C$5:$AU$501,24,)/VLOOKUP($D242,$C$5:$AU$501,3,))*$E242)</f>
        <v>0</v>
      </c>
      <c r="AA242" s="66">
        <f>IF(VLOOKUP($D242,$C$5:$AU$501,3,)=0,0,(VLOOKUP($D242,$C$5:$AU$501,25,)/VLOOKUP($D242,$C$5:$AU$501,3,))*$E242)</f>
        <v>0</v>
      </c>
      <c r="AB242" s="66">
        <f>IF(VLOOKUP($D242,$C$5:$AU$501,3,)=0,0,(VLOOKUP($D242,$C$5:$AU$501,26,)/VLOOKUP($D242,$C$5:$AU$501,3,))*$E242)</f>
        <v>0</v>
      </c>
      <c r="AC242" s="66">
        <f>IF(VLOOKUP($D242,$C$5:$AU$501,3,)=0,0,(VLOOKUP($D242,$C$5:$AU$501,27,)/VLOOKUP($D242,$C$5:$AU$501,3,))*$E242)</f>
        <v>0</v>
      </c>
      <c r="AD242" s="66">
        <f>IF(VLOOKUP($D242,$C$5:$AU$501,3,)=0,0,(VLOOKUP($D242,$C$5:$AU$501,28,)/VLOOKUP($D242,$C$5:$AU$501,3,))*$E242)</f>
        <v>0</v>
      </c>
      <c r="AE242" s="66">
        <f>IF(VLOOKUP($D242,$C$5:$AU$501,3,)=0,0,(VLOOKUP($D242,$C$5:$AU$501,29,)/VLOOKUP($D242,$C$5:$AU$501,3,))*$E242)</f>
        <v>0</v>
      </c>
      <c r="AF242" s="66">
        <f>IF(VLOOKUP($D242,$C$5:$AU$501,3,)=0,0,(VLOOKUP($D242,$C$5:$AU$501,30,)/VLOOKUP($D242,$C$5:$AU$501,3,))*$E242)</f>
        <v>0</v>
      </c>
      <c r="AG242" s="95">
        <f>SUM(F242:AF242)</f>
        <v>0</v>
      </c>
      <c r="AH242" s="31" t="str">
        <f>IF(ABS(E242-AG242)&lt;0.01,"ok","err")</f>
        <v>ok</v>
      </c>
    </row>
    <row r="243" spans="1:34" x14ac:dyDescent="0.2">
      <c r="E243" s="50"/>
    </row>
    <row r="244" spans="1:34" x14ac:dyDescent="0.2">
      <c r="A244" s="13" t="s">
        <v>1</v>
      </c>
      <c r="E244" s="50"/>
      <c r="F244" s="50"/>
    </row>
    <row r="245" spans="1:34" x14ac:dyDescent="0.2">
      <c r="A245" s="98" t="s">
        <v>209</v>
      </c>
      <c r="C245" s="14" t="s">
        <v>301</v>
      </c>
      <c r="D245" s="14" t="s">
        <v>632</v>
      </c>
      <c r="E245" s="66">
        <f>'Func &amp; Classif'!M314</f>
        <v>0</v>
      </c>
      <c r="F245" s="66">
        <f>IF(VLOOKUP($D245,$C$5:$AU$501,3,)=0,0,(VLOOKUP($D245,$C$5:$AU$501,4,)/VLOOKUP($D245,$C$5:$AU$501,3,))*$E245)</f>
        <v>0</v>
      </c>
      <c r="G245" s="66">
        <f>IF(VLOOKUP($D245,$C$5:$AU$501,3,)=0,0,(VLOOKUP($D245,$C$5:$AU$501,5,)/VLOOKUP($D245,$C$5:$AU$501,3,))*$E245)</f>
        <v>0</v>
      </c>
      <c r="H245" s="66">
        <f>IF(VLOOKUP($D245,$C$5:$AU$501,3,)=0,0,(VLOOKUP($D245,$C$5:$AU$501,6,)/VLOOKUP($D245,$C$5:$AU$501,3,))*$E245)</f>
        <v>0</v>
      </c>
      <c r="I245" s="66">
        <f>IF(VLOOKUP($D245,$C$5:$AU$501,3,)=0,0,(VLOOKUP($D245,$C$5:$AU$501,7,)/VLOOKUP($D245,$C$5:$AU$501,3,))*$E245)</f>
        <v>0</v>
      </c>
      <c r="J245" s="66">
        <f>IF(VLOOKUP($D245,$C$5:$AU$501,3,)=0,0,(VLOOKUP($D245,$C$5:$AU$501,8,)/VLOOKUP($D245,$C$5:$AU$501,3,))*$E245)</f>
        <v>0</v>
      </c>
      <c r="K245" s="66">
        <f>IF(VLOOKUP($D245,$C$5:$AU$501,3,)=0,0,(VLOOKUP($D245,$C$5:$AU$501,9,)/VLOOKUP($D245,$C$5:$AU$501,3,))*$E245)</f>
        <v>0</v>
      </c>
      <c r="L245" s="66">
        <f>IF(VLOOKUP($D245,$C$5:$AU$501,3,)=0,0,(VLOOKUP($D245,$C$5:$AU$501,10,)/VLOOKUP($D245,$C$5:$AU$501,3,))*$E245)</f>
        <v>0</v>
      </c>
      <c r="M245" s="66">
        <f>IF(VLOOKUP($D245,$C$5:$AU$501,3,)=0,0,(VLOOKUP($D245,$C$5:$AU$501,11,)/VLOOKUP($D245,$C$5:$AU$501,3,))*$E245)</f>
        <v>0</v>
      </c>
      <c r="N245" s="66">
        <f>IF(VLOOKUP($D245,$C$5:$AU$501,3,)=0,0,(VLOOKUP($D245,$C$5:$AU$501,12,)/VLOOKUP($D245,$C$5:$AU$501,3,))*$E245)</f>
        <v>0</v>
      </c>
      <c r="O245" s="66">
        <f>IF(VLOOKUP($D245,$C$5:$AU$501,3,)=0,0,(VLOOKUP($D245,$C$5:$AU$501,13,)/VLOOKUP($D245,$C$5:$AU$501,3,))*$E245)</f>
        <v>0</v>
      </c>
      <c r="P245" s="66">
        <f>IF(VLOOKUP($D245,$C$5:$AU$501,3,)=0,0,(VLOOKUP($D245,$C$5:$AU$501,14,)/VLOOKUP($D245,$C$5:$AU$501,3,))*$E245)</f>
        <v>0</v>
      </c>
      <c r="Q245" s="66">
        <f>IF(VLOOKUP($D245,$C$5:$AU$501,3,)=0,0,(VLOOKUP($D245,$C$5:$AU$501,15,)/VLOOKUP($D245,$C$5:$AU$501,3,))*$E245)</f>
        <v>0</v>
      </c>
      <c r="R245" s="66">
        <f>IF(VLOOKUP($D245,$C$5:$AU$501,3,)=0,0,(VLOOKUP($D245,$C$5:$AU$501,16,)/VLOOKUP($D245,$C$5:$AU$501,3,))*$E245)</f>
        <v>0</v>
      </c>
      <c r="S245" s="66">
        <f>IF(VLOOKUP($D245,$C$5:$AU$501,3,)=0,0,(VLOOKUP($D245,$C$5:$AU$501,17,)/VLOOKUP($D245,$C$5:$AU$501,3,))*$E245)</f>
        <v>0</v>
      </c>
      <c r="T245" s="66">
        <f>IF(VLOOKUP($D245,$C$5:$AU$501,3,)=0,0,(VLOOKUP($D245,$C$5:$AU$501,18,)/VLOOKUP($D245,$C$5:$AU$501,3,))*$E245)</f>
        <v>0</v>
      </c>
      <c r="U245" s="66">
        <f>IF(VLOOKUP($D245,$C$5:$AU$501,3,)=0,0,(VLOOKUP($D245,$C$5:$AU$501,19,)/VLOOKUP($D245,$C$5:$AU$501,3,))*$E245)</f>
        <v>0</v>
      </c>
      <c r="V245" s="66">
        <f>IF(VLOOKUP($D245,$C$5:$AU$501,3,)=0,0,(VLOOKUP($D245,$C$5:$AU$501,20,)/VLOOKUP($D245,$C$5:$AU$501,3,))*$E245)</f>
        <v>0</v>
      </c>
      <c r="W245" s="66">
        <f>IF(VLOOKUP($D245,$C$5:$AU$501,3,)=0,0,(VLOOKUP($D245,$C$5:$AU$501,21,)/VLOOKUP($D245,$C$5:$AU$501,3,))*$E245)</f>
        <v>0</v>
      </c>
      <c r="X245" s="66">
        <f>IF(VLOOKUP($D245,$C$5:$AU$501,3,)=0,0,(VLOOKUP($D245,$C$5:$AU$501,22,)/VLOOKUP($D245,$C$5:$AU$501,3,))*$E245)</f>
        <v>0</v>
      </c>
      <c r="Y245" s="66">
        <f>IF(VLOOKUP($D245,$C$5:$AU$501,3,)=0,0,(VLOOKUP($D245,$C$5:$AU$501,23,)/VLOOKUP($D245,$C$5:$AU$501,3,))*$E245)</f>
        <v>0</v>
      </c>
      <c r="Z245" s="66">
        <f>IF(VLOOKUP($D245,$C$5:$AU$501,3,)=0,0,(VLOOKUP($D245,$C$5:$AU$501,24,)/VLOOKUP($D245,$C$5:$AU$501,3,))*$E245)</f>
        <v>0</v>
      </c>
      <c r="AA245" s="66">
        <f>IF(VLOOKUP($D245,$C$5:$AU$501,3,)=0,0,(VLOOKUP($D245,$C$5:$AU$501,25,)/VLOOKUP($D245,$C$5:$AU$501,3,))*$E245)</f>
        <v>0</v>
      </c>
      <c r="AB245" s="66">
        <f>IF(VLOOKUP($D245,$C$5:$AU$501,3,)=0,0,(VLOOKUP($D245,$C$5:$AU$501,26,)/VLOOKUP($D245,$C$5:$AU$501,3,))*$E245)</f>
        <v>0</v>
      </c>
      <c r="AC245" s="66">
        <f>IF(VLOOKUP($D245,$C$5:$AU$501,3,)=0,0,(VLOOKUP($D245,$C$5:$AU$501,27,)/VLOOKUP($D245,$C$5:$AU$501,3,))*$E245)</f>
        <v>0</v>
      </c>
      <c r="AD245" s="66">
        <f>IF(VLOOKUP($D245,$C$5:$AU$501,3,)=0,0,(VLOOKUP($D245,$C$5:$AU$501,28,)/VLOOKUP($D245,$C$5:$AU$501,3,))*$E245)</f>
        <v>0</v>
      </c>
      <c r="AE245" s="66">
        <f>IF(VLOOKUP($D245,$C$5:$AU$501,3,)=0,0,(VLOOKUP($D245,$C$5:$AU$501,29,)/VLOOKUP($D245,$C$5:$AU$501,3,))*$E245)</f>
        <v>0</v>
      </c>
      <c r="AF245" s="66">
        <f>IF(VLOOKUP($D245,$C$5:$AU$501,3,)=0,0,(VLOOKUP($D245,$C$5:$AU$501,30,)/VLOOKUP($D245,$C$5:$AU$501,3,))*$E245)</f>
        <v>0</v>
      </c>
      <c r="AG245" s="95">
        <f>SUM(F245:AF245)</f>
        <v>0</v>
      </c>
      <c r="AH245" s="31" t="str">
        <f>IF(ABS(E245-AG245)&lt;0.01,"ok","err")</f>
        <v>ok</v>
      </c>
    </row>
    <row r="246" spans="1:34" x14ac:dyDescent="0.2">
      <c r="E246" s="50"/>
    </row>
    <row r="247" spans="1:34" x14ac:dyDescent="0.2">
      <c r="A247" s="13" t="s">
        <v>2</v>
      </c>
      <c r="E247" s="50"/>
    </row>
    <row r="248" spans="1:34" x14ac:dyDescent="0.2">
      <c r="A248" s="98" t="s">
        <v>209</v>
      </c>
      <c r="C248" s="14" t="s">
        <v>302</v>
      </c>
      <c r="D248" s="14" t="s">
        <v>629</v>
      </c>
      <c r="E248" s="66">
        <f>'Func &amp; Classif'!O314</f>
        <v>0</v>
      </c>
      <c r="F248" s="66">
        <f>IF(VLOOKUP($D248,$C$5:$AU$501,3,)=0,0,(VLOOKUP($D248,$C$5:$AU$501,4,)/VLOOKUP($D248,$C$5:$AU$501,3,))*$E248)</f>
        <v>0</v>
      </c>
      <c r="G248" s="66">
        <f>IF(VLOOKUP($D248,$C$5:$AU$501,3,)=0,0,(VLOOKUP($D248,$C$5:$AU$501,5,)/VLOOKUP($D248,$C$5:$AU$501,3,))*$E248)</f>
        <v>0</v>
      </c>
      <c r="H248" s="66">
        <f>IF(VLOOKUP($D248,$C$5:$AU$501,3,)=0,0,(VLOOKUP($D248,$C$5:$AU$501,6,)/VLOOKUP($D248,$C$5:$AU$501,3,))*$E248)</f>
        <v>0</v>
      </c>
      <c r="I248" s="66">
        <f>IF(VLOOKUP($D248,$C$5:$AU$501,3,)=0,0,(VLOOKUP($D248,$C$5:$AU$501,7,)/VLOOKUP($D248,$C$5:$AU$501,3,))*$E248)</f>
        <v>0</v>
      </c>
      <c r="J248" s="66">
        <f>IF(VLOOKUP($D248,$C$5:$AU$501,3,)=0,0,(VLOOKUP($D248,$C$5:$AU$501,8,)/VLOOKUP($D248,$C$5:$AU$501,3,))*$E248)</f>
        <v>0</v>
      </c>
      <c r="K248" s="66">
        <f>IF(VLOOKUP($D248,$C$5:$AU$501,3,)=0,0,(VLOOKUP($D248,$C$5:$AU$501,9,)/VLOOKUP($D248,$C$5:$AU$501,3,))*$E248)</f>
        <v>0</v>
      </c>
      <c r="L248" s="66">
        <f>IF(VLOOKUP($D248,$C$5:$AU$501,3,)=0,0,(VLOOKUP($D248,$C$5:$AU$501,10,)/VLOOKUP($D248,$C$5:$AU$501,3,))*$E248)</f>
        <v>0</v>
      </c>
      <c r="M248" s="66">
        <f>IF(VLOOKUP($D248,$C$5:$AU$501,3,)=0,0,(VLOOKUP($D248,$C$5:$AU$501,11,)/VLOOKUP($D248,$C$5:$AU$501,3,))*$E248)</f>
        <v>0</v>
      </c>
      <c r="N248" s="66">
        <f>IF(VLOOKUP($D248,$C$5:$AU$501,3,)=0,0,(VLOOKUP($D248,$C$5:$AU$501,12,)/VLOOKUP($D248,$C$5:$AU$501,3,))*$E248)</f>
        <v>0</v>
      </c>
      <c r="O248" s="66">
        <f>IF(VLOOKUP($D248,$C$5:$AU$501,3,)=0,0,(VLOOKUP($D248,$C$5:$AU$501,13,)/VLOOKUP($D248,$C$5:$AU$501,3,))*$E248)</f>
        <v>0</v>
      </c>
      <c r="P248" s="66">
        <f>IF(VLOOKUP($D248,$C$5:$AU$501,3,)=0,0,(VLOOKUP($D248,$C$5:$AU$501,14,)/VLOOKUP($D248,$C$5:$AU$501,3,))*$E248)</f>
        <v>0</v>
      </c>
      <c r="Q248" s="66">
        <f>IF(VLOOKUP($D248,$C$5:$AU$501,3,)=0,0,(VLOOKUP($D248,$C$5:$AU$501,15,)/VLOOKUP($D248,$C$5:$AU$501,3,))*$E248)</f>
        <v>0</v>
      </c>
      <c r="R248" s="66">
        <f>IF(VLOOKUP($D248,$C$5:$AU$501,3,)=0,0,(VLOOKUP($D248,$C$5:$AU$501,16,)/VLOOKUP($D248,$C$5:$AU$501,3,))*$E248)</f>
        <v>0</v>
      </c>
      <c r="S248" s="66">
        <f>IF(VLOOKUP($D248,$C$5:$AU$501,3,)=0,0,(VLOOKUP($D248,$C$5:$AU$501,17,)/VLOOKUP($D248,$C$5:$AU$501,3,))*$E248)</f>
        <v>0</v>
      </c>
      <c r="T248" s="66">
        <f>IF(VLOOKUP($D248,$C$5:$AU$501,3,)=0,0,(VLOOKUP($D248,$C$5:$AU$501,18,)/VLOOKUP($D248,$C$5:$AU$501,3,))*$E248)</f>
        <v>0</v>
      </c>
      <c r="U248" s="66">
        <f>IF(VLOOKUP($D248,$C$5:$AU$501,3,)=0,0,(VLOOKUP($D248,$C$5:$AU$501,19,)/VLOOKUP($D248,$C$5:$AU$501,3,))*$E248)</f>
        <v>0</v>
      </c>
      <c r="V248" s="66">
        <f>IF(VLOOKUP($D248,$C$5:$AU$501,3,)=0,0,(VLOOKUP($D248,$C$5:$AU$501,20,)/VLOOKUP($D248,$C$5:$AU$501,3,))*$E248)</f>
        <v>0</v>
      </c>
      <c r="W248" s="66">
        <f>IF(VLOOKUP($D248,$C$5:$AU$501,3,)=0,0,(VLOOKUP($D248,$C$5:$AU$501,21,)/VLOOKUP($D248,$C$5:$AU$501,3,))*$E248)</f>
        <v>0</v>
      </c>
      <c r="X248" s="66">
        <f>IF(VLOOKUP($D248,$C$5:$AU$501,3,)=0,0,(VLOOKUP($D248,$C$5:$AU$501,22,)/VLOOKUP($D248,$C$5:$AU$501,3,))*$E248)</f>
        <v>0</v>
      </c>
      <c r="Y248" s="66">
        <f>IF(VLOOKUP($D248,$C$5:$AU$501,3,)=0,0,(VLOOKUP($D248,$C$5:$AU$501,23,)/VLOOKUP($D248,$C$5:$AU$501,3,))*$E248)</f>
        <v>0</v>
      </c>
      <c r="Z248" s="66">
        <f>IF(VLOOKUP($D248,$C$5:$AU$501,3,)=0,0,(VLOOKUP($D248,$C$5:$AU$501,24,)/VLOOKUP($D248,$C$5:$AU$501,3,))*$E248)</f>
        <v>0</v>
      </c>
      <c r="AA248" s="66">
        <f>IF(VLOOKUP($D248,$C$5:$AU$501,3,)=0,0,(VLOOKUP($D248,$C$5:$AU$501,25,)/VLOOKUP($D248,$C$5:$AU$501,3,))*$E248)</f>
        <v>0</v>
      </c>
      <c r="AB248" s="66">
        <f>IF(VLOOKUP($D248,$C$5:$AU$501,3,)=0,0,(VLOOKUP($D248,$C$5:$AU$501,26,)/VLOOKUP($D248,$C$5:$AU$501,3,))*$E248)</f>
        <v>0</v>
      </c>
      <c r="AC248" s="66">
        <f>IF(VLOOKUP($D248,$C$5:$AU$501,3,)=0,0,(VLOOKUP($D248,$C$5:$AU$501,27,)/VLOOKUP($D248,$C$5:$AU$501,3,))*$E248)</f>
        <v>0</v>
      </c>
      <c r="AD248" s="66">
        <f>IF(VLOOKUP($D248,$C$5:$AU$501,3,)=0,0,(VLOOKUP($D248,$C$5:$AU$501,28,)/VLOOKUP($D248,$C$5:$AU$501,3,))*$E248)</f>
        <v>0</v>
      </c>
      <c r="AE248" s="66">
        <f>IF(VLOOKUP($D248,$C$5:$AU$501,3,)=0,0,(VLOOKUP($D248,$C$5:$AU$501,29,)/VLOOKUP($D248,$C$5:$AU$501,3,))*$E248)</f>
        <v>0</v>
      </c>
      <c r="AF248" s="66">
        <f>IF(VLOOKUP($D248,$C$5:$AU$501,3,)=0,0,(VLOOKUP($D248,$C$5:$AU$501,30,)/VLOOKUP($D248,$C$5:$AU$501,3,))*$E248)</f>
        <v>0</v>
      </c>
      <c r="AG248" s="95">
        <f>SUM(F248:AF248)</f>
        <v>0</v>
      </c>
      <c r="AH248" s="31" t="str">
        <f>IF(ABS(E248-AG248)&lt;0.01,"ok","err")</f>
        <v>ok</v>
      </c>
    </row>
    <row r="249" spans="1:34" x14ac:dyDescent="0.2">
      <c r="A249" s="98" t="s">
        <v>221</v>
      </c>
      <c r="C249" s="14" t="s">
        <v>303</v>
      </c>
      <c r="D249" s="14" t="s">
        <v>223</v>
      </c>
      <c r="E249" s="50">
        <f>'Func &amp; Classif'!P314</f>
        <v>0</v>
      </c>
      <c r="F249" s="66">
        <f>IF(VLOOKUP($D249,$C$5:$AU$501,3,)=0,0,(VLOOKUP($D249,$C$5:$AU$501,4,)/VLOOKUP($D249,$C$5:$AU$501,3,))*$E249)</f>
        <v>0</v>
      </c>
      <c r="G249" s="66">
        <f>IF(VLOOKUP($D249,$C$5:$AU$501,3,)=0,0,(VLOOKUP($D249,$C$5:$AU$501,5,)/VLOOKUP($D249,$C$5:$AU$501,3,))*$E249)</f>
        <v>0</v>
      </c>
      <c r="H249" s="66">
        <f>IF(VLOOKUP($D249,$C$5:$AU$501,3,)=0,0,(VLOOKUP($D249,$C$5:$AU$501,6,)/VLOOKUP($D249,$C$5:$AU$501,3,))*$E249)</f>
        <v>0</v>
      </c>
      <c r="I249" s="66">
        <f>IF(VLOOKUP($D249,$C$5:$AU$501,3,)=0,0,(VLOOKUP($D249,$C$5:$AU$501,7,)/VLOOKUP($D249,$C$5:$AU$501,3,))*$E249)</f>
        <v>0</v>
      </c>
      <c r="J249" s="66">
        <f>IF(VLOOKUP($D249,$C$5:$AU$501,3,)=0,0,(VLOOKUP($D249,$C$5:$AU$501,8,)/VLOOKUP($D249,$C$5:$AU$501,3,))*$E249)</f>
        <v>0</v>
      </c>
      <c r="K249" s="66">
        <f>IF(VLOOKUP($D249,$C$5:$AU$501,3,)=0,0,(VLOOKUP($D249,$C$5:$AU$501,9,)/VLOOKUP($D249,$C$5:$AU$501,3,))*$E249)</f>
        <v>0</v>
      </c>
      <c r="L249" s="66">
        <f>IF(VLOOKUP($D249,$C$5:$AU$501,3,)=0,0,(VLOOKUP($D249,$C$5:$AU$501,10,)/VLOOKUP($D249,$C$5:$AU$501,3,))*$E249)</f>
        <v>0</v>
      </c>
      <c r="M249" s="66">
        <f>IF(VLOOKUP($D249,$C$5:$AU$501,3,)=0,0,(VLOOKUP($D249,$C$5:$AU$501,11,)/VLOOKUP($D249,$C$5:$AU$501,3,))*$E249)</f>
        <v>0</v>
      </c>
      <c r="N249" s="66">
        <f>IF(VLOOKUP($D249,$C$5:$AU$501,3,)=0,0,(VLOOKUP($D249,$C$5:$AU$501,12,)/VLOOKUP($D249,$C$5:$AU$501,3,))*$E249)</f>
        <v>0</v>
      </c>
      <c r="O249" s="66">
        <f>IF(VLOOKUP($D249,$C$5:$AU$501,3,)=0,0,(VLOOKUP($D249,$C$5:$AU$501,13,)/VLOOKUP($D249,$C$5:$AU$501,3,))*$E249)</f>
        <v>0</v>
      </c>
      <c r="P249" s="66">
        <f>IF(VLOOKUP($D249,$C$5:$AU$501,3,)=0,0,(VLOOKUP($D249,$C$5:$AU$501,14,)/VLOOKUP($D249,$C$5:$AU$501,3,))*$E249)</f>
        <v>0</v>
      </c>
      <c r="Q249" s="66">
        <f>IF(VLOOKUP($D249,$C$5:$AU$501,3,)=0,0,(VLOOKUP($D249,$C$5:$AU$501,15,)/VLOOKUP($D249,$C$5:$AU$501,3,))*$E249)</f>
        <v>0</v>
      </c>
      <c r="R249" s="66">
        <f>IF(VLOOKUP($D249,$C$5:$AU$501,3,)=0,0,(VLOOKUP($D249,$C$5:$AU$501,16,)/VLOOKUP($D249,$C$5:$AU$501,3,))*$E249)</f>
        <v>0</v>
      </c>
      <c r="S249" s="66">
        <f>IF(VLOOKUP($D249,$C$5:$AU$501,3,)=0,0,(VLOOKUP($D249,$C$5:$AU$501,17,)/VLOOKUP($D249,$C$5:$AU$501,3,))*$E249)</f>
        <v>0</v>
      </c>
      <c r="T249" s="66">
        <f>IF(VLOOKUP($D249,$C$5:$AU$501,3,)=0,0,(VLOOKUP($D249,$C$5:$AU$501,18,)/VLOOKUP($D249,$C$5:$AU$501,3,))*$E249)</f>
        <v>0</v>
      </c>
      <c r="U249" s="66">
        <f>IF(VLOOKUP($D249,$C$5:$AU$501,3,)=0,0,(VLOOKUP($D249,$C$5:$AU$501,19,)/VLOOKUP($D249,$C$5:$AU$501,3,))*$E249)</f>
        <v>0</v>
      </c>
      <c r="V249" s="66">
        <f>IF(VLOOKUP($D249,$C$5:$AU$501,3,)=0,0,(VLOOKUP($D249,$C$5:$AU$501,20,)/VLOOKUP($D249,$C$5:$AU$501,3,))*$E249)</f>
        <v>0</v>
      </c>
      <c r="W249" s="66">
        <f>IF(VLOOKUP($D249,$C$5:$AU$501,3,)=0,0,(VLOOKUP($D249,$C$5:$AU$501,21,)/VLOOKUP($D249,$C$5:$AU$501,3,))*$E249)</f>
        <v>0</v>
      </c>
      <c r="X249" s="66">
        <f>IF(VLOOKUP($D249,$C$5:$AU$501,3,)=0,0,(VLOOKUP($D249,$C$5:$AU$501,22,)/VLOOKUP($D249,$C$5:$AU$501,3,))*$E249)</f>
        <v>0</v>
      </c>
      <c r="Y249" s="66">
        <f>IF(VLOOKUP($D249,$C$5:$AU$501,3,)=0,0,(VLOOKUP($D249,$C$5:$AU$501,23,)/VLOOKUP($D249,$C$5:$AU$501,3,))*$E249)</f>
        <v>0</v>
      </c>
      <c r="Z249" s="66">
        <f>IF(VLOOKUP($D249,$C$5:$AU$501,3,)=0,0,(VLOOKUP($D249,$C$5:$AU$501,24,)/VLOOKUP($D249,$C$5:$AU$501,3,))*$E249)</f>
        <v>0</v>
      </c>
      <c r="AA249" s="66">
        <f>IF(VLOOKUP($D249,$C$5:$AU$501,3,)=0,0,(VLOOKUP($D249,$C$5:$AU$501,25,)/VLOOKUP($D249,$C$5:$AU$501,3,))*$E249)</f>
        <v>0</v>
      </c>
      <c r="AB249" s="66">
        <f>IF(VLOOKUP($D249,$C$5:$AU$501,3,)=0,0,(VLOOKUP($D249,$C$5:$AU$501,26,)/VLOOKUP($D249,$C$5:$AU$501,3,))*$E249)</f>
        <v>0</v>
      </c>
      <c r="AC249" s="66">
        <f>IF(VLOOKUP($D249,$C$5:$AU$501,3,)=0,0,(VLOOKUP($D249,$C$5:$AU$501,27,)/VLOOKUP($D249,$C$5:$AU$501,3,))*$E249)</f>
        <v>0</v>
      </c>
      <c r="AD249" s="66">
        <f>IF(VLOOKUP($D249,$C$5:$AU$501,3,)=0,0,(VLOOKUP($D249,$C$5:$AU$501,28,)/VLOOKUP($D249,$C$5:$AU$501,3,))*$E249)</f>
        <v>0</v>
      </c>
      <c r="AE249" s="66">
        <f>IF(VLOOKUP($D249,$C$5:$AU$501,3,)=0,0,(VLOOKUP($D249,$C$5:$AU$501,29,)/VLOOKUP($D249,$C$5:$AU$501,3,))*$E249)</f>
        <v>0</v>
      </c>
      <c r="AF249" s="66">
        <f>IF(VLOOKUP($D249,$C$5:$AU$501,3,)=0,0,(VLOOKUP($D249,$C$5:$AU$501,30,)/VLOOKUP($D249,$C$5:$AU$501,3,))*$E249)</f>
        <v>0</v>
      </c>
      <c r="AG249" s="95">
        <f>SUM(F249:AF249)</f>
        <v>0</v>
      </c>
      <c r="AH249" s="31" t="str">
        <f>IF(ABS(E249-AG249)&lt;0.01,"ok","err")</f>
        <v>ok</v>
      </c>
    </row>
    <row r="250" spans="1:34" x14ac:dyDescent="0.2">
      <c r="A250" s="14" t="s">
        <v>224</v>
      </c>
      <c r="E250" s="66">
        <f t="shared" ref="E250:T250" si="51">E248+E249</f>
        <v>0</v>
      </c>
      <c r="F250" s="66">
        <f t="shared" si="51"/>
        <v>0</v>
      </c>
      <c r="G250" s="66">
        <f t="shared" si="51"/>
        <v>0</v>
      </c>
      <c r="H250" s="66">
        <f t="shared" si="51"/>
        <v>0</v>
      </c>
      <c r="I250" s="66">
        <f t="shared" si="51"/>
        <v>0</v>
      </c>
      <c r="J250" s="66">
        <f t="shared" si="51"/>
        <v>0</v>
      </c>
      <c r="K250" s="66">
        <f t="shared" si="51"/>
        <v>0</v>
      </c>
      <c r="L250" s="66">
        <f t="shared" si="51"/>
        <v>0</v>
      </c>
      <c r="M250" s="66">
        <f t="shared" si="51"/>
        <v>0</v>
      </c>
      <c r="N250" s="66">
        <f t="shared" si="51"/>
        <v>0</v>
      </c>
      <c r="O250" s="66">
        <f t="shared" si="51"/>
        <v>0</v>
      </c>
      <c r="P250" s="66">
        <f t="shared" si="51"/>
        <v>0</v>
      </c>
      <c r="Q250" s="66">
        <f t="shared" si="51"/>
        <v>0</v>
      </c>
      <c r="R250" s="66">
        <f t="shared" si="51"/>
        <v>0</v>
      </c>
      <c r="S250" s="66">
        <f t="shared" si="51"/>
        <v>0</v>
      </c>
      <c r="T250" s="66">
        <f t="shared" si="51"/>
        <v>0</v>
      </c>
      <c r="U250" s="66">
        <f t="shared" ref="U250:AF250" si="52">U248+U249</f>
        <v>0</v>
      </c>
      <c r="V250" s="66">
        <f t="shared" si="52"/>
        <v>0</v>
      </c>
      <c r="W250" s="66">
        <f t="shared" si="52"/>
        <v>0</v>
      </c>
      <c r="X250" s="66">
        <f t="shared" si="52"/>
        <v>0</v>
      </c>
      <c r="Y250" s="66">
        <f t="shared" si="52"/>
        <v>0</v>
      </c>
      <c r="Z250" s="66">
        <f t="shared" si="52"/>
        <v>0</v>
      </c>
      <c r="AA250" s="66">
        <f t="shared" si="52"/>
        <v>0</v>
      </c>
      <c r="AB250" s="66">
        <f t="shared" si="52"/>
        <v>0</v>
      </c>
      <c r="AC250" s="66">
        <f t="shared" si="52"/>
        <v>0</v>
      </c>
      <c r="AD250" s="66">
        <f t="shared" si="52"/>
        <v>0</v>
      </c>
      <c r="AE250" s="66">
        <f t="shared" si="52"/>
        <v>0</v>
      </c>
      <c r="AF250" s="66">
        <f t="shared" si="52"/>
        <v>0</v>
      </c>
      <c r="AG250" s="95">
        <f>SUM(F250:AF250)</f>
        <v>0</v>
      </c>
      <c r="AH250" s="31" t="str">
        <f>IF(ABS(E250-AG250)&lt;0.01,"ok","err")</f>
        <v>ok</v>
      </c>
    </row>
    <row r="251" spans="1:34" x14ac:dyDescent="0.2">
      <c r="E251" s="50"/>
    </row>
    <row r="252" spans="1:34" x14ac:dyDescent="0.2">
      <c r="A252" s="13" t="s">
        <v>3</v>
      </c>
      <c r="E252" s="50"/>
    </row>
    <row r="253" spans="1:34" x14ac:dyDescent="0.2">
      <c r="A253" s="98" t="s">
        <v>209</v>
      </c>
      <c r="C253" s="14" t="s">
        <v>304</v>
      </c>
      <c r="D253" s="14" t="s">
        <v>700</v>
      </c>
      <c r="E253" s="66">
        <f>'Func &amp; Classif'!R314</f>
        <v>0</v>
      </c>
      <c r="F253" s="66">
        <f>IF(VLOOKUP($D253,$C$5:$AU$501,3,)=0,0,(VLOOKUP($D253,$C$5:$AU$501,4,)/VLOOKUP($D253,$C$5:$AU$501,3,))*$E253)</f>
        <v>0</v>
      </c>
      <c r="G253" s="66">
        <f>IF(VLOOKUP($D253,$C$5:$AU$501,3,)=0,0,(VLOOKUP($D253,$C$5:$AU$501,5,)/VLOOKUP($D253,$C$5:$AU$501,3,))*$E253)</f>
        <v>0</v>
      </c>
      <c r="H253" s="66">
        <f>IF(VLOOKUP($D253,$C$5:$AU$501,3,)=0,0,(VLOOKUP($D253,$C$5:$AU$501,6,)/VLOOKUP($D253,$C$5:$AU$501,3,))*$E253)</f>
        <v>0</v>
      </c>
      <c r="I253" s="66">
        <f>IF(VLOOKUP($D253,$C$5:$AU$501,3,)=0,0,(VLOOKUP($D253,$C$5:$AU$501,7,)/VLOOKUP($D253,$C$5:$AU$501,3,))*$E253)</f>
        <v>0</v>
      </c>
      <c r="J253" s="66">
        <f>IF(VLOOKUP($D253,$C$5:$AU$501,3,)=0,0,(VLOOKUP($D253,$C$5:$AU$501,8,)/VLOOKUP($D253,$C$5:$AU$501,3,))*$E253)</f>
        <v>0</v>
      </c>
      <c r="K253" s="66">
        <f>IF(VLOOKUP($D253,$C$5:$AU$501,3,)=0,0,(VLOOKUP($D253,$C$5:$AU$501,9,)/VLOOKUP($D253,$C$5:$AU$501,3,))*$E253)</f>
        <v>0</v>
      </c>
      <c r="L253" s="66">
        <f>IF(VLOOKUP($D253,$C$5:$AU$501,3,)=0,0,(VLOOKUP($D253,$C$5:$AU$501,10,)/VLOOKUP($D253,$C$5:$AU$501,3,))*$E253)</f>
        <v>0</v>
      </c>
      <c r="M253" s="66">
        <f>IF(VLOOKUP($D253,$C$5:$AU$501,3,)=0,0,(VLOOKUP($D253,$C$5:$AU$501,11,)/VLOOKUP($D253,$C$5:$AU$501,3,))*$E253)</f>
        <v>0</v>
      </c>
      <c r="N253" s="66">
        <f>IF(VLOOKUP($D253,$C$5:$AU$501,3,)=0,0,(VLOOKUP($D253,$C$5:$AU$501,12,)/VLOOKUP($D253,$C$5:$AU$501,3,))*$E253)</f>
        <v>0</v>
      </c>
      <c r="O253" s="66">
        <f>IF(VLOOKUP($D253,$C$5:$AU$501,3,)=0,0,(VLOOKUP($D253,$C$5:$AU$501,13,)/VLOOKUP($D253,$C$5:$AU$501,3,))*$E253)</f>
        <v>0</v>
      </c>
      <c r="P253" s="66">
        <f>IF(VLOOKUP($D253,$C$5:$AU$501,3,)=0,0,(VLOOKUP($D253,$C$5:$AU$501,14,)/VLOOKUP($D253,$C$5:$AU$501,3,))*$E253)</f>
        <v>0</v>
      </c>
      <c r="Q253" s="66">
        <f>IF(VLOOKUP($D253,$C$5:$AU$501,3,)=0,0,(VLOOKUP($D253,$C$5:$AU$501,15,)/VLOOKUP($D253,$C$5:$AU$501,3,))*$E253)</f>
        <v>0</v>
      </c>
      <c r="R253" s="66">
        <f>IF(VLOOKUP($D253,$C$5:$AU$501,3,)=0,0,(VLOOKUP($D253,$C$5:$AU$501,16,)/VLOOKUP($D253,$C$5:$AU$501,3,))*$E253)</f>
        <v>0</v>
      </c>
      <c r="S253" s="66">
        <f>IF(VLOOKUP($D253,$C$5:$AU$501,3,)=0,0,(VLOOKUP($D253,$C$5:$AU$501,17,)/VLOOKUP($D253,$C$5:$AU$501,3,))*$E253)</f>
        <v>0</v>
      </c>
      <c r="T253" s="66">
        <f>IF(VLOOKUP($D253,$C$5:$AU$501,3,)=0,0,(VLOOKUP($D253,$C$5:$AU$501,18,)/VLOOKUP($D253,$C$5:$AU$501,3,))*$E253)</f>
        <v>0</v>
      </c>
      <c r="U253" s="66">
        <f>IF(VLOOKUP($D253,$C$5:$AU$501,3,)=0,0,(VLOOKUP($D253,$C$5:$AU$501,19,)/VLOOKUP($D253,$C$5:$AU$501,3,))*$E253)</f>
        <v>0</v>
      </c>
      <c r="V253" s="66">
        <f>IF(VLOOKUP($D253,$C$5:$AU$501,3,)=0,0,(VLOOKUP($D253,$C$5:$AU$501,20,)/VLOOKUP($D253,$C$5:$AU$501,3,))*$E253)</f>
        <v>0</v>
      </c>
      <c r="W253" s="66">
        <f>IF(VLOOKUP($D253,$C$5:$AU$501,3,)=0,0,(VLOOKUP($D253,$C$5:$AU$501,21,)/VLOOKUP($D253,$C$5:$AU$501,3,))*$E253)</f>
        <v>0</v>
      </c>
      <c r="X253" s="66">
        <f>IF(VLOOKUP($D253,$C$5:$AU$501,3,)=0,0,(VLOOKUP($D253,$C$5:$AU$501,22,)/VLOOKUP($D253,$C$5:$AU$501,3,))*$E253)</f>
        <v>0</v>
      </c>
      <c r="Y253" s="66">
        <f>IF(VLOOKUP($D253,$C$5:$AU$501,3,)=0,0,(VLOOKUP($D253,$C$5:$AU$501,23,)/VLOOKUP($D253,$C$5:$AU$501,3,))*$E253)</f>
        <v>0</v>
      </c>
      <c r="Z253" s="66">
        <f>IF(VLOOKUP($D253,$C$5:$AU$501,3,)=0,0,(VLOOKUP($D253,$C$5:$AU$501,24,)/VLOOKUP($D253,$C$5:$AU$501,3,))*$E253)</f>
        <v>0</v>
      </c>
      <c r="AA253" s="66">
        <f>IF(VLOOKUP($D253,$C$5:$AU$501,3,)=0,0,(VLOOKUP($D253,$C$5:$AU$501,25,)/VLOOKUP($D253,$C$5:$AU$501,3,))*$E253)</f>
        <v>0</v>
      </c>
      <c r="AB253" s="66">
        <f>IF(VLOOKUP($D253,$C$5:$AU$501,3,)=0,0,(VLOOKUP($D253,$C$5:$AU$501,26,)/VLOOKUP($D253,$C$5:$AU$501,3,))*$E253)</f>
        <v>0</v>
      </c>
      <c r="AC253" s="66">
        <f>IF(VLOOKUP($D253,$C$5:$AU$501,3,)=0,0,(VLOOKUP($D253,$C$5:$AU$501,27,)/VLOOKUP($D253,$C$5:$AU$501,3,))*$E253)</f>
        <v>0</v>
      </c>
      <c r="AD253" s="66">
        <f>IF(VLOOKUP($D253,$C$5:$AU$501,3,)=0,0,(VLOOKUP($D253,$C$5:$AU$501,28,)/VLOOKUP($D253,$C$5:$AU$501,3,))*$E253)</f>
        <v>0</v>
      </c>
      <c r="AE253" s="66">
        <f>IF(VLOOKUP($D253,$C$5:$AU$501,3,)=0,0,(VLOOKUP($D253,$C$5:$AU$501,29,)/VLOOKUP($D253,$C$5:$AU$501,3,))*$E253)</f>
        <v>0</v>
      </c>
      <c r="AF253" s="66">
        <f>IF(VLOOKUP($D253,$C$5:$AU$501,3,)=0,0,(VLOOKUP($D253,$C$5:$AU$501,30,)/VLOOKUP($D253,$C$5:$AU$501,3,))*$E253)</f>
        <v>0</v>
      </c>
      <c r="AG253" s="95">
        <f>SUM(F253:AF253)</f>
        <v>0</v>
      </c>
      <c r="AH253" s="31" t="str">
        <f>IF(ABS(E253-AG253)&lt;0.01,"ok","err")</f>
        <v>ok</v>
      </c>
    </row>
    <row r="254" spans="1:34" x14ac:dyDescent="0.2">
      <c r="A254" s="98" t="s">
        <v>221</v>
      </c>
      <c r="C254" s="14" t="s">
        <v>305</v>
      </c>
      <c r="D254" s="14" t="s">
        <v>700</v>
      </c>
      <c r="E254" s="50">
        <f>'Func &amp; Classif'!S314</f>
        <v>0</v>
      </c>
      <c r="F254" s="66">
        <f>IF(VLOOKUP($D254,$C$5:$AU$501,3,)=0,0,(VLOOKUP($D254,$C$5:$AU$501,4,)/VLOOKUP($D254,$C$5:$AU$501,3,))*$E254)</f>
        <v>0</v>
      </c>
      <c r="G254" s="66">
        <f>IF(VLOOKUP($D254,$C$5:$AU$501,3,)=0,0,(VLOOKUP($D254,$C$5:$AU$501,5,)/VLOOKUP($D254,$C$5:$AU$501,3,))*$E254)</f>
        <v>0</v>
      </c>
      <c r="H254" s="66">
        <f>IF(VLOOKUP($D254,$C$5:$AU$501,3,)=0,0,(VLOOKUP($D254,$C$5:$AU$501,6,)/VLOOKUP($D254,$C$5:$AU$501,3,))*$E254)</f>
        <v>0</v>
      </c>
      <c r="I254" s="66">
        <f>IF(VLOOKUP($D254,$C$5:$AU$501,3,)=0,0,(VLOOKUP($D254,$C$5:$AU$501,7,)/VLOOKUP($D254,$C$5:$AU$501,3,))*$E254)</f>
        <v>0</v>
      </c>
      <c r="J254" s="66">
        <f>IF(VLOOKUP($D254,$C$5:$AU$501,3,)=0,0,(VLOOKUP($D254,$C$5:$AU$501,8,)/VLOOKUP($D254,$C$5:$AU$501,3,))*$E254)</f>
        <v>0</v>
      </c>
      <c r="K254" s="66">
        <f>IF(VLOOKUP($D254,$C$5:$AU$501,3,)=0,0,(VLOOKUP($D254,$C$5:$AU$501,9,)/VLOOKUP($D254,$C$5:$AU$501,3,))*$E254)</f>
        <v>0</v>
      </c>
      <c r="L254" s="66">
        <f>IF(VLOOKUP($D254,$C$5:$AU$501,3,)=0,0,(VLOOKUP($D254,$C$5:$AU$501,10,)/VLOOKUP($D254,$C$5:$AU$501,3,))*$E254)</f>
        <v>0</v>
      </c>
      <c r="M254" s="66">
        <f>IF(VLOOKUP($D254,$C$5:$AU$501,3,)=0,0,(VLOOKUP($D254,$C$5:$AU$501,11,)/VLOOKUP($D254,$C$5:$AU$501,3,))*$E254)</f>
        <v>0</v>
      </c>
      <c r="N254" s="66">
        <f>IF(VLOOKUP($D254,$C$5:$AU$501,3,)=0,0,(VLOOKUP($D254,$C$5:$AU$501,12,)/VLOOKUP($D254,$C$5:$AU$501,3,))*$E254)</f>
        <v>0</v>
      </c>
      <c r="O254" s="66">
        <f>IF(VLOOKUP($D254,$C$5:$AU$501,3,)=0,0,(VLOOKUP($D254,$C$5:$AU$501,13,)/VLOOKUP($D254,$C$5:$AU$501,3,))*$E254)</f>
        <v>0</v>
      </c>
      <c r="P254" s="66">
        <f>IF(VLOOKUP($D254,$C$5:$AU$501,3,)=0,0,(VLOOKUP($D254,$C$5:$AU$501,14,)/VLOOKUP($D254,$C$5:$AU$501,3,))*$E254)</f>
        <v>0</v>
      </c>
      <c r="Q254" s="66">
        <f>IF(VLOOKUP($D254,$C$5:$AU$501,3,)=0,0,(VLOOKUP($D254,$C$5:$AU$501,15,)/VLOOKUP($D254,$C$5:$AU$501,3,))*$E254)</f>
        <v>0</v>
      </c>
      <c r="R254" s="66">
        <f>IF(VLOOKUP($D254,$C$5:$AU$501,3,)=0,0,(VLOOKUP($D254,$C$5:$AU$501,16,)/VLOOKUP($D254,$C$5:$AU$501,3,))*$E254)</f>
        <v>0</v>
      </c>
      <c r="S254" s="66">
        <f>IF(VLOOKUP($D254,$C$5:$AU$501,3,)=0,0,(VLOOKUP($D254,$C$5:$AU$501,17,)/VLOOKUP($D254,$C$5:$AU$501,3,))*$E254)</f>
        <v>0</v>
      </c>
      <c r="T254" s="66">
        <f>IF(VLOOKUP($D254,$C$5:$AU$501,3,)=0,0,(VLOOKUP($D254,$C$5:$AU$501,18,)/VLOOKUP($D254,$C$5:$AU$501,3,))*$E254)</f>
        <v>0</v>
      </c>
      <c r="U254" s="66">
        <f>IF(VLOOKUP($D254,$C$5:$AU$501,3,)=0,0,(VLOOKUP($D254,$C$5:$AU$501,19,)/VLOOKUP($D254,$C$5:$AU$501,3,))*$E254)</f>
        <v>0</v>
      </c>
      <c r="V254" s="66">
        <f>IF(VLOOKUP($D254,$C$5:$AU$501,3,)=0,0,(VLOOKUP($D254,$C$5:$AU$501,20,)/VLOOKUP($D254,$C$5:$AU$501,3,))*$E254)</f>
        <v>0</v>
      </c>
      <c r="W254" s="66">
        <f>IF(VLOOKUP($D254,$C$5:$AU$501,3,)=0,0,(VLOOKUP($D254,$C$5:$AU$501,21,)/VLOOKUP($D254,$C$5:$AU$501,3,))*$E254)</f>
        <v>0</v>
      </c>
      <c r="X254" s="66">
        <f>IF(VLOOKUP($D254,$C$5:$AU$501,3,)=0,0,(VLOOKUP($D254,$C$5:$AU$501,22,)/VLOOKUP($D254,$C$5:$AU$501,3,))*$E254)</f>
        <v>0</v>
      </c>
      <c r="Y254" s="66">
        <f>IF(VLOOKUP($D254,$C$5:$AU$501,3,)=0,0,(VLOOKUP($D254,$C$5:$AU$501,23,)/VLOOKUP($D254,$C$5:$AU$501,3,))*$E254)</f>
        <v>0</v>
      </c>
      <c r="Z254" s="66">
        <f>IF(VLOOKUP($D254,$C$5:$AU$501,3,)=0,0,(VLOOKUP($D254,$C$5:$AU$501,24,)/VLOOKUP($D254,$C$5:$AU$501,3,))*$E254)</f>
        <v>0</v>
      </c>
      <c r="AA254" s="66">
        <f>IF(VLOOKUP($D254,$C$5:$AU$501,3,)=0,0,(VLOOKUP($D254,$C$5:$AU$501,25,)/VLOOKUP($D254,$C$5:$AU$501,3,))*$E254)</f>
        <v>0</v>
      </c>
      <c r="AB254" s="66">
        <f>IF(VLOOKUP($D254,$C$5:$AU$501,3,)=0,0,(VLOOKUP($D254,$C$5:$AU$501,26,)/VLOOKUP($D254,$C$5:$AU$501,3,))*$E254)</f>
        <v>0</v>
      </c>
      <c r="AC254" s="66">
        <f>IF(VLOOKUP($D254,$C$5:$AU$501,3,)=0,0,(VLOOKUP($D254,$C$5:$AU$501,27,)/VLOOKUP($D254,$C$5:$AU$501,3,))*$E254)</f>
        <v>0</v>
      </c>
      <c r="AD254" s="66">
        <f>IF(VLOOKUP($D254,$C$5:$AU$501,3,)=0,0,(VLOOKUP($D254,$C$5:$AU$501,28,)/VLOOKUP($D254,$C$5:$AU$501,3,))*$E254)</f>
        <v>0</v>
      </c>
      <c r="AE254" s="66">
        <f>IF(VLOOKUP($D254,$C$5:$AU$501,3,)=0,0,(VLOOKUP($D254,$C$5:$AU$501,29,)/VLOOKUP($D254,$C$5:$AU$501,3,))*$E254)</f>
        <v>0</v>
      </c>
      <c r="AF254" s="66">
        <f>IF(VLOOKUP($D254,$C$5:$AU$501,3,)=0,0,(VLOOKUP($D254,$C$5:$AU$501,30,)/VLOOKUP($D254,$C$5:$AU$501,3,))*$E254)</f>
        <v>0</v>
      </c>
      <c r="AG254" s="95">
        <f>SUM(F254:AF254)</f>
        <v>0</v>
      </c>
      <c r="AH254" s="31" t="str">
        <f>IF(ABS(E254-AG254)&lt;0.01,"ok","err")</f>
        <v>ok</v>
      </c>
    </row>
    <row r="255" spans="1:34" x14ac:dyDescent="0.2">
      <c r="A255" s="14" t="s">
        <v>228</v>
      </c>
      <c r="E255" s="66">
        <f t="shared" ref="E255:T255" si="53">E253+E254</f>
        <v>0</v>
      </c>
      <c r="F255" s="66">
        <f t="shared" si="53"/>
        <v>0</v>
      </c>
      <c r="G255" s="66">
        <f t="shared" si="53"/>
        <v>0</v>
      </c>
      <c r="H255" s="66">
        <f t="shared" si="53"/>
        <v>0</v>
      </c>
      <c r="I255" s="66">
        <f t="shared" si="53"/>
        <v>0</v>
      </c>
      <c r="J255" s="66">
        <f t="shared" si="53"/>
        <v>0</v>
      </c>
      <c r="K255" s="66">
        <f t="shared" si="53"/>
        <v>0</v>
      </c>
      <c r="L255" s="66">
        <f t="shared" si="53"/>
        <v>0</v>
      </c>
      <c r="M255" s="66">
        <f t="shared" si="53"/>
        <v>0</v>
      </c>
      <c r="N255" s="66">
        <f t="shared" si="53"/>
        <v>0</v>
      </c>
      <c r="O255" s="66">
        <f t="shared" si="53"/>
        <v>0</v>
      </c>
      <c r="P255" s="66">
        <f t="shared" si="53"/>
        <v>0</v>
      </c>
      <c r="Q255" s="66">
        <f t="shared" si="53"/>
        <v>0</v>
      </c>
      <c r="R255" s="66">
        <f t="shared" si="53"/>
        <v>0</v>
      </c>
      <c r="S255" s="66">
        <f t="shared" si="53"/>
        <v>0</v>
      </c>
      <c r="T255" s="66">
        <f t="shared" si="53"/>
        <v>0</v>
      </c>
      <c r="U255" s="66">
        <f t="shared" ref="U255:AF255" si="54">U253+U254</f>
        <v>0</v>
      </c>
      <c r="V255" s="66">
        <f t="shared" si="54"/>
        <v>0</v>
      </c>
      <c r="W255" s="66">
        <f t="shared" si="54"/>
        <v>0</v>
      </c>
      <c r="X255" s="66">
        <f t="shared" si="54"/>
        <v>0</v>
      </c>
      <c r="Y255" s="66">
        <f t="shared" si="54"/>
        <v>0</v>
      </c>
      <c r="Z255" s="66">
        <f t="shared" si="54"/>
        <v>0</v>
      </c>
      <c r="AA255" s="66">
        <f t="shared" si="54"/>
        <v>0</v>
      </c>
      <c r="AB255" s="66">
        <f t="shared" si="54"/>
        <v>0</v>
      </c>
      <c r="AC255" s="66">
        <f t="shared" si="54"/>
        <v>0</v>
      </c>
      <c r="AD255" s="66">
        <f t="shared" si="54"/>
        <v>0</v>
      </c>
      <c r="AE255" s="66">
        <f t="shared" si="54"/>
        <v>0</v>
      </c>
      <c r="AF255" s="66">
        <f t="shared" si="54"/>
        <v>0</v>
      </c>
      <c r="AG255" s="95">
        <f>SUM(F255:AF255)</f>
        <v>0</v>
      </c>
      <c r="AH255" s="31" t="str">
        <f>IF(ABS(E255-AG255)&lt;0.01,"ok","err")</f>
        <v>ok</v>
      </c>
    </row>
    <row r="256" spans="1:34" x14ac:dyDescent="0.2">
      <c r="E256" s="50"/>
    </row>
    <row r="257" spans="1:34" x14ac:dyDescent="0.2">
      <c r="A257" s="13" t="s">
        <v>4</v>
      </c>
      <c r="E257" s="50"/>
    </row>
    <row r="258" spans="1:34" x14ac:dyDescent="0.2">
      <c r="A258" s="98" t="s">
        <v>221</v>
      </c>
      <c r="C258" s="14" t="s">
        <v>306</v>
      </c>
      <c r="D258" s="14" t="s">
        <v>230</v>
      </c>
      <c r="E258" s="66">
        <f>'Func &amp; Classif'!U314</f>
        <v>0</v>
      </c>
      <c r="F258" s="66">
        <f>IF(VLOOKUP($D258,$C$5:$AU$501,3,)=0,0,(VLOOKUP($D258,$C$5:$AU$501,4,)/VLOOKUP($D258,$C$5:$AU$501,3,))*$E258)</f>
        <v>0</v>
      </c>
      <c r="G258" s="66">
        <f>IF(VLOOKUP($D258,$C$5:$AU$501,3,)=0,0,(VLOOKUP($D258,$C$5:$AU$501,5,)/VLOOKUP($D258,$C$5:$AU$501,3,))*$E258)</f>
        <v>0</v>
      </c>
      <c r="H258" s="66">
        <f>IF(VLOOKUP($D258,$C$5:$AU$501,3,)=0,0,(VLOOKUP($D258,$C$5:$AU$501,6,)/VLOOKUP($D258,$C$5:$AU$501,3,))*$E258)</f>
        <v>0</v>
      </c>
      <c r="I258" s="66">
        <f>IF(VLOOKUP($D258,$C$5:$AU$501,3,)=0,0,(VLOOKUP($D258,$C$5:$AU$501,7,)/VLOOKUP($D258,$C$5:$AU$501,3,))*$E258)</f>
        <v>0</v>
      </c>
      <c r="J258" s="66">
        <f>IF(VLOOKUP($D258,$C$5:$AU$501,3,)=0,0,(VLOOKUP($D258,$C$5:$AU$501,8,)/VLOOKUP($D258,$C$5:$AU$501,3,))*$E258)</f>
        <v>0</v>
      </c>
      <c r="K258" s="66">
        <f>IF(VLOOKUP($D258,$C$5:$AU$501,3,)=0,0,(VLOOKUP($D258,$C$5:$AU$501,9,)/VLOOKUP($D258,$C$5:$AU$501,3,))*$E258)</f>
        <v>0</v>
      </c>
      <c r="L258" s="66">
        <f>IF(VLOOKUP($D258,$C$5:$AU$501,3,)=0,0,(VLOOKUP($D258,$C$5:$AU$501,10,)/VLOOKUP($D258,$C$5:$AU$501,3,))*$E258)</f>
        <v>0</v>
      </c>
      <c r="M258" s="66">
        <f>IF(VLOOKUP($D258,$C$5:$AU$501,3,)=0,0,(VLOOKUP($D258,$C$5:$AU$501,11,)/VLOOKUP($D258,$C$5:$AU$501,3,))*$E258)</f>
        <v>0</v>
      </c>
      <c r="N258" s="66">
        <f>IF(VLOOKUP($D258,$C$5:$AU$501,3,)=0,0,(VLOOKUP($D258,$C$5:$AU$501,12,)/VLOOKUP($D258,$C$5:$AU$501,3,))*$E258)</f>
        <v>0</v>
      </c>
      <c r="O258" s="66">
        <f>IF(VLOOKUP($D258,$C$5:$AU$501,3,)=0,0,(VLOOKUP($D258,$C$5:$AU$501,13,)/VLOOKUP($D258,$C$5:$AU$501,3,))*$E258)</f>
        <v>0</v>
      </c>
      <c r="P258" s="66">
        <f>IF(VLOOKUP($D258,$C$5:$AU$501,3,)=0,0,(VLOOKUP($D258,$C$5:$AU$501,14,)/VLOOKUP($D258,$C$5:$AU$501,3,))*$E258)</f>
        <v>0</v>
      </c>
      <c r="Q258" s="66">
        <f>IF(VLOOKUP($D258,$C$5:$AU$501,3,)=0,0,(VLOOKUP($D258,$C$5:$AU$501,15,)/VLOOKUP($D258,$C$5:$AU$501,3,))*$E258)</f>
        <v>0</v>
      </c>
      <c r="R258" s="66">
        <f>IF(VLOOKUP($D258,$C$5:$AU$501,3,)=0,0,(VLOOKUP($D258,$C$5:$AU$501,16,)/VLOOKUP($D258,$C$5:$AU$501,3,))*$E258)</f>
        <v>0</v>
      </c>
      <c r="S258" s="66">
        <f>IF(VLOOKUP($D258,$C$5:$AU$501,3,)=0,0,(VLOOKUP($D258,$C$5:$AU$501,17,)/VLOOKUP($D258,$C$5:$AU$501,3,))*$E258)</f>
        <v>0</v>
      </c>
      <c r="T258" s="66">
        <f>IF(VLOOKUP($D258,$C$5:$AU$501,3,)=0,0,(VLOOKUP($D258,$C$5:$AU$501,18,)/VLOOKUP($D258,$C$5:$AU$501,3,))*$E258)</f>
        <v>0</v>
      </c>
      <c r="U258" s="66">
        <f>IF(VLOOKUP($D258,$C$5:$AU$501,3,)=0,0,(VLOOKUP($D258,$C$5:$AU$501,19,)/VLOOKUP($D258,$C$5:$AU$501,3,))*$E258)</f>
        <v>0</v>
      </c>
      <c r="V258" s="66">
        <f>IF(VLOOKUP($D258,$C$5:$AU$501,3,)=0,0,(VLOOKUP($D258,$C$5:$AU$501,20,)/VLOOKUP($D258,$C$5:$AU$501,3,))*$E258)</f>
        <v>0</v>
      </c>
      <c r="W258" s="66">
        <f>IF(VLOOKUP($D258,$C$5:$AU$501,3,)=0,0,(VLOOKUP($D258,$C$5:$AU$501,21,)/VLOOKUP($D258,$C$5:$AU$501,3,))*$E258)</f>
        <v>0</v>
      </c>
      <c r="X258" s="66">
        <f>IF(VLOOKUP($D258,$C$5:$AU$501,3,)=0,0,(VLOOKUP($D258,$C$5:$AU$501,22,)/VLOOKUP($D258,$C$5:$AU$501,3,))*$E258)</f>
        <v>0</v>
      </c>
      <c r="Y258" s="66">
        <f>IF(VLOOKUP($D258,$C$5:$AU$501,3,)=0,0,(VLOOKUP($D258,$C$5:$AU$501,23,)/VLOOKUP($D258,$C$5:$AU$501,3,))*$E258)</f>
        <v>0</v>
      </c>
      <c r="Z258" s="66">
        <f>IF(VLOOKUP($D258,$C$5:$AU$501,3,)=0,0,(VLOOKUP($D258,$C$5:$AU$501,24,)/VLOOKUP($D258,$C$5:$AU$501,3,))*$E258)</f>
        <v>0</v>
      </c>
      <c r="AA258" s="66">
        <f>IF(VLOOKUP($D258,$C$5:$AU$501,3,)=0,0,(VLOOKUP($D258,$C$5:$AU$501,25,)/VLOOKUP($D258,$C$5:$AU$501,3,))*$E258)</f>
        <v>0</v>
      </c>
      <c r="AB258" s="66">
        <f>IF(VLOOKUP($D258,$C$5:$AU$501,3,)=0,0,(VLOOKUP($D258,$C$5:$AU$501,26,)/VLOOKUP($D258,$C$5:$AU$501,3,))*$E258)</f>
        <v>0</v>
      </c>
      <c r="AC258" s="66">
        <f>IF(VLOOKUP($D258,$C$5:$AU$501,3,)=0,0,(VLOOKUP($D258,$C$5:$AU$501,27,)/VLOOKUP($D258,$C$5:$AU$501,3,))*$E258)</f>
        <v>0</v>
      </c>
      <c r="AD258" s="66">
        <f>IF(VLOOKUP($D258,$C$5:$AU$501,3,)=0,0,(VLOOKUP($D258,$C$5:$AU$501,28,)/VLOOKUP($D258,$C$5:$AU$501,3,))*$E258)</f>
        <v>0</v>
      </c>
      <c r="AE258" s="66">
        <f>IF(VLOOKUP($D258,$C$5:$AU$501,3,)=0,0,(VLOOKUP($D258,$C$5:$AU$501,29,)/VLOOKUP($D258,$C$5:$AU$501,3,))*$E258)</f>
        <v>0</v>
      </c>
      <c r="AF258" s="66">
        <f>IF(VLOOKUP($D258,$C$5:$AU$501,3,)=0,0,(VLOOKUP($D258,$C$5:$AU$501,30,)/VLOOKUP($D258,$C$5:$AU$501,3,))*$E258)</f>
        <v>0</v>
      </c>
      <c r="AG258" s="95">
        <f>SUM(F258:AF258)</f>
        <v>0</v>
      </c>
      <c r="AH258" s="31" t="str">
        <f>IF(ABS(E258-AG258)&lt;0.01,"ok","err")</f>
        <v>ok</v>
      </c>
    </row>
    <row r="259" spans="1:34" x14ac:dyDescent="0.2">
      <c r="E259" s="50"/>
    </row>
    <row r="260" spans="1:34" x14ac:dyDescent="0.2">
      <c r="A260" s="13" t="s">
        <v>5</v>
      </c>
      <c r="E260" s="50"/>
    </row>
    <row r="261" spans="1:34" x14ac:dyDescent="0.2">
      <c r="A261" s="98" t="s">
        <v>221</v>
      </c>
      <c r="C261" s="14" t="s">
        <v>307</v>
      </c>
      <c r="D261" s="14" t="s">
        <v>232</v>
      </c>
      <c r="E261" s="66">
        <f>'Func &amp; Classif'!W314</f>
        <v>0</v>
      </c>
      <c r="F261" s="66">
        <f>IF(VLOOKUP($D261,$C$5:$AU$501,3,)=0,0,(VLOOKUP($D261,$C$5:$AU$501,4,)/VLOOKUP($D261,$C$5:$AU$501,3,))*$E261)</f>
        <v>0</v>
      </c>
      <c r="G261" s="66">
        <f>IF(VLOOKUP($D261,$C$5:$AU$501,3,)=0,0,(VLOOKUP($D261,$C$5:$AU$501,5,)/VLOOKUP($D261,$C$5:$AU$501,3,))*$E261)</f>
        <v>0</v>
      </c>
      <c r="H261" s="66">
        <f>IF(VLOOKUP($D261,$C$5:$AU$501,3,)=0,0,(VLOOKUP($D261,$C$5:$AU$501,6,)/VLOOKUP($D261,$C$5:$AU$501,3,))*$E261)</f>
        <v>0</v>
      </c>
      <c r="I261" s="66">
        <f>IF(VLOOKUP($D261,$C$5:$AU$501,3,)=0,0,(VLOOKUP($D261,$C$5:$AU$501,7,)/VLOOKUP($D261,$C$5:$AU$501,3,))*$E261)</f>
        <v>0</v>
      </c>
      <c r="J261" s="66">
        <f>IF(VLOOKUP($D261,$C$5:$AU$501,3,)=0,0,(VLOOKUP($D261,$C$5:$AU$501,8,)/VLOOKUP($D261,$C$5:$AU$501,3,))*$E261)</f>
        <v>0</v>
      </c>
      <c r="K261" s="66">
        <f>IF(VLOOKUP($D261,$C$5:$AU$501,3,)=0,0,(VLOOKUP($D261,$C$5:$AU$501,9,)/VLOOKUP($D261,$C$5:$AU$501,3,))*$E261)</f>
        <v>0</v>
      </c>
      <c r="L261" s="66">
        <f>IF(VLOOKUP($D261,$C$5:$AU$501,3,)=0,0,(VLOOKUP($D261,$C$5:$AU$501,10,)/VLOOKUP($D261,$C$5:$AU$501,3,))*$E261)</f>
        <v>0</v>
      </c>
      <c r="M261" s="66">
        <f>IF(VLOOKUP($D261,$C$5:$AU$501,3,)=0,0,(VLOOKUP($D261,$C$5:$AU$501,11,)/VLOOKUP($D261,$C$5:$AU$501,3,))*$E261)</f>
        <v>0</v>
      </c>
      <c r="N261" s="66">
        <f>IF(VLOOKUP($D261,$C$5:$AU$501,3,)=0,0,(VLOOKUP($D261,$C$5:$AU$501,12,)/VLOOKUP($D261,$C$5:$AU$501,3,))*$E261)</f>
        <v>0</v>
      </c>
      <c r="O261" s="66">
        <f>IF(VLOOKUP($D261,$C$5:$AU$501,3,)=0,0,(VLOOKUP($D261,$C$5:$AU$501,13,)/VLOOKUP($D261,$C$5:$AU$501,3,))*$E261)</f>
        <v>0</v>
      </c>
      <c r="P261" s="66">
        <f>IF(VLOOKUP($D261,$C$5:$AU$501,3,)=0,0,(VLOOKUP($D261,$C$5:$AU$501,14,)/VLOOKUP($D261,$C$5:$AU$501,3,))*$E261)</f>
        <v>0</v>
      </c>
      <c r="Q261" s="66">
        <f>IF(VLOOKUP($D261,$C$5:$AU$501,3,)=0,0,(VLOOKUP($D261,$C$5:$AU$501,15,)/VLOOKUP($D261,$C$5:$AU$501,3,))*$E261)</f>
        <v>0</v>
      </c>
      <c r="R261" s="66">
        <f>IF(VLOOKUP($D261,$C$5:$AU$501,3,)=0,0,(VLOOKUP($D261,$C$5:$AU$501,16,)/VLOOKUP($D261,$C$5:$AU$501,3,))*$E261)</f>
        <v>0</v>
      </c>
      <c r="S261" s="66">
        <f>IF(VLOOKUP($D261,$C$5:$AU$501,3,)=0,0,(VLOOKUP($D261,$C$5:$AU$501,17,)/VLOOKUP($D261,$C$5:$AU$501,3,))*$E261)</f>
        <v>0</v>
      </c>
      <c r="T261" s="66">
        <f>IF(VLOOKUP($D261,$C$5:$AU$501,3,)=0,0,(VLOOKUP($D261,$C$5:$AU$501,18,)/VLOOKUP($D261,$C$5:$AU$501,3,))*$E261)</f>
        <v>0</v>
      </c>
      <c r="U261" s="66">
        <f>IF(VLOOKUP($D261,$C$5:$AU$501,3,)=0,0,(VLOOKUP($D261,$C$5:$AU$501,19,)/VLOOKUP($D261,$C$5:$AU$501,3,))*$E261)</f>
        <v>0</v>
      </c>
      <c r="V261" s="66">
        <f>IF(VLOOKUP($D261,$C$5:$AU$501,3,)=0,0,(VLOOKUP($D261,$C$5:$AU$501,20,)/VLOOKUP($D261,$C$5:$AU$501,3,))*$E261)</f>
        <v>0</v>
      </c>
      <c r="W261" s="66">
        <f>IF(VLOOKUP($D261,$C$5:$AU$501,3,)=0,0,(VLOOKUP($D261,$C$5:$AU$501,21,)/VLOOKUP($D261,$C$5:$AU$501,3,))*$E261)</f>
        <v>0</v>
      </c>
      <c r="X261" s="66">
        <f>IF(VLOOKUP($D261,$C$5:$AU$501,3,)=0,0,(VLOOKUP($D261,$C$5:$AU$501,22,)/VLOOKUP($D261,$C$5:$AU$501,3,))*$E261)</f>
        <v>0</v>
      </c>
      <c r="Y261" s="66">
        <f>IF(VLOOKUP($D261,$C$5:$AU$501,3,)=0,0,(VLOOKUP($D261,$C$5:$AU$501,23,)/VLOOKUP($D261,$C$5:$AU$501,3,))*$E261)</f>
        <v>0</v>
      </c>
      <c r="Z261" s="66">
        <f>IF(VLOOKUP($D261,$C$5:$AU$501,3,)=0,0,(VLOOKUP($D261,$C$5:$AU$501,24,)/VLOOKUP($D261,$C$5:$AU$501,3,))*$E261)</f>
        <v>0</v>
      </c>
      <c r="AA261" s="66">
        <f>IF(VLOOKUP($D261,$C$5:$AU$501,3,)=0,0,(VLOOKUP($D261,$C$5:$AU$501,25,)/VLOOKUP($D261,$C$5:$AU$501,3,))*$E261)</f>
        <v>0</v>
      </c>
      <c r="AB261" s="66">
        <f>IF(VLOOKUP($D261,$C$5:$AU$501,3,)=0,0,(VLOOKUP($D261,$C$5:$AU$501,26,)/VLOOKUP($D261,$C$5:$AU$501,3,))*$E261)</f>
        <v>0</v>
      </c>
      <c r="AC261" s="66">
        <f>IF(VLOOKUP($D261,$C$5:$AU$501,3,)=0,0,(VLOOKUP($D261,$C$5:$AU$501,27,)/VLOOKUP($D261,$C$5:$AU$501,3,))*$E261)</f>
        <v>0</v>
      </c>
      <c r="AD261" s="66">
        <f>IF(VLOOKUP($D261,$C$5:$AU$501,3,)=0,0,(VLOOKUP($D261,$C$5:$AU$501,28,)/VLOOKUP($D261,$C$5:$AU$501,3,))*$E261)</f>
        <v>0</v>
      </c>
      <c r="AE261" s="66">
        <f>IF(VLOOKUP($D261,$C$5:$AU$501,3,)=0,0,(VLOOKUP($D261,$C$5:$AU$501,29,)/VLOOKUP($D261,$C$5:$AU$501,3,))*$E261)</f>
        <v>0</v>
      </c>
      <c r="AF261" s="66">
        <f>IF(VLOOKUP($D261,$C$5:$AU$501,3,)=0,0,(VLOOKUP($D261,$C$5:$AU$501,30,)/VLOOKUP($D261,$C$5:$AU$501,3,))*$E261)</f>
        <v>0</v>
      </c>
      <c r="AG261" s="95">
        <f>SUM(F261:AF261)</f>
        <v>0</v>
      </c>
      <c r="AH261" s="31" t="str">
        <f>IF(ABS(E261-AG261)&lt;0.01,"ok","err")</f>
        <v>ok</v>
      </c>
    </row>
    <row r="262" spans="1:34" x14ac:dyDescent="0.2">
      <c r="E262" s="50"/>
    </row>
    <row r="263" spans="1:34" x14ac:dyDescent="0.2">
      <c r="A263" s="13" t="s">
        <v>545</v>
      </c>
      <c r="E263" s="50"/>
    </row>
    <row r="264" spans="1:34" x14ac:dyDescent="0.2">
      <c r="A264" s="98" t="s">
        <v>221</v>
      </c>
      <c r="C264" s="14" t="s">
        <v>308</v>
      </c>
      <c r="D264" s="14" t="s">
        <v>234</v>
      </c>
      <c r="E264" s="66">
        <f>'Func &amp; Classif'!Y314</f>
        <v>0</v>
      </c>
      <c r="F264" s="66">
        <f>IF(VLOOKUP($D264,$C$5:$AU$501,3,)=0,0,(VLOOKUP($D264,$C$5:$AU$501,4,)/VLOOKUP($D264,$C$5:$AU$501,3,))*$E264)</f>
        <v>0</v>
      </c>
      <c r="G264" s="66">
        <f>IF(VLOOKUP($D264,$C$5:$AU$501,3,)=0,0,(VLOOKUP($D264,$C$5:$AU$501,5,)/VLOOKUP($D264,$C$5:$AU$501,3,))*$E264)</f>
        <v>0</v>
      </c>
      <c r="H264" s="66">
        <f>IF(VLOOKUP($D264,$C$5:$AU$501,3,)=0,0,(VLOOKUP($D264,$C$5:$AU$501,6,)/VLOOKUP($D264,$C$5:$AU$501,3,))*$E264)</f>
        <v>0</v>
      </c>
      <c r="I264" s="66">
        <f>IF(VLOOKUP($D264,$C$5:$AU$501,3,)=0,0,(VLOOKUP($D264,$C$5:$AU$501,7,)/VLOOKUP($D264,$C$5:$AU$501,3,))*$E264)</f>
        <v>0</v>
      </c>
      <c r="J264" s="66">
        <f>IF(VLOOKUP($D264,$C$5:$AU$501,3,)=0,0,(VLOOKUP($D264,$C$5:$AU$501,8,)/VLOOKUP($D264,$C$5:$AU$501,3,))*$E264)</f>
        <v>0</v>
      </c>
      <c r="K264" s="66">
        <f>IF(VLOOKUP($D264,$C$5:$AU$501,3,)=0,0,(VLOOKUP($D264,$C$5:$AU$501,9,)/VLOOKUP($D264,$C$5:$AU$501,3,))*$E264)</f>
        <v>0</v>
      </c>
      <c r="L264" s="66">
        <f>IF(VLOOKUP($D264,$C$5:$AU$501,3,)=0,0,(VLOOKUP($D264,$C$5:$AU$501,10,)/VLOOKUP($D264,$C$5:$AU$501,3,))*$E264)</f>
        <v>0</v>
      </c>
      <c r="M264" s="66">
        <f>IF(VLOOKUP($D264,$C$5:$AU$501,3,)=0,0,(VLOOKUP($D264,$C$5:$AU$501,11,)/VLOOKUP($D264,$C$5:$AU$501,3,))*$E264)</f>
        <v>0</v>
      </c>
      <c r="N264" s="66">
        <f>IF(VLOOKUP($D264,$C$5:$AU$501,3,)=0,0,(VLOOKUP($D264,$C$5:$AU$501,12,)/VLOOKUP($D264,$C$5:$AU$501,3,))*$E264)</f>
        <v>0</v>
      </c>
      <c r="O264" s="66">
        <f>IF(VLOOKUP($D264,$C$5:$AU$501,3,)=0,0,(VLOOKUP($D264,$C$5:$AU$501,13,)/VLOOKUP($D264,$C$5:$AU$501,3,))*$E264)</f>
        <v>0</v>
      </c>
      <c r="P264" s="66">
        <f>IF(VLOOKUP($D264,$C$5:$AU$501,3,)=0,0,(VLOOKUP($D264,$C$5:$AU$501,14,)/VLOOKUP($D264,$C$5:$AU$501,3,))*$E264)</f>
        <v>0</v>
      </c>
      <c r="Q264" s="66">
        <f>IF(VLOOKUP($D264,$C$5:$AU$501,3,)=0,0,(VLOOKUP($D264,$C$5:$AU$501,15,)/VLOOKUP($D264,$C$5:$AU$501,3,))*$E264)</f>
        <v>0</v>
      </c>
      <c r="R264" s="66">
        <f>IF(VLOOKUP($D264,$C$5:$AU$501,3,)=0,0,(VLOOKUP($D264,$C$5:$AU$501,16,)/VLOOKUP($D264,$C$5:$AU$501,3,))*$E264)</f>
        <v>0</v>
      </c>
      <c r="S264" s="66">
        <f>IF(VLOOKUP($D264,$C$5:$AU$501,3,)=0,0,(VLOOKUP($D264,$C$5:$AU$501,17,)/VLOOKUP($D264,$C$5:$AU$501,3,))*$E264)</f>
        <v>0</v>
      </c>
      <c r="T264" s="66">
        <f>IF(VLOOKUP($D264,$C$5:$AU$501,3,)=0,0,(VLOOKUP($D264,$C$5:$AU$501,18,)/VLOOKUP($D264,$C$5:$AU$501,3,))*$E264)</f>
        <v>0</v>
      </c>
      <c r="U264" s="66">
        <f>IF(VLOOKUP($D264,$C$5:$AU$501,3,)=0,0,(VLOOKUP($D264,$C$5:$AU$501,19,)/VLOOKUP($D264,$C$5:$AU$501,3,))*$E264)</f>
        <v>0</v>
      </c>
      <c r="V264" s="66">
        <f>IF(VLOOKUP($D264,$C$5:$AU$501,3,)=0,0,(VLOOKUP($D264,$C$5:$AU$501,20,)/VLOOKUP($D264,$C$5:$AU$501,3,))*$E264)</f>
        <v>0</v>
      </c>
      <c r="W264" s="66">
        <f>IF(VLOOKUP($D264,$C$5:$AU$501,3,)=0,0,(VLOOKUP($D264,$C$5:$AU$501,21,)/VLOOKUP($D264,$C$5:$AU$501,3,))*$E264)</f>
        <v>0</v>
      </c>
      <c r="X264" s="66">
        <f>IF(VLOOKUP($D264,$C$5:$AU$501,3,)=0,0,(VLOOKUP($D264,$C$5:$AU$501,22,)/VLOOKUP($D264,$C$5:$AU$501,3,))*$E264)</f>
        <v>0</v>
      </c>
      <c r="Y264" s="66">
        <f>IF(VLOOKUP($D264,$C$5:$AU$501,3,)=0,0,(VLOOKUP($D264,$C$5:$AU$501,23,)/VLOOKUP($D264,$C$5:$AU$501,3,))*$E264)</f>
        <v>0</v>
      </c>
      <c r="Z264" s="66">
        <f>IF(VLOOKUP($D264,$C$5:$AU$501,3,)=0,0,(VLOOKUP($D264,$C$5:$AU$501,24,)/VLOOKUP($D264,$C$5:$AU$501,3,))*$E264)</f>
        <v>0</v>
      </c>
      <c r="AA264" s="66">
        <f>IF(VLOOKUP($D264,$C$5:$AU$501,3,)=0,0,(VLOOKUP($D264,$C$5:$AU$501,25,)/VLOOKUP($D264,$C$5:$AU$501,3,))*$E264)</f>
        <v>0</v>
      </c>
      <c r="AB264" s="66">
        <f>IF(VLOOKUP($D264,$C$5:$AU$501,3,)=0,0,(VLOOKUP($D264,$C$5:$AU$501,26,)/VLOOKUP($D264,$C$5:$AU$501,3,))*$E264)</f>
        <v>0</v>
      </c>
      <c r="AC264" s="66">
        <f>IF(VLOOKUP($D264,$C$5:$AU$501,3,)=0,0,(VLOOKUP($D264,$C$5:$AU$501,27,)/VLOOKUP($D264,$C$5:$AU$501,3,))*$E264)</f>
        <v>0</v>
      </c>
      <c r="AD264" s="66">
        <f>IF(VLOOKUP($D264,$C$5:$AU$501,3,)=0,0,(VLOOKUP($D264,$C$5:$AU$501,28,)/VLOOKUP($D264,$C$5:$AU$501,3,))*$E264)</f>
        <v>0</v>
      </c>
      <c r="AE264" s="66">
        <f>IF(VLOOKUP($D264,$C$5:$AU$501,3,)=0,0,(VLOOKUP($D264,$C$5:$AU$501,29,)/VLOOKUP($D264,$C$5:$AU$501,3,))*$E264)</f>
        <v>0</v>
      </c>
      <c r="AF264" s="66">
        <f>IF(VLOOKUP($D264,$C$5:$AU$501,3,)=0,0,(VLOOKUP($D264,$C$5:$AU$501,30,)/VLOOKUP($D264,$C$5:$AU$501,3,))*$E264)</f>
        <v>0</v>
      </c>
      <c r="AG264" s="95">
        <f>SUM(F264:AF264)</f>
        <v>0</v>
      </c>
      <c r="AH264" s="31" t="str">
        <f>IF(ABS(E264-AG264)&lt;0.01,"ok","err")</f>
        <v>ok</v>
      </c>
    </row>
    <row r="265" spans="1:34" x14ac:dyDescent="0.2">
      <c r="E265" s="50"/>
    </row>
    <row r="266" spans="1:34" x14ac:dyDescent="0.2">
      <c r="A266" s="13" t="s">
        <v>470</v>
      </c>
      <c r="E266" s="50"/>
    </row>
    <row r="267" spans="1:34" x14ac:dyDescent="0.2">
      <c r="A267" s="98" t="s">
        <v>221</v>
      </c>
      <c r="C267" s="14" t="s">
        <v>305</v>
      </c>
      <c r="D267" s="14" t="s">
        <v>235</v>
      </c>
      <c r="E267" s="66">
        <f>'Func &amp; Classif'!AA314</f>
        <v>0</v>
      </c>
      <c r="F267" s="66">
        <f>IF(VLOOKUP($D267,$C$5:$AU$501,3,)=0,0,(VLOOKUP($D267,$C$5:$AU$501,4,)/VLOOKUP($D267,$C$5:$AU$501,3,))*$E267)</f>
        <v>0</v>
      </c>
      <c r="G267" s="66">
        <f>IF(VLOOKUP($D267,$C$5:$AU$501,3,)=0,0,(VLOOKUP($D267,$C$5:$AU$501,5,)/VLOOKUP($D267,$C$5:$AU$501,3,))*$E267)</f>
        <v>0</v>
      </c>
      <c r="H267" s="66">
        <f>IF(VLOOKUP($D267,$C$5:$AU$501,3,)=0,0,(VLOOKUP($D267,$C$5:$AU$501,6,)/VLOOKUP($D267,$C$5:$AU$501,3,))*$E267)</f>
        <v>0</v>
      </c>
      <c r="I267" s="66">
        <f>IF(VLOOKUP($D267,$C$5:$AU$501,3,)=0,0,(VLOOKUP($D267,$C$5:$AU$501,7,)/VLOOKUP($D267,$C$5:$AU$501,3,))*$E267)</f>
        <v>0</v>
      </c>
      <c r="J267" s="66">
        <f>IF(VLOOKUP($D267,$C$5:$AU$501,3,)=0,0,(VLOOKUP($D267,$C$5:$AU$501,8,)/VLOOKUP($D267,$C$5:$AU$501,3,))*$E267)</f>
        <v>0</v>
      </c>
      <c r="K267" s="66">
        <f>IF(VLOOKUP($D267,$C$5:$AU$501,3,)=0,0,(VLOOKUP($D267,$C$5:$AU$501,9,)/VLOOKUP($D267,$C$5:$AU$501,3,))*$E267)</f>
        <v>0</v>
      </c>
      <c r="L267" s="66">
        <f>IF(VLOOKUP($D267,$C$5:$AU$501,3,)=0,0,(VLOOKUP($D267,$C$5:$AU$501,10,)/VLOOKUP($D267,$C$5:$AU$501,3,))*$E267)</f>
        <v>0</v>
      </c>
      <c r="M267" s="66">
        <f>IF(VLOOKUP($D267,$C$5:$AU$501,3,)=0,0,(VLOOKUP($D267,$C$5:$AU$501,11,)/VLOOKUP($D267,$C$5:$AU$501,3,))*$E267)</f>
        <v>0</v>
      </c>
      <c r="N267" s="66">
        <f>IF(VLOOKUP($D267,$C$5:$AU$501,3,)=0,0,(VLOOKUP($D267,$C$5:$AU$501,12,)/VLOOKUP($D267,$C$5:$AU$501,3,))*$E267)</f>
        <v>0</v>
      </c>
      <c r="O267" s="66">
        <f>IF(VLOOKUP($D267,$C$5:$AU$501,3,)=0,0,(VLOOKUP($D267,$C$5:$AU$501,13,)/VLOOKUP($D267,$C$5:$AU$501,3,))*$E267)</f>
        <v>0</v>
      </c>
      <c r="P267" s="66">
        <f>IF(VLOOKUP($D267,$C$5:$AU$501,3,)=0,0,(VLOOKUP($D267,$C$5:$AU$501,14,)/VLOOKUP($D267,$C$5:$AU$501,3,))*$E267)</f>
        <v>0</v>
      </c>
      <c r="Q267" s="66">
        <f>IF(VLOOKUP($D267,$C$5:$AU$501,3,)=0,0,(VLOOKUP($D267,$C$5:$AU$501,15,)/VLOOKUP($D267,$C$5:$AU$501,3,))*$E267)</f>
        <v>0</v>
      </c>
      <c r="R267" s="66">
        <f>IF(VLOOKUP($D267,$C$5:$AU$501,3,)=0,0,(VLOOKUP($D267,$C$5:$AU$501,16,)/VLOOKUP($D267,$C$5:$AU$501,3,))*$E267)</f>
        <v>0</v>
      </c>
      <c r="S267" s="66">
        <f>IF(VLOOKUP($D267,$C$5:$AU$501,3,)=0,0,(VLOOKUP($D267,$C$5:$AU$501,17,)/VLOOKUP($D267,$C$5:$AU$501,3,))*$E267)</f>
        <v>0</v>
      </c>
      <c r="T267" s="66">
        <f>IF(VLOOKUP($D267,$C$5:$AU$501,3,)=0,0,(VLOOKUP($D267,$C$5:$AU$501,18,)/VLOOKUP($D267,$C$5:$AU$501,3,))*$E267)</f>
        <v>0</v>
      </c>
      <c r="U267" s="66">
        <f>IF(VLOOKUP($D267,$C$5:$AU$501,3,)=0,0,(VLOOKUP($D267,$C$5:$AU$501,19,)/VLOOKUP($D267,$C$5:$AU$501,3,))*$E267)</f>
        <v>0</v>
      </c>
      <c r="V267" s="66">
        <f>IF(VLOOKUP($D267,$C$5:$AU$501,3,)=0,0,(VLOOKUP($D267,$C$5:$AU$501,20,)/VLOOKUP($D267,$C$5:$AU$501,3,))*$E267)</f>
        <v>0</v>
      </c>
      <c r="W267" s="66">
        <f>IF(VLOOKUP($D267,$C$5:$AU$501,3,)=0,0,(VLOOKUP($D267,$C$5:$AU$501,21,)/VLOOKUP($D267,$C$5:$AU$501,3,))*$E267)</f>
        <v>0</v>
      </c>
      <c r="X267" s="66">
        <f>IF(VLOOKUP($D267,$C$5:$AU$501,3,)=0,0,(VLOOKUP($D267,$C$5:$AU$501,22,)/VLOOKUP($D267,$C$5:$AU$501,3,))*$E267)</f>
        <v>0</v>
      </c>
      <c r="Y267" s="66">
        <f>IF(VLOOKUP($D267,$C$5:$AU$501,3,)=0,0,(VLOOKUP($D267,$C$5:$AU$501,23,)/VLOOKUP($D267,$C$5:$AU$501,3,))*$E267)</f>
        <v>0</v>
      </c>
      <c r="Z267" s="66">
        <f>IF(VLOOKUP($D267,$C$5:$AU$501,3,)=0,0,(VLOOKUP($D267,$C$5:$AU$501,24,)/VLOOKUP($D267,$C$5:$AU$501,3,))*$E267)</f>
        <v>0</v>
      </c>
      <c r="AA267" s="66">
        <f>IF(VLOOKUP($D267,$C$5:$AU$501,3,)=0,0,(VLOOKUP($D267,$C$5:$AU$501,25,)/VLOOKUP($D267,$C$5:$AU$501,3,))*$E267)</f>
        <v>0</v>
      </c>
      <c r="AB267" s="66">
        <f>IF(VLOOKUP($D267,$C$5:$AU$501,3,)=0,0,(VLOOKUP($D267,$C$5:$AU$501,26,)/VLOOKUP($D267,$C$5:$AU$501,3,))*$E267)</f>
        <v>0</v>
      </c>
      <c r="AC267" s="66">
        <f>IF(VLOOKUP($D267,$C$5:$AU$501,3,)=0,0,(VLOOKUP($D267,$C$5:$AU$501,27,)/VLOOKUP($D267,$C$5:$AU$501,3,))*$E267)</f>
        <v>0</v>
      </c>
      <c r="AD267" s="66">
        <f>IF(VLOOKUP($D267,$C$5:$AU$501,3,)=0,0,(VLOOKUP($D267,$C$5:$AU$501,28,)/VLOOKUP($D267,$C$5:$AU$501,3,))*$E267)</f>
        <v>0</v>
      </c>
      <c r="AE267" s="66">
        <f>IF(VLOOKUP($D267,$C$5:$AU$501,3,)=0,0,(VLOOKUP($D267,$C$5:$AU$501,29,)/VLOOKUP($D267,$C$5:$AU$501,3,))*$E267)</f>
        <v>0</v>
      </c>
      <c r="AF267" s="66">
        <f>IF(VLOOKUP($D267,$C$5:$AU$501,3,)=0,0,(VLOOKUP($D267,$C$5:$AU$501,30,)/VLOOKUP($D267,$C$5:$AU$501,3,))*$E267)</f>
        <v>0</v>
      </c>
      <c r="AG267" s="95">
        <f>SUM(F267:AF267)</f>
        <v>0</v>
      </c>
      <c r="AH267" s="31" t="str">
        <f>IF(ABS(E267-AG267)&lt;0.01,"ok","err")</f>
        <v>ok</v>
      </c>
    </row>
    <row r="268" spans="1:34" x14ac:dyDescent="0.2">
      <c r="E268" s="50"/>
    </row>
    <row r="269" spans="1:34" x14ac:dyDescent="0.2">
      <c r="A269" s="14" t="s">
        <v>0</v>
      </c>
      <c r="C269" s="14" t="s">
        <v>309</v>
      </c>
      <c r="E269" s="66">
        <f>E239+E242+E245+E250+E255+E258+E261+E264+E267</f>
        <v>0</v>
      </c>
      <c r="F269" s="66">
        <f t="shared" ref="F269:R269" si="55">F239+F242+F245+F250+F255+F258+F261+F264+F267</f>
        <v>0</v>
      </c>
      <c r="G269" s="66">
        <f t="shared" si="55"/>
        <v>0</v>
      </c>
      <c r="H269" s="66">
        <f t="shared" si="55"/>
        <v>0</v>
      </c>
      <c r="I269" s="66">
        <f t="shared" si="55"/>
        <v>0</v>
      </c>
      <c r="J269" s="66">
        <f t="shared" si="55"/>
        <v>0</v>
      </c>
      <c r="K269" s="66">
        <f t="shared" si="55"/>
        <v>0</v>
      </c>
      <c r="L269" s="66">
        <f t="shared" si="55"/>
        <v>0</v>
      </c>
      <c r="M269" s="66">
        <f t="shared" si="55"/>
        <v>0</v>
      </c>
      <c r="N269" s="66">
        <f t="shared" si="55"/>
        <v>0</v>
      </c>
      <c r="O269" s="66">
        <f t="shared" si="55"/>
        <v>0</v>
      </c>
      <c r="P269" s="66">
        <f t="shared" si="55"/>
        <v>0</v>
      </c>
      <c r="Q269" s="66">
        <f t="shared" si="55"/>
        <v>0</v>
      </c>
      <c r="R269" s="66">
        <f t="shared" si="55"/>
        <v>0</v>
      </c>
      <c r="S269" s="66">
        <f t="shared" ref="S269:AF269" si="56">S239+S245+S250+S255+S258+S261+S264+S267</f>
        <v>0</v>
      </c>
      <c r="T269" s="66">
        <f t="shared" si="56"/>
        <v>0</v>
      </c>
      <c r="U269" s="66">
        <f t="shared" si="56"/>
        <v>0</v>
      </c>
      <c r="V269" s="66">
        <f t="shared" si="56"/>
        <v>0</v>
      </c>
      <c r="W269" s="66">
        <f t="shared" si="56"/>
        <v>0</v>
      </c>
      <c r="X269" s="66">
        <f t="shared" si="56"/>
        <v>0</v>
      </c>
      <c r="Y269" s="66">
        <f t="shared" si="56"/>
        <v>0</v>
      </c>
      <c r="Z269" s="66">
        <f t="shared" si="56"/>
        <v>0</v>
      </c>
      <c r="AA269" s="66">
        <f t="shared" si="56"/>
        <v>0</v>
      </c>
      <c r="AB269" s="66">
        <f t="shared" si="56"/>
        <v>0</v>
      </c>
      <c r="AC269" s="66">
        <f t="shared" si="56"/>
        <v>0</v>
      </c>
      <c r="AD269" s="66">
        <f t="shared" si="56"/>
        <v>0</v>
      </c>
      <c r="AE269" s="66">
        <f t="shared" si="56"/>
        <v>0</v>
      </c>
      <c r="AF269" s="66">
        <f t="shared" si="56"/>
        <v>0</v>
      </c>
      <c r="AG269" s="95">
        <f>SUM(F269:AF269)</f>
        <v>0</v>
      </c>
      <c r="AH269" s="31" t="str">
        <f>IF(ABS(E269-AG269)&lt;0.01,"ok","err")</f>
        <v>ok</v>
      </c>
    </row>
    <row r="272" spans="1:34" x14ac:dyDescent="0.2">
      <c r="A272" s="29" t="s">
        <v>310</v>
      </c>
    </row>
    <row r="274" spans="1:34" x14ac:dyDescent="0.2">
      <c r="A274" s="13" t="s">
        <v>894</v>
      </c>
    </row>
    <row r="275" spans="1:34" x14ac:dyDescent="0.2">
      <c r="A275" s="98" t="s">
        <v>209</v>
      </c>
      <c r="C275" s="14" t="s">
        <v>311</v>
      </c>
      <c r="D275" s="14" t="s">
        <v>657</v>
      </c>
      <c r="E275" s="66">
        <f>'Func &amp; Classif'!H316</f>
        <v>0</v>
      </c>
      <c r="F275" s="66">
        <f>IF(VLOOKUP($D275,$C$5:$AU$501,3,)=0,0,(VLOOKUP($D275,$C$5:$AU$501,4,)/VLOOKUP($D275,$C$5:$AU$501,3,))*$E275)</f>
        <v>0</v>
      </c>
      <c r="G275" s="66">
        <f>IF(VLOOKUP($D275,$C$5:$AU$501,3,)=0,0,(VLOOKUP($D275,$C$5:$AU$501,5,)/VLOOKUP($D275,$C$5:$AU$501,3,))*$E275)</f>
        <v>0</v>
      </c>
      <c r="H275" s="66">
        <f>IF(VLOOKUP($D275,$C$5:$AU$501,3,)=0,0,(VLOOKUP($D275,$C$5:$AU$501,6,)/VLOOKUP($D275,$C$5:$AU$501,3,))*$E275)</f>
        <v>0</v>
      </c>
      <c r="I275" s="66">
        <f>IF(VLOOKUP($D275,$C$5:$AU$501,3,)=0,0,(VLOOKUP($D275,$C$5:$AU$501,7,)/VLOOKUP($D275,$C$5:$AU$501,3,))*$E275)</f>
        <v>0</v>
      </c>
      <c r="J275" s="66">
        <f>IF(VLOOKUP($D275,$C$5:$AU$501,3,)=0,0,(VLOOKUP($D275,$C$5:$AU$501,8,)/VLOOKUP($D275,$C$5:$AU$501,3,))*$E275)</f>
        <v>0</v>
      </c>
      <c r="K275" s="66">
        <f>IF(VLOOKUP($D275,$C$5:$AU$501,3,)=0,0,(VLOOKUP($D275,$C$5:$AU$501,9,)/VLOOKUP($D275,$C$5:$AU$501,3,))*$E275)</f>
        <v>0</v>
      </c>
      <c r="L275" s="66">
        <f>IF(VLOOKUP($D275,$C$5:$AU$501,3,)=0,0,(VLOOKUP($D275,$C$5:$AU$501,10,)/VLOOKUP($D275,$C$5:$AU$501,3,))*$E275)</f>
        <v>0</v>
      </c>
      <c r="M275" s="66">
        <f>IF(VLOOKUP($D275,$C$5:$AU$501,3,)=0,0,(VLOOKUP($D275,$C$5:$AU$501,11,)/VLOOKUP($D275,$C$5:$AU$501,3,))*$E275)</f>
        <v>0</v>
      </c>
      <c r="N275" s="66">
        <f>IF(VLOOKUP($D275,$C$5:$AU$501,3,)=0,0,(VLOOKUP($D275,$C$5:$AU$501,12,)/VLOOKUP($D275,$C$5:$AU$501,3,))*$E275)</f>
        <v>0</v>
      </c>
      <c r="O275" s="66">
        <f>IF(VLOOKUP($D275,$C$5:$AU$501,3,)=0,0,(VLOOKUP($D275,$C$5:$AU$501,13,)/VLOOKUP($D275,$C$5:$AU$501,3,))*$E275)</f>
        <v>0</v>
      </c>
      <c r="P275" s="66">
        <f>IF(VLOOKUP($D275,$C$5:$AU$501,3,)=0,0,(VLOOKUP($D275,$C$5:$AU$501,14,)/VLOOKUP($D275,$C$5:$AU$501,3,))*$E275)</f>
        <v>0</v>
      </c>
      <c r="Q275" s="66">
        <f>IF(VLOOKUP($D275,$C$5:$AU$501,3,)=0,0,(VLOOKUP($D275,$C$5:$AU$501,15,)/VLOOKUP($D275,$C$5:$AU$501,3,))*$E275)</f>
        <v>0</v>
      </c>
      <c r="R275" s="66">
        <f>IF(VLOOKUP($D275,$C$5:$AU$501,3,)=0,0,(VLOOKUP($D275,$C$5:$AU$501,16,)/VLOOKUP($D275,$C$5:$AU$501,3,))*$E275)</f>
        <v>0</v>
      </c>
      <c r="S275" s="66">
        <f>IF(VLOOKUP($D275,$C$5:$AU$501,3,)=0,0,(VLOOKUP($D275,$C$5:$AU$501,17,)/VLOOKUP($D275,$C$5:$AU$501,3,))*$E275)</f>
        <v>0</v>
      </c>
      <c r="T275" s="66">
        <f>IF(VLOOKUP($D275,$C$5:$AU$501,3,)=0,0,(VLOOKUP($D275,$C$5:$AU$501,18,)/VLOOKUP($D275,$C$5:$AU$501,3,))*$E275)</f>
        <v>0</v>
      </c>
      <c r="U275" s="66">
        <f>IF(VLOOKUP($D275,$C$5:$AU$501,3,)=0,0,(VLOOKUP($D275,$C$5:$AU$501,19,)/VLOOKUP($D275,$C$5:$AU$501,3,))*$E275)</f>
        <v>0</v>
      </c>
      <c r="V275" s="66">
        <f>IF(VLOOKUP($D275,$C$5:$AU$501,3,)=0,0,(VLOOKUP($D275,$C$5:$AU$501,20,)/VLOOKUP($D275,$C$5:$AU$501,3,))*$E275)</f>
        <v>0</v>
      </c>
      <c r="W275" s="66">
        <f>IF(VLOOKUP($D275,$C$5:$AU$501,3,)=0,0,(VLOOKUP($D275,$C$5:$AU$501,21,)/VLOOKUP($D275,$C$5:$AU$501,3,))*$E275)</f>
        <v>0</v>
      </c>
      <c r="X275" s="66">
        <f>IF(VLOOKUP($D275,$C$5:$AU$501,3,)=0,0,(VLOOKUP($D275,$C$5:$AU$501,22,)/VLOOKUP($D275,$C$5:$AU$501,3,))*$E275)</f>
        <v>0</v>
      </c>
      <c r="Y275" s="66">
        <f>IF(VLOOKUP($D275,$C$5:$AU$501,3,)=0,0,(VLOOKUP($D275,$C$5:$AU$501,23,)/VLOOKUP($D275,$C$5:$AU$501,3,))*$E275)</f>
        <v>0</v>
      </c>
      <c r="Z275" s="66">
        <f>IF(VLOOKUP($D275,$C$5:$AU$501,3,)=0,0,(VLOOKUP($D275,$C$5:$AU$501,24,)/VLOOKUP($D275,$C$5:$AU$501,3,))*$E275)</f>
        <v>0</v>
      </c>
      <c r="AA275" s="66">
        <f>IF(VLOOKUP($D275,$C$5:$AU$501,3,)=0,0,(VLOOKUP($D275,$C$5:$AU$501,25,)/VLOOKUP($D275,$C$5:$AU$501,3,))*$E275)</f>
        <v>0</v>
      </c>
      <c r="AB275" s="66">
        <f>IF(VLOOKUP($D275,$C$5:$AU$501,3,)=0,0,(VLOOKUP($D275,$C$5:$AU$501,26,)/VLOOKUP($D275,$C$5:$AU$501,3,))*$E275)</f>
        <v>0</v>
      </c>
      <c r="AC275" s="66">
        <f>IF(VLOOKUP($D275,$C$5:$AU$501,3,)=0,0,(VLOOKUP($D275,$C$5:$AU$501,27,)/VLOOKUP($D275,$C$5:$AU$501,3,))*$E275)</f>
        <v>0</v>
      </c>
      <c r="AD275" s="66">
        <f>IF(VLOOKUP($D275,$C$5:$AU$501,3,)=0,0,(VLOOKUP($D275,$C$5:$AU$501,28,)/VLOOKUP($D275,$C$5:$AU$501,3,))*$E275)</f>
        <v>0</v>
      </c>
      <c r="AE275" s="66">
        <f>IF(VLOOKUP($D275,$C$5:$AU$501,3,)=0,0,(VLOOKUP($D275,$C$5:$AU$501,29,)/VLOOKUP($D275,$C$5:$AU$501,3,))*$E275)</f>
        <v>0</v>
      </c>
      <c r="AF275" s="66">
        <f>IF(VLOOKUP($D275,$C$5:$AU$501,3,)=0,0,(VLOOKUP($D275,$C$5:$AU$501,30,)/VLOOKUP($D275,$C$5:$AU$501,3,))*$E275)</f>
        <v>0</v>
      </c>
      <c r="AG275" s="95">
        <f>SUM(F275:AF275)</f>
        <v>0</v>
      </c>
      <c r="AH275" s="31" t="str">
        <f>IF(ABS(E275-AG275)&lt;0.01,"ok","err")</f>
        <v>ok</v>
      </c>
    </row>
    <row r="276" spans="1:34" x14ac:dyDescent="0.2">
      <c r="A276" s="98" t="s">
        <v>212</v>
      </c>
      <c r="C276" s="14" t="s">
        <v>312</v>
      </c>
      <c r="D276" s="14" t="s">
        <v>666</v>
      </c>
      <c r="E276" s="50">
        <f>'Func &amp; Classif'!I316</f>
        <v>0</v>
      </c>
      <c r="F276" s="66">
        <f>IF(VLOOKUP($D276,$C$5:$AU$501,3,)=0,0,(VLOOKUP($D276,$C$5:$AU$501,4,)/VLOOKUP($D276,$C$5:$AU$501,3,))*$E276)</f>
        <v>0</v>
      </c>
      <c r="G276" s="66">
        <f>IF(VLOOKUP($D276,$C$5:$AU$501,3,)=0,0,(VLOOKUP($D276,$C$5:$AU$501,5,)/VLOOKUP($D276,$C$5:$AU$501,3,))*$E276)</f>
        <v>0</v>
      </c>
      <c r="H276" s="66">
        <f>IF(VLOOKUP($D276,$C$5:$AU$501,3,)=0,0,(VLOOKUP($D276,$C$5:$AU$501,6,)/VLOOKUP($D276,$C$5:$AU$501,3,))*$E276)</f>
        <v>0</v>
      </c>
      <c r="I276" s="66">
        <f>IF(VLOOKUP($D276,$C$5:$AU$501,3,)=0,0,(VLOOKUP($D276,$C$5:$AU$501,7,)/VLOOKUP($D276,$C$5:$AU$501,3,))*$E276)</f>
        <v>0</v>
      </c>
      <c r="J276" s="66">
        <f>IF(VLOOKUP($D276,$C$5:$AU$501,3,)=0,0,(VLOOKUP($D276,$C$5:$AU$501,8,)/VLOOKUP($D276,$C$5:$AU$501,3,))*$E276)</f>
        <v>0</v>
      </c>
      <c r="K276" s="66">
        <f>IF(VLOOKUP($D276,$C$5:$AU$501,3,)=0,0,(VLOOKUP($D276,$C$5:$AU$501,9,)/VLOOKUP($D276,$C$5:$AU$501,3,))*$E276)</f>
        <v>0</v>
      </c>
      <c r="L276" s="66">
        <f>IF(VLOOKUP($D276,$C$5:$AU$501,3,)=0,0,(VLOOKUP($D276,$C$5:$AU$501,10,)/VLOOKUP($D276,$C$5:$AU$501,3,))*$E276)</f>
        <v>0</v>
      </c>
      <c r="M276" s="66">
        <f>IF(VLOOKUP($D276,$C$5:$AU$501,3,)=0,0,(VLOOKUP($D276,$C$5:$AU$501,11,)/VLOOKUP($D276,$C$5:$AU$501,3,))*$E276)</f>
        <v>0</v>
      </c>
      <c r="N276" s="66">
        <f>IF(VLOOKUP($D276,$C$5:$AU$501,3,)=0,0,(VLOOKUP($D276,$C$5:$AU$501,12,)/VLOOKUP($D276,$C$5:$AU$501,3,))*$E276)</f>
        <v>0</v>
      </c>
      <c r="O276" s="66">
        <f>IF(VLOOKUP($D276,$C$5:$AU$501,3,)=0,0,(VLOOKUP($D276,$C$5:$AU$501,13,)/VLOOKUP($D276,$C$5:$AU$501,3,))*$E276)</f>
        <v>0</v>
      </c>
      <c r="P276" s="66">
        <f>IF(VLOOKUP($D276,$C$5:$AU$501,3,)=0,0,(VLOOKUP($D276,$C$5:$AU$501,14,)/VLOOKUP($D276,$C$5:$AU$501,3,))*$E276)</f>
        <v>0</v>
      </c>
      <c r="Q276" s="66">
        <f>IF(VLOOKUP($D276,$C$5:$AU$501,3,)=0,0,(VLOOKUP($D276,$C$5:$AU$501,15,)/VLOOKUP($D276,$C$5:$AU$501,3,))*$E276)</f>
        <v>0</v>
      </c>
      <c r="R276" s="66">
        <f>IF(VLOOKUP($D276,$C$5:$AU$501,3,)=0,0,(VLOOKUP($D276,$C$5:$AU$501,16,)/VLOOKUP($D276,$C$5:$AU$501,3,))*$E276)</f>
        <v>0</v>
      </c>
      <c r="S276" s="66">
        <f>IF(VLOOKUP($D276,$C$5:$AU$501,3,)=0,0,(VLOOKUP($D276,$C$5:$AU$501,17,)/VLOOKUP($D276,$C$5:$AU$501,3,))*$E276)</f>
        <v>0</v>
      </c>
      <c r="T276" s="66">
        <f>IF(VLOOKUP($D276,$C$5:$AU$501,3,)=0,0,(VLOOKUP($D276,$C$5:$AU$501,18,)/VLOOKUP($D276,$C$5:$AU$501,3,))*$E276)</f>
        <v>0</v>
      </c>
      <c r="U276" s="66">
        <f>IF(VLOOKUP($D276,$C$5:$AU$501,3,)=0,0,(VLOOKUP($D276,$C$5:$AU$501,19,)/VLOOKUP($D276,$C$5:$AU$501,3,))*$E276)</f>
        <v>0</v>
      </c>
      <c r="V276" s="66">
        <f>IF(VLOOKUP($D276,$C$5:$AU$501,3,)=0,0,(VLOOKUP($D276,$C$5:$AU$501,20,)/VLOOKUP($D276,$C$5:$AU$501,3,))*$E276)</f>
        <v>0</v>
      </c>
      <c r="W276" s="66">
        <f>IF(VLOOKUP($D276,$C$5:$AU$501,3,)=0,0,(VLOOKUP($D276,$C$5:$AU$501,21,)/VLOOKUP($D276,$C$5:$AU$501,3,))*$E276)</f>
        <v>0</v>
      </c>
      <c r="X276" s="66">
        <f>IF(VLOOKUP($D276,$C$5:$AU$501,3,)=0,0,(VLOOKUP($D276,$C$5:$AU$501,22,)/VLOOKUP($D276,$C$5:$AU$501,3,))*$E276)</f>
        <v>0</v>
      </c>
      <c r="Y276" s="66">
        <f>IF(VLOOKUP($D276,$C$5:$AU$501,3,)=0,0,(VLOOKUP($D276,$C$5:$AU$501,23,)/VLOOKUP($D276,$C$5:$AU$501,3,))*$E276)</f>
        <v>0</v>
      </c>
      <c r="Z276" s="66">
        <f>IF(VLOOKUP($D276,$C$5:$AU$501,3,)=0,0,(VLOOKUP($D276,$C$5:$AU$501,24,)/VLOOKUP($D276,$C$5:$AU$501,3,))*$E276)</f>
        <v>0</v>
      </c>
      <c r="AA276" s="66">
        <f>IF(VLOOKUP($D276,$C$5:$AU$501,3,)=0,0,(VLOOKUP($D276,$C$5:$AU$501,25,)/VLOOKUP($D276,$C$5:$AU$501,3,))*$E276)</f>
        <v>0</v>
      </c>
      <c r="AB276" s="66">
        <f>IF(VLOOKUP($D276,$C$5:$AU$501,3,)=0,0,(VLOOKUP($D276,$C$5:$AU$501,26,)/VLOOKUP($D276,$C$5:$AU$501,3,))*$E276)</f>
        <v>0</v>
      </c>
      <c r="AC276" s="66">
        <f>IF(VLOOKUP($D276,$C$5:$AU$501,3,)=0,0,(VLOOKUP($D276,$C$5:$AU$501,27,)/VLOOKUP($D276,$C$5:$AU$501,3,))*$E276)</f>
        <v>0</v>
      </c>
      <c r="AD276" s="66">
        <f>IF(VLOOKUP($D276,$C$5:$AU$501,3,)=0,0,(VLOOKUP($D276,$C$5:$AU$501,28,)/VLOOKUP($D276,$C$5:$AU$501,3,))*$E276)</f>
        <v>0</v>
      </c>
      <c r="AE276" s="66">
        <f>IF(VLOOKUP($D276,$C$5:$AU$501,3,)=0,0,(VLOOKUP($D276,$C$5:$AU$501,29,)/VLOOKUP($D276,$C$5:$AU$501,3,))*$E276)</f>
        <v>0</v>
      </c>
      <c r="AF276" s="66">
        <f>IF(VLOOKUP($D276,$C$5:$AU$501,3,)=0,0,(VLOOKUP($D276,$C$5:$AU$501,30,)/VLOOKUP($D276,$C$5:$AU$501,3,))*$E276)</f>
        <v>0</v>
      </c>
      <c r="AG276" s="95">
        <f>SUM(F276:AF276)</f>
        <v>0</v>
      </c>
      <c r="AH276" s="31" t="str">
        <f>IF(ABS(E276-AG276)&lt;0.01,"ok","err")</f>
        <v>ok</v>
      </c>
    </row>
    <row r="277" spans="1:34" x14ac:dyDescent="0.2">
      <c r="A277" s="14" t="s">
        <v>215</v>
      </c>
      <c r="C277" s="14" t="s">
        <v>313</v>
      </c>
      <c r="E277" s="50">
        <f t="shared" ref="E277:T277" si="57">E275+E276</f>
        <v>0</v>
      </c>
      <c r="F277" s="66">
        <f t="shared" si="57"/>
        <v>0</v>
      </c>
      <c r="G277" s="66">
        <f t="shared" si="57"/>
        <v>0</v>
      </c>
      <c r="H277" s="66">
        <f t="shared" si="57"/>
        <v>0</v>
      </c>
      <c r="I277" s="66">
        <f t="shared" si="57"/>
        <v>0</v>
      </c>
      <c r="J277" s="66">
        <f t="shared" si="57"/>
        <v>0</v>
      </c>
      <c r="K277" s="66">
        <f t="shared" si="57"/>
        <v>0</v>
      </c>
      <c r="L277" s="66">
        <f t="shared" si="57"/>
        <v>0</v>
      </c>
      <c r="M277" s="66">
        <f t="shared" si="57"/>
        <v>0</v>
      </c>
      <c r="N277" s="66">
        <f t="shared" si="57"/>
        <v>0</v>
      </c>
      <c r="O277" s="66">
        <f t="shared" si="57"/>
        <v>0</v>
      </c>
      <c r="P277" s="66">
        <f t="shared" si="57"/>
        <v>0</v>
      </c>
      <c r="Q277" s="66">
        <f t="shared" si="57"/>
        <v>0</v>
      </c>
      <c r="R277" s="66">
        <f t="shared" si="57"/>
        <v>0</v>
      </c>
      <c r="S277" s="66">
        <f t="shared" si="57"/>
        <v>0</v>
      </c>
      <c r="T277" s="66">
        <f t="shared" si="57"/>
        <v>0</v>
      </c>
      <c r="U277" s="66">
        <f t="shared" ref="U277:AF277" si="58">U275+U276</f>
        <v>0</v>
      </c>
      <c r="V277" s="66">
        <f t="shared" si="58"/>
        <v>0</v>
      </c>
      <c r="W277" s="66">
        <f t="shared" si="58"/>
        <v>0</v>
      </c>
      <c r="X277" s="66">
        <f t="shared" si="58"/>
        <v>0</v>
      </c>
      <c r="Y277" s="66">
        <f t="shared" si="58"/>
        <v>0</v>
      </c>
      <c r="Z277" s="66">
        <f t="shared" si="58"/>
        <v>0</v>
      </c>
      <c r="AA277" s="66">
        <f t="shared" si="58"/>
        <v>0</v>
      </c>
      <c r="AB277" s="66">
        <f t="shared" si="58"/>
        <v>0</v>
      </c>
      <c r="AC277" s="66">
        <f t="shared" si="58"/>
        <v>0</v>
      </c>
      <c r="AD277" s="66">
        <f t="shared" si="58"/>
        <v>0</v>
      </c>
      <c r="AE277" s="66">
        <f t="shared" si="58"/>
        <v>0</v>
      </c>
      <c r="AF277" s="66">
        <f t="shared" si="58"/>
        <v>0</v>
      </c>
      <c r="AG277" s="95">
        <f>SUM(F277:AF277)</f>
        <v>0</v>
      </c>
      <c r="AH277" s="31" t="str">
        <f>IF(ABS(E277-AG277)&lt;0.01,"ok","err")</f>
        <v>ok</v>
      </c>
    </row>
    <row r="278" spans="1:34" x14ac:dyDescent="0.2">
      <c r="E278" s="50"/>
      <c r="F278" s="50"/>
    </row>
    <row r="279" spans="1:34" x14ac:dyDescent="0.2">
      <c r="A279" s="13" t="s">
        <v>350</v>
      </c>
      <c r="E279" s="50"/>
      <c r="F279" s="50"/>
    </row>
    <row r="280" spans="1:34" x14ac:dyDescent="0.2">
      <c r="A280" s="98" t="s">
        <v>209</v>
      </c>
      <c r="C280" s="14" t="s">
        <v>890</v>
      </c>
      <c r="D280" s="14" t="s">
        <v>625</v>
      </c>
      <c r="E280" s="66">
        <f>'Func &amp; Classif'!K316</f>
        <v>0</v>
      </c>
      <c r="F280" s="66">
        <f>IF(VLOOKUP($D280,$C$5:$AU$501,3,)=0,0,(VLOOKUP($D280,$C$5:$AU$501,4,)/VLOOKUP($D280,$C$5:$AU$501,3,))*$E280)</f>
        <v>0</v>
      </c>
      <c r="G280" s="66">
        <f>IF(VLOOKUP($D280,$C$5:$AU$501,3,)=0,0,(VLOOKUP($D280,$C$5:$AU$501,5,)/VLOOKUP($D280,$C$5:$AU$501,3,))*$E280)</f>
        <v>0</v>
      </c>
      <c r="H280" s="66">
        <f>IF(VLOOKUP($D280,$C$5:$AU$501,3,)=0,0,(VLOOKUP($D280,$C$5:$AU$501,6,)/VLOOKUP($D280,$C$5:$AU$501,3,))*$E280)</f>
        <v>0</v>
      </c>
      <c r="I280" s="66">
        <f>IF(VLOOKUP($D280,$C$5:$AU$501,3,)=0,0,(VLOOKUP($D280,$C$5:$AU$501,7,)/VLOOKUP($D280,$C$5:$AU$501,3,))*$E280)</f>
        <v>0</v>
      </c>
      <c r="J280" s="66">
        <f>IF(VLOOKUP($D280,$C$5:$AU$501,3,)=0,0,(VLOOKUP($D280,$C$5:$AU$501,8,)/VLOOKUP($D280,$C$5:$AU$501,3,))*$E280)</f>
        <v>0</v>
      </c>
      <c r="K280" s="66">
        <f>IF(VLOOKUP($D280,$C$5:$AU$501,3,)=0,0,(VLOOKUP($D280,$C$5:$AU$501,9,)/VLOOKUP($D280,$C$5:$AU$501,3,))*$E280)</f>
        <v>0</v>
      </c>
      <c r="L280" s="66">
        <f>IF(VLOOKUP($D280,$C$5:$AU$501,3,)=0,0,(VLOOKUP($D280,$C$5:$AU$501,10,)/VLOOKUP($D280,$C$5:$AU$501,3,))*$E280)</f>
        <v>0</v>
      </c>
      <c r="M280" s="66">
        <f>IF(VLOOKUP($D280,$C$5:$AU$501,3,)=0,0,(VLOOKUP($D280,$C$5:$AU$501,11,)/VLOOKUP($D280,$C$5:$AU$501,3,))*$E280)</f>
        <v>0</v>
      </c>
      <c r="N280" s="66">
        <f>IF(VLOOKUP($D280,$C$5:$AU$501,3,)=0,0,(VLOOKUP($D280,$C$5:$AU$501,12,)/VLOOKUP($D280,$C$5:$AU$501,3,))*$E280)</f>
        <v>0</v>
      </c>
      <c r="O280" s="66">
        <f>IF(VLOOKUP($D280,$C$5:$AU$501,3,)=0,0,(VLOOKUP($D280,$C$5:$AU$501,13,)/VLOOKUP($D280,$C$5:$AU$501,3,))*$E280)</f>
        <v>0</v>
      </c>
      <c r="P280" s="66">
        <f>IF(VLOOKUP($D280,$C$5:$AU$501,3,)=0,0,(VLOOKUP($D280,$C$5:$AU$501,14,)/VLOOKUP($D280,$C$5:$AU$501,3,))*$E280)</f>
        <v>0</v>
      </c>
      <c r="Q280" s="66">
        <f>IF(VLOOKUP($D280,$C$5:$AU$501,3,)=0,0,(VLOOKUP($D280,$C$5:$AU$501,15,)/VLOOKUP($D280,$C$5:$AU$501,3,))*$E280)</f>
        <v>0</v>
      </c>
      <c r="R280" s="66">
        <f>IF(VLOOKUP($D280,$C$5:$AU$501,3,)=0,0,(VLOOKUP($D280,$C$5:$AU$501,16,)/VLOOKUP($D280,$C$5:$AU$501,3,))*$E280)</f>
        <v>0</v>
      </c>
      <c r="S280" s="66">
        <f>IF(VLOOKUP($D280,$C$5:$AU$501,3,)=0,0,(VLOOKUP($D280,$C$5:$AU$501,17,)/VLOOKUP($D280,$C$5:$AU$501,3,))*$E280)</f>
        <v>0</v>
      </c>
      <c r="T280" s="66">
        <f>IF(VLOOKUP($D280,$C$5:$AU$501,3,)=0,0,(VLOOKUP($D280,$C$5:$AU$501,18,)/VLOOKUP($D280,$C$5:$AU$501,3,))*$E280)</f>
        <v>0</v>
      </c>
      <c r="U280" s="66">
        <f>IF(VLOOKUP($D280,$C$5:$AU$501,3,)=0,0,(VLOOKUP($D280,$C$5:$AU$501,19,)/VLOOKUP($D280,$C$5:$AU$501,3,))*$E280)</f>
        <v>0</v>
      </c>
      <c r="V280" s="66">
        <f>IF(VLOOKUP($D280,$C$5:$AU$501,3,)=0,0,(VLOOKUP($D280,$C$5:$AU$501,20,)/VLOOKUP($D280,$C$5:$AU$501,3,))*$E280)</f>
        <v>0</v>
      </c>
      <c r="W280" s="66">
        <f>IF(VLOOKUP($D280,$C$5:$AU$501,3,)=0,0,(VLOOKUP($D280,$C$5:$AU$501,21,)/VLOOKUP($D280,$C$5:$AU$501,3,))*$E280)</f>
        <v>0</v>
      </c>
      <c r="X280" s="66">
        <f>IF(VLOOKUP($D280,$C$5:$AU$501,3,)=0,0,(VLOOKUP($D280,$C$5:$AU$501,22,)/VLOOKUP($D280,$C$5:$AU$501,3,))*$E280)</f>
        <v>0</v>
      </c>
      <c r="Y280" s="66">
        <f>IF(VLOOKUP($D280,$C$5:$AU$501,3,)=0,0,(VLOOKUP($D280,$C$5:$AU$501,23,)/VLOOKUP($D280,$C$5:$AU$501,3,))*$E280)</f>
        <v>0</v>
      </c>
      <c r="Z280" s="66">
        <f>IF(VLOOKUP($D280,$C$5:$AU$501,3,)=0,0,(VLOOKUP($D280,$C$5:$AU$501,24,)/VLOOKUP($D280,$C$5:$AU$501,3,))*$E280)</f>
        <v>0</v>
      </c>
      <c r="AA280" s="66">
        <f>IF(VLOOKUP($D280,$C$5:$AU$501,3,)=0,0,(VLOOKUP($D280,$C$5:$AU$501,25,)/VLOOKUP($D280,$C$5:$AU$501,3,))*$E280)</f>
        <v>0</v>
      </c>
      <c r="AB280" s="66">
        <f>IF(VLOOKUP($D280,$C$5:$AU$501,3,)=0,0,(VLOOKUP($D280,$C$5:$AU$501,26,)/VLOOKUP($D280,$C$5:$AU$501,3,))*$E280)</f>
        <v>0</v>
      </c>
      <c r="AC280" s="66">
        <f>IF(VLOOKUP($D280,$C$5:$AU$501,3,)=0,0,(VLOOKUP($D280,$C$5:$AU$501,27,)/VLOOKUP($D280,$C$5:$AU$501,3,))*$E280)</f>
        <v>0</v>
      </c>
      <c r="AD280" s="66">
        <f>IF(VLOOKUP($D280,$C$5:$AU$501,3,)=0,0,(VLOOKUP($D280,$C$5:$AU$501,28,)/VLOOKUP($D280,$C$5:$AU$501,3,))*$E280)</f>
        <v>0</v>
      </c>
      <c r="AE280" s="66">
        <f>IF(VLOOKUP($D280,$C$5:$AU$501,3,)=0,0,(VLOOKUP($D280,$C$5:$AU$501,29,)/VLOOKUP($D280,$C$5:$AU$501,3,))*$E280)</f>
        <v>0</v>
      </c>
      <c r="AF280" s="66">
        <f>IF(VLOOKUP($D280,$C$5:$AU$501,3,)=0,0,(VLOOKUP($D280,$C$5:$AU$501,30,)/VLOOKUP($D280,$C$5:$AU$501,3,))*$E280)</f>
        <v>0</v>
      </c>
      <c r="AG280" s="95">
        <f>SUM(F280:AF280)</f>
        <v>0</v>
      </c>
      <c r="AH280" s="31" t="str">
        <f>IF(ABS(E280-AG280)&lt;0.01,"ok","err")</f>
        <v>ok</v>
      </c>
    </row>
    <row r="281" spans="1:34" x14ac:dyDescent="0.2">
      <c r="E281" s="50"/>
    </row>
    <row r="282" spans="1:34" x14ac:dyDescent="0.2">
      <c r="A282" s="13" t="s">
        <v>1</v>
      </c>
      <c r="E282" s="50"/>
      <c r="F282" s="50"/>
    </row>
    <row r="283" spans="1:34" x14ac:dyDescent="0.2">
      <c r="A283" s="98" t="s">
        <v>209</v>
      </c>
      <c r="C283" s="14" t="s">
        <v>314</v>
      </c>
      <c r="D283" s="14" t="s">
        <v>632</v>
      </c>
      <c r="E283" s="66">
        <f>'Func &amp; Classif'!M316</f>
        <v>1275.7090929540623</v>
      </c>
      <c r="F283" s="66">
        <f>IF(VLOOKUP($D283,$C$5:$AU$501,3,)=0,0,(VLOOKUP($D283,$C$5:$AU$501,4,)/VLOOKUP($D283,$C$5:$AU$501,3,))*$E283)</f>
        <v>952.17163665862699</v>
      </c>
      <c r="G283" s="66">
        <f>IF(VLOOKUP($D283,$C$5:$AU$501,3,)=0,0,(VLOOKUP($D283,$C$5:$AU$501,5,)/VLOOKUP($D283,$C$5:$AU$501,3,))*$E283)</f>
        <v>0</v>
      </c>
      <c r="H283" s="66">
        <f>IF(VLOOKUP($D283,$C$5:$AU$501,3,)=0,0,(VLOOKUP($D283,$C$5:$AU$501,6,)/VLOOKUP($D283,$C$5:$AU$501,3,))*$E283)</f>
        <v>61.71425294279689</v>
      </c>
      <c r="I283" s="66">
        <f>IF(VLOOKUP($D283,$C$5:$AU$501,3,)=0,0,(VLOOKUP($D283,$C$5:$AU$501,7,)/VLOOKUP($D283,$C$5:$AU$501,3,))*$E283)</f>
        <v>0</v>
      </c>
      <c r="J283" s="66">
        <f>IF(VLOOKUP($D283,$C$5:$AU$501,3,)=0,0,(VLOOKUP($D283,$C$5:$AU$501,8,)/VLOOKUP($D283,$C$5:$AU$501,3,))*$E283)</f>
        <v>77.857083622123653</v>
      </c>
      <c r="K283" s="66">
        <f>IF(VLOOKUP($D283,$C$5:$AU$501,3,)=0,0,(VLOOKUP($D283,$C$5:$AU$501,9,)/VLOOKUP($D283,$C$5:$AU$501,3,))*$E283)</f>
        <v>101.60859786727026</v>
      </c>
      <c r="L283" s="66">
        <f>IF(VLOOKUP($D283,$C$5:$AU$501,3,)=0,0,(VLOOKUP($D283,$C$5:$AU$501,10,)/VLOOKUP($D283,$C$5:$AU$501,3,))*$E283)</f>
        <v>65.777838577929657</v>
      </c>
      <c r="M283" s="66">
        <f>IF(VLOOKUP($D283,$C$5:$AU$501,3,)=0,0,(VLOOKUP($D283,$C$5:$AU$501,11,)/VLOOKUP($D283,$C$5:$AU$501,3,))*$E283)</f>
        <v>8.8415274368842738</v>
      </c>
      <c r="N283" s="66">
        <f>IF(VLOOKUP($D283,$C$5:$AU$501,3,)=0,0,(VLOOKUP($D283,$C$5:$AU$501,12,)/VLOOKUP($D283,$C$5:$AU$501,3,))*$E283)</f>
        <v>7.7381558484306883</v>
      </c>
      <c r="O283" s="66">
        <f>IF(VLOOKUP($D283,$C$5:$AU$501,3,)=0,0,(VLOOKUP($D283,$C$5:$AU$501,13,)/VLOOKUP($D283,$C$5:$AU$501,3,))*$E283)</f>
        <v>0</v>
      </c>
      <c r="P283" s="66">
        <f>IF(VLOOKUP($D283,$C$5:$AU$501,3,)=0,0,(VLOOKUP($D283,$C$5:$AU$501,14,)/VLOOKUP($D283,$C$5:$AU$501,3,))*$E283)</f>
        <v>0</v>
      </c>
      <c r="Q283" s="66">
        <f>IF(VLOOKUP($D283,$C$5:$AU$501,3,)=0,0,(VLOOKUP($D283,$C$5:$AU$501,15,)/VLOOKUP($D283,$C$5:$AU$501,3,))*$E283)</f>
        <v>0</v>
      </c>
      <c r="R283" s="66">
        <f>IF(VLOOKUP($D283,$C$5:$AU$501,3,)=0,0,(VLOOKUP($D283,$C$5:$AU$501,16,)/VLOOKUP($D283,$C$5:$AU$501,3,))*$E283)</f>
        <v>0</v>
      </c>
      <c r="S283" s="66">
        <f>IF(VLOOKUP($D283,$C$5:$AU$501,3,)=0,0,(VLOOKUP($D283,$C$5:$AU$501,17,)/VLOOKUP($D283,$C$5:$AU$501,3,))*$E283)</f>
        <v>0</v>
      </c>
      <c r="T283" s="66">
        <f>IF(VLOOKUP($D283,$C$5:$AU$501,3,)=0,0,(VLOOKUP($D283,$C$5:$AU$501,18,)/VLOOKUP($D283,$C$5:$AU$501,3,))*$E283)</f>
        <v>0</v>
      </c>
      <c r="U283" s="66">
        <f>IF(VLOOKUP($D283,$C$5:$AU$501,3,)=0,0,(VLOOKUP($D283,$C$5:$AU$501,19,)/VLOOKUP($D283,$C$5:$AU$501,3,))*$E283)</f>
        <v>0</v>
      </c>
      <c r="V283" s="66">
        <f>IF(VLOOKUP($D283,$C$5:$AU$501,3,)=0,0,(VLOOKUP($D283,$C$5:$AU$501,20,)/VLOOKUP($D283,$C$5:$AU$501,3,))*$E283)</f>
        <v>0</v>
      </c>
      <c r="W283" s="66">
        <f>IF(VLOOKUP($D283,$C$5:$AU$501,3,)=0,0,(VLOOKUP($D283,$C$5:$AU$501,21,)/VLOOKUP($D283,$C$5:$AU$501,3,))*$E283)</f>
        <v>0</v>
      </c>
      <c r="X283" s="66">
        <f>IF(VLOOKUP($D283,$C$5:$AU$501,3,)=0,0,(VLOOKUP($D283,$C$5:$AU$501,22,)/VLOOKUP($D283,$C$5:$AU$501,3,))*$E283)</f>
        <v>0</v>
      </c>
      <c r="Y283" s="66">
        <f>IF(VLOOKUP($D283,$C$5:$AU$501,3,)=0,0,(VLOOKUP($D283,$C$5:$AU$501,23,)/VLOOKUP($D283,$C$5:$AU$501,3,))*$E283)</f>
        <v>0</v>
      </c>
      <c r="Z283" s="66">
        <f>IF(VLOOKUP($D283,$C$5:$AU$501,3,)=0,0,(VLOOKUP($D283,$C$5:$AU$501,24,)/VLOOKUP($D283,$C$5:$AU$501,3,))*$E283)</f>
        <v>0</v>
      </c>
      <c r="AA283" s="66">
        <f>IF(VLOOKUP($D283,$C$5:$AU$501,3,)=0,0,(VLOOKUP($D283,$C$5:$AU$501,25,)/VLOOKUP($D283,$C$5:$AU$501,3,))*$E283)</f>
        <v>0</v>
      </c>
      <c r="AB283" s="66">
        <f>IF(VLOOKUP($D283,$C$5:$AU$501,3,)=0,0,(VLOOKUP($D283,$C$5:$AU$501,26,)/VLOOKUP($D283,$C$5:$AU$501,3,))*$E283)</f>
        <v>0</v>
      </c>
      <c r="AC283" s="66">
        <f>IF(VLOOKUP($D283,$C$5:$AU$501,3,)=0,0,(VLOOKUP($D283,$C$5:$AU$501,27,)/VLOOKUP($D283,$C$5:$AU$501,3,))*$E283)</f>
        <v>0</v>
      </c>
      <c r="AD283" s="66">
        <f>IF(VLOOKUP($D283,$C$5:$AU$501,3,)=0,0,(VLOOKUP($D283,$C$5:$AU$501,28,)/VLOOKUP($D283,$C$5:$AU$501,3,))*$E283)</f>
        <v>0</v>
      </c>
      <c r="AE283" s="66">
        <f>IF(VLOOKUP($D283,$C$5:$AU$501,3,)=0,0,(VLOOKUP($D283,$C$5:$AU$501,29,)/VLOOKUP($D283,$C$5:$AU$501,3,))*$E283)</f>
        <v>0</v>
      </c>
      <c r="AF283" s="66">
        <f>IF(VLOOKUP($D283,$C$5:$AU$501,3,)=0,0,(VLOOKUP($D283,$C$5:$AU$501,30,)/VLOOKUP($D283,$C$5:$AU$501,3,))*$E283)</f>
        <v>0</v>
      </c>
      <c r="AG283" s="95">
        <f>SUM(F283:AF283)</f>
        <v>1275.7090929540625</v>
      </c>
      <c r="AH283" s="31" t="str">
        <f>IF(ABS(E283-AG283)&lt;0.01,"ok","err")</f>
        <v>ok</v>
      </c>
    </row>
    <row r="284" spans="1:34" x14ac:dyDescent="0.2">
      <c r="E284" s="50"/>
    </row>
    <row r="285" spans="1:34" x14ac:dyDescent="0.2">
      <c r="A285" s="13" t="s">
        <v>2</v>
      </c>
      <c r="E285" s="50"/>
    </row>
    <row r="286" spans="1:34" x14ac:dyDescent="0.2">
      <c r="A286" s="98" t="s">
        <v>209</v>
      </c>
      <c r="C286" s="14" t="s">
        <v>315</v>
      </c>
      <c r="D286" s="14" t="s">
        <v>629</v>
      </c>
      <c r="E286" s="66">
        <f>'Func &amp; Classif'!O316</f>
        <v>47441.923122506269</v>
      </c>
      <c r="F286" s="66">
        <f>IF(VLOOKUP($D286,$C$5:$AU$501,3,)=0,0,(VLOOKUP($D286,$C$5:$AU$501,4,)/VLOOKUP($D286,$C$5:$AU$501,3,))*$E286)</f>
        <v>39083.611781700718</v>
      </c>
      <c r="G286" s="66">
        <f>IF(VLOOKUP($D286,$C$5:$AU$501,3,)=0,0,(VLOOKUP($D286,$C$5:$AU$501,5,)/VLOOKUP($D286,$C$5:$AU$501,3,))*$E286)</f>
        <v>0</v>
      </c>
      <c r="H286" s="66">
        <f>IF(VLOOKUP($D286,$C$5:$AU$501,3,)=0,0,(VLOOKUP($D286,$C$5:$AU$501,6,)/VLOOKUP($D286,$C$5:$AU$501,3,))*$E286)</f>
        <v>877.0862757051168</v>
      </c>
      <c r="I286" s="66">
        <f>IF(VLOOKUP($D286,$C$5:$AU$501,3,)=0,0,(VLOOKUP($D286,$C$5:$AU$501,7,)/VLOOKUP($D286,$C$5:$AU$501,3,))*$E286)</f>
        <v>0</v>
      </c>
      <c r="J286" s="66">
        <f>IF(VLOOKUP($D286,$C$5:$AU$501,3,)=0,0,(VLOOKUP($D286,$C$5:$AU$501,8,)/VLOOKUP($D286,$C$5:$AU$501,3,))*$E286)</f>
        <v>2071.0440941990582</v>
      </c>
      <c r="K286" s="66">
        <f>IF(VLOOKUP($D286,$C$5:$AU$501,3,)=0,0,(VLOOKUP($D286,$C$5:$AU$501,9,)/VLOOKUP($D286,$C$5:$AU$501,3,))*$E286)</f>
        <v>1456.5766606359496</v>
      </c>
      <c r="L286" s="66">
        <f>IF(VLOOKUP($D286,$C$5:$AU$501,3,)=0,0,(VLOOKUP($D286,$C$5:$AU$501,10,)/VLOOKUP($D286,$C$5:$AU$501,3,))*$E286)</f>
        <v>1145.2521857867932</v>
      </c>
      <c r="M286" s="66">
        <f>IF(VLOOKUP($D286,$C$5:$AU$501,3,)=0,0,(VLOOKUP($D286,$C$5:$AU$501,11,)/VLOOKUP($D286,$C$5:$AU$501,3,))*$E286)</f>
        <v>1844.4702385463659</v>
      </c>
      <c r="N286" s="66">
        <f>IF(VLOOKUP($D286,$C$5:$AU$501,3,)=0,0,(VLOOKUP($D286,$C$5:$AU$501,12,)/VLOOKUP($D286,$C$5:$AU$501,3,))*$E286)</f>
        <v>526.39923898470022</v>
      </c>
      <c r="O286" s="66">
        <f>IF(VLOOKUP($D286,$C$5:$AU$501,3,)=0,0,(VLOOKUP($D286,$C$5:$AU$501,13,)/VLOOKUP($D286,$C$5:$AU$501,3,))*$E286)</f>
        <v>437.48264694756904</v>
      </c>
      <c r="P286" s="66">
        <f>IF(VLOOKUP($D286,$C$5:$AU$501,3,)=0,0,(VLOOKUP($D286,$C$5:$AU$501,14,)/VLOOKUP($D286,$C$5:$AU$501,3,))*$E286)</f>
        <v>0</v>
      </c>
      <c r="Q286" s="66">
        <f>IF(VLOOKUP($D286,$C$5:$AU$501,3,)=0,0,(VLOOKUP($D286,$C$5:$AU$501,15,)/VLOOKUP($D286,$C$5:$AU$501,3,))*$E286)</f>
        <v>0</v>
      </c>
      <c r="R286" s="66">
        <f>IF(VLOOKUP($D286,$C$5:$AU$501,3,)=0,0,(VLOOKUP($D286,$C$5:$AU$501,16,)/VLOOKUP($D286,$C$5:$AU$501,3,))*$E286)</f>
        <v>0</v>
      </c>
      <c r="S286" s="66">
        <f>IF(VLOOKUP($D286,$C$5:$AU$501,3,)=0,0,(VLOOKUP($D286,$C$5:$AU$501,17,)/VLOOKUP($D286,$C$5:$AU$501,3,))*$E286)</f>
        <v>0</v>
      </c>
      <c r="T286" s="66">
        <f>IF(VLOOKUP($D286,$C$5:$AU$501,3,)=0,0,(VLOOKUP($D286,$C$5:$AU$501,18,)/VLOOKUP($D286,$C$5:$AU$501,3,))*$E286)</f>
        <v>0</v>
      </c>
      <c r="U286" s="66">
        <f>IF(VLOOKUP($D286,$C$5:$AU$501,3,)=0,0,(VLOOKUP($D286,$C$5:$AU$501,19,)/VLOOKUP($D286,$C$5:$AU$501,3,))*$E286)</f>
        <v>0</v>
      </c>
      <c r="V286" s="66">
        <f>IF(VLOOKUP($D286,$C$5:$AU$501,3,)=0,0,(VLOOKUP($D286,$C$5:$AU$501,20,)/VLOOKUP($D286,$C$5:$AU$501,3,))*$E286)</f>
        <v>0</v>
      </c>
      <c r="W286" s="66">
        <f>IF(VLOOKUP($D286,$C$5:$AU$501,3,)=0,0,(VLOOKUP($D286,$C$5:$AU$501,21,)/VLOOKUP($D286,$C$5:$AU$501,3,))*$E286)</f>
        <v>0</v>
      </c>
      <c r="X286" s="66">
        <f>IF(VLOOKUP($D286,$C$5:$AU$501,3,)=0,0,(VLOOKUP($D286,$C$5:$AU$501,22,)/VLOOKUP($D286,$C$5:$AU$501,3,))*$E286)</f>
        <v>0</v>
      </c>
      <c r="Y286" s="66">
        <f>IF(VLOOKUP($D286,$C$5:$AU$501,3,)=0,0,(VLOOKUP($D286,$C$5:$AU$501,23,)/VLOOKUP($D286,$C$5:$AU$501,3,))*$E286)</f>
        <v>0</v>
      </c>
      <c r="Z286" s="66">
        <f>IF(VLOOKUP($D286,$C$5:$AU$501,3,)=0,0,(VLOOKUP($D286,$C$5:$AU$501,24,)/VLOOKUP($D286,$C$5:$AU$501,3,))*$E286)</f>
        <v>0</v>
      </c>
      <c r="AA286" s="66">
        <f>IF(VLOOKUP($D286,$C$5:$AU$501,3,)=0,0,(VLOOKUP($D286,$C$5:$AU$501,25,)/VLOOKUP($D286,$C$5:$AU$501,3,))*$E286)</f>
        <v>0</v>
      </c>
      <c r="AB286" s="66">
        <f>IF(VLOOKUP($D286,$C$5:$AU$501,3,)=0,0,(VLOOKUP($D286,$C$5:$AU$501,26,)/VLOOKUP($D286,$C$5:$AU$501,3,))*$E286)</f>
        <v>0</v>
      </c>
      <c r="AC286" s="66">
        <f>IF(VLOOKUP($D286,$C$5:$AU$501,3,)=0,0,(VLOOKUP($D286,$C$5:$AU$501,27,)/VLOOKUP($D286,$C$5:$AU$501,3,))*$E286)</f>
        <v>0</v>
      </c>
      <c r="AD286" s="66">
        <f>IF(VLOOKUP($D286,$C$5:$AU$501,3,)=0,0,(VLOOKUP($D286,$C$5:$AU$501,28,)/VLOOKUP($D286,$C$5:$AU$501,3,))*$E286)</f>
        <v>0</v>
      </c>
      <c r="AE286" s="66">
        <f>IF(VLOOKUP($D286,$C$5:$AU$501,3,)=0,0,(VLOOKUP($D286,$C$5:$AU$501,29,)/VLOOKUP($D286,$C$5:$AU$501,3,))*$E286)</f>
        <v>0</v>
      </c>
      <c r="AF286" s="66">
        <f>IF(VLOOKUP($D286,$C$5:$AU$501,3,)=0,0,(VLOOKUP($D286,$C$5:$AU$501,30,)/VLOOKUP($D286,$C$5:$AU$501,3,))*$E286)</f>
        <v>0</v>
      </c>
      <c r="AG286" s="95">
        <f>SUM(F286:AF286)</f>
        <v>47441.923122506261</v>
      </c>
      <c r="AH286" s="31" t="str">
        <f>IF(ABS(E286-AG286)&lt;0.01,"ok","err")</f>
        <v>ok</v>
      </c>
    </row>
    <row r="287" spans="1:34" x14ac:dyDescent="0.2">
      <c r="A287" s="98" t="s">
        <v>221</v>
      </c>
      <c r="C287" s="14" t="s">
        <v>316</v>
      </c>
      <c r="D287" s="14" t="s">
        <v>223</v>
      </c>
      <c r="E287" s="50">
        <f>'Func &amp; Classif'!P316</f>
        <v>36697.712876725811</v>
      </c>
      <c r="F287" s="66">
        <f>IF(VLOOKUP($D287,$C$5:$AU$501,3,)=0,0,(VLOOKUP($D287,$C$5:$AU$501,4,)/VLOOKUP($D287,$C$5:$AU$501,3,))*$E287)</f>
        <v>33360.737946358837</v>
      </c>
      <c r="G287" s="66">
        <f>IF(VLOOKUP($D287,$C$5:$AU$501,3,)=0,0,(VLOOKUP($D287,$C$5:$AU$501,5,)/VLOOKUP($D287,$C$5:$AU$501,3,))*$E287)</f>
        <v>0</v>
      </c>
      <c r="H287" s="66">
        <f>IF(VLOOKUP($D287,$C$5:$AU$501,3,)=0,0,(VLOOKUP($D287,$C$5:$AU$501,6,)/VLOOKUP($D287,$C$5:$AU$501,3,))*$E287)</f>
        <v>2514.8618710783935</v>
      </c>
      <c r="I287" s="66">
        <f>IF(VLOOKUP($D287,$C$5:$AU$501,3,)=0,0,(VLOOKUP($D287,$C$5:$AU$501,7,)/VLOOKUP($D287,$C$5:$AU$501,3,))*$E287)</f>
        <v>0</v>
      </c>
      <c r="J287" s="66">
        <f>IF(VLOOKUP($D287,$C$5:$AU$501,3,)=0,0,(VLOOKUP($D287,$C$5:$AU$501,8,)/VLOOKUP($D287,$C$5:$AU$501,3,))*$E287)</f>
        <v>106.74992506782598</v>
      </c>
      <c r="K287" s="66">
        <f>IF(VLOOKUP($D287,$C$5:$AU$501,3,)=0,0,(VLOOKUP($D287,$C$5:$AU$501,9,)/VLOOKUP($D287,$C$5:$AU$501,3,))*$E287)</f>
        <v>5.5454506528740763</v>
      </c>
      <c r="L287" s="66">
        <f>IF(VLOOKUP($D287,$C$5:$AU$501,3,)=0,0,(VLOOKUP($D287,$C$5:$AU$501,10,)/VLOOKUP($D287,$C$5:$AU$501,3,))*$E287)</f>
        <v>4.159087989655557</v>
      </c>
      <c r="M287" s="66">
        <f>IF(VLOOKUP($D287,$C$5:$AU$501,3,)=0,0,(VLOOKUP($D287,$C$5:$AU$501,11,)/VLOOKUP($D287,$C$5:$AU$501,3,))*$E287)</f>
        <v>689.71542495121332</v>
      </c>
      <c r="N287" s="66">
        <f>IF(VLOOKUP($D287,$C$5:$AU$501,3,)=0,0,(VLOOKUP($D287,$C$5:$AU$501,12,)/VLOOKUP($D287,$C$5:$AU$501,3,))*$E287)</f>
        <v>15.94317062701297</v>
      </c>
      <c r="O287" s="66">
        <f>IF(VLOOKUP($D287,$C$5:$AU$501,3,)=0,0,(VLOOKUP($D287,$C$5:$AU$501,13,)/VLOOKUP($D287,$C$5:$AU$501,3,))*$E287)</f>
        <v>0</v>
      </c>
      <c r="P287" s="66">
        <f>IF(VLOOKUP($D287,$C$5:$AU$501,3,)=0,0,(VLOOKUP($D287,$C$5:$AU$501,14,)/VLOOKUP($D287,$C$5:$AU$501,3,))*$E287)</f>
        <v>0</v>
      </c>
      <c r="Q287" s="66">
        <f>IF(VLOOKUP($D287,$C$5:$AU$501,3,)=0,0,(VLOOKUP($D287,$C$5:$AU$501,15,)/VLOOKUP($D287,$C$5:$AU$501,3,))*$E287)</f>
        <v>0</v>
      </c>
      <c r="R287" s="66">
        <f>IF(VLOOKUP($D287,$C$5:$AU$501,3,)=0,0,(VLOOKUP($D287,$C$5:$AU$501,16,)/VLOOKUP($D287,$C$5:$AU$501,3,))*$E287)</f>
        <v>0</v>
      </c>
      <c r="S287" s="66">
        <f>IF(VLOOKUP($D287,$C$5:$AU$501,3,)=0,0,(VLOOKUP($D287,$C$5:$AU$501,17,)/VLOOKUP($D287,$C$5:$AU$501,3,))*$E287)</f>
        <v>0</v>
      </c>
      <c r="T287" s="66">
        <f>IF(VLOOKUP($D287,$C$5:$AU$501,3,)=0,0,(VLOOKUP($D287,$C$5:$AU$501,18,)/VLOOKUP($D287,$C$5:$AU$501,3,))*$E287)</f>
        <v>0</v>
      </c>
      <c r="U287" s="66">
        <f>IF(VLOOKUP($D287,$C$5:$AU$501,3,)=0,0,(VLOOKUP($D287,$C$5:$AU$501,19,)/VLOOKUP($D287,$C$5:$AU$501,3,))*$E287)</f>
        <v>0</v>
      </c>
      <c r="V287" s="66">
        <f>IF(VLOOKUP($D287,$C$5:$AU$501,3,)=0,0,(VLOOKUP($D287,$C$5:$AU$501,20,)/VLOOKUP($D287,$C$5:$AU$501,3,))*$E287)</f>
        <v>0</v>
      </c>
      <c r="W287" s="66">
        <f>IF(VLOOKUP($D287,$C$5:$AU$501,3,)=0,0,(VLOOKUP($D287,$C$5:$AU$501,21,)/VLOOKUP($D287,$C$5:$AU$501,3,))*$E287)</f>
        <v>0</v>
      </c>
      <c r="X287" s="66">
        <f>IF(VLOOKUP($D287,$C$5:$AU$501,3,)=0,0,(VLOOKUP($D287,$C$5:$AU$501,22,)/VLOOKUP($D287,$C$5:$AU$501,3,))*$E287)</f>
        <v>0</v>
      </c>
      <c r="Y287" s="66">
        <f>IF(VLOOKUP($D287,$C$5:$AU$501,3,)=0,0,(VLOOKUP($D287,$C$5:$AU$501,23,)/VLOOKUP($D287,$C$5:$AU$501,3,))*$E287)</f>
        <v>0</v>
      </c>
      <c r="Z287" s="66">
        <f>IF(VLOOKUP($D287,$C$5:$AU$501,3,)=0,0,(VLOOKUP($D287,$C$5:$AU$501,24,)/VLOOKUP($D287,$C$5:$AU$501,3,))*$E287)</f>
        <v>0</v>
      </c>
      <c r="AA287" s="66">
        <f>IF(VLOOKUP($D287,$C$5:$AU$501,3,)=0,0,(VLOOKUP($D287,$C$5:$AU$501,25,)/VLOOKUP($D287,$C$5:$AU$501,3,))*$E287)</f>
        <v>0</v>
      </c>
      <c r="AB287" s="66">
        <f>IF(VLOOKUP($D287,$C$5:$AU$501,3,)=0,0,(VLOOKUP($D287,$C$5:$AU$501,26,)/VLOOKUP($D287,$C$5:$AU$501,3,))*$E287)</f>
        <v>0</v>
      </c>
      <c r="AC287" s="66">
        <f>IF(VLOOKUP($D287,$C$5:$AU$501,3,)=0,0,(VLOOKUP($D287,$C$5:$AU$501,27,)/VLOOKUP($D287,$C$5:$AU$501,3,))*$E287)</f>
        <v>0</v>
      </c>
      <c r="AD287" s="66">
        <f>IF(VLOOKUP($D287,$C$5:$AU$501,3,)=0,0,(VLOOKUP($D287,$C$5:$AU$501,28,)/VLOOKUP($D287,$C$5:$AU$501,3,))*$E287)</f>
        <v>0</v>
      </c>
      <c r="AE287" s="66">
        <f>IF(VLOOKUP($D287,$C$5:$AU$501,3,)=0,0,(VLOOKUP($D287,$C$5:$AU$501,29,)/VLOOKUP($D287,$C$5:$AU$501,3,))*$E287)</f>
        <v>0</v>
      </c>
      <c r="AF287" s="66">
        <f>IF(VLOOKUP($D287,$C$5:$AU$501,3,)=0,0,(VLOOKUP($D287,$C$5:$AU$501,30,)/VLOOKUP($D287,$C$5:$AU$501,3,))*$E287)</f>
        <v>0</v>
      </c>
      <c r="AG287" s="95">
        <f>SUM(F287:AF287)</f>
        <v>36697.712876725811</v>
      </c>
      <c r="AH287" s="31" t="str">
        <f>IF(ABS(E287-AG287)&lt;0.01,"ok","err")</f>
        <v>ok</v>
      </c>
    </row>
    <row r="288" spans="1:34" x14ac:dyDescent="0.2">
      <c r="A288" s="14" t="s">
        <v>224</v>
      </c>
      <c r="E288" s="66">
        <f t="shared" ref="E288:T288" si="59">E286+E287</f>
        <v>84139.635999232079</v>
      </c>
      <c r="F288" s="66">
        <f t="shared" si="59"/>
        <v>72444.349728059547</v>
      </c>
      <c r="G288" s="66">
        <f t="shared" si="59"/>
        <v>0</v>
      </c>
      <c r="H288" s="66">
        <f t="shared" si="59"/>
        <v>3391.9481467835103</v>
      </c>
      <c r="I288" s="66">
        <f t="shared" si="59"/>
        <v>0</v>
      </c>
      <c r="J288" s="66">
        <f t="shared" si="59"/>
        <v>2177.7940192668843</v>
      </c>
      <c r="K288" s="66">
        <f t="shared" si="59"/>
        <v>1462.1221112888236</v>
      </c>
      <c r="L288" s="66">
        <f t="shared" si="59"/>
        <v>1149.4112737764488</v>
      </c>
      <c r="M288" s="66">
        <f t="shared" si="59"/>
        <v>2534.1856634975793</v>
      </c>
      <c r="N288" s="66">
        <f t="shared" si="59"/>
        <v>542.34240961171315</v>
      </c>
      <c r="O288" s="66">
        <f t="shared" si="59"/>
        <v>437.48264694756904</v>
      </c>
      <c r="P288" s="66">
        <f t="shared" si="59"/>
        <v>0</v>
      </c>
      <c r="Q288" s="66">
        <f t="shared" si="59"/>
        <v>0</v>
      </c>
      <c r="R288" s="66">
        <f t="shared" si="59"/>
        <v>0</v>
      </c>
      <c r="S288" s="66">
        <f t="shared" si="59"/>
        <v>0</v>
      </c>
      <c r="T288" s="66">
        <f t="shared" si="59"/>
        <v>0</v>
      </c>
      <c r="U288" s="66">
        <f t="shared" ref="U288:AF288" si="60">U286+U287</f>
        <v>0</v>
      </c>
      <c r="V288" s="66">
        <f t="shared" si="60"/>
        <v>0</v>
      </c>
      <c r="W288" s="66">
        <f t="shared" si="60"/>
        <v>0</v>
      </c>
      <c r="X288" s="66">
        <f t="shared" si="60"/>
        <v>0</v>
      </c>
      <c r="Y288" s="66">
        <f t="shared" si="60"/>
        <v>0</v>
      </c>
      <c r="Z288" s="66">
        <f t="shared" si="60"/>
        <v>0</v>
      </c>
      <c r="AA288" s="66">
        <f t="shared" si="60"/>
        <v>0</v>
      </c>
      <c r="AB288" s="66">
        <f t="shared" si="60"/>
        <v>0</v>
      </c>
      <c r="AC288" s="66">
        <f t="shared" si="60"/>
        <v>0</v>
      </c>
      <c r="AD288" s="66">
        <f t="shared" si="60"/>
        <v>0</v>
      </c>
      <c r="AE288" s="66">
        <f t="shared" si="60"/>
        <v>0</v>
      </c>
      <c r="AF288" s="66">
        <f t="shared" si="60"/>
        <v>0</v>
      </c>
      <c r="AG288" s="95">
        <f>SUM(F288:AF288)</f>
        <v>84139.635999232094</v>
      </c>
      <c r="AH288" s="31" t="str">
        <f>IF(ABS(E288-AG288)&lt;0.01,"ok","err")</f>
        <v>ok</v>
      </c>
    </row>
    <row r="289" spans="1:34" x14ac:dyDescent="0.2">
      <c r="E289" s="50"/>
    </row>
    <row r="290" spans="1:34" x14ac:dyDescent="0.2">
      <c r="A290" s="13" t="s">
        <v>3</v>
      </c>
      <c r="E290" s="50"/>
    </row>
    <row r="291" spans="1:34" x14ac:dyDescent="0.2">
      <c r="A291" s="98" t="s">
        <v>209</v>
      </c>
      <c r="C291" s="14" t="s">
        <v>317</v>
      </c>
      <c r="D291" s="14" t="s">
        <v>700</v>
      </c>
      <c r="E291" s="66">
        <f>'Func &amp; Classif'!R316</f>
        <v>0</v>
      </c>
      <c r="F291" s="66">
        <f>IF(VLOOKUP($D291,$C$5:$AU$501,3,)=0,0,(VLOOKUP($D291,$C$5:$AU$501,4,)/VLOOKUP($D291,$C$5:$AU$501,3,))*$E291)</f>
        <v>0</v>
      </c>
      <c r="G291" s="66">
        <f>IF(VLOOKUP($D291,$C$5:$AU$501,3,)=0,0,(VLOOKUP($D291,$C$5:$AU$501,5,)/VLOOKUP($D291,$C$5:$AU$501,3,))*$E291)</f>
        <v>0</v>
      </c>
      <c r="H291" s="66">
        <f>IF(VLOOKUP($D291,$C$5:$AU$501,3,)=0,0,(VLOOKUP($D291,$C$5:$AU$501,6,)/VLOOKUP($D291,$C$5:$AU$501,3,))*$E291)</f>
        <v>0</v>
      </c>
      <c r="I291" s="66">
        <f>IF(VLOOKUP($D291,$C$5:$AU$501,3,)=0,0,(VLOOKUP($D291,$C$5:$AU$501,7,)/VLOOKUP($D291,$C$5:$AU$501,3,))*$E291)</f>
        <v>0</v>
      </c>
      <c r="J291" s="66">
        <f>IF(VLOOKUP($D291,$C$5:$AU$501,3,)=0,0,(VLOOKUP($D291,$C$5:$AU$501,8,)/VLOOKUP($D291,$C$5:$AU$501,3,))*$E291)</f>
        <v>0</v>
      </c>
      <c r="K291" s="66">
        <f>IF(VLOOKUP($D291,$C$5:$AU$501,3,)=0,0,(VLOOKUP($D291,$C$5:$AU$501,9,)/VLOOKUP($D291,$C$5:$AU$501,3,))*$E291)</f>
        <v>0</v>
      </c>
      <c r="L291" s="66">
        <f>IF(VLOOKUP($D291,$C$5:$AU$501,3,)=0,0,(VLOOKUP($D291,$C$5:$AU$501,10,)/VLOOKUP($D291,$C$5:$AU$501,3,))*$E291)</f>
        <v>0</v>
      </c>
      <c r="M291" s="66">
        <f>IF(VLOOKUP($D291,$C$5:$AU$501,3,)=0,0,(VLOOKUP($D291,$C$5:$AU$501,11,)/VLOOKUP($D291,$C$5:$AU$501,3,))*$E291)</f>
        <v>0</v>
      </c>
      <c r="N291" s="66">
        <f>IF(VLOOKUP($D291,$C$5:$AU$501,3,)=0,0,(VLOOKUP($D291,$C$5:$AU$501,12,)/VLOOKUP($D291,$C$5:$AU$501,3,))*$E291)</f>
        <v>0</v>
      </c>
      <c r="O291" s="66">
        <f>IF(VLOOKUP($D291,$C$5:$AU$501,3,)=0,0,(VLOOKUP($D291,$C$5:$AU$501,13,)/VLOOKUP($D291,$C$5:$AU$501,3,))*$E291)</f>
        <v>0</v>
      </c>
      <c r="P291" s="66">
        <f>IF(VLOOKUP($D291,$C$5:$AU$501,3,)=0,0,(VLOOKUP($D291,$C$5:$AU$501,14,)/VLOOKUP($D291,$C$5:$AU$501,3,))*$E291)</f>
        <v>0</v>
      </c>
      <c r="Q291" s="66">
        <f>IF(VLOOKUP($D291,$C$5:$AU$501,3,)=0,0,(VLOOKUP($D291,$C$5:$AU$501,15,)/VLOOKUP($D291,$C$5:$AU$501,3,))*$E291)</f>
        <v>0</v>
      </c>
      <c r="R291" s="66">
        <f>IF(VLOOKUP($D291,$C$5:$AU$501,3,)=0,0,(VLOOKUP($D291,$C$5:$AU$501,16,)/VLOOKUP($D291,$C$5:$AU$501,3,))*$E291)</f>
        <v>0</v>
      </c>
      <c r="S291" s="66">
        <f>IF(VLOOKUP($D291,$C$5:$AU$501,3,)=0,0,(VLOOKUP($D291,$C$5:$AU$501,17,)/VLOOKUP($D291,$C$5:$AU$501,3,))*$E291)</f>
        <v>0</v>
      </c>
      <c r="T291" s="66">
        <f>IF(VLOOKUP($D291,$C$5:$AU$501,3,)=0,0,(VLOOKUP($D291,$C$5:$AU$501,18,)/VLOOKUP($D291,$C$5:$AU$501,3,))*$E291)</f>
        <v>0</v>
      </c>
      <c r="U291" s="66">
        <f>IF(VLOOKUP($D291,$C$5:$AU$501,3,)=0,0,(VLOOKUP($D291,$C$5:$AU$501,19,)/VLOOKUP($D291,$C$5:$AU$501,3,))*$E291)</f>
        <v>0</v>
      </c>
      <c r="V291" s="66">
        <f>IF(VLOOKUP($D291,$C$5:$AU$501,3,)=0,0,(VLOOKUP($D291,$C$5:$AU$501,20,)/VLOOKUP($D291,$C$5:$AU$501,3,))*$E291)</f>
        <v>0</v>
      </c>
      <c r="W291" s="66">
        <f>IF(VLOOKUP($D291,$C$5:$AU$501,3,)=0,0,(VLOOKUP($D291,$C$5:$AU$501,21,)/VLOOKUP($D291,$C$5:$AU$501,3,))*$E291)</f>
        <v>0</v>
      </c>
      <c r="X291" s="66">
        <f>IF(VLOOKUP($D291,$C$5:$AU$501,3,)=0,0,(VLOOKUP($D291,$C$5:$AU$501,22,)/VLOOKUP($D291,$C$5:$AU$501,3,))*$E291)</f>
        <v>0</v>
      </c>
      <c r="Y291" s="66">
        <f>IF(VLOOKUP($D291,$C$5:$AU$501,3,)=0,0,(VLOOKUP($D291,$C$5:$AU$501,23,)/VLOOKUP($D291,$C$5:$AU$501,3,))*$E291)</f>
        <v>0</v>
      </c>
      <c r="Z291" s="66">
        <f>IF(VLOOKUP($D291,$C$5:$AU$501,3,)=0,0,(VLOOKUP($D291,$C$5:$AU$501,24,)/VLOOKUP($D291,$C$5:$AU$501,3,))*$E291)</f>
        <v>0</v>
      </c>
      <c r="AA291" s="66">
        <f>IF(VLOOKUP($D291,$C$5:$AU$501,3,)=0,0,(VLOOKUP($D291,$C$5:$AU$501,25,)/VLOOKUP($D291,$C$5:$AU$501,3,))*$E291)</f>
        <v>0</v>
      </c>
      <c r="AB291" s="66">
        <f>IF(VLOOKUP($D291,$C$5:$AU$501,3,)=0,0,(VLOOKUP($D291,$C$5:$AU$501,26,)/VLOOKUP($D291,$C$5:$AU$501,3,))*$E291)</f>
        <v>0</v>
      </c>
      <c r="AC291" s="66">
        <f>IF(VLOOKUP($D291,$C$5:$AU$501,3,)=0,0,(VLOOKUP($D291,$C$5:$AU$501,27,)/VLOOKUP($D291,$C$5:$AU$501,3,))*$E291)</f>
        <v>0</v>
      </c>
      <c r="AD291" s="66">
        <f>IF(VLOOKUP($D291,$C$5:$AU$501,3,)=0,0,(VLOOKUP($D291,$C$5:$AU$501,28,)/VLOOKUP($D291,$C$5:$AU$501,3,))*$E291)</f>
        <v>0</v>
      </c>
      <c r="AE291" s="66">
        <f>IF(VLOOKUP($D291,$C$5:$AU$501,3,)=0,0,(VLOOKUP($D291,$C$5:$AU$501,29,)/VLOOKUP($D291,$C$5:$AU$501,3,))*$E291)</f>
        <v>0</v>
      </c>
      <c r="AF291" s="66">
        <f>IF(VLOOKUP($D291,$C$5:$AU$501,3,)=0,0,(VLOOKUP($D291,$C$5:$AU$501,30,)/VLOOKUP($D291,$C$5:$AU$501,3,))*$E291)</f>
        <v>0</v>
      </c>
      <c r="AG291" s="95">
        <f>SUM(F291:AF291)</f>
        <v>0</v>
      </c>
      <c r="AH291" s="31" t="str">
        <f>IF(ABS(E291-AG291)&lt;0.01,"ok","err")</f>
        <v>ok</v>
      </c>
    </row>
    <row r="292" spans="1:34" x14ac:dyDescent="0.2">
      <c r="A292" s="98" t="s">
        <v>221</v>
      </c>
      <c r="C292" s="14" t="s">
        <v>318</v>
      </c>
      <c r="D292" s="14" t="s">
        <v>700</v>
      </c>
      <c r="E292" s="50">
        <f>'Func &amp; Classif'!S316</f>
        <v>11297.87687716395</v>
      </c>
      <c r="F292" s="66">
        <f>IF(VLOOKUP($D292,$C$5:$AU$501,3,)=0,0,(VLOOKUP($D292,$C$5:$AU$501,4,)/VLOOKUP($D292,$C$5:$AU$501,3,))*$E292)</f>
        <v>9452.7856426011804</v>
      </c>
      <c r="G292" s="66">
        <f>IF(VLOOKUP($D292,$C$5:$AU$501,3,)=0,0,(VLOOKUP($D292,$C$5:$AU$501,5,)/VLOOKUP($D292,$C$5:$AU$501,3,))*$E292)</f>
        <v>7.0708808596763273</v>
      </c>
      <c r="H292" s="66">
        <f>IF(VLOOKUP($D292,$C$5:$AU$501,3,)=0,0,(VLOOKUP($D292,$C$5:$AU$501,6,)/VLOOKUP($D292,$C$5:$AU$501,3,))*$E292)</f>
        <v>1603.3222349316068</v>
      </c>
      <c r="I292" s="66">
        <f>IF(VLOOKUP($D292,$C$5:$AU$501,3,)=0,0,(VLOOKUP($D292,$C$5:$AU$501,7,)/VLOOKUP($D292,$C$5:$AU$501,3,))*$E292)</f>
        <v>5.892400716396938E-2</v>
      </c>
      <c r="J292" s="66">
        <f>IF(VLOOKUP($D292,$C$5:$AU$501,3,)=0,0,(VLOOKUP($D292,$C$5:$AU$501,8,)/VLOOKUP($D292,$C$5:$AU$501,3,))*$E292)</f>
        <v>30.247657010837614</v>
      </c>
      <c r="K292" s="66">
        <f>IF(VLOOKUP($D292,$C$5:$AU$501,3,)=0,0,(VLOOKUP($D292,$C$5:$AU$501,9,)/VLOOKUP($D292,$C$5:$AU$501,3,))*$E292)</f>
        <v>0</v>
      </c>
      <c r="L292" s="66">
        <f>IF(VLOOKUP($D292,$C$5:$AU$501,3,)=0,0,(VLOOKUP($D292,$C$5:$AU$501,10,)/VLOOKUP($D292,$C$5:$AU$501,3,))*$E292)</f>
        <v>0</v>
      </c>
      <c r="M292" s="66">
        <f>IF(VLOOKUP($D292,$C$5:$AU$501,3,)=0,0,(VLOOKUP($D292,$C$5:$AU$501,11,)/VLOOKUP($D292,$C$5:$AU$501,3,))*$E292)</f>
        <v>195.4312904271651</v>
      </c>
      <c r="N292" s="66">
        <f>IF(VLOOKUP($D292,$C$5:$AU$501,3,)=0,0,(VLOOKUP($D292,$C$5:$AU$501,12,)/VLOOKUP($D292,$C$5:$AU$501,3,))*$E292)</f>
        <v>8.9602473263189317</v>
      </c>
      <c r="O292" s="66">
        <f>IF(VLOOKUP($D292,$C$5:$AU$501,3,)=0,0,(VLOOKUP($D292,$C$5:$AU$501,13,)/VLOOKUP($D292,$C$5:$AU$501,3,))*$E292)</f>
        <v>0</v>
      </c>
      <c r="P292" s="66">
        <f>IF(VLOOKUP($D292,$C$5:$AU$501,3,)=0,0,(VLOOKUP($D292,$C$5:$AU$501,14,)/VLOOKUP($D292,$C$5:$AU$501,3,))*$E292)</f>
        <v>0</v>
      </c>
      <c r="Q292" s="66">
        <f>IF(VLOOKUP($D292,$C$5:$AU$501,3,)=0,0,(VLOOKUP($D292,$C$5:$AU$501,15,)/VLOOKUP($D292,$C$5:$AU$501,3,))*$E292)</f>
        <v>0</v>
      </c>
      <c r="R292" s="66">
        <f>IF(VLOOKUP($D292,$C$5:$AU$501,3,)=0,0,(VLOOKUP($D292,$C$5:$AU$501,16,)/VLOOKUP($D292,$C$5:$AU$501,3,))*$E292)</f>
        <v>0</v>
      </c>
      <c r="S292" s="66">
        <f>IF(VLOOKUP($D292,$C$5:$AU$501,3,)=0,0,(VLOOKUP($D292,$C$5:$AU$501,17,)/VLOOKUP($D292,$C$5:$AU$501,3,))*$E292)</f>
        <v>0</v>
      </c>
      <c r="T292" s="66">
        <f>IF(VLOOKUP($D292,$C$5:$AU$501,3,)=0,0,(VLOOKUP($D292,$C$5:$AU$501,18,)/VLOOKUP($D292,$C$5:$AU$501,3,))*$E292)</f>
        <v>0</v>
      </c>
      <c r="U292" s="66">
        <f>IF(VLOOKUP($D292,$C$5:$AU$501,3,)=0,0,(VLOOKUP($D292,$C$5:$AU$501,19,)/VLOOKUP($D292,$C$5:$AU$501,3,))*$E292)</f>
        <v>0</v>
      </c>
      <c r="V292" s="66">
        <f>IF(VLOOKUP($D292,$C$5:$AU$501,3,)=0,0,(VLOOKUP($D292,$C$5:$AU$501,20,)/VLOOKUP($D292,$C$5:$AU$501,3,))*$E292)</f>
        <v>0</v>
      </c>
      <c r="W292" s="66">
        <f>IF(VLOOKUP($D292,$C$5:$AU$501,3,)=0,0,(VLOOKUP($D292,$C$5:$AU$501,21,)/VLOOKUP($D292,$C$5:$AU$501,3,))*$E292)</f>
        <v>0</v>
      </c>
      <c r="X292" s="66">
        <f>IF(VLOOKUP($D292,$C$5:$AU$501,3,)=0,0,(VLOOKUP($D292,$C$5:$AU$501,22,)/VLOOKUP($D292,$C$5:$AU$501,3,))*$E292)</f>
        <v>0</v>
      </c>
      <c r="Y292" s="66">
        <f>IF(VLOOKUP($D292,$C$5:$AU$501,3,)=0,0,(VLOOKUP($D292,$C$5:$AU$501,23,)/VLOOKUP($D292,$C$5:$AU$501,3,))*$E292)</f>
        <v>0</v>
      </c>
      <c r="Z292" s="66">
        <f>IF(VLOOKUP($D292,$C$5:$AU$501,3,)=0,0,(VLOOKUP($D292,$C$5:$AU$501,24,)/VLOOKUP($D292,$C$5:$AU$501,3,))*$E292)</f>
        <v>0</v>
      </c>
      <c r="AA292" s="66">
        <f>IF(VLOOKUP($D292,$C$5:$AU$501,3,)=0,0,(VLOOKUP($D292,$C$5:$AU$501,25,)/VLOOKUP($D292,$C$5:$AU$501,3,))*$E292)</f>
        <v>0</v>
      </c>
      <c r="AB292" s="66">
        <f>IF(VLOOKUP($D292,$C$5:$AU$501,3,)=0,0,(VLOOKUP($D292,$C$5:$AU$501,26,)/VLOOKUP($D292,$C$5:$AU$501,3,))*$E292)</f>
        <v>0</v>
      </c>
      <c r="AC292" s="66">
        <f>IF(VLOOKUP($D292,$C$5:$AU$501,3,)=0,0,(VLOOKUP($D292,$C$5:$AU$501,27,)/VLOOKUP($D292,$C$5:$AU$501,3,))*$E292)</f>
        <v>0</v>
      </c>
      <c r="AD292" s="66">
        <f>IF(VLOOKUP($D292,$C$5:$AU$501,3,)=0,0,(VLOOKUP($D292,$C$5:$AU$501,28,)/VLOOKUP($D292,$C$5:$AU$501,3,))*$E292)</f>
        <v>0</v>
      </c>
      <c r="AE292" s="66">
        <f>IF(VLOOKUP($D292,$C$5:$AU$501,3,)=0,0,(VLOOKUP($D292,$C$5:$AU$501,29,)/VLOOKUP($D292,$C$5:$AU$501,3,))*$E292)</f>
        <v>0</v>
      </c>
      <c r="AF292" s="66">
        <f>IF(VLOOKUP($D292,$C$5:$AU$501,3,)=0,0,(VLOOKUP($D292,$C$5:$AU$501,30,)/VLOOKUP($D292,$C$5:$AU$501,3,))*$E292)</f>
        <v>0</v>
      </c>
      <c r="AG292" s="95">
        <f>SUM(F292:AF292)</f>
        <v>11297.876877163948</v>
      </c>
      <c r="AH292" s="31" t="str">
        <f>IF(ABS(E292-AG292)&lt;0.01,"ok","err")</f>
        <v>ok</v>
      </c>
    </row>
    <row r="293" spans="1:34" x14ac:dyDescent="0.2">
      <c r="A293" s="14" t="s">
        <v>228</v>
      </c>
      <c r="E293" s="66">
        <f t="shared" ref="E293:T293" si="61">E291+E292</f>
        <v>11297.87687716395</v>
      </c>
      <c r="F293" s="66">
        <f t="shared" si="61"/>
        <v>9452.7856426011804</v>
      </c>
      <c r="G293" s="66">
        <f t="shared" si="61"/>
        <v>7.0708808596763273</v>
      </c>
      <c r="H293" s="66">
        <f t="shared" si="61"/>
        <v>1603.3222349316068</v>
      </c>
      <c r="I293" s="66">
        <f t="shared" si="61"/>
        <v>5.892400716396938E-2</v>
      </c>
      <c r="J293" s="66">
        <f t="shared" si="61"/>
        <v>30.247657010837614</v>
      </c>
      <c r="K293" s="66">
        <f t="shared" si="61"/>
        <v>0</v>
      </c>
      <c r="L293" s="66">
        <f t="shared" si="61"/>
        <v>0</v>
      </c>
      <c r="M293" s="66">
        <f t="shared" si="61"/>
        <v>195.4312904271651</v>
      </c>
      <c r="N293" s="66">
        <f t="shared" si="61"/>
        <v>8.9602473263189317</v>
      </c>
      <c r="O293" s="66">
        <f t="shared" si="61"/>
        <v>0</v>
      </c>
      <c r="P293" s="66">
        <f t="shared" si="61"/>
        <v>0</v>
      </c>
      <c r="Q293" s="66">
        <f t="shared" si="61"/>
        <v>0</v>
      </c>
      <c r="R293" s="66">
        <f t="shared" si="61"/>
        <v>0</v>
      </c>
      <c r="S293" s="66">
        <f t="shared" si="61"/>
        <v>0</v>
      </c>
      <c r="T293" s="66">
        <f t="shared" si="61"/>
        <v>0</v>
      </c>
      <c r="U293" s="66">
        <f t="shared" ref="U293:AF293" si="62">U291+U292</f>
        <v>0</v>
      </c>
      <c r="V293" s="66">
        <f t="shared" si="62"/>
        <v>0</v>
      </c>
      <c r="W293" s="66">
        <f t="shared" si="62"/>
        <v>0</v>
      </c>
      <c r="X293" s="66">
        <f t="shared" si="62"/>
        <v>0</v>
      </c>
      <c r="Y293" s="66">
        <f t="shared" si="62"/>
        <v>0</v>
      </c>
      <c r="Z293" s="66">
        <f t="shared" si="62"/>
        <v>0</v>
      </c>
      <c r="AA293" s="66">
        <f t="shared" si="62"/>
        <v>0</v>
      </c>
      <c r="AB293" s="66">
        <f t="shared" si="62"/>
        <v>0</v>
      </c>
      <c r="AC293" s="66">
        <f t="shared" si="62"/>
        <v>0</v>
      </c>
      <c r="AD293" s="66">
        <f t="shared" si="62"/>
        <v>0</v>
      </c>
      <c r="AE293" s="66">
        <f t="shared" si="62"/>
        <v>0</v>
      </c>
      <c r="AF293" s="66">
        <f t="shared" si="62"/>
        <v>0</v>
      </c>
      <c r="AG293" s="95">
        <f>SUM(F293:AF293)</f>
        <v>11297.876877163948</v>
      </c>
      <c r="AH293" s="31" t="str">
        <f>IF(ABS(E293-AG293)&lt;0.01,"ok","err")</f>
        <v>ok</v>
      </c>
    </row>
    <row r="294" spans="1:34" x14ac:dyDescent="0.2">
      <c r="E294" s="50"/>
    </row>
    <row r="295" spans="1:34" x14ac:dyDescent="0.2">
      <c r="A295" s="13" t="s">
        <v>4</v>
      </c>
      <c r="E295" s="50"/>
    </row>
    <row r="296" spans="1:34" x14ac:dyDescent="0.2">
      <c r="A296" s="98" t="s">
        <v>221</v>
      </c>
      <c r="C296" s="14" t="s">
        <v>319</v>
      </c>
      <c r="D296" s="14" t="s">
        <v>230</v>
      </c>
      <c r="E296" s="66">
        <f>'Func &amp; Classif'!U316</f>
        <v>6521.5187531420415</v>
      </c>
      <c r="F296" s="66">
        <f>IF(VLOOKUP($D296,$C$5:$AU$501,3,)=0,0,(VLOOKUP($D296,$C$5:$AU$501,4,)/VLOOKUP($D296,$C$5:$AU$501,3,))*$E296)</f>
        <v>5533.7846338906147</v>
      </c>
      <c r="G296" s="66">
        <f>IF(VLOOKUP($D296,$C$5:$AU$501,3,)=0,0,(VLOOKUP($D296,$C$5:$AU$501,5,)/VLOOKUP($D296,$C$5:$AU$501,3,))*$E296)</f>
        <v>41.393863490361369</v>
      </c>
      <c r="H296" s="66">
        <f>IF(VLOOKUP($D296,$C$5:$AU$501,3,)=0,0,(VLOOKUP($D296,$C$5:$AU$501,6,)/VLOOKUP($D296,$C$5:$AU$501,3,))*$E296)</f>
        <v>697.97530882307967</v>
      </c>
      <c r="I296" s="66">
        <f>IF(VLOOKUP($D296,$C$5:$AU$501,3,)=0,0,(VLOOKUP($D296,$C$5:$AU$501,7,)/VLOOKUP($D296,$C$5:$AU$501,3,))*$E296)</f>
        <v>0.57715709108854441</v>
      </c>
      <c r="J296" s="66">
        <f>IF(VLOOKUP($D296,$C$5:$AU$501,3,)=0,0,(VLOOKUP($D296,$C$5:$AU$501,8,)/VLOOKUP($D296,$C$5:$AU$501,3,))*$E296)</f>
        <v>47.610887748280085</v>
      </c>
      <c r="K296" s="66">
        <f>IF(VLOOKUP($D296,$C$5:$AU$501,3,)=0,0,(VLOOKUP($D296,$C$5:$AU$501,9,)/VLOOKUP($D296,$C$5:$AU$501,3,))*$E296)</f>
        <v>2.4732928700405243</v>
      </c>
      <c r="L296" s="66">
        <f>IF(VLOOKUP($D296,$C$5:$AU$501,3,)=0,0,(VLOOKUP($D296,$C$5:$AU$501,10,)/VLOOKUP($D296,$C$5:$AU$501,3,))*$E296)</f>
        <v>1.8549696525303931</v>
      </c>
      <c r="M296" s="66">
        <f>IF(VLOOKUP($D296,$C$5:$AU$501,3,)=0,0,(VLOOKUP($D296,$C$5:$AU$501,11,)/VLOOKUP($D296,$C$5:$AU$501,3,))*$E296)</f>
        <v>191.42376854436722</v>
      </c>
      <c r="N296" s="66">
        <f>IF(VLOOKUP($D296,$C$5:$AU$501,3,)=0,0,(VLOOKUP($D296,$C$5:$AU$501,12,)/VLOOKUP($D296,$C$5:$AU$501,3,))*$E296)</f>
        <v>4.4248710316788413</v>
      </c>
      <c r="O296" s="66">
        <f>IF(VLOOKUP($D296,$C$5:$AU$501,3,)=0,0,(VLOOKUP($D296,$C$5:$AU$501,13,)/VLOOKUP($D296,$C$5:$AU$501,3,))*$E296)</f>
        <v>0</v>
      </c>
      <c r="P296" s="66">
        <f>IF(VLOOKUP($D296,$C$5:$AU$501,3,)=0,0,(VLOOKUP($D296,$C$5:$AU$501,14,)/VLOOKUP($D296,$C$5:$AU$501,3,))*$E296)</f>
        <v>0</v>
      </c>
      <c r="Q296" s="66">
        <f>IF(VLOOKUP($D296,$C$5:$AU$501,3,)=0,0,(VLOOKUP($D296,$C$5:$AU$501,15,)/VLOOKUP($D296,$C$5:$AU$501,3,))*$E296)</f>
        <v>0</v>
      </c>
      <c r="R296" s="66">
        <f>IF(VLOOKUP($D296,$C$5:$AU$501,3,)=0,0,(VLOOKUP($D296,$C$5:$AU$501,16,)/VLOOKUP($D296,$C$5:$AU$501,3,))*$E296)</f>
        <v>0</v>
      </c>
      <c r="S296" s="66">
        <f>IF(VLOOKUP($D296,$C$5:$AU$501,3,)=0,0,(VLOOKUP($D296,$C$5:$AU$501,17,)/VLOOKUP($D296,$C$5:$AU$501,3,))*$E296)</f>
        <v>0</v>
      </c>
      <c r="T296" s="66">
        <f>IF(VLOOKUP($D296,$C$5:$AU$501,3,)=0,0,(VLOOKUP($D296,$C$5:$AU$501,18,)/VLOOKUP($D296,$C$5:$AU$501,3,))*$E296)</f>
        <v>0</v>
      </c>
      <c r="U296" s="66">
        <f>IF(VLOOKUP($D296,$C$5:$AU$501,3,)=0,0,(VLOOKUP($D296,$C$5:$AU$501,19,)/VLOOKUP($D296,$C$5:$AU$501,3,))*$E296)</f>
        <v>0</v>
      </c>
      <c r="V296" s="66">
        <f>IF(VLOOKUP($D296,$C$5:$AU$501,3,)=0,0,(VLOOKUP($D296,$C$5:$AU$501,20,)/VLOOKUP($D296,$C$5:$AU$501,3,))*$E296)</f>
        <v>0</v>
      </c>
      <c r="W296" s="66">
        <f>IF(VLOOKUP($D296,$C$5:$AU$501,3,)=0,0,(VLOOKUP($D296,$C$5:$AU$501,21,)/VLOOKUP($D296,$C$5:$AU$501,3,))*$E296)</f>
        <v>0</v>
      </c>
      <c r="X296" s="66">
        <f>IF(VLOOKUP($D296,$C$5:$AU$501,3,)=0,0,(VLOOKUP($D296,$C$5:$AU$501,22,)/VLOOKUP($D296,$C$5:$AU$501,3,))*$E296)</f>
        <v>0</v>
      </c>
      <c r="Y296" s="66">
        <f>IF(VLOOKUP($D296,$C$5:$AU$501,3,)=0,0,(VLOOKUP($D296,$C$5:$AU$501,23,)/VLOOKUP($D296,$C$5:$AU$501,3,))*$E296)</f>
        <v>0</v>
      </c>
      <c r="Z296" s="66">
        <f>IF(VLOOKUP($D296,$C$5:$AU$501,3,)=0,0,(VLOOKUP($D296,$C$5:$AU$501,24,)/VLOOKUP($D296,$C$5:$AU$501,3,))*$E296)</f>
        <v>0</v>
      </c>
      <c r="AA296" s="66">
        <f>IF(VLOOKUP($D296,$C$5:$AU$501,3,)=0,0,(VLOOKUP($D296,$C$5:$AU$501,25,)/VLOOKUP($D296,$C$5:$AU$501,3,))*$E296)</f>
        <v>0</v>
      </c>
      <c r="AB296" s="66">
        <f>IF(VLOOKUP($D296,$C$5:$AU$501,3,)=0,0,(VLOOKUP($D296,$C$5:$AU$501,26,)/VLOOKUP($D296,$C$5:$AU$501,3,))*$E296)</f>
        <v>0</v>
      </c>
      <c r="AC296" s="66">
        <f>IF(VLOOKUP($D296,$C$5:$AU$501,3,)=0,0,(VLOOKUP($D296,$C$5:$AU$501,27,)/VLOOKUP($D296,$C$5:$AU$501,3,))*$E296)</f>
        <v>0</v>
      </c>
      <c r="AD296" s="66">
        <f>IF(VLOOKUP($D296,$C$5:$AU$501,3,)=0,0,(VLOOKUP($D296,$C$5:$AU$501,28,)/VLOOKUP($D296,$C$5:$AU$501,3,))*$E296)</f>
        <v>0</v>
      </c>
      <c r="AE296" s="66">
        <f>IF(VLOOKUP($D296,$C$5:$AU$501,3,)=0,0,(VLOOKUP($D296,$C$5:$AU$501,29,)/VLOOKUP($D296,$C$5:$AU$501,3,))*$E296)</f>
        <v>0</v>
      </c>
      <c r="AF296" s="66">
        <f>IF(VLOOKUP($D296,$C$5:$AU$501,3,)=0,0,(VLOOKUP($D296,$C$5:$AU$501,30,)/VLOOKUP($D296,$C$5:$AU$501,3,))*$E296)</f>
        <v>0</v>
      </c>
      <c r="AG296" s="95">
        <f>SUM(F296:AF296)</f>
        <v>6521.5187531420415</v>
      </c>
      <c r="AH296" s="31" t="str">
        <f>IF(ABS(E296-AG296)&lt;0.01,"ok","err")</f>
        <v>ok</v>
      </c>
    </row>
    <row r="297" spans="1:34" x14ac:dyDescent="0.2">
      <c r="E297" s="50"/>
    </row>
    <row r="298" spans="1:34" x14ac:dyDescent="0.2">
      <c r="A298" s="13" t="s">
        <v>5</v>
      </c>
      <c r="E298" s="50"/>
    </row>
    <row r="299" spans="1:34" x14ac:dyDescent="0.2">
      <c r="A299" s="98" t="s">
        <v>221</v>
      </c>
      <c r="C299" s="14" t="s">
        <v>320</v>
      </c>
      <c r="D299" s="14" t="s">
        <v>232</v>
      </c>
      <c r="E299" s="66">
        <f>'Func &amp; Classif'!W316</f>
        <v>6818.2592775078474</v>
      </c>
      <c r="F299" s="66">
        <f>IF(VLOOKUP($D299,$C$5:$AU$501,3,)=0,0,(VLOOKUP($D299,$C$5:$AU$501,4,)/VLOOKUP($D299,$C$5:$AU$501,3,))*$E299)</f>
        <v>0</v>
      </c>
      <c r="G299" s="66">
        <f>IF(VLOOKUP($D299,$C$5:$AU$501,3,)=0,0,(VLOOKUP($D299,$C$5:$AU$501,5,)/VLOOKUP($D299,$C$5:$AU$501,3,))*$E299)</f>
        <v>0</v>
      </c>
      <c r="H299" s="66">
        <f>IF(VLOOKUP($D299,$C$5:$AU$501,3,)=0,0,(VLOOKUP($D299,$C$5:$AU$501,6,)/VLOOKUP($D299,$C$5:$AU$501,3,))*$E299)</f>
        <v>0</v>
      </c>
      <c r="I299" s="66">
        <f>IF(VLOOKUP($D299,$C$5:$AU$501,3,)=0,0,(VLOOKUP($D299,$C$5:$AU$501,7,)/VLOOKUP($D299,$C$5:$AU$501,3,))*$E299)</f>
        <v>0</v>
      </c>
      <c r="J299" s="66">
        <f>IF(VLOOKUP($D299,$C$5:$AU$501,3,)=0,0,(VLOOKUP($D299,$C$5:$AU$501,8,)/VLOOKUP($D299,$C$5:$AU$501,3,))*$E299)</f>
        <v>0</v>
      </c>
      <c r="K299" s="66">
        <f>IF(VLOOKUP($D299,$C$5:$AU$501,3,)=0,0,(VLOOKUP($D299,$C$5:$AU$501,9,)/VLOOKUP($D299,$C$5:$AU$501,3,))*$E299)</f>
        <v>0</v>
      </c>
      <c r="L299" s="66">
        <f>IF(VLOOKUP($D299,$C$5:$AU$501,3,)=0,0,(VLOOKUP($D299,$C$5:$AU$501,10,)/VLOOKUP($D299,$C$5:$AU$501,3,))*$E299)</f>
        <v>0</v>
      </c>
      <c r="M299" s="66">
        <f>IF(VLOOKUP($D299,$C$5:$AU$501,3,)=0,0,(VLOOKUP($D299,$C$5:$AU$501,11,)/VLOOKUP($D299,$C$5:$AU$501,3,))*$E299)</f>
        <v>0</v>
      </c>
      <c r="N299" s="66">
        <f>IF(VLOOKUP($D299,$C$5:$AU$501,3,)=0,0,(VLOOKUP($D299,$C$5:$AU$501,12,)/VLOOKUP($D299,$C$5:$AU$501,3,))*$E299)</f>
        <v>0</v>
      </c>
      <c r="O299" s="66">
        <f>IF(VLOOKUP($D299,$C$5:$AU$501,3,)=0,0,(VLOOKUP($D299,$C$5:$AU$501,13,)/VLOOKUP($D299,$C$5:$AU$501,3,))*$E299)</f>
        <v>6818.2592775078474</v>
      </c>
      <c r="P299" s="66">
        <f>IF(VLOOKUP($D299,$C$5:$AU$501,3,)=0,0,(VLOOKUP($D299,$C$5:$AU$501,14,)/VLOOKUP($D299,$C$5:$AU$501,3,))*$E299)</f>
        <v>0</v>
      </c>
      <c r="Q299" s="66">
        <f>IF(VLOOKUP($D299,$C$5:$AU$501,3,)=0,0,(VLOOKUP($D299,$C$5:$AU$501,15,)/VLOOKUP($D299,$C$5:$AU$501,3,))*$E299)</f>
        <v>0</v>
      </c>
      <c r="R299" s="66">
        <f>IF(VLOOKUP($D299,$C$5:$AU$501,3,)=0,0,(VLOOKUP($D299,$C$5:$AU$501,16,)/VLOOKUP($D299,$C$5:$AU$501,3,))*$E299)</f>
        <v>0</v>
      </c>
      <c r="S299" s="66">
        <f>IF(VLOOKUP($D299,$C$5:$AU$501,3,)=0,0,(VLOOKUP($D299,$C$5:$AU$501,17,)/VLOOKUP($D299,$C$5:$AU$501,3,))*$E299)</f>
        <v>0</v>
      </c>
      <c r="T299" s="66">
        <f>IF(VLOOKUP($D299,$C$5:$AU$501,3,)=0,0,(VLOOKUP($D299,$C$5:$AU$501,18,)/VLOOKUP($D299,$C$5:$AU$501,3,))*$E299)</f>
        <v>0</v>
      </c>
      <c r="U299" s="66">
        <f>IF(VLOOKUP($D299,$C$5:$AU$501,3,)=0,0,(VLOOKUP($D299,$C$5:$AU$501,19,)/VLOOKUP($D299,$C$5:$AU$501,3,))*$E299)</f>
        <v>0</v>
      </c>
      <c r="V299" s="66">
        <f>IF(VLOOKUP($D299,$C$5:$AU$501,3,)=0,0,(VLOOKUP($D299,$C$5:$AU$501,20,)/VLOOKUP($D299,$C$5:$AU$501,3,))*$E299)</f>
        <v>0</v>
      </c>
      <c r="W299" s="66">
        <f>IF(VLOOKUP($D299,$C$5:$AU$501,3,)=0,0,(VLOOKUP($D299,$C$5:$AU$501,21,)/VLOOKUP($D299,$C$5:$AU$501,3,))*$E299)</f>
        <v>0</v>
      </c>
      <c r="X299" s="66">
        <f>IF(VLOOKUP($D299,$C$5:$AU$501,3,)=0,0,(VLOOKUP($D299,$C$5:$AU$501,22,)/VLOOKUP($D299,$C$5:$AU$501,3,))*$E299)</f>
        <v>0</v>
      </c>
      <c r="Y299" s="66">
        <f>IF(VLOOKUP($D299,$C$5:$AU$501,3,)=0,0,(VLOOKUP($D299,$C$5:$AU$501,23,)/VLOOKUP($D299,$C$5:$AU$501,3,))*$E299)</f>
        <v>0</v>
      </c>
      <c r="Z299" s="66">
        <f>IF(VLOOKUP($D299,$C$5:$AU$501,3,)=0,0,(VLOOKUP($D299,$C$5:$AU$501,24,)/VLOOKUP($D299,$C$5:$AU$501,3,))*$E299)</f>
        <v>0</v>
      </c>
      <c r="AA299" s="66">
        <f>IF(VLOOKUP($D299,$C$5:$AU$501,3,)=0,0,(VLOOKUP($D299,$C$5:$AU$501,25,)/VLOOKUP($D299,$C$5:$AU$501,3,))*$E299)</f>
        <v>0</v>
      </c>
      <c r="AB299" s="66">
        <f>IF(VLOOKUP($D299,$C$5:$AU$501,3,)=0,0,(VLOOKUP($D299,$C$5:$AU$501,26,)/VLOOKUP($D299,$C$5:$AU$501,3,))*$E299)</f>
        <v>0</v>
      </c>
      <c r="AC299" s="66">
        <f>IF(VLOOKUP($D299,$C$5:$AU$501,3,)=0,0,(VLOOKUP($D299,$C$5:$AU$501,27,)/VLOOKUP($D299,$C$5:$AU$501,3,))*$E299)</f>
        <v>0</v>
      </c>
      <c r="AD299" s="66">
        <f>IF(VLOOKUP($D299,$C$5:$AU$501,3,)=0,0,(VLOOKUP($D299,$C$5:$AU$501,28,)/VLOOKUP($D299,$C$5:$AU$501,3,))*$E299)</f>
        <v>0</v>
      </c>
      <c r="AE299" s="66">
        <f>IF(VLOOKUP($D299,$C$5:$AU$501,3,)=0,0,(VLOOKUP($D299,$C$5:$AU$501,29,)/VLOOKUP($D299,$C$5:$AU$501,3,))*$E299)</f>
        <v>0</v>
      </c>
      <c r="AF299" s="66">
        <f>IF(VLOOKUP($D299,$C$5:$AU$501,3,)=0,0,(VLOOKUP($D299,$C$5:$AU$501,30,)/VLOOKUP($D299,$C$5:$AU$501,3,))*$E299)</f>
        <v>0</v>
      </c>
      <c r="AG299" s="95">
        <f>SUM(F299:AF299)</f>
        <v>6818.2592775078474</v>
      </c>
      <c r="AH299" s="31" t="str">
        <f>IF(ABS(E299-AG299)&lt;0.01,"ok","err")</f>
        <v>ok</v>
      </c>
    </row>
    <row r="300" spans="1:34" x14ac:dyDescent="0.2">
      <c r="E300" s="50"/>
    </row>
    <row r="301" spans="1:34" x14ac:dyDescent="0.2">
      <c r="A301" s="13" t="s">
        <v>545</v>
      </c>
      <c r="E301" s="50"/>
    </row>
    <row r="302" spans="1:34" x14ac:dyDescent="0.2">
      <c r="A302" s="98" t="s">
        <v>221</v>
      </c>
      <c r="C302" s="14" t="s">
        <v>321</v>
      </c>
      <c r="D302" s="14" t="s">
        <v>234</v>
      </c>
      <c r="E302" s="66">
        <f>'Func &amp; Classif'!Y316</f>
        <v>0</v>
      </c>
      <c r="F302" s="66">
        <f>IF(VLOOKUP($D302,$C$5:$AU$501,3,)=0,0,(VLOOKUP($D302,$C$5:$AU$501,4,)/VLOOKUP($D302,$C$5:$AU$501,3,))*$E302)</f>
        <v>0</v>
      </c>
      <c r="G302" s="66">
        <f>IF(VLOOKUP($D302,$C$5:$AU$501,3,)=0,0,(VLOOKUP($D302,$C$5:$AU$501,5,)/VLOOKUP($D302,$C$5:$AU$501,3,))*$E302)</f>
        <v>0</v>
      </c>
      <c r="H302" s="66">
        <f>IF(VLOOKUP($D302,$C$5:$AU$501,3,)=0,0,(VLOOKUP($D302,$C$5:$AU$501,6,)/VLOOKUP($D302,$C$5:$AU$501,3,))*$E302)</f>
        <v>0</v>
      </c>
      <c r="I302" s="66">
        <f>IF(VLOOKUP($D302,$C$5:$AU$501,3,)=0,0,(VLOOKUP($D302,$C$5:$AU$501,7,)/VLOOKUP($D302,$C$5:$AU$501,3,))*$E302)</f>
        <v>0</v>
      </c>
      <c r="J302" s="66">
        <f>IF(VLOOKUP($D302,$C$5:$AU$501,3,)=0,0,(VLOOKUP($D302,$C$5:$AU$501,8,)/VLOOKUP($D302,$C$5:$AU$501,3,))*$E302)</f>
        <v>0</v>
      </c>
      <c r="K302" s="66">
        <f>IF(VLOOKUP($D302,$C$5:$AU$501,3,)=0,0,(VLOOKUP($D302,$C$5:$AU$501,9,)/VLOOKUP($D302,$C$5:$AU$501,3,))*$E302)</f>
        <v>0</v>
      </c>
      <c r="L302" s="66">
        <f>IF(VLOOKUP($D302,$C$5:$AU$501,3,)=0,0,(VLOOKUP($D302,$C$5:$AU$501,10,)/VLOOKUP($D302,$C$5:$AU$501,3,))*$E302)</f>
        <v>0</v>
      </c>
      <c r="M302" s="66">
        <f>IF(VLOOKUP($D302,$C$5:$AU$501,3,)=0,0,(VLOOKUP($D302,$C$5:$AU$501,11,)/VLOOKUP($D302,$C$5:$AU$501,3,))*$E302)</f>
        <v>0</v>
      </c>
      <c r="N302" s="66">
        <f>IF(VLOOKUP($D302,$C$5:$AU$501,3,)=0,0,(VLOOKUP($D302,$C$5:$AU$501,12,)/VLOOKUP($D302,$C$5:$AU$501,3,))*$E302)</f>
        <v>0</v>
      </c>
      <c r="O302" s="66">
        <f>IF(VLOOKUP($D302,$C$5:$AU$501,3,)=0,0,(VLOOKUP($D302,$C$5:$AU$501,13,)/VLOOKUP($D302,$C$5:$AU$501,3,))*$E302)</f>
        <v>0</v>
      </c>
      <c r="P302" s="66">
        <f>IF(VLOOKUP($D302,$C$5:$AU$501,3,)=0,0,(VLOOKUP($D302,$C$5:$AU$501,14,)/VLOOKUP($D302,$C$5:$AU$501,3,))*$E302)</f>
        <v>0</v>
      </c>
      <c r="Q302" s="66">
        <f>IF(VLOOKUP($D302,$C$5:$AU$501,3,)=0,0,(VLOOKUP($D302,$C$5:$AU$501,15,)/VLOOKUP($D302,$C$5:$AU$501,3,))*$E302)</f>
        <v>0</v>
      </c>
      <c r="R302" s="66">
        <f>IF(VLOOKUP($D302,$C$5:$AU$501,3,)=0,0,(VLOOKUP($D302,$C$5:$AU$501,16,)/VLOOKUP($D302,$C$5:$AU$501,3,))*$E302)</f>
        <v>0</v>
      </c>
      <c r="S302" s="66">
        <f>IF(VLOOKUP($D302,$C$5:$AU$501,3,)=0,0,(VLOOKUP($D302,$C$5:$AU$501,17,)/VLOOKUP($D302,$C$5:$AU$501,3,))*$E302)</f>
        <v>0</v>
      </c>
      <c r="T302" s="66">
        <f>IF(VLOOKUP($D302,$C$5:$AU$501,3,)=0,0,(VLOOKUP($D302,$C$5:$AU$501,18,)/VLOOKUP($D302,$C$5:$AU$501,3,))*$E302)</f>
        <v>0</v>
      </c>
      <c r="U302" s="66">
        <f>IF(VLOOKUP($D302,$C$5:$AU$501,3,)=0,0,(VLOOKUP($D302,$C$5:$AU$501,19,)/VLOOKUP($D302,$C$5:$AU$501,3,))*$E302)</f>
        <v>0</v>
      </c>
      <c r="V302" s="66">
        <f>IF(VLOOKUP($D302,$C$5:$AU$501,3,)=0,0,(VLOOKUP($D302,$C$5:$AU$501,20,)/VLOOKUP($D302,$C$5:$AU$501,3,))*$E302)</f>
        <v>0</v>
      </c>
      <c r="W302" s="66">
        <f>IF(VLOOKUP($D302,$C$5:$AU$501,3,)=0,0,(VLOOKUP($D302,$C$5:$AU$501,21,)/VLOOKUP($D302,$C$5:$AU$501,3,))*$E302)</f>
        <v>0</v>
      </c>
      <c r="X302" s="66">
        <f>IF(VLOOKUP($D302,$C$5:$AU$501,3,)=0,0,(VLOOKUP($D302,$C$5:$AU$501,22,)/VLOOKUP($D302,$C$5:$AU$501,3,))*$E302)</f>
        <v>0</v>
      </c>
      <c r="Y302" s="66">
        <f>IF(VLOOKUP($D302,$C$5:$AU$501,3,)=0,0,(VLOOKUP($D302,$C$5:$AU$501,23,)/VLOOKUP($D302,$C$5:$AU$501,3,))*$E302)</f>
        <v>0</v>
      </c>
      <c r="Z302" s="66">
        <f>IF(VLOOKUP($D302,$C$5:$AU$501,3,)=0,0,(VLOOKUP($D302,$C$5:$AU$501,24,)/VLOOKUP($D302,$C$5:$AU$501,3,))*$E302)</f>
        <v>0</v>
      </c>
      <c r="AA302" s="66">
        <f>IF(VLOOKUP($D302,$C$5:$AU$501,3,)=0,0,(VLOOKUP($D302,$C$5:$AU$501,25,)/VLOOKUP($D302,$C$5:$AU$501,3,))*$E302)</f>
        <v>0</v>
      </c>
      <c r="AB302" s="66">
        <f>IF(VLOOKUP($D302,$C$5:$AU$501,3,)=0,0,(VLOOKUP($D302,$C$5:$AU$501,26,)/VLOOKUP($D302,$C$5:$AU$501,3,))*$E302)</f>
        <v>0</v>
      </c>
      <c r="AC302" s="66">
        <f>IF(VLOOKUP($D302,$C$5:$AU$501,3,)=0,0,(VLOOKUP($D302,$C$5:$AU$501,27,)/VLOOKUP($D302,$C$5:$AU$501,3,))*$E302)</f>
        <v>0</v>
      </c>
      <c r="AD302" s="66">
        <f>IF(VLOOKUP($D302,$C$5:$AU$501,3,)=0,0,(VLOOKUP($D302,$C$5:$AU$501,28,)/VLOOKUP($D302,$C$5:$AU$501,3,))*$E302)</f>
        <v>0</v>
      </c>
      <c r="AE302" s="66">
        <f>IF(VLOOKUP($D302,$C$5:$AU$501,3,)=0,0,(VLOOKUP($D302,$C$5:$AU$501,29,)/VLOOKUP($D302,$C$5:$AU$501,3,))*$E302)</f>
        <v>0</v>
      </c>
      <c r="AF302" s="66">
        <f>IF(VLOOKUP($D302,$C$5:$AU$501,3,)=0,0,(VLOOKUP($D302,$C$5:$AU$501,30,)/VLOOKUP($D302,$C$5:$AU$501,3,))*$E302)</f>
        <v>0</v>
      </c>
      <c r="AG302" s="95">
        <f>SUM(F302:AF302)</f>
        <v>0</v>
      </c>
      <c r="AH302" s="31" t="str">
        <f>IF(ABS(E302-AG302)&lt;0.01,"ok","err")</f>
        <v>ok</v>
      </c>
    </row>
    <row r="303" spans="1:34" x14ac:dyDescent="0.2">
      <c r="E303" s="50"/>
    </row>
    <row r="304" spans="1:34" x14ac:dyDescent="0.2">
      <c r="A304" s="13" t="s">
        <v>470</v>
      </c>
      <c r="E304" s="50"/>
    </row>
    <row r="305" spans="1:41" x14ac:dyDescent="0.2">
      <c r="A305" s="98" t="s">
        <v>221</v>
      </c>
      <c r="C305" s="14" t="s">
        <v>318</v>
      </c>
      <c r="D305" s="14" t="s">
        <v>235</v>
      </c>
      <c r="E305" s="66">
        <f>'Func &amp; Classif'!AA316</f>
        <v>0</v>
      </c>
      <c r="F305" s="66">
        <f>IF(VLOOKUP($D305,$C$5:$AU$501,3,)=0,0,(VLOOKUP($D305,$C$5:$AU$501,4,)/VLOOKUP($D305,$C$5:$AU$501,3,))*$E305)</f>
        <v>0</v>
      </c>
      <c r="G305" s="66">
        <f>IF(VLOOKUP($D305,$C$5:$AU$501,3,)=0,0,(VLOOKUP($D305,$C$5:$AU$501,5,)/VLOOKUP($D305,$C$5:$AU$501,3,))*$E305)</f>
        <v>0</v>
      </c>
      <c r="H305" s="66">
        <f>IF(VLOOKUP($D305,$C$5:$AU$501,3,)=0,0,(VLOOKUP($D305,$C$5:$AU$501,6,)/VLOOKUP($D305,$C$5:$AU$501,3,))*$E305)</f>
        <v>0</v>
      </c>
      <c r="I305" s="66">
        <f>IF(VLOOKUP($D305,$C$5:$AU$501,3,)=0,0,(VLOOKUP($D305,$C$5:$AU$501,7,)/VLOOKUP($D305,$C$5:$AU$501,3,))*$E305)</f>
        <v>0</v>
      </c>
      <c r="J305" s="66">
        <f>IF(VLOOKUP($D305,$C$5:$AU$501,3,)=0,0,(VLOOKUP($D305,$C$5:$AU$501,8,)/VLOOKUP($D305,$C$5:$AU$501,3,))*$E305)</f>
        <v>0</v>
      </c>
      <c r="K305" s="66">
        <f>IF(VLOOKUP($D305,$C$5:$AU$501,3,)=0,0,(VLOOKUP($D305,$C$5:$AU$501,9,)/VLOOKUP($D305,$C$5:$AU$501,3,))*$E305)</f>
        <v>0</v>
      </c>
      <c r="L305" s="66">
        <f>IF(VLOOKUP($D305,$C$5:$AU$501,3,)=0,0,(VLOOKUP($D305,$C$5:$AU$501,10,)/VLOOKUP($D305,$C$5:$AU$501,3,))*$E305)</f>
        <v>0</v>
      </c>
      <c r="M305" s="66">
        <f>IF(VLOOKUP($D305,$C$5:$AU$501,3,)=0,0,(VLOOKUP($D305,$C$5:$AU$501,11,)/VLOOKUP($D305,$C$5:$AU$501,3,))*$E305)</f>
        <v>0</v>
      </c>
      <c r="N305" s="66">
        <f>IF(VLOOKUP($D305,$C$5:$AU$501,3,)=0,0,(VLOOKUP($D305,$C$5:$AU$501,12,)/VLOOKUP($D305,$C$5:$AU$501,3,))*$E305)</f>
        <v>0</v>
      </c>
      <c r="O305" s="66">
        <f>IF(VLOOKUP($D305,$C$5:$AU$501,3,)=0,0,(VLOOKUP($D305,$C$5:$AU$501,13,)/VLOOKUP($D305,$C$5:$AU$501,3,))*$E305)</f>
        <v>0</v>
      </c>
      <c r="P305" s="66">
        <f>IF(VLOOKUP($D305,$C$5:$AU$501,3,)=0,0,(VLOOKUP($D305,$C$5:$AU$501,14,)/VLOOKUP($D305,$C$5:$AU$501,3,))*$E305)</f>
        <v>0</v>
      </c>
      <c r="Q305" s="66">
        <f>IF(VLOOKUP($D305,$C$5:$AU$501,3,)=0,0,(VLOOKUP($D305,$C$5:$AU$501,15,)/VLOOKUP($D305,$C$5:$AU$501,3,))*$E305)</f>
        <v>0</v>
      </c>
      <c r="R305" s="66">
        <f>IF(VLOOKUP($D305,$C$5:$AU$501,3,)=0,0,(VLOOKUP($D305,$C$5:$AU$501,16,)/VLOOKUP($D305,$C$5:$AU$501,3,))*$E305)</f>
        <v>0</v>
      </c>
      <c r="S305" s="66">
        <f>IF(VLOOKUP($D305,$C$5:$AU$501,3,)=0,0,(VLOOKUP($D305,$C$5:$AU$501,17,)/VLOOKUP($D305,$C$5:$AU$501,3,))*$E305)</f>
        <v>0</v>
      </c>
      <c r="T305" s="66">
        <f>IF(VLOOKUP($D305,$C$5:$AU$501,3,)=0,0,(VLOOKUP($D305,$C$5:$AU$501,18,)/VLOOKUP($D305,$C$5:$AU$501,3,))*$E305)</f>
        <v>0</v>
      </c>
      <c r="U305" s="66">
        <f>IF(VLOOKUP($D305,$C$5:$AU$501,3,)=0,0,(VLOOKUP($D305,$C$5:$AU$501,19,)/VLOOKUP($D305,$C$5:$AU$501,3,))*$E305)</f>
        <v>0</v>
      </c>
      <c r="V305" s="66">
        <f>IF(VLOOKUP($D305,$C$5:$AU$501,3,)=0,0,(VLOOKUP($D305,$C$5:$AU$501,20,)/VLOOKUP($D305,$C$5:$AU$501,3,))*$E305)</f>
        <v>0</v>
      </c>
      <c r="W305" s="66">
        <f>IF(VLOOKUP($D305,$C$5:$AU$501,3,)=0,0,(VLOOKUP($D305,$C$5:$AU$501,21,)/VLOOKUP($D305,$C$5:$AU$501,3,))*$E305)</f>
        <v>0</v>
      </c>
      <c r="X305" s="66">
        <f>IF(VLOOKUP($D305,$C$5:$AU$501,3,)=0,0,(VLOOKUP($D305,$C$5:$AU$501,22,)/VLOOKUP($D305,$C$5:$AU$501,3,))*$E305)</f>
        <v>0</v>
      </c>
      <c r="Y305" s="66">
        <f>IF(VLOOKUP($D305,$C$5:$AU$501,3,)=0,0,(VLOOKUP($D305,$C$5:$AU$501,23,)/VLOOKUP($D305,$C$5:$AU$501,3,))*$E305)</f>
        <v>0</v>
      </c>
      <c r="Z305" s="66">
        <f>IF(VLOOKUP($D305,$C$5:$AU$501,3,)=0,0,(VLOOKUP($D305,$C$5:$AU$501,24,)/VLOOKUP($D305,$C$5:$AU$501,3,))*$E305)</f>
        <v>0</v>
      </c>
      <c r="AA305" s="66">
        <f>IF(VLOOKUP($D305,$C$5:$AU$501,3,)=0,0,(VLOOKUP($D305,$C$5:$AU$501,25,)/VLOOKUP($D305,$C$5:$AU$501,3,))*$E305)</f>
        <v>0</v>
      </c>
      <c r="AB305" s="66">
        <f>IF(VLOOKUP($D305,$C$5:$AU$501,3,)=0,0,(VLOOKUP($D305,$C$5:$AU$501,26,)/VLOOKUP($D305,$C$5:$AU$501,3,))*$E305)</f>
        <v>0</v>
      </c>
      <c r="AC305" s="66">
        <f>IF(VLOOKUP($D305,$C$5:$AU$501,3,)=0,0,(VLOOKUP($D305,$C$5:$AU$501,27,)/VLOOKUP($D305,$C$5:$AU$501,3,))*$E305)</f>
        <v>0</v>
      </c>
      <c r="AD305" s="66">
        <f>IF(VLOOKUP($D305,$C$5:$AU$501,3,)=0,0,(VLOOKUP($D305,$C$5:$AU$501,28,)/VLOOKUP($D305,$C$5:$AU$501,3,))*$E305)</f>
        <v>0</v>
      </c>
      <c r="AE305" s="66">
        <f>IF(VLOOKUP($D305,$C$5:$AU$501,3,)=0,0,(VLOOKUP($D305,$C$5:$AU$501,29,)/VLOOKUP($D305,$C$5:$AU$501,3,))*$E305)</f>
        <v>0</v>
      </c>
      <c r="AF305" s="66">
        <f>IF(VLOOKUP($D305,$C$5:$AU$501,3,)=0,0,(VLOOKUP($D305,$C$5:$AU$501,30,)/VLOOKUP($D305,$C$5:$AU$501,3,))*$E305)</f>
        <v>0</v>
      </c>
      <c r="AG305" s="95">
        <f>SUM(F305:AF305)</f>
        <v>0</v>
      </c>
      <c r="AH305" s="31" t="str">
        <f>IF(ABS(E305-AG305)&lt;0.01,"ok","err")</f>
        <v>ok</v>
      </c>
    </row>
    <row r="306" spans="1:41" x14ac:dyDescent="0.2">
      <c r="E306" s="50"/>
    </row>
    <row r="307" spans="1:41" x14ac:dyDescent="0.2">
      <c r="A307" s="14" t="s">
        <v>0</v>
      </c>
      <c r="C307" s="14" t="s">
        <v>322</v>
      </c>
      <c r="E307" s="66">
        <f>E277+E280+E283+E288+E293+E296+E299+E302+E305</f>
        <v>110052.99999999997</v>
      </c>
      <c r="F307" s="66">
        <f t="shared" ref="F307:R307" si="63">F277+F280+F283+F288+F293+F296+F299+F302+F305</f>
        <v>88383.091641209976</v>
      </c>
      <c r="G307" s="66">
        <f t="shared" si="63"/>
        <v>48.464744350037698</v>
      </c>
      <c r="H307" s="66">
        <f t="shared" si="63"/>
        <v>5754.9599434809943</v>
      </c>
      <c r="I307" s="66">
        <f t="shared" si="63"/>
        <v>0.6360810982525138</v>
      </c>
      <c r="J307" s="66">
        <f t="shared" si="63"/>
        <v>2333.5096476481258</v>
      </c>
      <c r="K307" s="66">
        <f t="shared" si="63"/>
        <v>1566.2040020261343</v>
      </c>
      <c r="L307" s="66">
        <f t="shared" si="63"/>
        <v>1217.0440820069089</v>
      </c>
      <c r="M307" s="66">
        <f t="shared" si="63"/>
        <v>2929.8822499059961</v>
      </c>
      <c r="N307" s="66">
        <f t="shared" si="63"/>
        <v>563.46568381814166</v>
      </c>
      <c r="O307" s="66">
        <f t="shared" si="63"/>
        <v>7255.7419244554167</v>
      </c>
      <c r="P307" s="66">
        <f t="shared" si="63"/>
        <v>0</v>
      </c>
      <c r="Q307" s="66">
        <f t="shared" si="63"/>
        <v>0</v>
      </c>
      <c r="R307" s="66">
        <f t="shared" si="63"/>
        <v>0</v>
      </c>
      <c r="S307" s="66">
        <f t="shared" ref="S307:AF307" si="64">S277+S283+S288+S293+S296+S299+S302+S305</f>
        <v>0</v>
      </c>
      <c r="T307" s="66">
        <f t="shared" si="64"/>
        <v>0</v>
      </c>
      <c r="U307" s="66">
        <f t="shared" si="64"/>
        <v>0</v>
      </c>
      <c r="V307" s="66">
        <f t="shared" si="64"/>
        <v>0</v>
      </c>
      <c r="W307" s="66">
        <f t="shared" si="64"/>
        <v>0</v>
      </c>
      <c r="X307" s="66">
        <f t="shared" si="64"/>
        <v>0</v>
      </c>
      <c r="Y307" s="66">
        <f t="shared" si="64"/>
        <v>0</v>
      </c>
      <c r="Z307" s="66">
        <f t="shared" si="64"/>
        <v>0</v>
      </c>
      <c r="AA307" s="66">
        <f t="shared" si="64"/>
        <v>0</v>
      </c>
      <c r="AB307" s="66">
        <f t="shared" si="64"/>
        <v>0</v>
      </c>
      <c r="AC307" s="66">
        <f t="shared" si="64"/>
        <v>0</v>
      </c>
      <c r="AD307" s="66">
        <f t="shared" si="64"/>
        <v>0</v>
      </c>
      <c r="AE307" s="66">
        <f t="shared" si="64"/>
        <v>0</v>
      </c>
      <c r="AF307" s="66">
        <f t="shared" si="64"/>
        <v>0</v>
      </c>
      <c r="AG307" s="95">
        <f>SUM(F307:AF307)</f>
        <v>110052.99999999999</v>
      </c>
      <c r="AH307" s="31" t="str">
        <f>IF(ABS(E307-AG307)&lt;0.01,"ok","err")</f>
        <v>ok</v>
      </c>
    </row>
    <row r="308" spans="1:41" x14ac:dyDescent="0.2"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95"/>
      <c r="AH308" s="31"/>
    </row>
    <row r="309" spans="1:41" x14ac:dyDescent="0.2"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95"/>
      <c r="AH309" s="31"/>
    </row>
    <row r="310" spans="1:41" x14ac:dyDescent="0.2">
      <c r="A310" s="29" t="s">
        <v>581</v>
      </c>
    </row>
    <row r="311" spans="1:41" x14ac:dyDescent="0.2">
      <c r="E311" s="95"/>
    </row>
    <row r="312" spans="1:41" x14ac:dyDescent="0.2">
      <c r="A312" s="13" t="s">
        <v>323</v>
      </c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AJ312" s="92"/>
      <c r="AK312" s="192"/>
      <c r="AL312" s="92"/>
      <c r="AM312" s="92"/>
      <c r="AN312" s="92"/>
      <c r="AO312" s="92"/>
    </row>
    <row r="313" spans="1:41" x14ac:dyDescent="0.2">
      <c r="A313" s="14" t="s">
        <v>764</v>
      </c>
      <c r="C313" s="14" t="s">
        <v>324</v>
      </c>
      <c r="D313" s="14" t="s">
        <v>561</v>
      </c>
      <c r="E313" s="66">
        <f>'Billing Det'!E25</f>
        <v>115951618.45999999</v>
      </c>
      <c r="F313" s="66">
        <f>IF(VLOOKUP($D313,$C$5:$AU$501,3,)=0,0,(VLOOKUP($D313,$C$5:$AU$501,4,)/VLOOKUP($D313,$C$5:$AU$501,3,))*$E313)</f>
        <v>79408476.789999992</v>
      </c>
      <c r="G313" s="66">
        <f>IF(VLOOKUP($D313,$C$5:$AU$501,3,)=0,0,(VLOOKUP($D313,$C$5:$AU$501,5,)/VLOOKUP($D313,$C$5:$AU$501,3,))*$E313)</f>
        <v>253733.41000000003</v>
      </c>
      <c r="H313" s="66">
        <f>IF(VLOOKUP($D313,$C$5:$AU$501,3,)=0,0,(VLOOKUP($D313,$C$5:$AU$501,6,)/VLOOKUP($D313,$C$5:$AU$501,3,))*$E313)</f>
        <v>8211160.2300000023</v>
      </c>
      <c r="I313" s="66">
        <f>IF(VLOOKUP($D313,$C$5:$AU$501,3,)=0,0,(VLOOKUP($D313,$C$5:$AU$501,7,)/VLOOKUP($D313,$C$5:$AU$501,3,))*$E313)</f>
        <v>1552.53</v>
      </c>
      <c r="J313" s="66">
        <f>IF(VLOOKUP($D313,$C$5:$AU$501,3,)=0,0,(VLOOKUP($D313,$C$5:$AU$501,8,)/VLOOKUP($D313,$C$5:$AU$501,3,))*$E313)</f>
        <v>7903197.2500000009</v>
      </c>
      <c r="K313" s="66">
        <f>IF(VLOOKUP($D313,$C$5:$AU$501,3,)=0,0,(VLOOKUP($D313,$C$5:$AU$501,9,)/VLOOKUP($D313,$C$5:$AU$501,3,))*$E313)</f>
        <v>7615206.3700000001</v>
      </c>
      <c r="L313" s="66">
        <f>IF(VLOOKUP($D313,$C$5:$AU$501,3,)=0,0,(VLOOKUP($D313,$C$5:$AU$501,10,)/VLOOKUP($D313,$C$5:$AU$501,3,))*$E313)</f>
        <v>5633626.5499999998</v>
      </c>
      <c r="M313" s="66">
        <f>IF(VLOOKUP($D313,$C$5:$AU$501,3,)=0,0,(VLOOKUP($D313,$C$5:$AU$501,11,)/VLOOKUP($D313,$C$5:$AU$501,3,))*$E313)</f>
        <v>2919243.53</v>
      </c>
      <c r="N313" s="66">
        <f>IF(VLOOKUP($D313,$C$5:$AU$501,3,)=0,0,(VLOOKUP($D313,$C$5:$AU$501,12,)/VLOOKUP($D313,$C$5:$AU$501,3,))*$E313)</f>
        <v>969766.55999999994</v>
      </c>
      <c r="O313" s="66">
        <f>IF(VLOOKUP($D313,$C$5:$AU$501,3,)=0,0,(VLOOKUP($D313,$C$5:$AU$501,13,)/VLOOKUP($D313,$C$5:$AU$501,3,))*$E313)</f>
        <v>3035655.2399999998</v>
      </c>
      <c r="P313" s="66">
        <f>IF(VLOOKUP($D313,$C$5:$AU$501,3,)=0,0,(VLOOKUP($D313,$C$5:$AU$501,14,)/VLOOKUP($D313,$C$5:$AU$501,3,))*$E313)</f>
        <v>0</v>
      </c>
      <c r="Q313" s="66">
        <f>IF(VLOOKUP($D313,$C$5:$AU$501,3,)=0,0,(VLOOKUP($D313,$C$5:$AU$501,15,)/VLOOKUP($D313,$C$5:$AU$501,3,))*$E313)</f>
        <v>0</v>
      </c>
      <c r="R313" s="66">
        <f>IF(VLOOKUP($D313,$C$5:$AU$501,3,)=0,0,(VLOOKUP($D313,$C$5:$AU$501,16,)/VLOOKUP($D313,$C$5:$AU$501,3,))*$E313)</f>
        <v>0</v>
      </c>
      <c r="S313" s="66">
        <f>IF(VLOOKUP($D313,$C$5:$AU$501,3,)=0,0,(VLOOKUP($D313,$C$5:$AU$501,17,)/VLOOKUP($D313,$C$5:$AU$501,3,))*$E313)</f>
        <v>0</v>
      </c>
      <c r="T313" s="66">
        <f>IF(VLOOKUP($D313,$C$5:$AU$501,3,)=0,0,(VLOOKUP($D313,$C$5:$AU$501,18,)/VLOOKUP($D313,$C$5:$AU$501,3,))*$E313)</f>
        <v>0</v>
      </c>
      <c r="U313" s="66">
        <f>IF(VLOOKUP($D313,$C$5:$AU$501,3,)=0,0,(VLOOKUP($D313,$C$5:$AU$501,19,)/VLOOKUP($D313,$C$5:$AU$501,3,))*$E313)</f>
        <v>0</v>
      </c>
      <c r="V313" s="66">
        <f>IF(VLOOKUP($D313,$C$5:$AU$501,3,)=0,0,(VLOOKUP($D313,$C$5:$AU$501,20,)/VLOOKUP($D313,$C$5:$AU$501,3,))*$E313)</f>
        <v>0</v>
      </c>
      <c r="W313" s="66">
        <f>IF(VLOOKUP($D313,$C$5:$AU$501,3,)=0,0,(VLOOKUP($D313,$C$5:$AU$501,21,)/VLOOKUP($D313,$C$5:$AU$501,3,))*$E313)</f>
        <v>0</v>
      </c>
      <c r="X313" s="66">
        <f>IF(VLOOKUP($D313,$C$5:$AU$501,3,)=0,0,(VLOOKUP($D313,$C$5:$AU$501,22,)/VLOOKUP($D313,$C$5:$AU$501,3,))*$E313)</f>
        <v>0</v>
      </c>
      <c r="Y313" s="66">
        <f>IF(VLOOKUP($D313,$C$5:$AU$501,3,)=0,0,(VLOOKUP($D313,$C$5:$AU$501,23,)/VLOOKUP($D313,$C$5:$AU$501,3,))*$E313)</f>
        <v>0</v>
      </c>
      <c r="Z313" s="66">
        <f>IF(VLOOKUP($D313,$C$5:$AU$501,3,)=0,0,(VLOOKUP($D313,$C$5:$AU$501,24,)/VLOOKUP($D313,$C$5:$AU$501,3,))*$E313)</f>
        <v>0</v>
      </c>
      <c r="AA313" s="66">
        <f>IF(VLOOKUP($D313,$C$5:$AU$501,3,)=0,0,(VLOOKUP($D313,$C$5:$AU$501,25,)/VLOOKUP($D313,$C$5:$AU$501,3,))*$E313)</f>
        <v>0</v>
      </c>
      <c r="AB313" s="66">
        <f>IF(VLOOKUP($D313,$C$5:$AU$501,3,)=0,0,(VLOOKUP($D313,$C$5:$AU$501,26,)/VLOOKUP($D313,$C$5:$AU$501,3,))*$E313)</f>
        <v>0</v>
      </c>
      <c r="AC313" s="66">
        <f>IF(VLOOKUP($D313,$C$5:$AU$501,3,)=0,0,(VLOOKUP($D313,$C$5:$AU$501,27,)/VLOOKUP($D313,$C$5:$AU$501,3,))*$E313)</f>
        <v>0</v>
      </c>
      <c r="AD313" s="66">
        <f>IF(VLOOKUP($D313,$C$5:$AU$501,3,)=0,0,(VLOOKUP($D313,$C$5:$AU$501,28,)/VLOOKUP($D313,$C$5:$AU$501,3,))*$E313)</f>
        <v>0</v>
      </c>
      <c r="AE313" s="66">
        <f>IF(VLOOKUP($D313,$C$5:$AU$501,3,)=0,0,(VLOOKUP($D313,$C$5:$AU$501,29,)/VLOOKUP($D313,$C$5:$AU$501,3,))*$E313)</f>
        <v>0</v>
      </c>
      <c r="AF313" s="66">
        <f>IF(VLOOKUP($D313,$C$5:$AU$501,3,)=0,0,(VLOOKUP($D313,$C$5:$AU$501,30,)/VLOOKUP($D313,$C$5:$AU$501,3,))*$E313)</f>
        <v>0</v>
      </c>
      <c r="AG313" s="95">
        <f t="shared" ref="AG313:AG314" si="65">SUM(F313:AF313)</f>
        <v>115951618.45999999</v>
      </c>
      <c r="AH313" s="31" t="str">
        <f t="shared" ref="AH313:AH314" si="66">IF(ABS(E313-AG313)&lt;0.01,"ok","err")</f>
        <v>ok</v>
      </c>
      <c r="AJ313" s="79"/>
      <c r="AK313" s="79"/>
      <c r="AL313" s="79"/>
      <c r="AM313" s="79"/>
      <c r="AN313" s="79"/>
      <c r="AO313" s="79"/>
    </row>
    <row r="314" spans="1:41" x14ac:dyDescent="0.2">
      <c r="A314" s="14" t="s">
        <v>765</v>
      </c>
      <c r="D314" s="14" t="s">
        <v>748</v>
      </c>
      <c r="E314" s="66">
        <v>3457324.25</v>
      </c>
      <c r="F314" s="66">
        <f>IF(VLOOKUP($D314,$C$5:$AU$501,3,)=0,0,(VLOOKUP($D314,$C$5:$AU$501,4,)/VLOOKUP($D314,$C$5:$AU$501,3,))*$E314)</f>
        <v>2892697.927897824</v>
      </c>
      <c r="G314" s="66">
        <f>IF(VLOOKUP($D314,$C$5:$AU$501,3,)=0,0,(VLOOKUP($D314,$C$5:$AU$501,5,)/VLOOKUP($D314,$C$5:$AU$501,3,))*$E314)</f>
        <v>2163.7983960006168</v>
      </c>
      <c r="H314" s="66">
        <f>IF(VLOOKUP($D314,$C$5:$AU$501,3,)=0,0,(VLOOKUP($D314,$C$5:$AU$501,6,)/VLOOKUP($D314,$C$5:$AU$501,3,))*$E314)</f>
        <v>490641.2862931398</v>
      </c>
      <c r="I314" s="66">
        <f>IF(VLOOKUP($D314,$C$5:$AU$501,3,)=0,0,(VLOOKUP($D314,$C$5:$AU$501,7,)/VLOOKUP($D314,$C$5:$AU$501,3,))*$E314)</f>
        <v>18.031653300005139</v>
      </c>
      <c r="J314" s="66">
        <f>IF(VLOOKUP($D314,$C$5:$AU$501,3,)=0,0,(VLOOKUP($D314,$C$5:$AU$501,8,)/VLOOKUP($D314,$C$5:$AU$501,3,))*$E314)</f>
        <v>9256.2486940026374</v>
      </c>
      <c r="K314" s="66">
        <f>IF(VLOOKUP($D314,$C$5:$AU$501,3,)=0,0,(VLOOKUP($D314,$C$5:$AU$501,9,)/VLOOKUP($D314,$C$5:$AU$501,3,))*$E314)</f>
        <v>0</v>
      </c>
      <c r="L314" s="66">
        <f>IF(VLOOKUP($D314,$C$5:$AU$501,3,)=0,0,(VLOOKUP($D314,$C$5:$AU$501,10,)/VLOOKUP($D314,$C$5:$AU$501,3,))*$E314)</f>
        <v>0</v>
      </c>
      <c r="M314" s="66">
        <f>IF(VLOOKUP($D314,$C$5:$AU$501,3,)=0,0,(VLOOKUP($D314,$C$5:$AU$501,11,)/VLOOKUP($D314,$C$5:$AU$501,3,))*$E314)</f>
        <v>59804.983445017031</v>
      </c>
      <c r="N314" s="66">
        <f>IF(VLOOKUP($D314,$C$5:$AU$501,3,)=0,0,(VLOOKUP($D314,$C$5:$AU$501,12,)/VLOOKUP($D314,$C$5:$AU$501,3,))*$E314)</f>
        <v>2741.9736207159381</v>
      </c>
      <c r="O314" s="66">
        <f>IF(VLOOKUP($D314,$C$5:$AU$501,3,)=0,0,(VLOOKUP($D314,$C$5:$AU$501,13,)/VLOOKUP($D314,$C$5:$AU$501,3,))*$E314)</f>
        <v>0</v>
      </c>
      <c r="P314" s="66">
        <f>IF(VLOOKUP($D314,$C$5:$AU$501,3,)=0,0,(VLOOKUP($D314,$C$5:$AU$501,14,)/VLOOKUP($D314,$C$5:$AU$501,3,))*$E314)</f>
        <v>0</v>
      </c>
      <c r="Q314" s="66">
        <f>IF(VLOOKUP($D314,$C$5:$AU$501,3,)=0,0,(VLOOKUP($D314,$C$5:$AU$501,15,)/VLOOKUP($D314,$C$5:$AU$501,3,))*$E314)</f>
        <v>0</v>
      </c>
      <c r="R314" s="66">
        <f>IF(VLOOKUP($D314,$C$5:$AU$501,3,)=0,0,(VLOOKUP($D314,$C$5:$AU$501,16,)/VLOOKUP($D314,$C$5:$AU$501,3,))*$E314)</f>
        <v>0</v>
      </c>
      <c r="S314" s="66">
        <f>IF(VLOOKUP($D314,$C$5:$AU$501,3,)=0,0,(VLOOKUP($D314,$C$5:$AU$501,17,)/VLOOKUP($D314,$C$5:$AU$501,3,))*$E314)</f>
        <v>0</v>
      </c>
      <c r="T314" s="66">
        <f>IF(VLOOKUP($D314,$C$5:$AU$501,3,)=0,0,(VLOOKUP($D314,$C$5:$AU$501,18,)/VLOOKUP($D314,$C$5:$AU$501,3,))*$E314)</f>
        <v>0</v>
      </c>
      <c r="U314" s="66">
        <f>IF(VLOOKUP($D314,$C$5:$AU$501,3,)=0,0,(VLOOKUP($D314,$C$5:$AU$501,19,)/VLOOKUP($D314,$C$5:$AU$501,3,))*$E314)</f>
        <v>0</v>
      </c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95">
        <f t="shared" si="65"/>
        <v>3457324.25</v>
      </c>
      <c r="AH314" s="31" t="str">
        <f t="shared" si="66"/>
        <v>ok</v>
      </c>
      <c r="AJ314" s="79"/>
      <c r="AK314" s="79"/>
      <c r="AL314" s="79"/>
      <c r="AM314" s="79"/>
      <c r="AN314" s="79"/>
      <c r="AO314" s="79"/>
    </row>
    <row r="315" spans="1:41" x14ac:dyDescent="0.2">
      <c r="AG315" s="95"/>
    </row>
    <row r="316" spans="1:41" x14ac:dyDescent="0.2">
      <c r="A316" s="14" t="s">
        <v>325</v>
      </c>
      <c r="C316" s="14" t="s">
        <v>326</v>
      </c>
      <c r="E316" s="95">
        <f t="shared" ref="E316:AF316" si="67">SUM(E313:E315)</f>
        <v>119408942.70999999</v>
      </c>
      <c r="F316" s="95">
        <f t="shared" si="67"/>
        <v>82301174.717897817</v>
      </c>
      <c r="G316" s="95">
        <f t="shared" si="67"/>
        <v>255897.20839600064</v>
      </c>
      <c r="H316" s="95">
        <f t="shared" si="67"/>
        <v>8701801.516293142</v>
      </c>
      <c r="I316" s="95">
        <f t="shared" si="67"/>
        <v>1570.5616533000052</v>
      </c>
      <c r="J316" s="95">
        <f t="shared" si="67"/>
        <v>7912453.4986940036</v>
      </c>
      <c r="K316" s="95">
        <f t="shared" si="67"/>
        <v>7615206.3700000001</v>
      </c>
      <c r="L316" s="95">
        <f t="shared" si="67"/>
        <v>5633626.5499999998</v>
      </c>
      <c r="M316" s="95">
        <f t="shared" si="67"/>
        <v>2979048.5134450169</v>
      </c>
      <c r="N316" s="95">
        <f t="shared" si="67"/>
        <v>972508.53362071584</v>
      </c>
      <c r="O316" s="95">
        <f t="shared" si="67"/>
        <v>3035655.2399999998</v>
      </c>
      <c r="P316" s="95">
        <f t="shared" si="67"/>
        <v>0</v>
      </c>
      <c r="Q316" s="95">
        <f t="shared" si="67"/>
        <v>0</v>
      </c>
      <c r="R316" s="95">
        <f t="shared" si="67"/>
        <v>0</v>
      </c>
      <c r="S316" s="95">
        <f t="shared" si="67"/>
        <v>0</v>
      </c>
      <c r="T316" s="95">
        <f t="shared" si="67"/>
        <v>0</v>
      </c>
      <c r="U316" s="95">
        <f t="shared" si="67"/>
        <v>0</v>
      </c>
      <c r="V316" s="95">
        <f t="shared" si="67"/>
        <v>0</v>
      </c>
      <c r="W316" s="95">
        <f t="shared" si="67"/>
        <v>0</v>
      </c>
      <c r="X316" s="95">
        <f t="shared" si="67"/>
        <v>0</v>
      </c>
      <c r="Y316" s="95">
        <f t="shared" si="67"/>
        <v>0</v>
      </c>
      <c r="Z316" s="95">
        <f t="shared" si="67"/>
        <v>0</v>
      </c>
      <c r="AA316" s="95">
        <f t="shared" si="67"/>
        <v>0</v>
      </c>
      <c r="AB316" s="95">
        <f t="shared" si="67"/>
        <v>0</v>
      </c>
      <c r="AC316" s="95">
        <f t="shared" si="67"/>
        <v>0</v>
      </c>
      <c r="AD316" s="95">
        <f t="shared" si="67"/>
        <v>0</v>
      </c>
      <c r="AE316" s="95">
        <f t="shared" si="67"/>
        <v>0</v>
      </c>
      <c r="AF316" s="95">
        <f t="shared" si="67"/>
        <v>0</v>
      </c>
      <c r="AG316" s="95">
        <f>SUM(F316:AF316)</f>
        <v>119408942.70999999</v>
      </c>
      <c r="AH316" s="31" t="str">
        <f>IF(ABS(E316-AG316)&lt;0.01,"ok","err")</f>
        <v>ok</v>
      </c>
    </row>
    <row r="318" spans="1:41" x14ac:dyDescent="0.2">
      <c r="A318" s="13" t="s">
        <v>327</v>
      </c>
      <c r="AJ318" s="92"/>
      <c r="AK318" s="192"/>
      <c r="AL318" s="92"/>
      <c r="AM318" s="92"/>
      <c r="AN318" s="92"/>
      <c r="AO318" s="92"/>
    </row>
    <row r="319" spans="1:41" x14ac:dyDescent="0.2">
      <c r="A319" s="98" t="s">
        <v>328</v>
      </c>
      <c r="E319" s="95">
        <f t="shared" ref="E319:AF319" si="68">E155</f>
        <v>107177178.99999999</v>
      </c>
      <c r="F319" s="95">
        <f t="shared" si="68"/>
        <v>77231659.417582497</v>
      </c>
      <c r="G319" s="95">
        <f t="shared" si="68"/>
        <v>233729.57608842518</v>
      </c>
      <c r="H319" s="95">
        <f t="shared" si="68"/>
        <v>6377148.3796195928</v>
      </c>
      <c r="I319" s="95">
        <f t="shared" si="68"/>
        <v>1734.855661184652</v>
      </c>
      <c r="J319" s="95">
        <f t="shared" si="68"/>
        <v>6870124.6206302997</v>
      </c>
      <c r="K319" s="95">
        <f t="shared" si="68"/>
        <v>6758548.1062311241</v>
      </c>
      <c r="L319" s="95">
        <f t="shared" si="68"/>
        <v>5018048.6057196818</v>
      </c>
      <c r="M319" s="95">
        <f t="shared" si="68"/>
        <v>2362281.6042962014</v>
      </c>
      <c r="N319" s="95">
        <f t="shared" si="68"/>
        <v>919614.53684221965</v>
      </c>
      <c r="O319" s="95">
        <f t="shared" si="68"/>
        <v>1404289.2973287376</v>
      </c>
      <c r="P319" s="95">
        <f t="shared" si="68"/>
        <v>0</v>
      </c>
      <c r="Q319" s="95">
        <f t="shared" si="68"/>
        <v>0</v>
      </c>
      <c r="R319" s="95">
        <f t="shared" si="68"/>
        <v>0</v>
      </c>
      <c r="S319" s="95">
        <f t="shared" si="68"/>
        <v>0</v>
      </c>
      <c r="T319" s="95">
        <f t="shared" si="68"/>
        <v>0</v>
      </c>
      <c r="U319" s="95">
        <f t="shared" si="68"/>
        <v>0</v>
      </c>
      <c r="V319" s="95">
        <f t="shared" si="68"/>
        <v>0</v>
      </c>
      <c r="W319" s="95">
        <f t="shared" si="68"/>
        <v>0</v>
      </c>
      <c r="X319" s="95">
        <f t="shared" si="68"/>
        <v>0</v>
      </c>
      <c r="Y319" s="95">
        <f t="shared" si="68"/>
        <v>0</v>
      </c>
      <c r="Z319" s="95">
        <f t="shared" si="68"/>
        <v>0</v>
      </c>
      <c r="AA319" s="95">
        <f t="shared" si="68"/>
        <v>0</v>
      </c>
      <c r="AB319" s="95">
        <f t="shared" si="68"/>
        <v>0</v>
      </c>
      <c r="AC319" s="95">
        <f t="shared" si="68"/>
        <v>0</v>
      </c>
      <c r="AD319" s="95">
        <f t="shared" si="68"/>
        <v>0</v>
      </c>
      <c r="AE319" s="95">
        <f t="shared" si="68"/>
        <v>0</v>
      </c>
      <c r="AF319" s="95">
        <f t="shared" si="68"/>
        <v>0</v>
      </c>
      <c r="AG319" s="95">
        <f>SUM(F319:AF319)</f>
        <v>107177178.99999999</v>
      </c>
      <c r="AH319" s="31" t="str">
        <f>IF(ABS(E319-AG319)&lt;0.01,"ok","err")</f>
        <v>ok</v>
      </c>
      <c r="AJ319" s="79"/>
      <c r="AK319" s="79"/>
      <c r="AL319" s="79"/>
      <c r="AM319" s="79"/>
      <c r="AN319" s="79"/>
      <c r="AO319" s="79"/>
    </row>
    <row r="320" spans="1:41" x14ac:dyDescent="0.2">
      <c r="A320" s="98" t="s">
        <v>329</v>
      </c>
      <c r="E320" s="50">
        <f t="shared" ref="E320:AF320" si="69">E231</f>
        <v>11935420.999999998</v>
      </c>
      <c r="F320" s="50">
        <f t="shared" si="69"/>
        <v>9814300.6632227208</v>
      </c>
      <c r="G320" s="50">
        <f t="shared" si="69"/>
        <v>4943.6119881622099</v>
      </c>
      <c r="H320" s="50">
        <f t="shared" si="69"/>
        <v>633943.30602843256</v>
      </c>
      <c r="I320" s="50">
        <f t="shared" si="69"/>
        <v>64.438147402987767</v>
      </c>
      <c r="J320" s="50">
        <f t="shared" si="69"/>
        <v>259846.41731404749</v>
      </c>
      <c r="K320" s="50">
        <f t="shared" si="69"/>
        <v>172810.03145625588</v>
      </c>
      <c r="L320" s="50">
        <f t="shared" si="69"/>
        <v>134853.42330069043</v>
      </c>
      <c r="M320" s="50">
        <f t="shared" si="69"/>
        <v>327135.30086765968</v>
      </c>
      <c r="N320" s="50">
        <f t="shared" si="69"/>
        <v>63335.00809804118</v>
      </c>
      <c r="O320" s="50">
        <f t="shared" si="69"/>
        <v>524188.79957658472</v>
      </c>
      <c r="P320" s="50">
        <f t="shared" si="69"/>
        <v>0</v>
      </c>
      <c r="Q320" s="50">
        <f t="shared" si="69"/>
        <v>0</v>
      </c>
      <c r="R320" s="50">
        <f t="shared" si="69"/>
        <v>0</v>
      </c>
      <c r="S320" s="50">
        <f t="shared" si="69"/>
        <v>0</v>
      </c>
      <c r="T320" s="50">
        <f t="shared" si="69"/>
        <v>0</v>
      </c>
      <c r="U320" s="50">
        <f t="shared" si="69"/>
        <v>0</v>
      </c>
      <c r="V320" s="50">
        <f t="shared" si="69"/>
        <v>0</v>
      </c>
      <c r="W320" s="50">
        <f t="shared" si="69"/>
        <v>0</v>
      </c>
      <c r="X320" s="50">
        <f t="shared" si="69"/>
        <v>0</v>
      </c>
      <c r="Y320" s="50">
        <f t="shared" si="69"/>
        <v>0</v>
      </c>
      <c r="Z320" s="50">
        <f t="shared" si="69"/>
        <v>0</v>
      </c>
      <c r="AA320" s="50">
        <f t="shared" si="69"/>
        <v>0</v>
      </c>
      <c r="AB320" s="50">
        <f t="shared" si="69"/>
        <v>0</v>
      </c>
      <c r="AC320" s="50">
        <f t="shared" si="69"/>
        <v>0</v>
      </c>
      <c r="AD320" s="50">
        <f t="shared" si="69"/>
        <v>0</v>
      </c>
      <c r="AE320" s="50">
        <f t="shared" si="69"/>
        <v>0</v>
      </c>
      <c r="AF320" s="50">
        <f t="shared" si="69"/>
        <v>0</v>
      </c>
      <c r="AG320" s="95">
        <f>SUM(F320:AF320)</f>
        <v>11935421</v>
      </c>
      <c r="AH320" s="31" t="str">
        <f>IF(ABS(E320-AG320)&lt;0.01,"ok","err")</f>
        <v>ok</v>
      </c>
      <c r="AJ320" s="79"/>
      <c r="AK320" s="79"/>
      <c r="AL320" s="79"/>
      <c r="AM320" s="79"/>
      <c r="AN320" s="79"/>
      <c r="AO320" s="79"/>
    </row>
    <row r="321" spans="1:41" x14ac:dyDescent="0.2">
      <c r="A321" s="98" t="s">
        <v>330</v>
      </c>
      <c r="D321" s="14" t="s">
        <v>248</v>
      </c>
      <c r="E321" s="50">
        <f t="shared" ref="E321:AF321" si="70">E269</f>
        <v>0</v>
      </c>
      <c r="F321" s="50">
        <f t="shared" si="70"/>
        <v>0</v>
      </c>
      <c r="G321" s="50">
        <f t="shared" si="70"/>
        <v>0</v>
      </c>
      <c r="H321" s="50">
        <f t="shared" si="70"/>
        <v>0</v>
      </c>
      <c r="I321" s="50">
        <f t="shared" si="70"/>
        <v>0</v>
      </c>
      <c r="J321" s="50">
        <f t="shared" si="70"/>
        <v>0</v>
      </c>
      <c r="K321" s="50">
        <f t="shared" si="70"/>
        <v>0</v>
      </c>
      <c r="L321" s="50">
        <f t="shared" si="70"/>
        <v>0</v>
      </c>
      <c r="M321" s="50">
        <f t="shared" si="70"/>
        <v>0</v>
      </c>
      <c r="N321" s="50">
        <f t="shared" si="70"/>
        <v>0</v>
      </c>
      <c r="O321" s="50">
        <f t="shared" si="70"/>
        <v>0</v>
      </c>
      <c r="P321" s="50">
        <f t="shared" si="70"/>
        <v>0</v>
      </c>
      <c r="Q321" s="50">
        <f t="shared" si="70"/>
        <v>0</v>
      </c>
      <c r="R321" s="50">
        <f t="shared" si="70"/>
        <v>0</v>
      </c>
      <c r="S321" s="50">
        <f t="shared" si="70"/>
        <v>0</v>
      </c>
      <c r="T321" s="50">
        <f t="shared" si="70"/>
        <v>0</v>
      </c>
      <c r="U321" s="50">
        <f t="shared" si="70"/>
        <v>0</v>
      </c>
      <c r="V321" s="50">
        <f t="shared" si="70"/>
        <v>0</v>
      </c>
      <c r="W321" s="50">
        <f t="shared" si="70"/>
        <v>0</v>
      </c>
      <c r="X321" s="50">
        <f t="shared" si="70"/>
        <v>0</v>
      </c>
      <c r="Y321" s="50">
        <f t="shared" si="70"/>
        <v>0</v>
      </c>
      <c r="Z321" s="50">
        <f t="shared" si="70"/>
        <v>0</v>
      </c>
      <c r="AA321" s="50">
        <f t="shared" si="70"/>
        <v>0</v>
      </c>
      <c r="AB321" s="50">
        <f t="shared" si="70"/>
        <v>0</v>
      </c>
      <c r="AC321" s="50">
        <f t="shared" si="70"/>
        <v>0</v>
      </c>
      <c r="AD321" s="50">
        <f t="shared" si="70"/>
        <v>0</v>
      </c>
      <c r="AE321" s="50">
        <f t="shared" si="70"/>
        <v>0</v>
      </c>
      <c r="AF321" s="50">
        <f t="shared" si="70"/>
        <v>0</v>
      </c>
      <c r="AG321" s="95">
        <f>SUM(F321:AF321)</f>
        <v>0</v>
      </c>
      <c r="AH321" s="31" t="str">
        <f>IF(ABS(E321-AG321)&lt;0.01,"ok","err")</f>
        <v>ok</v>
      </c>
      <c r="AJ321" s="79"/>
      <c r="AK321" s="79"/>
      <c r="AL321" s="79"/>
      <c r="AM321" s="79"/>
      <c r="AN321" s="79"/>
      <c r="AO321" s="79"/>
    </row>
    <row r="322" spans="1:41" x14ac:dyDescent="0.2">
      <c r="A322" s="98" t="s">
        <v>331</v>
      </c>
      <c r="E322" s="50">
        <f t="shared" ref="E322:AF322" si="71">E307</f>
        <v>110052.99999999997</v>
      </c>
      <c r="F322" s="50">
        <f t="shared" si="71"/>
        <v>88383.091641209976</v>
      </c>
      <c r="G322" s="50">
        <f t="shared" si="71"/>
        <v>48.464744350037698</v>
      </c>
      <c r="H322" s="50">
        <f t="shared" si="71"/>
        <v>5754.9599434809943</v>
      </c>
      <c r="I322" s="50">
        <f t="shared" si="71"/>
        <v>0.6360810982525138</v>
      </c>
      <c r="J322" s="50">
        <f t="shared" si="71"/>
        <v>2333.5096476481258</v>
      </c>
      <c r="K322" s="50">
        <f t="shared" si="71"/>
        <v>1566.2040020261343</v>
      </c>
      <c r="L322" s="50">
        <f t="shared" si="71"/>
        <v>1217.0440820069089</v>
      </c>
      <c r="M322" s="50">
        <f t="shared" si="71"/>
        <v>2929.8822499059961</v>
      </c>
      <c r="N322" s="50">
        <f t="shared" si="71"/>
        <v>563.46568381814166</v>
      </c>
      <c r="O322" s="50">
        <f t="shared" si="71"/>
        <v>7255.7419244554167</v>
      </c>
      <c r="P322" s="50">
        <f t="shared" si="71"/>
        <v>0</v>
      </c>
      <c r="Q322" s="50">
        <f t="shared" si="71"/>
        <v>0</v>
      </c>
      <c r="R322" s="50">
        <f t="shared" si="71"/>
        <v>0</v>
      </c>
      <c r="S322" s="50">
        <f t="shared" si="71"/>
        <v>0</v>
      </c>
      <c r="T322" s="50">
        <f t="shared" si="71"/>
        <v>0</v>
      </c>
      <c r="U322" s="50">
        <f t="shared" si="71"/>
        <v>0</v>
      </c>
      <c r="V322" s="50">
        <f t="shared" si="71"/>
        <v>0</v>
      </c>
      <c r="W322" s="50">
        <f t="shared" si="71"/>
        <v>0</v>
      </c>
      <c r="X322" s="50">
        <f t="shared" si="71"/>
        <v>0</v>
      </c>
      <c r="Y322" s="50">
        <f t="shared" si="71"/>
        <v>0</v>
      </c>
      <c r="Z322" s="50">
        <f t="shared" si="71"/>
        <v>0</v>
      </c>
      <c r="AA322" s="50">
        <f t="shared" si="71"/>
        <v>0</v>
      </c>
      <c r="AB322" s="50">
        <f t="shared" si="71"/>
        <v>0</v>
      </c>
      <c r="AC322" s="50">
        <f t="shared" si="71"/>
        <v>0</v>
      </c>
      <c r="AD322" s="50">
        <f t="shared" si="71"/>
        <v>0</v>
      </c>
      <c r="AE322" s="50">
        <f t="shared" si="71"/>
        <v>0</v>
      </c>
      <c r="AF322" s="50">
        <f t="shared" si="71"/>
        <v>0</v>
      </c>
      <c r="AG322" s="95">
        <f>SUM(F322:AF322)</f>
        <v>110052.99999999999</v>
      </c>
      <c r="AH322" s="31" t="str">
        <f>IF(ABS(E322-AG322)&lt;0.01,"ok","err")</f>
        <v>ok</v>
      </c>
      <c r="AJ322" s="79"/>
      <c r="AK322" s="79"/>
      <c r="AL322" s="79"/>
      <c r="AM322" s="79"/>
      <c r="AN322" s="79"/>
      <c r="AO322" s="79"/>
    </row>
    <row r="323" spans="1:41" x14ac:dyDescent="0.2">
      <c r="A323" s="98"/>
      <c r="AG323" s="95"/>
      <c r="AH323" s="31"/>
      <c r="AJ323" s="79"/>
      <c r="AK323" s="79"/>
      <c r="AL323" s="79"/>
      <c r="AM323" s="79"/>
      <c r="AN323" s="79"/>
      <c r="AO323" s="79"/>
    </row>
    <row r="324" spans="1:41" x14ac:dyDescent="0.2">
      <c r="A324" s="14" t="s">
        <v>332</v>
      </c>
      <c r="C324" s="14" t="s">
        <v>198</v>
      </c>
      <c r="E324" s="95">
        <f t="shared" ref="E324:T324" si="72">SUM(E319:E323)</f>
        <v>119222652.99999999</v>
      </c>
      <c r="F324" s="95">
        <f t="shared" si="72"/>
        <v>87134343.172446415</v>
      </c>
      <c r="G324" s="95">
        <f t="shared" si="72"/>
        <v>238721.65282093742</v>
      </c>
      <c r="H324" s="95">
        <f t="shared" si="72"/>
        <v>7016846.6455915058</v>
      </c>
      <c r="I324" s="95">
        <f t="shared" si="72"/>
        <v>1799.9298896858925</v>
      </c>
      <c r="J324" s="95">
        <f t="shared" si="72"/>
        <v>7132304.5475919954</v>
      </c>
      <c r="K324" s="95">
        <f t="shared" si="72"/>
        <v>6932924.3416894069</v>
      </c>
      <c r="L324" s="95">
        <f t="shared" si="72"/>
        <v>5154119.0731023792</v>
      </c>
      <c r="M324" s="95">
        <f t="shared" si="72"/>
        <v>2692346.7874137671</v>
      </c>
      <c r="N324" s="95">
        <f t="shared" si="72"/>
        <v>983513.01062407892</v>
      </c>
      <c r="O324" s="95">
        <f t="shared" si="72"/>
        <v>1935733.8388297777</v>
      </c>
      <c r="P324" s="95">
        <f t="shared" si="72"/>
        <v>0</v>
      </c>
      <c r="Q324" s="95">
        <f t="shared" si="72"/>
        <v>0</v>
      </c>
      <c r="R324" s="95">
        <f t="shared" si="72"/>
        <v>0</v>
      </c>
      <c r="S324" s="95">
        <f t="shared" si="72"/>
        <v>0</v>
      </c>
      <c r="T324" s="95">
        <f t="shared" si="72"/>
        <v>0</v>
      </c>
      <c r="U324" s="95">
        <f t="shared" ref="U324:AF324" si="73">SUM(U319:U323)</f>
        <v>0</v>
      </c>
      <c r="V324" s="95">
        <f t="shared" si="73"/>
        <v>0</v>
      </c>
      <c r="W324" s="95">
        <f t="shared" si="73"/>
        <v>0</v>
      </c>
      <c r="X324" s="95">
        <f t="shared" si="73"/>
        <v>0</v>
      </c>
      <c r="Y324" s="95">
        <f t="shared" si="73"/>
        <v>0</v>
      </c>
      <c r="Z324" s="95">
        <f t="shared" si="73"/>
        <v>0</v>
      </c>
      <c r="AA324" s="95">
        <f t="shared" si="73"/>
        <v>0</v>
      </c>
      <c r="AB324" s="95">
        <f t="shared" si="73"/>
        <v>0</v>
      </c>
      <c r="AC324" s="95">
        <f t="shared" si="73"/>
        <v>0</v>
      </c>
      <c r="AD324" s="95">
        <f t="shared" si="73"/>
        <v>0</v>
      </c>
      <c r="AE324" s="95">
        <f t="shared" si="73"/>
        <v>0</v>
      </c>
      <c r="AF324" s="95">
        <f t="shared" si="73"/>
        <v>0</v>
      </c>
      <c r="AG324" s="95">
        <f>SUM(F324:AF324)</f>
        <v>119222652.99999996</v>
      </c>
      <c r="AH324" s="31" t="str">
        <f>IF(ABS(E324-AG324)&lt;0.01,"ok","err")</f>
        <v>ok</v>
      </c>
      <c r="AJ324" s="79"/>
      <c r="AK324" s="79"/>
      <c r="AL324" s="79"/>
      <c r="AM324" s="79"/>
      <c r="AN324" s="79"/>
      <c r="AO324" s="79"/>
    </row>
    <row r="325" spans="1:41" x14ac:dyDescent="0.2">
      <c r="A325" s="98"/>
    </row>
    <row r="326" spans="1:41" x14ac:dyDescent="0.2">
      <c r="A326" s="14" t="s">
        <v>333</v>
      </c>
      <c r="C326" s="14" t="s">
        <v>182</v>
      </c>
      <c r="E326" s="95">
        <f>E316-E324</f>
        <v>186289.71000000834</v>
      </c>
      <c r="F326" s="95">
        <f t="shared" ref="F326:R326" si="74">F316-F324</f>
        <v>-4833168.4545485973</v>
      </c>
      <c r="G326" s="95">
        <f t="shared" si="74"/>
        <v>17175.555575063219</v>
      </c>
      <c r="H326" s="95">
        <f t="shared" si="74"/>
        <v>1684954.8707016362</v>
      </c>
      <c r="I326" s="95">
        <f t="shared" si="74"/>
        <v>-229.36823638588726</v>
      </c>
      <c r="J326" s="95">
        <f t="shared" si="74"/>
        <v>780148.95110200811</v>
      </c>
      <c r="K326" s="95">
        <f t="shared" si="74"/>
        <v>682282.02831059322</v>
      </c>
      <c r="L326" s="95">
        <f t="shared" si="74"/>
        <v>479507.4768976206</v>
      </c>
      <c r="M326" s="95">
        <f t="shared" si="74"/>
        <v>286701.72603124985</v>
      </c>
      <c r="N326" s="95">
        <f t="shared" si="74"/>
        <v>-11004.477003363078</v>
      </c>
      <c r="O326" s="95">
        <f t="shared" si="74"/>
        <v>1099921.4011702221</v>
      </c>
      <c r="P326" s="95">
        <f t="shared" si="74"/>
        <v>0</v>
      </c>
      <c r="Q326" s="95">
        <f>Q316-Q324</f>
        <v>0</v>
      </c>
      <c r="R326" s="95">
        <f t="shared" si="74"/>
        <v>0</v>
      </c>
      <c r="S326" s="95">
        <f>S316-S324</f>
        <v>0</v>
      </c>
      <c r="T326" s="95">
        <f>T316-T324</f>
        <v>0</v>
      </c>
      <c r="U326" s="95">
        <f t="shared" ref="U326:AF326" si="75">U316-U324</f>
        <v>0</v>
      </c>
      <c r="V326" s="95">
        <f t="shared" si="75"/>
        <v>0</v>
      </c>
      <c r="W326" s="95">
        <f t="shared" si="75"/>
        <v>0</v>
      </c>
      <c r="X326" s="95">
        <f t="shared" si="75"/>
        <v>0</v>
      </c>
      <c r="Y326" s="95">
        <f t="shared" si="75"/>
        <v>0</v>
      </c>
      <c r="Z326" s="95">
        <f t="shared" si="75"/>
        <v>0</v>
      </c>
      <c r="AA326" s="95">
        <f t="shared" si="75"/>
        <v>0</v>
      </c>
      <c r="AB326" s="95">
        <f t="shared" si="75"/>
        <v>0</v>
      </c>
      <c r="AC326" s="95">
        <f t="shared" si="75"/>
        <v>0</v>
      </c>
      <c r="AD326" s="95">
        <f t="shared" si="75"/>
        <v>0</v>
      </c>
      <c r="AE326" s="95">
        <f t="shared" si="75"/>
        <v>0</v>
      </c>
      <c r="AF326" s="95">
        <f t="shared" si="75"/>
        <v>0</v>
      </c>
      <c r="AG326" s="95">
        <f>SUM(F326:AF326)</f>
        <v>186289.71000004734</v>
      </c>
      <c r="AH326" s="31" t="str">
        <f>IF(ABS(E326-AG326)&lt;0.01,"ok","err")</f>
        <v>ok</v>
      </c>
    </row>
    <row r="328" spans="1:41" x14ac:dyDescent="0.2">
      <c r="A328" s="13" t="s">
        <v>249</v>
      </c>
      <c r="E328" s="95">
        <f t="shared" ref="E328:AF328" si="76">E117</f>
        <v>190574016.10499999</v>
      </c>
      <c r="F328" s="95">
        <f t="shared" si="76"/>
        <v>153206022.970658</v>
      </c>
      <c r="G328" s="95">
        <f t="shared" si="76"/>
        <v>84456.434304683382</v>
      </c>
      <c r="H328" s="95">
        <f t="shared" si="76"/>
        <v>9965998.5881617591</v>
      </c>
      <c r="I328" s="95">
        <f t="shared" si="76"/>
        <v>1109.7989676717832</v>
      </c>
      <c r="J328" s="95">
        <f t="shared" si="76"/>
        <v>4037543.2430580161</v>
      </c>
      <c r="K328" s="95">
        <f t="shared" si="76"/>
        <v>2708759.8924277038</v>
      </c>
      <c r="L328" s="95">
        <f t="shared" si="76"/>
        <v>2104929.1924457625</v>
      </c>
      <c r="M328" s="95">
        <f t="shared" si="76"/>
        <v>5076075.7818866875</v>
      </c>
      <c r="N328" s="95">
        <f t="shared" si="76"/>
        <v>974679.1995038836</v>
      </c>
      <c r="O328" s="95">
        <f t="shared" si="76"/>
        <v>12414441.003585782</v>
      </c>
      <c r="P328" s="95">
        <f t="shared" si="76"/>
        <v>0</v>
      </c>
      <c r="Q328" s="95">
        <f t="shared" si="76"/>
        <v>0</v>
      </c>
      <c r="R328" s="95">
        <f t="shared" si="76"/>
        <v>0</v>
      </c>
      <c r="S328" s="95">
        <f t="shared" si="76"/>
        <v>0</v>
      </c>
      <c r="T328" s="95">
        <f t="shared" si="76"/>
        <v>0</v>
      </c>
      <c r="U328" s="95">
        <f t="shared" si="76"/>
        <v>0</v>
      </c>
      <c r="V328" s="95">
        <f t="shared" si="76"/>
        <v>0</v>
      </c>
      <c r="W328" s="95">
        <f t="shared" si="76"/>
        <v>0</v>
      </c>
      <c r="X328" s="95">
        <f t="shared" si="76"/>
        <v>0</v>
      </c>
      <c r="Y328" s="95">
        <f t="shared" si="76"/>
        <v>0</v>
      </c>
      <c r="Z328" s="95">
        <f t="shared" si="76"/>
        <v>0</v>
      </c>
      <c r="AA328" s="95">
        <f t="shared" si="76"/>
        <v>0</v>
      </c>
      <c r="AB328" s="95">
        <f t="shared" si="76"/>
        <v>0</v>
      </c>
      <c r="AC328" s="95">
        <f t="shared" si="76"/>
        <v>0</v>
      </c>
      <c r="AD328" s="95">
        <f t="shared" si="76"/>
        <v>0</v>
      </c>
      <c r="AE328" s="95">
        <f t="shared" si="76"/>
        <v>0</v>
      </c>
      <c r="AF328" s="95">
        <f t="shared" si="76"/>
        <v>0</v>
      </c>
      <c r="AG328" s="95">
        <f>SUM(F328:AF328)</f>
        <v>190574016.10499996</v>
      </c>
      <c r="AH328" s="31" t="str">
        <f>IF(ABS(E328-AG328)&lt;0.01,"ok","err")</f>
        <v>ok</v>
      </c>
    </row>
    <row r="329" spans="1:41" ht="13.5" thickBot="1" x14ac:dyDescent="0.25"/>
    <row r="330" spans="1:41" s="13" customFormat="1" ht="13.5" thickBot="1" x14ac:dyDescent="0.25">
      <c r="A330" s="193" t="s">
        <v>334</v>
      </c>
      <c r="B330" s="194"/>
      <c r="C330" s="194"/>
      <c r="D330" s="194"/>
      <c r="E330" s="106">
        <f>E326/E328</f>
        <v>9.7751893887448372E-4</v>
      </c>
      <c r="F330" s="106">
        <f t="shared" ref="F330:R330" si="77">F326/F328</f>
        <v>-3.1546856715119122E-2</v>
      </c>
      <c r="G330" s="106">
        <f t="shared" si="77"/>
        <v>0.20336586213314453</v>
      </c>
      <c r="H330" s="106">
        <f t="shared" si="77"/>
        <v>0.16907035013060626</v>
      </c>
      <c r="I330" s="106">
        <f t="shared" si="77"/>
        <v>-0.20667548183710477</v>
      </c>
      <c r="J330" s="106">
        <f t="shared" si="77"/>
        <v>0.19322367690881423</v>
      </c>
      <c r="K330" s="106">
        <f t="shared" si="77"/>
        <v>0.2518798473862161</v>
      </c>
      <c r="L330" s="106">
        <f t="shared" si="77"/>
        <v>0.22780218860496232</v>
      </c>
      <c r="M330" s="106">
        <f t="shared" si="77"/>
        <v>5.648097828923427E-2</v>
      </c>
      <c r="N330" s="106">
        <f t="shared" si="77"/>
        <v>-1.1290357903363905E-2</v>
      </c>
      <c r="O330" s="106">
        <f t="shared" si="77"/>
        <v>8.8600155323346516E-2</v>
      </c>
      <c r="P330" s="106" t="e">
        <f t="shared" si="77"/>
        <v>#DIV/0!</v>
      </c>
      <c r="Q330" s="106" t="e">
        <f>Q326/Q328</f>
        <v>#DIV/0!</v>
      </c>
      <c r="R330" s="106" t="e">
        <f t="shared" si="77"/>
        <v>#DIV/0!</v>
      </c>
      <c r="S330" s="106" t="e">
        <f>S326/S328</f>
        <v>#DIV/0!</v>
      </c>
      <c r="T330" s="106" t="e">
        <f>T326/T328</f>
        <v>#DIV/0!</v>
      </c>
      <c r="U330" s="106" t="e">
        <f t="shared" ref="U330:AG330" si="78">U326/U328</f>
        <v>#DIV/0!</v>
      </c>
      <c r="V330" s="106" t="e">
        <f t="shared" si="78"/>
        <v>#DIV/0!</v>
      </c>
      <c r="W330" s="106" t="e">
        <f t="shared" si="78"/>
        <v>#DIV/0!</v>
      </c>
      <c r="X330" s="106" t="e">
        <f t="shared" si="78"/>
        <v>#DIV/0!</v>
      </c>
      <c r="Y330" s="106" t="e">
        <f t="shared" si="78"/>
        <v>#DIV/0!</v>
      </c>
      <c r="Z330" s="106" t="e">
        <f t="shared" si="78"/>
        <v>#DIV/0!</v>
      </c>
      <c r="AA330" s="106" t="e">
        <f t="shared" si="78"/>
        <v>#DIV/0!</v>
      </c>
      <c r="AB330" s="106" t="e">
        <f t="shared" si="78"/>
        <v>#DIV/0!</v>
      </c>
      <c r="AC330" s="106" t="e">
        <f t="shared" si="78"/>
        <v>#DIV/0!</v>
      </c>
      <c r="AD330" s="106" t="e">
        <f t="shared" si="78"/>
        <v>#DIV/0!</v>
      </c>
      <c r="AE330" s="106" t="e">
        <f t="shared" si="78"/>
        <v>#DIV/0!</v>
      </c>
      <c r="AF330" s="106" t="e">
        <f t="shared" si="78"/>
        <v>#DIV/0!</v>
      </c>
      <c r="AG330" s="106">
        <f t="shared" si="78"/>
        <v>9.7751893887468842E-4</v>
      </c>
      <c r="AH330" s="31" t="str">
        <f>IF(ABS(E330-AG330)&lt;0.01,"ok","err")</f>
        <v>ok</v>
      </c>
      <c r="AK330" s="195"/>
    </row>
    <row r="331" spans="1:41" s="13" customFormat="1" x14ac:dyDescent="0.2">
      <c r="A331" s="13" t="s">
        <v>952</v>
      </c>
      <c r="E331" s="196">
        <f>E330/$E$330</f>
        <v>1</v>
      </c>
      <c r="F331" s="196">
        <f t="shared" ref="F331:AF331" si="79">F330/$E$330</f>
        <v>-32.272373926015391</v>
      </c>
      <c r="G331" s="196">
        <f t="shared" si="79"/>
        <v>208.0428869923484</v>
      </c>
      <c r="H331" s="196">
        <f t="shared" si="79"/>
        <v>172.95864397806352</v>
      </c>
      <c r="I331" s="196">
        <f t="shared" si="79"/>
        <v>-211.42862160304651</v>
      </c>
      <c r="J331" s="196">
        <f t="shared" si="79"/>
        <v>197.66745095628752</v>
      </c>
      <c r="K331" s="196">
        <f t="shared" si="79"/>
        <v>257.67260087690045</v>
      </c>
      <c r="L331" s="196">
        <f t="shared" si="79"/>
        <v>233.04120211446133</v>
      </c>
      <c r="M331" s="196">
        <f t="shared" si="79"/>
        <v>57.779932483217692</v>
      </c>
      <c r="N331" s="196">
        <f t="shared" si="79"/>
        <v>-11.55001448500183</v>
      </c>
      <c r="O331" s="196">
        <f t="shared" si="79"/>
        <v>90.637788998094322</v>
      </c>
      <c r="P331" s="196" t="e">
        <f t="shared" si="79"/>
        <v>#DIV/0!</v>
      </c>
      <c r="Q331" s="196" t="e">
        <f t="shared" si="79"/>
        <v>#DIV/0!</v>
      </c>
      <c r="R331" s="196" t="e">
        <f t="shared" si="79"/>
        <v>#DIV/0!</v>
      </c>
      <c r="S331" s="196" t="e">
        <f t="shared" si="79"/>
        <v>#DIV/0!</v>
      </c>
      <c r="T331" s="196" t="e">
        <f t="shared" si="79"/>
        <v>#DIV/0!</v>
      </c>
      <c r="U331" s="196" t="e">
        <f t="shared" si="79"/>
        <v>#DIV/0!</v>
      </c>
      <c r="V331" s="196" t="e">
        <f t="shared" si="79"/>
        <v>#DIV/0!</v>
      </c>
      <c r="W331" s="196" t="e">
        <f t="shared" si="79"/>
        <v>#DIV/0!</v>
      </c>
      <c r="X331" s="196" t="e">
        <f t="shared" si="79"/>
        <v>#DIV/0!</v>
      </c>
      <c r="Y331" s="196" t="e">
        <f t="shared" si="79"/>
        <v>#DIV/0!</v>
      </c>
      <c r="Z331" s="196" t="e">
        <f t="shared" si="79"/>
        <v>#DIV/0!</v>
      </c>
      <c r="AA331" s="196" t="e">
        <f t="shared" si="79"/>
        <v>#DIV/0!</v>
      </c>
      <c r="AB331" s="196" t="e">
        <f t="shared" si="79"/>
        <v>#DIV/0!</v>
      </c>
      <c r="AC331" s="196" t="e">
        <f t="shared" si="79"/>
        <v>#DIV/0!</v>
      </c>
      <c r="AD331" s="196" t="e">
        <f t="shared" si="79"/>
        <v>#DIV/0!</v>
      </c>
      <c r="AE331" s="196" t="e">
        <f t="shared" si="79"/>
        <v>#DIV/0!</v>
      </c>
      <c r="AF331" s="196" t="e">
        <f t="shared" si="79"/>
        <v>#DIV/0!</v>
      </c>
      <c r="AG331" s="197"/>
      <c r="AH331" s="31"/>
      <c r="AK331" s="195"/>
    </row>
    <row r="334" spans="1:41" x14ac:dyDescent="0.2">
      <c r="A334" s="29" t="s">
        <v>866</v>
      </c>
    </row>
    <row r="336" spans="1:41" x14ac:dyDescent="0.2">
      <c r="A336" s="13" t="s">
        <v>323</v>
      </c>
    </row>
    <row r="338" spans="1:42" x14ac:dyDescent="0.2">
      <c r="A338" s="14" t="s">
        <v>568</v>
      </c>
      <c r="E338" s="95">
        <f t="shared" ref="E338:AF338" si="80">E316</f>
        <v>119408942.70999999</v>
      </c>
      <c r="F338" s="95">
        <f t="shared" si="80"/>
        <v>82301174.717897817</v>
      </c>
      <c r="G338" s="95">
        <f t="shared" si="80"/>
        <v>255897.20839600064</v>
      </c>
      <c r="H338" s="95">
        <f t="shared" si="80"/>
        <v>8701801.516293142</v>
      </c>
      <c r="I338" s="95">
        <f t="shared" si="80"/>
        <v>1570.5616533000052</v>
      </c>
      <c r="J338" s="95">
        <f t="shared" si="80"/>
        <v>7912453.4986940036</v>
      </c>
      <c r="K338" s="95">
        <f t="shared" si="80"/>
        <v>7615206.3700000001</v>
      </c>
      <c r="L338" s="95">
        <f t="shared" si="80"/>
        <v>5633626.5499999998</v>
      </c>
      <c r="M338" s="95">
        <f t="shared" si="80"/>
        <v>2979048.5134450169</v>
      </c>
      <c r="N338" s="95">
        <f t="shared" si="80"/>
        <v>972508.53362071584</v>
      </c>
      <c r="O338" s="95">
        <f t="shared" si="80"/>
        <v>3035655.2399999998</v>
      </c>
      <c r="P338" s="95">
        <f t="shared" si="80"/>
        <v>0</v>
      </c>
      <c r="Q338" s="95">
        <f t="shared" si="80"/>
        <v>0</v>
      </c>
      <c r="R338" s="95">
        <f t="shared" si="80"/>
        <v>0</v>
      </c>
      <c r="S338" s="95">
        <f t="shared" si="80"/>
        <v>0</v>
      </c>
      <c r="T338" s="95">
        <f t="shared" si="80"/>
        <v>0</v>
      </c>
      <c r="U338" s="95">
        <f t="shared" si="80"/>
        <v>0</v>
      </c>
      <c r="V338" s="95">
        <f t="shared" si="80"/>
        <v>0</v>
      </c>
      <c r="W338" s="95">
        <f t="shared" si="80"/>
        <v>0</v>
      </c>
      <c r="X338" s="95">
        <f t="shared" si="80"/>
        <v>0</v>
      </c>
      <c r="Y338" s="95">
        <f t="shared" si="80"/>
        <v>0</v>
      </c>
      <c r="Z338" s="95">
        <f t="shared" si="80"/>
        <v>0</v>
      </c>
      <c r="AA338" s="95">
        <f t="shared" si="80"/>
        <v>0</v>
      </c>
      <c r="AB338" s="95">
        <f t="shared" si="80"/>
        <v>0</v>
      </c>
      <c r="AC338" s="95">
        <f t="shared" si="80"/>
        <v>0</v>
      </c>
      <c r="AD338" s="95">
        <f t="shared" si="80"/>
        <v>0</v>
      </c>
      <c r="AE338" s="95">
        <f t="shared" si="80"/>
        <v>0</v>
      </c>
      <c r="AF338" s="95">
        <f t="shared" si="80"/>
        <v>0</v>
      </c>
      <c r="AG338" s="95">
        <f>SUM(F338:AF338)</f>
        <v>119408942.70999999</v>
      </c>
      <c r="AH338" s="31" t="str">
        <f>IF(ABS(E338-AG338)&lt;0.01,"ok","err")</f>
        <v>ok</v>
      </c>
    </row>
    <row r="339" spans="1:42" x14ac:dyDescent="0.2"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31"/>
    </row>
    <row r="340" spans="1:42" x14ac:dyDescent="0.2">
      <c r="A340" s="14" t="s">
        <v>569</v>
      </c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31"/>
    </row>
    <row r="341" spans="1:42" x14ac:dyDescent="0.2">
      <c r="A341" s="14">
        <v>1</v>
      </c>
      <c r="B341" s="14" t="s">
        <v>947</v>
      </c>
      <c r="D341" s="14" t="s">
        <v>214</v>
      </c>
      <c r="E341" s="95">
        <f>AJ341*AK341</f>
        <v>-10697269.029999999</v>
      </c>
      <c r="F341" s="66">
        <f>IF(VLOOKUP($D341,$C$5:$AU$520,3,)=0,0,(VLOOKUP($D341,$C$5:$AU$520,4,)/VLOOKUP($D341,$C$5:$AU$520,3,))*$E341)</f>
        <v>-6761824.0561250076</v>
      </c>
      <c r="G341" s="66">
        <f>IF(VLOOKUP($D341,$C$5:$AU$520,3,)=0,0,(VLOOKUP($D341,$C$5:$AU$520,5,)/VLOOKUP($D341,$C$5:$AU$520,3,))*$E341)</f>
        <v>-36929.689268794718</v>
      </c>
      <c r="H341" s="66">
        <f>IF(VLOOKUP($D341,$C$5:$AU$520,3,)=0,0,(VLOOKUP($D341,$C$5:$AU$520,6,)/VLOOKUP($D341,$C$5:$AU$520,3,))*$E341)</f>
        <v>-678036.92826116283</v>
      </c>
      <c r="I341" s="66">
        <f>IF(VLOOKUP($D341,$C$5:$AU$520,3,)=0,0,(VLOOKUP($D341,$C$5:$AU$520,7,)/VLOOKUP($D341,$C$5:$AU$520,3,))*$E341)</f>
        <v>-257.76479420136235</v>
      </c>
      <c r="J341" s="66">
        <f>IF(VLOOKUP($D341,$C$5:$AU$520,3,)=0,0,(VLOOKUP($D341,$C$5:$AU$520,8,)/VLOOKUP($D341,$C$5:$AU$520,3,))*$E341)</f>
        <v>-833996.15443803091</v>
      </c>
      <c r="K341" s="66">
        <f>IF(VLOOKUP($D341,$C$5:$AU$520,3,)=0,0,(VLOOKUP($D341,$C$5:$AU$520,9,)/VLOOKUP($D341,$C$5:$AU$520,3,))*$E341)</f>
        <v>-1088742.3280446993</v>
      </c>
      <c r="L341" s="66">
        <f>IF(VLOOKUP($D341,$C$5:$AU$520,3,)=0,0,(VLOOKUP($D341,$C$5:$AU$520,10,)/VLOOKUP($D341,$C$5:$AU$520,3,))*$E341)</f>
        <v>-704862.87369402603</v>
      </c>
      <c r="M341" s="66">
        <f>IF(VLOOKUP($D341,$C$5:$AU$520,3,)=0,0,(VLOOKUP($D341,$C$5:$AU$520,11,)/VLOOKUP($D341,$C$5:$AU$520,3,))*$E341)</f>
        <v>-265852.15656153328</v>
      </c>
      <c r="N341" s="66">
        <f>IF(VLOOKUP($D341,$C$5:$AU$520,3,)=0,0,(VLOOKUP($D341,$C$5:$AU$520,12,)/VLOOKUP($D341,$C$5:$AU$520,3,))*$E341)</f>
        <v>-116491.06298183558</v>
      </c>
      <c r="O341" s="66">
        <f>IF(VLOOKUP($D341,$C$5:$AU$520,3,)=0,0,(VLOOKUP($D341,$C$5:$AU$520,13,)/VLOOKUP($D341,$C$5:$AU$520,3,))*$E341)</f>
        <v>-210276.01583070855</v>
      </c>
      <c r="P341" s="66">
        <f>IF(VLOOKUP($D341,$C$5:$AU$520,3,)=0,0,(VLOOKUP($D341,$C$5:$AU$520,14,)/VLOOKUP($D341,$C$5:$AU$520,3,))*$E341)</f>
        <v>0</v>
      </c>
      <c r="Q341" s="66">
        <f>IF(VLOOKUP($D341,$C$5:$AU$520,3,)=0,0,(VLOOKUP($D341,$C$5:$AU$520,15,)/VLOOKUP($D341,$C$5:$AU$520,3,))*$E341)</f>
        <v>0</v>
      </c>
      <c r="R341" s="66">
        <f>IF(VLOOKUP($D341,$C$5:$AU$520,3,)=0,0,(VLOOKUP($D341,$C$5:$AU$520,16,)/VLOOKUP($D341,$C$5:$AU$520,3,))*$E341)</f>
        <v>0</v>
      </c>
      <c r="S341" s="66">
        <f>IF(VLOOKUP($D341,$C$5:$AU$520,3,)=0,0,(VLOOKUP($D341,$C$5:$AU$520,17,)/VLOOKUP($D341,$C$5:$AU$520,3,))*$E341)</f>
        <v>0</v>
      </c>
      <c r="T341" s="66">
        <f>IF(VLOOKUP($D341,$C$5:$AU$520,3,)=0,0,(VLOOKUP($D341,$C$5:$AU$520,18,)/VLOOKUP($D341,$C$5:$AU$520,3,))*$E341)</f>
        <v>0</v>
      </c>
      <c r="U341" s="66">
        <f>IF(VLOOKUP($D341,$C$5:$AU$520,3,)=0,0,(VLOOKUP($D341,$C$5:$AU$520,19,)/VLOOKUP($D341,$C$5:$AU$520,3,))*$E341)</f>
        <v>0</v>
      </c>
      <c r="V341" s="66">
        <f>IF(VLOOKUP($D341,$C$5:$AU$520,3,)=0,0,(VLOOKUP($D341,$C$5:$AU$520,20,)/VLOOKUP($D341,$C$5:$AU$520,3,))*$E341)</f>
        <v>0</v>
      </c>
      <c r="W341" s="66">
        <f>IF(VLOOKUP($D341,$C$5:$AU$520,3,)=0,0,(VLOOKUP($D341,$C$5:$AU$520,21,)/VLOOKUP($D341,$C$5:$AU$520,3,))*$E341)</f>
        <v>0</v>
      </c>
      <c r="X341" s="66">
        <f>IF(VLOOKUP($D341,$C$5:$AU$520,3,)=0,0,(VLOOKUP($D341,$C$5:$AU$520,22,)/VLOOKUP($D341,$C$5:$AU$520,3,))*$E341)</f>
        <v>0</v>
      </c>
      <c r="Y341" s="66">
        <f>IF(VLOOKUP($D341,$C$5:$AU$520,3,)=0,0,(VLOOKUP($D341,$C$5:$AU$520,23,)/VLOOKUP($D341,$C$5:$AU$520,3,))*$E341)</f>
        <v>0</v>
      </c>
      <c r="Z341" s="66">
        <f>IF(VLOOKUP($D341,$C$5:$AU$520,3,)=0,0,(VLOOKUP($D341,$C$5:$AU$520,24,)/VLOOKUP($D341,$C$5:$AU$520,3,))*$E341)</f>
        <v>0</v>
      </c>
      <c r="AA341" s="66">
        <f>IF(VLOOKUP($D341,$C$5:$AU$520,3,)=0,0,(VLOOKUP($D341,$C$5:$AU$520,25,)/VLOOKUP($D341,$C$5:$AU$520,3,))*$E341)</f>
        <v>0</v>
      </c>
      <c r="AB341" s="66">
        <f>IF(VLOOKUP($D341,$C$5:$AU$520,3,)=0,0,(VLOOKUP($D341,$C$5:$AU$520,26,)/VLOOKUP($D341,$C$5:$AU$520,3,))*$E341)</f>
        <v>0</v>
      </c>
      <c r="AC341" s="66">
        <f>IF(VLOOKUP($D341,$C$5:$AU$520,3,)=0,0,(VLOOKUP($D341,$C$5:$AU$520,27,)/VLOOKUP($D341,$C$5:$AU$520,3,))*$E341)</f>
        <v>0</v>
      </c>
      <c r="AD341" s="66">
        <f>IF(VLOOKUP($D341,$C$5:$AU$520,3,)=0,0,(VLOOKUP($D341,$C$5:$AU$520,28,)/VLOOKUP($D341,$C$5:$AU$520,3,))*$E341)</f>
        <v>0</v>
      </c>
      <c r="AE341" s="66">
        <f>IF(VLOOKUP($D341,$C$5:$AU$520,3,)=0,0,(VLOOKUP($D341,$C$5:$AU$520,29,)/VLOOKUP($D341,$C$5:$AU$520,3,))*$E341)</f>
        <v>0</v>
      </c>
      <c r="AF341" s="66">
        <f>IF(VLOOKUP($D341,$C$5:$AU$520,3,)=0,0,(VLOOKUP($D341,$C$5:$AU$520,30,)/VLOOKUP($D341,$C$5:$AU$520,3,))*$E341)</f>
        <v>0</v>
      </c>
      <c r="AG341" s="95">
        <f t="shared" ref="AG341" si="81">SUM(F341:AF341)</f>
        <v>-10697269.030000001</v>
      </c>
      <c r="AH341" s="31" t="str">
        <f t="shared" ref="AH341" si="82">IF(ABS(E341-AG341)&lt;0.01,"ok","err")</f>
        <v>ok</v>
      </c>
      <c r="AJ341" s="14">
        <v>1</v>
      </c>
      <c r="AK341" s="50">
        <v>-10697269.029999999</v>
      </c>
    </row>
    <row r="342" spans="1:42" x14ac:dyDescent="0.2">
      <c r="A342" s="14">
        <v>2</v>
      </c>
      <c r="B342" s="14" t="s">
        <v>948</v>
      </c>
      <c r="D342" s="14" t="s">
        <v>957</v>
      </c>
      <c r="E342" s="95">
        <f t="shared" ref="E342:E343" si="83">AJ342*AK342</f>
        <v>-10846788.98</v>
      </c>
      <c r="F342" s="66">
        <f>IF(VLOOKUP($D342,$C$5:$AU$520,3,)=0,0,(VLOOKUP($D342,$C$5:$AU$520,4,)/VLOOKUP($D342,$C$5:$AU$520,3,))*$E342)</f>
        <v>-8095893.3918559644</v>
      </c>
      <c r="G342" s="66">
        <f>IF(VLOOKUP($D342,$C$5:$AU$520,3,)=0,0,(VLOOKUP($D342,$C$5:$AU$520,5,)/VLOOKUP($D342,$C$5:$AU$520,3,))*$E342)</f>
        <v>0</v>
      </c>
      <c r="H342" s="66">
        <f>IF(VLOOKUP($D342,$C$5:$AU$520,3,)=0,0,(VLOOKUP($D342,$C$5:$AU$520,6,)/VLOOKUP($D342,$C$5:$AU$520,3,))*$E342)</f>
        <v>-524728.93892978376</v>
      </c>
      <c r="I342" s="66">
        <f>IF(VLOOKUP($D342,$C$5:$AU$520,3,)=0,0,(VLOOKUP($D342,$C$5:$AU$520,7,)/VLOOKUP($D342,$C$5:$AU$520,3,))*$E342)</f>
        <v>0</v>
      </c>
      <c r="J342" s="66">
        <f>IF(VLOOKUP($D342,$C$5:$AU$520,3,)=0,0,(VLOOKUP($D342,$C$5:$AU$520,8,)/VLOOKUP($D342,$C$5:$AU$520,3,))*$E342)</f>
        <v>-661984.27314792166</v>
      </c>
      <c r="K342" s="66">
        <f>IF(VLOOKUP($D342,$C$5:$AU$520,3,)=0,0,(VLOOKUP($D342,$C$5:$AU$520,9,)/VLOOKUP($D342,$C$5:$AU$520,3,))*$E342)</f>
        <v>-863932.87130049942</v>
      </c>
      <c r="L342" s="66">
        <f>IF(VLOOKUP($D342,$C$5:$AU$520,3,)=0,0,(VLOOKUP($D342,$C$5:$AU$520,10,)/VLOOKUP($D342,$C$5:$AU$520,3,))*$E342)</f>
        <v>-559279.80646681681</v>
      </c>
      <c r="M342" s="66">
        <f>IF(VLOOKUP($D342,$C$5:$AU$520,3,)=0,0,(VLOOKUP($D342,$C$5:$AU$520,11,)/VLOOKUP($D342,$C$5:$AU$520,3,))*$E342)</f>
        <v>-75175.588932027313</v>
      </c>
      <c r="N342" s="66">
        <f>IF(VLOOKUP($D342,$C$5:$AU$520,3,)=0,0,(VLOOKUP($D342,$C$5:$AU$520,12,)/VLOOKUP($D342,$C$5:$AU$520,3,))*$E342)</f>
        <v>-65794.109366987934</v>
      </c>
      <c r="O342" s="66">
        <f>IF(VLOOKUP($D342,$C$5:$AU$520,3,)=0,0,(VLOOKUP($D342,$C$5:$AU$520,13,)/VLOOKUP($D342,$C$5:$AU$520,3,))*$E342)</f>
        <v>0</v>
      </c>
      <c r="P342" s="66">
        <f>IF(VLOOKUP($D342,$C$5:$AU$520,3,)=0,0,(VLOOKUP($D342,$C$5:$AU$520,14,)/VLOOKUP($D342,$C$5:$AU$520,3,))*$E342)</f>
        <v>0</v>
      </c>
      <c r="Q342" s="66">
        <f>IF(VLOOKUP($D342,$C$5:$AU$520,3,)=0,0,(VLOOKUP($D342,$C$5:$AU$520,15,)/VLOOKUP($D342,$C$5:$AU$520,3,))*$E342)</f>
        <v>0</v>
      </c>
      <c r="R342" s="66">
        <f>IF(VLOOKUP($D342,$C$5:$AU$520,3,)=0,0,(VLOOKUP($D342,$C$5:$AU$520,16,)/VLOOKUP($D342,$C$5:$AU$520,3,))*$E342)</f>
        <v>0</v>
      </c>
      <c r="S342" s="66">
        <f>IF(VLOOKUP($D342,$C$5:$AU$520,3,)=0,0,(VLOOKUP($D342,$C$5:$AU$520,17,)/VLOOKUP($D342,$C$5:$AU$520,3,))*$E342)</f>
        <v>0</v>
      </c>
      <c r="T342" s="66">
        <f>IF(VLOOKUP($D342,$C$5:$AU$520,3,)=0,0,(VLOOKUP($D342,$C$5:$AU$520,18,)/VLOOKUP($D342,$C$5:$AU$520,3,))*$E342)</f>
        <v>0</v>
      </c>
      <c r="U342" s="66">
        <f>IF(VLOOKUP($D342,$C$5:$AU$520,3,)=0,0,(VLOOKUP($D342,$C$5:$AU$520,19,)/VLOOKUP($D342,$C$5:$AU$520,3,))*$E342)</f>
        <v>0</v>
      </c>
      <c r="V342" s="66">
        <f>IF(VLOOKUP($D342,$C$5:$AU$520,3,)=0,0,(VLOOKUP($D342,$C$5:$AU$520,20,)/VLOOKUP($D342,$C$5:$AU$520,3,))*$E342)</f>
        <v>0</v>
      </c>
      <c r="W342" s="66">
        <f>IF(VLOOKUP($D342,$C$5:$AU$520,3,)=0,0,(VLOOKUP($D342,$C$5:$AU$520,21,)/VLOOKUP($D342,$C$5:$AU$520,3,))*$E342)</f>
        <v>0</v>
      </c>
      <c r="X342" s="66">
        <f>IF(VLOOKUP($D342,$C$5:$AU$520,3,)=0,0,(VLOOKUP($D342,$C$5:$AU$520,22,)/VLOOKUP($D342,$C$5:$AU$520,3,))*$E342)</f>
        <v>0</v>
      </c>
      <c r="Y342" s="66">
        <f>IF(VLOOKUP($D342,$C$5:$AU$520,3,)=0,0,(VLOOKUP($D342,$C$5:$AU$520,23,)/VLOOKUP($D342,$C$5:$AU$520,3,))*$E342)</f>
        <v>0</v>
      </c>
      <c r="Z342" s="66">
        <f>IF(VLOOKUP($D342,$C$5:$AU$520,3,)=0,0,(VLOOKUP($D342,$C$5:$AU$520,24,)/VLOOKUP($D342,$C$5:$AU$520,3,))*$E342)</f>
        <v>0</v>
      </c>
      <c r="AA342" s="66">
        <f>IF(VLOOKUP($D342,$C$5:$AU$520,3,)=0,0,(VLOOKUP($D342,$C$5:$AU$520,25,)/VLOOKUP($D342,$C$5:$AU$520,3,))*$E342)</f>
        <v>0</v>
      </c>
      <c r="AB342" s="66">
        <f>IF(VLOOKUP($D342,$C$5:$AU$520,3,)=0,0,(VLOOKUP($D342,$C$5:$AU$520,26,)/VLOOKUP($D342,$C$5:$AU$520,3,))*$E342)</f>
        <v>0</v>
      </c>
      <c r="AC342" s="66">
        <f>IF(VLOOKUP($D342,$C$5:$AU$520,3,)=0,0,(VLOOKUP($D342,$C$5:$AU$520,27,)/VLOOKUP($D342,$C$5:$AU$520,3,))*$E342)</f>
        <v>0</v>
      </c>
      <c r="AD342" s="66">
        <f>IF(VLOOKUP($D342,$C$5:$AU$520,3,)=0,0,(VLOOKUP($D342,$C$5:$AU$520,28,)/VLOOKUP($D342,$C$5:$AU$520,3,))*$E342)</f>
        <v>0</v>
      </c>
      <c r="AE342" s="66">
        <f>IF(VLOOKUP($D342,$C$5:$AU$520,3,)=0,0,(VLOOKUP($D342,$C$5:$AU$520,29,)/VLOOKUP($D342,$C$5:$AU$520,3,))*$E342)</f>
        <v>0</v>
      </c>
      <c r="AF342" s="66">
        <f>IF(VLOOKUP($D342,$C$5:$AU$520,3,)=0,0,(VLOOKUP($D342,$C$5:$AU$520,30,)/VLOOKUP($D342,$C$5:$AU$520,3,))*$E342)</f>
        <v>0</v>
      </c>
      <c r="AG342" s="95">
        <f t="shared" ref="AG342" si="84">SUM(F342:AF342)</f>
        <v>-10846788.980000002</v>
      </c>
      <c r="AH342" s="31" t="str">
        <f t="shared" ref="AH342" si="85">IF(ABS(E342-AG342)&lt;0.01,"ok","err")</f>
        <v>ok</v>
      </c>
      <c r="AJ342" s="14">
        <f>AJ341</f>
        <v>1</v>
      </c>
      <c r="AK342" s="50">
        <v>-10846788.98</v>
      </c>
    </row>
    <row r="343" spans="1:42" x14ac:dyDescent="0.2">
      <c r="A343" s="14">
        <v>3</v>
      </c>
      <c r="B343" s="14" t="s">
        <v>949</v>
      </c>
      <c r="E343" s="95">
        <f t="shared" si="83"/>
        <v>-201803.59</v>
      </c>
      <c r="F343" s="66">
        <f>AJ343*AL343</f>
        <v>47004.59098014862</v>
      </c>
      <c r="G343" s="66">
        <v>0</v>
      </c>
      <c r="H343" s="66">
        <f>AJ343*AM343</f>
        <v>19699.253569388922</v>
      </c>
      <c r="I343" s="66">
        <v>0</v>
      </c>
      <c r="J343" s="66">
        <f>AJ343*AN343</f>
        <v>-225915.8571428571</v>
      </c>
      <c r="K343" s="66">
        <v>0</v>
      </c>
      <c r="L343" s="66">
        <v>0</v>
      </c>
      <c r="M343" s="66">
        <f>AJ343*AO343</f>
        <v>-5340.2101090188298</v>
      </c>
      <c r="N343" s="66">
        <f>AJ343*AP343</f>
        <v>-37251.36363636364</v>
      </c>
      <c r="O343" s="66">
        <v>0</v>
      </c>
      <c r="P343" s="66">
        <v>0</v>
      </c>
      <c r="Q343" s="66">
        <v>0</v>
      </c>
      <c r="R343" s="66">
        <v>0</v>
      </c>
      <c r="S343" s="66">
        <v>0</v>
      </c>
      <c r="T343" s="66">
        <v>0</v>
      </c>
      <c r="U343" s="66">
        <v>0</v>
      </c>
      <c r="V343" s="66">
        <v>0</v>
      </c>
      <c r="W343" s="66">
        <v>0</v>
      </c>
      <c r="X343" s="66">
        <v>0</v>
      </c>
      <c r="Y343" s="66">
        <v>0</v>
      </c>
      <c r="Z343" s="66">
        <v>0</v>
      </c>
      <c r="AA343" s="66">
        <v>0</v>
      </c>
      <c r="AB343" s="66">
        <v>0</v>
      </c>
      <c r="AC343" s="66">
        <v>0</v>
      </c>
      <c r="AD343" s="66">
        <v>0</v>
      </c>
      <c r="AE343" s="66">
        <v>0</v>
      </c>
      <c r="AF343" s="66">
        <v>0</v>
      </c>
      <c r="AG343" s="95">
        <f t="shared" ref="AG343" si="86">SUM(F343:AF343)</f>
        <v>-201803.58633870204</v>
      </c>
      <c r="AH343" s="31" t="str">
        <f t="shared" ref="AH343:AH349" si="87">IF(ABS(E343-AG343)&lt;0.01,"ok","err")</f>
        <v>ok</v>
      </c>
      <c r="AJ343" s="14">
        <f>AJ342</f>
        <v>1</v>
      </c>
      <c r="AK343" s="50">
        <v>-201803.59</v>
      </c>
      <c r="AL343" s="14">
        <v>47004.59098014862</v>
      </c>
      <c r="AM343" s="14">
        <v>19699.253569388922</v>
      </c>
      <c r="AN343" s="14">
        <v>-225915.8571428571</v>
      </c>
      <c r="AO343" s="14">
        <v>-5340.2101090188298</v>
      </c>
      <c r="AP343" s="14">
        <v>-37251.36363636364</v>
      </c>
    </row>
    <row r="344" spans="1:42" hidden="1" x14ac:dyDescent="0.2">
      <c r="A344" s="14">
        <v>4</v>
      </c>
      <c r="B344" s="14" t="s">
        <v>1147</v>
      </c>
      <c r="D344" s="14" t="s">
        <v>561</v>
      </c>
      <c r="E344" s="95">
        <v>0</v>
      </c>
      <c r="F344" s="66">
        <f>IF(VLOOKUP($D344,$C$5:$AU$520,3,)=0,0,(VLOOKUP($D344,$C$5:$AU$520,4,)/VLOOKUP($D344,$C$5:$AU$520,3,))*$E344)</f>
        <v>0</v>
      </c>
      <c r="G344" s="66">
        <f>IF(VLOOKUP($D344,$C$5:$AU$520,3,)=0,0,(VLOOKUP($D344,$C$5:$AU$520,5,)/VLOOKUP($D344,$C$5:$AU$520,3,))*$E344)</f>
        <v>0</v>
      </c>
      <c r="H344" s="66">
        <f>IF(VLOOKUP($D344,$C$5:$AU$520,3,)=0,0,(VLOOKUP($D344,$C$5:$AU$520,6,)/VLOOKUP($D344,$C$5:$AU$520,3,))*$E344)</f>
        <v>0</v>
      </c>
      <c r="I344" s="66">
        <f>IF(VLOOKUP($D344,$C$5:$AU$520,3,)=0,0,(VLOOKUP($D344,$C$5:$AU$520,7,)/VLOOKUP($D344,$C$5:$AU$520,3,))*$E344)</f>
        <v>0</v>
      </c>
      <c r="J344" s="66">
        <f>IF(VLOOKUP($D344,$C$5:$AU$520,3,)=0,0,(VLOOKUP($D344,$C$5:$AU$520,8,)/VLOOKUP($D344,$C$5:$AU$520,3,))*$E344)</f>
        <v>0</v>
      </c>
      <c r="K344" s="66">
        <f>IF(VLOOKUP($D344,$C$5:$AU$520,3,)=0,0,(VLOOKUP($D344,$C$5:$AU$520,9,)/VLOOKUP($D344,$C$5:$AU$520,3,))*$E344)</f>
        <v>0</v>
      </c>
      <c r="L344" s="66">
        <f>IF(VLOOKUP($D344,$C$5:$AU$520,3,)=0,0,(VLOOKUP($D344,$C$5:$AU$520,10,)/VLOOKUP($D344,$C$5:$AU$520,3,))*$E344)</f>
        <v>0</v>
      </c>
      <c r="M344" s="66">
        <f>IF(VLOOKUP($D344,$C$5:$AU$520,3,)=0,0,(VLOOKUP($D344,$C$5:$AU$520,11,)/VLOOKUP($D344,$C$5:$AU$520,3,))*$E344)</f>
        <v>0</v>
      </c>
      <c r="N344" s="66">
        <f>IF(VLOOKUP($D344,$C$5:$AU$520,3,)=0,0,(VLOOKUP($D344,$C$5:$AU$520,12,)/VLOOKUP($D344,$C$5:$AU$520,3,))*$E344)</f>
        <v>0</v>
      </c>
      <c r="O344" s="66">
        <f>IF(VLOOKUP($D344,$C$5:$AU$520,3,)=0,0,(VLOOKUP($D344,$C$5:$AU$520,13,)/VLOOKUP($D344,$C$5:$AU$520,3,))*$E344)</f>
        <v>0</v>
      </c>
      <c r="P344" s="66">
        <f>IF(VLOOKUP($D344,$C$5:$AU$520,3,)=0,0,(VLOOKUP($D344,$C$5:$AU$520,14,)/VLOOKUP($D344,$C$5:$AU$520,3,))*$E344)</f>
        <v>0</v>
      </c>
      <c r="Q344" s="66">
        <f>IF(VLOOKUP($D344,$C$5:$AU$520,3,)=0,0,(VLOOKUP($D344,$C$5:$AU$520,15,)/VLOOKUP($D344,$C$5:$AU$520,3,))*$E344)</f>
        <v>0</v>
      </c>
      <c r="R344" s="66">
        <f>IF(VLOOKUP($D344,$C$5:$AU$520,3,)=0,0,(VLOOKUP($D344,$C$5:$AU$520,16,)/VLOOKUP($D344,$C$5:$AU$520,3,))*$E344)</f>
        <v>0</v>
      </c>
      <c r="S344" s="66">
        <f>IF(VLOOKUP($D344,$C$5:$AU$520,3,)=0,0,(VLOOKUP($D344,$C$5:$AU$520,17,)/VLOOKUP($D344,$C$5:$AU$520,3,))*$E344)</f>
        <v>0</v>
      </c>
      <c r="T344" s="66">
        <f>IF(VLOOKUP($D344,$C$5:$AU$520,3,)=0,0,(VLOOKUP($D344,$C$5:$AU$520,18,)/VLOOKUP($D344,$C$5:$AU$520,3,))*$E344)</f>
        <v>0</v>
      </c>
      <c r="U344" s="66">
        <f>IF(VLOOKUP($D344,$C$5:$AU$520,3,)=0,0,(VLOOKUP($D344,$C$5:$AU$520,19,)/VLOOKUP($D344,$C$5:$AU$520,3,))*$E344)</f>
        <v>0</v>
      </c>
      <c r="V344" s="66">
        <f>IF(VLOOKUP($D344,$C$5:$AU$520,3,)=0,0,(VLOOKUP($D344,$C$5:$AU$520,20,)/VLOOKUP($D344,$C$5:$AU$520,3,))*$E344)</f>
        <v>0</v>
      </c>
      <c r="W344" s="66">
        <f>IF(VLOOKUP($D344,$C$5:$AU$520,3,)=0,0,(VLOOKUP($D344,$C$5:$AU$520,21,)/VLOOKUP($D344,$C$5:$AU$520,3,))*$E344)</f>
        <v>0</v>
      </c>
      <c r="X344" s="66">
        <f>IF(VLOOKUP($D344,$C$5:$AU$520,3,)=0,0,(VLOOKUP($D344,$C$5:$AU$520,22,)/VLOOKUP($D344,$C$5:$AU$520,3,))*$E344)</f>
        <v>0</v>
      </c>
      <c r="Y344" s="66">
        <f>IF(VLOOKUP($D344,$C$5:$AU$520,3,)=0,0,(VLOOKUP($D344,$C$5:$AU$520,23,)/VLOOKUP($D344,$C$5:$AU$520,3,))*$E344)</f>
        <v>0</v>
      </c>
      <c r="Z344" s="66">
        <f>IF(VLOOKUP($D344,$C$5:$AU$520,3,)=0,0,(VLOOKUP($D344,$C$5:$AU$520,24,)/VLOOKUP($D344,$C$5:$AU$520,3,))*$E344)</f>
        <v>0</v>
      </c>
      <c r="AA344" s="66">
        <f>IF(VLOOKUP($D344,$C$5:$AU$520,3,)=0,0,(VLOOKUP($D344,$C$5:$AU$520,25,)/VLOOKUP($D344,$C$5:$AU$520,3,))*$E344)</f>
        <v>0</v>
      </c>
      <c r="AB344" s="66">
        <f>IF(VLOOKUP($D344,$C$5:$AU$520,3,)=0,0,(VLOOKUP($D344,$C$5:$AU$520,26,)/VLOOKUP($D344,$C$5:$AU$520,3,))*$E344)</f>
        <v>0</v>
      </c>
      <c r="AC344" s="66">
        <f>IF(VLOOKUP($D344,$C$5:$AU$520,3,)=0,0,(VLOOKUP($D344,$C$5:$AU$520,27,)/VLOOKUP($D344,$C$5:$AU$520,3,))*$E344)</f>
        <v>0</v>
      </c>
      <c r="AD344" s="66">
        <f>IF(VLOOKUP($D344,$C$5:$AU$520,3,)=0,0,(VLOOKUP($D344,$C$5:$AU$520,28,)/VLOOKUP($D344,$C$5:$AU$520,3,))*$E344)</f>
        <v>0</v>
      </c>
      <c r="AE344" s="66">
        <f>IF(VLOOKUP($D344,$C$5:$AU$520,3,)=0,0,(VLOOKUP($D344,$C$5:$AU$520,29,)/VLOOKUP($D344,$C$5:$AU$520,3,))*$E344)</f>
        <v>0</v>
      </c>
      <c r="AF344" s="66">
        <f>IF(VLOOKUP($D344,$C$5:$AU$520,3,)=0,0,(VLOOKUP($D344,$C$5:$AU$520,30,)/VLOOKUP($D344,$C$5:$AU$520,3,))*$E344)</f>
        <v>0</v>
      </c>
      <c r="AG344" s="95">
        <f t="shared" ref="AG344:AG345" si="88">SUM(F344:AF344)</f>
        <v>0</v>
      </c>
      <c r="AH344" s="31" t="str">
        <f t="shared" si="87"/>
        <v>ok</v>
      </c>
    </row>
    <row r="345" spans="1:42" hidden="1" x14ac:dyDescent="0.2">
      <c r="A345" s="14">
        <v>5</v>
      </c>
      <c r="B345" s="14" t="s">
        <v>1147</v>
      </c>
      <c r="D345" s="14" t="s">
        <v>561</v>
      </c>
      <c r="E345" s="95">
        <v>0</v>
      </c>
      <c r="F345" s="66">
        <f>IF(VLOOKUP($D345,$C$5:$AU$520,3,)=0,0,(VLOOKUP($D345,$C$5:$AU$520,4,)/VLOOKUP($D345,$C$5:$AU$520,3,))*$E345)</f>
        <v>0</v>
      </c>
      <c r="G345" s="66">
        <f>IF(VLOOKUP($D345,$C$5:$AU$520,3,)=0,0,(VLOOKUP($D345,$C$5:$AU$520,5,)/VLOOKUP($D345,$C$5:$AU$520,3,))*$E345)</f>
        <v>0</v>
      </c>
      <c r="H345" s="66">
        <f>IF(VLOOKUP($D345,$C$5:$AU$520,3,)=0,0,(VLOOKUP($D345,$C$5:$AU$520,6,)/VLOOKUP($D345,$C$5:$AU$520,3,))*$E345)</f>
        <v>0</v>
      </c>
      <c r="I345" s="66">
        <f>IF(VLOOKUP($D345,$C$5:$AU$520,3,)=0,0,(VLOOKUP($D345,$C$5:$AU$520,7,)/VLOOKUP($D345,$C$5:$AU$520,3,))*$E345)</f>
        <v>0</v>
      </c>
      <c r="J345" s="66">
        <f>IF(VLOOKUP($D345,$C$5:$AU$520,3,)=0,0,(VLOOKUP($D345,$C$5:$AU$520,8,)/VLOOKUP($D345,$C$5:$AU$520,3,))*$E345)</f>
        <v>0</v>
      </c>
      <c r="K345" s="66">
        <f>IF(VLOOKUP($D345,$C$5:$AU$520,3,)=0,0,(VLOOKUP($D345,$C$5:$AU$520,9,)/VLOOKUP($D345,$C$5:$AU$520,3,))*$E345)</f>
        <v>0</v>
      </c>
      <c r="L345" s="66">
        <f>IF(VLOOKUP($D345,$C$5:$AU$520,3,)=0,0,(VLOOKUP($D345,$C$5:$AU$520,10,)/VLOOKUP($D345,$C$5:$AU$520,3,))*$E345)</f>
        <v>0</v>
      </c>
      <c r="M345" s="66">
        <f>IF(VLOOKUP($D345,$C$5:$AU$520,3,)=0,0,(VLOOKUP($D345,$C$5:$AU$520,11,)/VLOOKUP($D345,$C$5:$AU$520,3,))*$E345)</f>
        <v>0</v>
      </c>
      <c r="N345" s="66">
        <f>IF(VLOOKUP($D345,$C$5:$AU$520,3,)=0,0,(VLOOKUP($D345,$C$5:$AU$520,12,)/VLOOKUP($D345,$C$5:$AU$520,3,))*$E345)</f>
        <v>0</v>
      </c>
      <c r="O345" s="66">
        <f>IF(VLOOKUP($D345,$C$5:$AU$520,3,)=0,0,(VLOOKUP($D345,$C$5:$AU$520,13,)/VLOOKUP($D345,$C$5:$AU$520,3,))*$E345)</f>
        <v>0</v>
      </c>
      <c r="P345" s="66">
        <f>IF(VLOOKUP($D345,$C$5:$AU$520,3,)=0,0,(VLOOKUP($D345,$C$5:$AU$520,14,)/VLOOKUP($D345,$C$5:$AU$520,3,))*$E345)</f>
        <v>0</v>
      </c>
      <c r="Q345" s="66">
        <f>IF(VLOOKUP($D345,$C$5:$AU$520,3,)=0,0,(VLOOKUP($D345,$C$5:$AU$520,15,)/VLOOKUP($D345,$C$5:$AU$520,3,))*$E345)</f>
        <v>0</v>
      </c>
      <c r="R345" s="66">
        <f>IF(VLOOKUP($D345,$C$5:$AU$520,3,)=0,0,(VLOOKUP($D345,$C$5:$AU$520,16,)/VLOOKUP($D345,$C$5:$AU$520,3,))*$E345)</f>
        <v>0</v>
      </c>
      <c r="S345" s="66">
        <f>IF(VLOOKUP($D345,$C$5:$AU$520,3,)=0,0,(VLOOKUP($D345,$C$5:$AU$520,17,)/VLOOKUP($D345,$C$5:$AU$520,3,))*$E345)</f>
        <v>0</v>
      </c>
      <c r="T345" s="66">
        <f>IF(VLOOKUP($D345,$C$5:$AU$520,3,)=0,0,(VLOOKUP($D345,$C$5:$AU$520,18,)/VLOOKUP($D345,$C$5:$AU$520,3,))*$E345)</f>
        <v>0</v>
      </c>
      <c r="U345" s="66">
        <f>IF(VLOOKUP($D345,$C$5:$AU$520,3,)=0,0,(VLOOKUP($D345,$C$5:$AU$520,19,)/VLOOKUP($D345,$C$5:$AU$520,3,))*$E345)</f>
        <v>0</v>
      </c>
      <c r="V345" s="66">
        <f>IF(VLOOKUP($D345,$C$5:$AU$520,3,)=0,0,(VLOOKUP($D345,$C$5:$AU$520,20,)/VLOOKUP($D345,$C$5:$AU$520,3,))*$E345)</f>
        <v>0</v>
      </c>
      <c r="W345" s="66">
        <f>IF(VLOOKUP($D345,$C$5:$AU$520,3,)=0,0,(VLOOKUP($D345,$C$5:$AU$520,21,)/VLOOKUP($D345,$C$5:$AU$520,3,))*$E345)</f>
        <v>0</v>
      </c>
      <c r="X345" s="66">
        <f>IF(VLOOKUP($D345,$C$5:$AU$520,3,)=0,0,(VLOOKUP($D345,$C$5:$AU$520,22,)/VLOOKUP($D345,$C$5:$AU$520,3,))*$E345)</f>
        <v>0</v>
      </c>
      <c r="Y345" s="66">
        <f>IF(VLOOKUP($D345,$C$5:$AU$520,3,)=0,0,(VLOOKUP($D345,$C$5:$AU$520,23,)/VLOOKUP($D345,$C$5:$AU$520,3,))*$E345)</f>
        <v>0</v>
      </c>
      <c r="Z345" s="66">
        <f>IF(VLOOKUP($D345,$C$5:$AU$520,3,)=0,0,(VLOOKUP($D345,$C$5:$AU$520,24,)/VLOOKUP($D345,$C$5:$AU$520,3,))*$E345)</f>
        <v>0</v>
      </c>
      <c r="AA345" s="66">
        <f>IF(VLOOKUP($D345,$C$5:$AU$520,3,)=0,0,(VLOOKUP($D345,$C$5:$AU$520,25,)/VLOOKUP($D345,$C$5:$AU$520,3,))*$E345)</f>
        <v>0</v>
      </c>
      <c r="AB345" s="66">
        <f>IF(VLOOKUP($D345,$C$5:$AU$520,3,)=0,0,(VLOOKUP($D345,$C$5:$AU$520,26,)/VLOOKUP($D345,$C$5:$AU$520,3,))*$E345)</f>
        <v>0</v>
      </c>
      <c r="AC345" s="66">
        <f>IF(VLOOKUP($D345,$C$5:$AU$520,3,)=0,0,(VLOOKUP($D345,$C$5:$AU$520,27,)/VLOOKUP($D345,$C$5:$AU$520,3,))*$E345)</f>
        <v>0</v>
      </c>
      <c r="AD345" s="66">
        <f>IF(VLOOKUP($D345,$C$5:$AU$520,3,)=0,0,(VLOOKUP($D345,$C$5:$AU$520,28,)/VLOOKUP($D345,$C$5:$AU$520,3,))*$E345)</f>
        <v>0</v>
      </c>
      <c r="AE345" s="66">
        <f>IF(VLOOKUP($D345,$C$5:$AU$520,3,)=0,0,(VLOOKUP($D345,$C$5:$AU$520,29,)/VLOOKUP($D345,$C$5:$AU$520,3,))*$E345)</f>
        <v>0</v>
      </c>
      <c r="AF345" s="66">
        <f>IF(VLOOKUP($D345,$C$5:$AU$520,3,)=0,0,(VLOOKUP($D345,$C$5:$AU$520,30,)/VLOOKUP($D345,$C$5:$AU$520,3,))*$E345)</f>
        <v>0</v>
      </c>
      <c r="AG345" s="95">
        <f t="shared" si="88"/>
        <v>0</v>
      </c>
      <c r="AH345" s="31" t="str">
        <f t="shared" si="87"/>
        <v>ok</v>
      </c>
    </row>
    <row r="346" spans="1:42" hidden="1" x14ac:dyDescent="0.2">
      <c r="A346" s="14">
        <v>6</v>
      </c>
      <c r="B346" s="14" t="s">
        <v>1147</v>
      </c>
      <c r="D346" s="14" t="s">
        <v>561</v>
      </c>
      <c r="E346" s="95">
        <v>0</v>
      </c>
      <c r="F346" s="66">
        <f>IF(VLOOKUP($D346,$C$5:$AU$520,3,)=0,0,(VLOOKUP($D346,$C$5:$AU$520,4,)/VLOOKUP($D346,$C$5:$AU$520,3,))*$E346)</f>
        <v>0</v>
      </c>
      <c r="G346" s="66">
        <f>IF(VLOOKUP($D346,$C$5:$AU$520,3,)=0,0,(VLOOKUP($D346,$C$5:$AU$520,5,)/VLOOKUP($D346,$C$5:$AU$520,3,))*$E346)</f>
        <v>0</v>
      </c>
      <c r="H346" s="66">
        <f>IF(VLOOKUP($D346,$C$5:$AU$520,3,)=0,0,(VLOOKUP($D346,$C$5:$AU$520,6,)/VLOOKUP($D346,$C$5:$AU$520,3,))*$E346)</f>
        <v>0</v>
      </c>
      <c r="I346" s="66">
        <f>IF(VLOOKUP($D346,$C$5:$AU$520,3,)=0,0,(VLOOKUP($D346,$C$5:$AU$520,7,)/VLOOKUP($D346,$C$5:$AU$520,3,))*$E346)</f>
        <v>0</v>
      </c>
      <c r="J346" s="66">
        <f>IF(VLOOKUP($D346,$C$5:$AU$520,3,)=0,0,(VLOOKUP($D346,$C$5:$AU$520,8,)/VLOOKUP($D346,$C$5:$AU$520,3,))*$E346)</f>
        <v>0</v>
      </c>
      <c r="K346" s="66">
        <f>IF(VLOOKUP($D346,$C$5:$AU$520,3,)=0,0,(VLOOKUP($D346,$C$5:$AU$520,9,)/VLOOKUP($D346,$C$5:$AU$520,3,))*$E346)</f>
        <v>0</v>
      </c>
      <c r="L346" s="66">
        <f>IF(VLOOKUP($D346,$C$5:$AU$520,3,)=0,0,(VLOOKUP($D346,$C$5:$AU$520,10,)/VLOOKUP($D346,$C$5:$AU$520,3,))*$E346)</f>
        <v>0</v>
      </c>
      <c r="M346" s="66">
        <f>IF(VLOOKUP($D346,$C$5:$AU$520,3,)=0,0,(VLOOKUP($D346,$C$5:$AU$520,11,)/VLOOKUP($D346,$C$5:$AU$520,3,))*$E346)</f>
        <v>0</v>
      </c>
      <c r="N346" s="66">
        <f>IF(VLOOKUP($D346,$C$5:$AU$520,3,)=0,0,(VLOOKUP($D346,$C$5:$AU$520,12,)/VLOOKUP($D346,$C$5:$AU$520,3,))*$E346)</f>
        <v>0</v>
      </c>
      <c r="O346" s="66">
        <f>IF(VLOOKUP($D346,$C$5:$AU$520,3,)=0,0,(VLOOKUP($D346,$C$5:$AU$520,13,)/VLOOKUP($D346,$C$5:$AU$520,3,))*$E346)</f>
        <v>0</v>
      </c>
      <c r="P346" s="66">
        <f>IF(VLOOKUP($D346,$C$5:$AU$520,3,)=0,0,(VLOOKUP($D346,$C$5:$AU$520,14,)/VLOOKUP($D346,$C$5:$AU$520,3,))*$E346)</f>
        <v>0</v>
      </c>
      <c r="Q346" s="66">
        <f>IF(VLOOKUP($D346,$C$5:$AU$520,3,)=0,0,(VLOOKUP($D346,$C$5:$AU$520,15,)/VLOOKUP($D346,$C$5:$AU$520,3,))*$E346)</f>
        <v>0</v>
      </c>
      <c r="R346" s="66">
        <f>IF(VLOOKUP($D346,$C$5:$AU$520,3,)=0,0,(VLOOKUP($D346,$C$5:$AU$520,16,)/VLOOKUP($D346,$C$5:$AU$520,3,))*$E346)</f>
        <v>0</v>
      </c>
      <c r="S346" s="66">
        <f>IF(VLOOKUP($D346,$C$5:$AU$520,3,)=0,0,(VLOOKUP($D346,$C$5:$AU$520,17,)/VLOOKUP($D346,$C$5:$AU$520,3,))*$E346)</f>
        <v>0</v>
      </c>
      <c r="T346" s="66">
        <f>IF(VLOOKUP($D346,$C$5:$AU$520,3,)=0,0,(VLOOKUP($D346,$C$5:$AU$520,18,)/VLOOKUP($D346,$C$5:$AU$520,3,))*$E346)</f>
        <v>0</v>
      </c>
      <c r="U346" s="66">
        <f>IF(VLOOKUP($D346,$C$5:$AU$520,3,)=0,0,(VLOOKUP($D346,$C$5:$AU$520,19,)/VLOOKUP($D346,$C$5:$AU$520,3,))*$E346)</f>
        <v>0</v>
      </c>
      <c r="V346" s="66">
        <f>IF(VLOOKUP($D346,$C$5:$AU$520,3,)=0,0,(VLOOKUP($D346,$C$5:$AU$520,20,)/VLOOKUP($D346,$C$5:$AU$520,3,))*$E346)</f>
        <v>0</v>
      </c>
      <c r="W346" s="66">
        <f>IF(VLOOKUP($D346,$C$5:$AU$520,3,)=0,0,(VLOOKUP($D346,$C$5:$AU$520,21,)/VLOOKUP($D346,$C$5:$AU$520,3,))*$E346)</f>
        <v>0</v>
      </c>
      <c r="X346" s="66">
        <f>IF(VLOOKUP($D346,$C$5:$AU$520,3,)=0,0,(VLOOKUP($D346,$C$5:$AU$520,22,)/VLOOKUP($D346,$C$5:$AU$520,3,))*$E346)</f>
        <v>0</v>
      </c>
      <c r="Y346" s="66">
        <f>IF(VLOOKUP($D346,$C$5:$AU$520,3,)=0,0,(VLOOKUP($D346,$C$5:$AU$520,23,)/VLOOKUP($D346,$C$5:$AU$520,3,))*$E346)</f>
        <v>0</v>
      </c>
      <c r="Z346" s="66">
        <f>IF(VLOOKUP($D346,$C$5:$AU$520,3,)=0,0,(VLOOKUP($D346,$C$5:$AU$520,24,)/VLOOKUP($D346,$C$5:$AU$520,3,))*$E346)</f>
        <v>0</v>
      </c>
      <c r="AA346" s="66">
        <f>IF(VLOOKUP($D346,$C$5:$AU$520,3,)=0,0,(VLOOKUP($D346,$C$5:$AU$520,25,)/VLOOKUP($D346,$C$5:$AU$520,3,))*$E346)</f>
        <v>0</v>
      </c>
      <c r="AB346" s="66">
        <f>IF(VLOOKUP($D346,$C$5:$AU$520,3,)=0,0,(VLOOKUP($D346,$C$5:$AU$520,26,)/VLOOKUP($D346,$C$5:$AU$520,3,))*$E346)</f>
        <v>0</v>
      </c>
      <c r="AC346" s="66">
        <f>IF(VLOOKUP($D346,$C$5:$AU$520,3,)=0,0,(VLOOKUP($D346,$C$5:$AU$520,27,)/VLOOKUP($D346,$C$5:$AU$520,3,))*$E346)</f>
        <v>0</v>
      </c>
      <c r="AD346" s="66">
        <f>IF(VLOOKUP($D346,$C$5:$AU$520,3,)=0,0,(VLOOKUP($D346,$C$5:$AU$520,28,)/VLOOKUP($D346,$C$5:$AU$520,3,))*$E346)</f>
        <v>0</v>
      </c>
      <c r="AE346" s="66">
        <f>IF(VLOOKUP($D346,$C$5:$AU$520,3,)=0,0,(VLOOKUP($D346,$C$5:$AU$520,29,)/VLOOKUP($D346,$C$5:$AU$520,3,))*$E346)</f>
        <v>0</v>
      </c>
      <c r="AF346" s="66">
        <f>IF(VLOOKUP($D346,$C$5:$AU$520,3,)=0,0,(VLOOKUP($D346,$C$5:$AU$520,30,)/VLOOKUP($D346,$C$5:$AU$520,3,))*$E346)</f>
        <v>0</v>
      </c>
      <c r="AG346" s="95">
        <f t="shared" ref="AG346:AG347" si="89">SUM(F346:AF346)</f>
        <v>0</v>
      </c>
      <c r="AH346" s="31" t="str">
        <f t="shared" si="87"/>
        <v>ok</v>
      </c>
    </row>
    <row r="347" spans="1:42" hidden="1" x14ac:dyDescent="0.2">
      <c r="A347" s="14">
        <v>7</v>
      </c>
      <c r="B347" s="14" t="s">
        <v>1147</v>
      </c>
      <c r="D347" s="14" t="s">
        <v>561</v>
      </c>
      <c r="E347" s="95">
        <v>0</v>
      </c>
      <c r="F347" s="66">
        <f>IF(VLOOKUP($D347,$C$5:$AU$520,3,)=0,0,(VLOOKUP($D347,$C$5:$AU$520,4,)/VLOOKUP($D347,$C$5:$AU$520,3,))*$E347)</f>
        <v>0</v>
      </c>
      <c r="G347" s="66">
        <f>IF(VLOOKUP($D347,$C$5:$AU$520,3,)=0,0,(VLOOKUP($D347,$C$5:$AU$520,5,)/VLOOKUP($D347,$C$5:$AU$520,3,))*$E347)</f>
        <v>0</v>
      </c>
      <c r="H347" s="66">
        <f>IF(VLOOKUP($D347,$C$5:$AU$520,3,)=0,0,(VLOOKUP($D347,$C$5:$AU$520,6,)/VLOOKUP($D347,$C$5:$AU$520,3,))*$E347)</f>
        <v>0</v>
      </c>
      <c r="I347" s="66">
        <f>IF(VLOOKUP($D347,$C$5:$AU$520,3,)=0,0,(VLOOKUP($D347,$C$5:$AU$520,7,)/VLOOKUP($D347,$C$5:$AU$520,3,))*$E347)</f>
        <v>0</v>
      </c>
      <c r="J347" s="66">
        <f>IF(VLOOKUP($D347,$C$5:$AU$520,3,)=0,0,(VLOOKUP($D347,$C$5:$AU$520,8,)/VLOOKUP($D347,$C$5:$AU$520,3,))*$E347)</f>
        <v>0</v>
      </c>
      <c r="K347" s="66">
        <f>IF(VLOOKUP($D347,$C$5:$AU$520,3,)=0,0,(VLOOKUP($D347,$C$5:$AU$520,9,)/VLOOKUP($D347,$C$5:$AU$520,3,))*$E347)</f>
        <v>0</v>
      </c>
      <c r="L347" s="66">
        <f>IF(VLOOKUP($D347,$C$5:$AU$520,3,)=0,0,(VLOOKUP($D347,$C$5:$AU$520,10,)/VLOOKUP($D347,$C$5:$AU$520,3,))*$E347)</f>
        <v>0</v>
      </c>
      <c r="M347" s="66">
        <f>IF(VLOOKUP($D347,$C$5:$AU$520,3,)=0,0,(VLOOKUP($D347,$C$5:$AU$520,11,)/VLOOKUP($D347,$C$5:$AU$520,3,))*$E347)</f>
        <v>0</v>
      </c>
      <c r="N347" s="66">
        <f>IF(VLOOKUP($D347,$C$5:$AU$520,3,)=0,0,(VLOOKUP($D347,$C$5:$AU$520,12,)/VLOOKUP($D347,$C$5:$AU$520,3,))*$E347)</f>
        <v>0</v>
      </c>
      <c r="O347" s="66">
        <f>IF(VLOOKUP($D347,$C$5:$AU$520,3,)=0,0,(VLOOKUP($D347,$C$5:$AU$520,13,)/VLOOKUP($D347,$C$5:$AU$520,3,))*$E347)</f>
        <v>0</v>
      </c>
      <c r="P347" s="66">
        <f>IF(VLOOKUP($D347,$C$5:$AU$520,3,)=0,0,(VLOOKUP($D347,$C$5:$AU$520,14,)/VLOOKUP($D347,$C$5:$AU$520,3,))*$E347)</f>
        <v>0</v>
      </c>
      <c r="Q347" s="66">
        <f>IF(VLOOKUP($D347,$C$5:$AU$520,3,)=0,0,(VLOOKUP($D347,$C$5:$AU$520,15,)/VLOOKUP($D347,$C$5:$AU$520,3,))*$E347)</f>
        <v>0</v>
      </c>
      <c r="R347" s="66">
        <f>IF(VLOOKUP($D347,$C$5:$AU$520,3,)=0,0,(VLOOKUP($D347,$C$5:$AU$520,16,)/VLOOKUP($D347,$C$5:$AU$520,3,))*$E347)</f>
        <v>0</v>
      </c>
      <c r="S347" s="66">
        <f>IF(VLOOKUP($D347,$C$5:$AU$520,3,)=0,0,(VLOOKUP($D347,$C$5:$AU$520,17,)/VLOOKUP($D347,$C$5:$AU$520,3,))*$E347)</f>
        <v>0</v>
      </c>
      <c r="T347" s="66">
        <f>IF(VLOOKUP($D347,$C$5:$AU$520,3,)=0,0,(VLOOKUP($D347,$C$5:$AU$520,18,)/VLOOKUP($D347,$C$5:$AU$520,3,))*$E347)</f>
        <v>0</v>
      </c>
      <c r="U347" s="66">
        <f>IF(VLOOKUP($D347,$C$5:$AU$520,3,)=0,0,(VLOOKUP($D347,$C$5:$AU$520,19,)/VLOOKUP($D347,$C$5:$AU$520,3,))*$E347)</f>
        <v>0</v>
      </c>
      <c r="V347" s="66">
        <f>IF(VLOOKUP($D347,$C$5:$AU$520,3,)=0,0,(VLOOKUP($D347,$C$5:$AU$520,20,)/VLOOKUP($D347,$C$5:$AU$520,3,))*$E347)</f>
        <v>0</v>
      </c>
      <c r="W347" s="66">
        <f>IF(VLOOKUP($D347,$C$5:$AU$520,3,)=0,0,(VLOOKUP($D347,$C$5:$AU$520,21,)/VLOOKUP($D347,$C$5:$AU$520,3,))*$E347)</f>
        <v>0</v>
      </c>
      <c r="X347" s="66">
        <f>IF(VLOOKUP($D347,$C$5:$AU$520,3,)=0,0,(VLOOKUP($D347,$C$5:$AU$520,22,)/VLOOKUP($D347,$C$5:$AU$520,3,))*$E347)</f>
        <v>0</v>
      </c>
      <c r="Y347" s="66">
        <f>IF(VLOOKUP($D347,$C$5:$AU$520,3,)=0,0,(VLOOKUP($D347,$C$5:$AU$520,23,)/VLOOKUP($D347,$C$5:$AU$520,3,))*$E347)</f>
        <v>0</v>
      </c>
      <c r="Z347" s="66">
        <f>IF(VLOOKUP($D347,$C$5:$AU$520,3,)=0,0,(VLOOKUP($D347,$C$5:$AU$520,24,)/VLOOKUP($D347,$C$5:$AU$520,3,))*$E347)</f>
        <v>0</v>
      </c>
      <c r="AA347" s="66">
        <f>IF(VLOOKUP($D347,$C$5:$AU$520,3,)=0,0,(VLOOKUP($D347,$C$5:$AU$520,25,)/VLOOKUP($D347,$C$5:$AU$520,3,))*$E347)</f>
        <v>0</v>
      </c>
      <c r="AB347" s="66">
        <f>IF(VLOOKUP($D347,$C$5:$AU$520,3,)=0,0,(VLOOKUP($D347,$C$5:$AU$520,26,)/VLOOKUP($D347,$C$5:$AU$520,3,))*$E347)</f>
        <v>0</v>
      </c>
      <c r="AC347" s="66">
        <f>IF(VLOOKUP($D347,$C$5:$AU$520,3,)=0,0,(VLOOKUP($D347,$C$5:$AU$520,27,)/VLOOKUP($D347,$C$5:$AU$520,3,))*$E347)</f>
        <v>0</v>
      </c>
      <c r="AD347" s="66">
        <f>IF(VLOOKUP($D347,$C$5:$AU$520,3,)=0,0,(VLOOKUP($D347,$C$5:$AU$520,28,)/VLOOKUP($D347,$C$5:$AU$520,3,))*$E347)</f>
        <v>0</v>
      </c>
      <c r="AE347" s="66">
        <f>IF(VLOOKUP($D347,$C$5:$AU$520,3,)=0,0,(VLOOKUP($D347,$C$5:$AU$520,29,)/VLOOKUP($D347,$C$5:$AU$520,3,))*$E347)</f>
        <v>0</v>
      </c>
      <c r="AF347" s="66">
        <f>IF(VLOOKUP($D347,$C$5:$AU$520,3,)=0,0,(VLOOKUP($D347,$C$5:$AU$520,30,)/VLOOKUP($D347,$C$5:$AU$520,3,))*$E347)</f>
        <v>0</v>
      </c>
      <c r="AG347" s="95">
        <f t="shared" si="89"/>
        <v>0</v>
      </c>
      <c r="AH347" s="31" t="str">
        <f t="shared" si="87"/>
        <v>ok</v>
      </c>
    </row>
    <row r="348" spans="1:42" x14ac:dyDescent="0.2">
      <c r="A348" s="14">
        <v>4</v>
      </c>
      <c r="B348" s="14" t="s">
        <v>1204</v>
      </c>
      <c r="E348" s="66">
        <f t="shared" ref="E348" si="90">AJ348*AK348</f>
        <v>0</v>
      </c>
      <c r="F348" s="66">
        <f>E348</f>
        <v>0</v>
      </c>
      <c r="G348" s="66">
        <v>0</v>
      </c>
      <c r="H348" s="66">
        <f>AJ348*AM348</f>
        <v>0</v>
      </c>
      <c r="I348" s="66">
        <v>0</v>
      </c>
      <c r="J348" s="66">
        <f>AJ348*AN348</f>
        <v>0</v>
      </c>
      <c r="K348" s="66">
        <v>0</v>
      </c>
      <c r="L348" s="66">
        <v>0</v>
      </c>
      <c r="M348" s="66">
        <f>AJ348*AO348</f>
        <v>0</v>
      </c>
      <c r="N348" s="66">
        <f>AJ348*AP348</f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  <c r="V348" s="66">
        <v>0</v>
      </c>
      <c r="W348" s="66">
        <v>0</v>
      </c>
      <c r="X348" s="66">
        <v>0</v>
      </c>
      <c r="Y348" s="66">
        <v>0</v>
      </c>
      <c r="Z348" s="66">
        <v>0</v>
      </c>
      <c r="AA348" s="66">
        <v>0</v>
      </c>
      <c r="AB348" s="66">
        <v>0</v>
      </c>
      <c r="AC348" s="66">
        <v>0</v>
      </c>
      <c r="AD348" s="66">
        <v>0</v>
      </c>
      <c r="AE348" s="66">
        <v>0</v>
      </c>
      <c r="AF348" s="66">
        <v>0</v>
      </c>
      <c r="AG348" s="95">
        <f t="shared" ref="AG348" si="91">SUM(F348:AF348)</f>
        <v>0</v>
      </c>
      <c r="AH348" s="31" t="str">
        <f t="shared" si="87"/>
        <v>ok</v>
      </c>
      <c r="AJ348" s="14">
        <v>0</v>
      </c>
      <c r="AK348" s="50">
        <v>5797580.9100000001</v>
      </c>
    </row>
    <row r="349" spans="1:42" x14ac:dyDescent="0.2">
      <c r="B349" s="28" t="s">
        <v>901</v>
      </c>
      <c r="E349" s="107">
        <f t="shared" ref="E349:AG349" si="92">SUM(E341:E348)</f>
        <v>-21745861.599999998</v>
      </c>
      <c r="F349" s="107">
        <f t="shared" si="92"/>
        <v>-14810712.857000824</v>
      </c>
      <c r="G349" s="107">
        <f t="shared" si="92"/>
        <v>-36929.689268794718</v>
      </c>
      <c r="H349" s="107">
        <f t="shared" si="92"/>
        <v>-1183066.6136215576</v>
      </c>
      <c r="I349" s="107">
        <f t="shared" si="92"/>
        <v>-257.76479420136235</v>
      </c>
      <c r="J349" s="107">
        <f t="shared" si="92"/>
        <v>-1721896.2847288095</v>
      </c>
      <c r="K349" s="107">
        <f t="shared" si="92"/>
        <v>-1952675.1993451987</v>
      </c>
      <c r="L349" s="107">
        <f t="shared" si="92"/>
        <v>-1264142.6801608428</v>
      </c>
      <c r="M349" s="107">
        <f t="shared" si="92"/>
        <v>-346367.9556025794</v>
      </c>
      <c r="N349" s="107">
        <f t="shared" si="92"/>
        <v>-219536.53598518716</v>
      </c>
      <c r="O349" s="107">
        <f t="shared" si="92"/>
        <v>-210276.01583070855</v>
      </c>
      <c r="P349" s="107">
        <f t="shared" si="92"/>
        <v>0</v>
      </c>
      <c r="Q349" s="107">
        <f t="shared" si="92"/>
        <v>0</v>
      </c>
      <c r="R349" s="107">
        <f t="shared" si="92"/>
        <v>0</v>
      </c>
      <c r="S349" s="107">
        <f t="shared" si="92"/>
        <v>0</v>
      </c>
      <c r="T349" s="107">
        <f t="shared" si="92"/>
        <v>0</v>
      </c>
      <c r="U349" s="107">
        <f t="shared" si="92"/>
        <v>0</v>
      </c>
      <c r="V349" s="107">
        <f t="shared" si="92"/>
        <v>0</v>
      </c>
      <c r="W349" s="107">
        <f t="shared" si="92"/>
        <v>0</v>
      </c>
      <c r="X349" s="107">
        <f t="shared" si="92"/>
        <v>0</v>
      </c>
      <c r="Y349" s="107">
        <f t="shared" si="92"/>
        <v>0</v>
      </c>
      <c r="Z349" s="107">
        <f t="shared" si="92"/>
        <v>0</v>
      </c>
      <c r="AA349" s="107">
        <f t="shared" si="92"/>
        <v>0</v>
      </c>
      <c r="AB349" s="107">
        <f t="shared" si="92"/>
        <v>0</v>
      </c>
      <c r="AC349" s="107">
        <f t="shared" si="92"/>
        <v>0</v>
      </c>
      <c r="AD349" s="107">
        <f t="shared" si="92"/>
        <v>0</v>
      </c>
      <c r="AE349" s="107">
        <f t="shared" si="92"/>
        <v>0</v>
      </c>
      <c r="AF349" s="107">
        <f t="shared" si="92"/>
        <v>0</v>
      </c>
      <c r="AG349" s="107">
        <f t="shared" si="92"/>
        <v>-21745861.596338708</v>
      </c>
      <c r="AH349" s="31" t="str">
        <f t="shared" si="87"/>
        <v>ok</v>
      </c>
    </row>
    <row r="350" spans="1:42" x14ac:dyDescent="0.2">
      <c r="A350" s="14" t="s">
        <v>751</v>
      </c>
      <c r="B350" s="14" t="s">
        <v>751</v>
      </c>
    </row>
    <row r="351" spans="1:42" x14ac:dyDescent="0.2">
      <c r="A351" s="14" t="s">
        <v>570</v>
      </c>
      <c r="E351" s="95">
        <f>E338+E349</f>
        <v>97663081.109999999</v>
      </c>
      <c r="F351" s="95">
        <f t="shared" ref="F351:AG351" si="93">F338+F349</f>
        <v>67490461.86089699</v>
      </c>
      <c r="G351" s="95">
        <f t="shared" si="93"/>
        <v>218967.51912720592</v>
      </c>
      <c r="H351" s="95">
        <f t="shared" si="93"/>
        <v>7518734.9026715849</v>
      </c>
      <c r="I351" s="95">
        <f t="shared" si="93"/>
        <v>1312.7968590986429</v>
      </c>
      <c r="J351" s="95">
        <f t="shared" si="93"/>
        <v>6190557.2139651943</v>
      </c>
      <c r="K351" s="95">
        <f t="shared" si="93"/>
        <v>5662531.1706548017</v>
      </c>
      <c r="L351" s="95">
        <f t="shared" si="93"/>
        <v>4369483.869839157</v>
      </c>
      <c r="M351" s="95">
        <f t="shared" si="93"/>
        <v>2632680.5578424376</v>
      </c>
      <c r="N351" s="95">
        <f t="shared" si="93"/>
        <v>752971.99763552868</v>
      </c>
      <c r="O351" s="95">
        <f t="shared" si="93"/>
        <v>2825379.2241692911</v>
      </c>
      <c r="P351" s="95">
        <f t="shared" si="93"/>
        <v>0</v>
      </c>
      <c r="Q351" s="95">
        <f t="shared" si="93"/>
        <v>0</v>
      </c>
      <c r="R351" s="95">
        <f t="shared" si="93"/>
        <v>0</v>
      </c>
      <c r="S351" s="95">
        <f t="shared" si="93"/>
        <v>0</v>
      </c>
      <c r="T351" s="95">
        <f t="shared" si="93"/>
        <v>0</v>
      </c>
      <c r="U351" s="95">
        <f t="shared" si="93"/>
        <v>0</v>
      </c>
      <c r="V351" s="95">
        <f t="shared" si="93"/>
        <v>0</v>
      </c>
      <c r="W351" s="95">
        <f t="shared" si="93"/>
        <v>0</v>
      </c>
      <c r="X351" s="95">
        <f t="shared" si="93"/>
        <v>0</v>
      </c>
      <c r="Y351" s="95">
        <f t="shared" si="93"/>
        <v>0</v>
      </c>
      <c r="Z351" s="95">
        <f t="shared" si="93"/>
        <v>0</v>
      </c>
      <c r="AA351" s="95">
        <f t="shared" si="93"/>
        <v>0</v>
      </c>
      <c r="AB351" s="95">
        <f t="shared" si="93"/>
        <v>0</v>
      </c>
      <c r="AC351" s="95">
        <f t="shared" si="93"/>
        <v>0</v>
      </c>
      <c r="AD351" s="95">
        <f t="shared" si="93"/>
        <v>0</v>
      </c>
      <c r="AE351" s="95">
        <f t="shared" si="93"/>
        <v>0</v>
      </c>
      <c r="AF351" s="95">
        <f t="shared" si="93"/>
        <v>0</v>
      </c>
      <c r="AG351" s="95">
        <f t="shared" si="93"/>
        <v>97663081.113661289</v>
      </c>
      <c r="AH351" s="31" t="str">
        <f>IF(ABS(E351-AG351)&lt;0.01,"ok","err")</f>
        <v>ok</v>
      </c>
    </row>
    <row r="353" spans="1:42" x14ac:dyDescent="0.2">
      <c r="A353" s="13" t="s">
        <v>327</v>
      </c>
    </row>
    <row r="355" spans="1:42" x14ac:dyDescent="0.2">
      <c r="A355" s="14" t="s">
        <v>571</v>
      </c>
      <c r="C355" s="14" t="s">
        <v>198</v>
      </c>
      <c r="E355" s="95">
        <f t="shared" ref="E355:U355" si="94">E324</f>
        <v>119222652.99999999</v>
      </c>
      <c r="F355" s="95">
        <f t="shared" si="94"/>
        <v>87134343.172446415</v>
      </c>
      <c r="G355" s="95">
        <f t="shared" si="94"/>
        <v>238721.65282093742</v>
      </c>
      <c r="H355" s="95">
        <f t="shared" si="94"/>
        <v>7016846.6455915058</v>
      </c>
      <c r="I355" s="95">
        <f t="shared" si="94"/>
        <v>1799.9298896858925</v>
      </c>
      <c r="J355" s="95">
        <f t="shared" si="94"/>
        <v>7132304.5475919954</v>
      </c>
      <c r="K355" s="95">
        <f t="shared" si="94"/>
        <v>6932924.3416894069</v>
      </c>
      <c r="L355" s="95">
        <f t="shared" si="94"/>
        <v>5154119.0731023792</v>
      </c>
      <c r="M355" s="95">
        <f t="shared" si="94"/>
        <v>2692346.7874137671</v>
      </c>
      <c r="N355" s="95">
        <f t="shared" si="94"/>
        <v>983513.01062407892</v>
      </c>
      <c r="O355" s="95">
        <f t="shared" si="94"/>
        <v>1935733.8388297777</v>
      </c>
      <c r="P355" s="95">
        <f t="shared" si="94"/>
        <v>0</v>
      </c>
      <c r="Q355" s="95">
        <f t="shared" si="94"/>
        <v>0</v>
      </c>
      <c r="R355" s="95">
        <f t="shared" si="94"/>
        <v>0</v>
      </c>
      <c r="S355" s="95">
        <f t="shared" si="94"/>
        <v>0</v>
      </c>
      <c r="T355" s="95">
        <f t="shared" si="94"/>
        <v>0</v>
      </c>
      <c r="U355" s="95">
        <f t="shared" si="94"/>
        <v>0</v>
      </c>
      <c r="V355" s="95">
        <f t="shared" ref="V355:AE355" si="95">V324-V125</f>
        <v>0</v>
      </c>
      <c r="W355" s="95">
        <f t="shared" si="95"/>
        <v>0</v>
      </c>
      <c r="X355" s="95">
        <f t="shared" si="95"/>
        <v>0</v>
      </c>
      <c r="Y355" s="95">
        <f t="shared" si="95"/>
        <v>0</v>
      </c>
      <c r="Z355" s="95">
        <f t="shared" si="95"/>
        <v>0</v>
      </c>
      <c r="AA355" s="95">
        <f t="shared" si="95"/>
        <v>0</v>
      </c>
      <c r="AB355" s="95">
        <f t="shared" si="95"/>
        <v>0</v>
      </c>
      <c r="AC355" s="95">
        <f t="shared" si="95"/>
        <v>0</v>
      </c>
      <c r="AD355" s="95">
        <f t="shared" si="95"/>
        <v>0</v>
      </c>
      <c r="AE355" s="95">
        <f t="shared" si="95"/>
        <v>0</v>
      </c>
      <c r="AF355" s="95">
        <f>AF324</f>
        <v>0</v>
      </c>
      <c r="AG355" s="95">
        <f>SUM(F355:AF355)</f>
        <v>119222652.99999996</v>
      </c>
      <c r="AH355" s="31" t="str">
        <f>IF(ABS(E355-AG355)&lt;0.01,"ok","err")</f>
        <v>ok</v>
      </c>
    </row>
    <row r="357" spans="1:42" x14ac:dyDescent="0.2">
      <c r="A357" s="14" t="s">
        <v>569</v>
      </c>
    </row>
    <row r="358" spans="1:42" x14ac:dyDescent="0.2">
      <c r="A358" s="14">
        <v>1</v>
      </c>
      <c r="B358" s="14" t="s">
        <v>950</v>
      </c>
      <c r="D358" s="14" t="s">
        <v>214</v>
      </c>
      <c r="E358" s="95">
        <f>AJ358*AK358</f>
        <v>-9903961</v>
      </c>
      <c r="F358" s="66">
        <f>IF(VLOOKUP($D358,$C$5:$AU$520,3,)=0,0,(VLOOKUP($D358,$C$5:$AU$520,4,)/VLOOKUP($D358,$C$5:$AU$520,3,))*$E358)</f>
        <v>-6260368.0951570766</v>
      </c>
      <c r="G358" s="66">
        <f>IF(VLOOKUP($D358,$C$5:$AU$520,3,)=0,0,(VLOOKUP($D358,$C$5:$AU$520,5,)/VLOOKUP($D358,$C$5:$AU$520,3,))*$E358)</f>
        <v>-34190.988488233008</v>
      </c>
      <c r="H358" s="66">
        <f>IF(VLOOKUP($D358,$C$5:$AU$520,3,)=0,0,(VLOOKUP($D358,$C$5:$AU$520,6,)/VLOOKUP($D358,$C$5:$AU$520,3,))*$E358)</f>
        <v>-627753.80101460859</v>
      </c>
      <c r="I358" s="66">
        <f>IF(VLOOKUP($D358,$C$5:$AU$520,3,)=0,0,(VLOOKUP($D358,$C$5:$AU$520,7,)/VLOOKUP($D358,$C$5:$AU$520,3,))*$E358)</f>
        <v>-238.648991792564</v>
      </c>
      <c r="J358" s="66">
        <f>IF(VLOOKUP($D358,$C$5:$AU$520,3,)=0,0,(VLOOKUP($D358,$C$5:$AU$520,8,)/VLOOKUP($D358,$C$5:$AU$520,3,))*$E358)</f>
        <v>-772147.11199090374</v>
      </c>
      <c r="K358" s="66">
        <f>IF(VLOOKUP($D358,$C$5:$AU$520,3,)=0,0,(VLOOKUP($D358,$C$5:$AU$520,9,)/VLOOKUP($D358,$C$5:$AU$520,3,))*$E358)</f>
        <v>-1008001.3436853713</v>
      </c>
      <c r="L358" s="66">
        <f>IF(VLOOKUP($D358,$C$5:$AU$520,3,)=0,0,(VLOOKUP($D358,$C$5:$AU$520,10,)/VLOOKUP($D358,$C$5:$AU$520,3,))*$E358)</f>
        <v>-652590.33794848481</v>
      </c>
      <c r="M358" s="66">
        <f>IF(VLOOKUP($D358,$C$5:$AU$520,3,)=0,0,(VLOOKUP($D358,$C$5:$AU$520,11,)/VLOOKUP($D358,$C$5:$AU$520,3,))*$E358)</f>
        <v>-246136.59644973141</v>
      </c>
      <c r="N358" s="66">
        <f>IF(VLOOKUP($D358,$C$5:$AU$520,3,)=0,0,(VLOOKUP($D358,$C$5:$AU$520,12,)/VLOOKUP($D358,$C$5:$AU$520,3,))*$E358)</f>
        <v>-107852.10144618036</v>
      </c>
      <c r="O358" s="66">
        <f>IF(VLOOKUP($D358,$C$5:$AU$520,3,)=0,0,(VLOOKUP($D358,$C$5:$AU$520,13,)/VLOOKUP($D358,$C$5:$AU$520,3,))*$E358)</f>
        <v>-194681.97482761825</v>
      </c>
      <c r="P358" s="66">
        <f>IF(VLOOKUP($D358,$C$5:$AU$520,3,)=0,0,(VLOOKUP($D358,$C$5:$AU$520,14,)/VLOOKUP($D358,$C$5:$AU$520,3,))*$E358)</f>
        <v>0</v>
      </c>
      <c r="Q358" s="66">
        <f>IF(VLOOKUP($D358,$C$5:$AU$520,3,)=0,0,(VLOOKUP($D358,$C$5:$AU$520,15,)/VLOOKUP($D358,$C$5:$AU$520,3,))*$E358)</f>
        <v>0</v>
      </c>
      <c r="R358" s="66">
        <f>IF(VLOOKUP($D358,$C$5:$AU$520,3,)=0,0,(VLOOKUP($D358,$C$5:$AU$520,16,)/VLOOKUP($D358,$C$5:$AU$520,3,))*$E358)</f>
        <v>0</v>
      </c>
      <c r="S358" s="66">
        <f>IF(VLOOKUP($D358,$C$5:$AU$520,3,)=0,0,(VLOOKUP($D358,$C$5:$AU$520,17,)/VLOOKUP($D358,$C$5:$AU$520,3,))*$E358)</f>
        <v>0</v>
      </c>
      <c r="T358" s="66">
        <f>IF(VLOOKUP($D358,$C$5:$AU$520,3,)=0,0,(VLOOKUP($D358,$C$5:$AU$520,18,)/VLOOKUP($D358,$C$5:$AU$520,3,))*$E358)</f>
        <v>0</v>
      </c>
      <c r="U358" s="66">
        <f>IF(VLOOKUP($D358,$C$5:$AU$520,3,)=0,0,(VLOOKUP($D358,$C$5:$AU$520,19,)/VLOOKUP($D358,$C$5:$AU$520,3,))*$E358)</f>
        <v>0</v>
      </c>
      <c r="V358" s="66">
        <f>IF(VLOOKUP($D358,$C$5:$AU$520,3,)=0,0,(VLOOKUP($D358,$C$5:$AU$520,20,)/VLOOKUP($D358,$C$5:$AU$520,3,))*$E358)</f>
        <v>0</v>
      </c>
      <c r="W358" s="66">
        <f>IF(VLOOKUP($D358,$C$5:$AU$520,3,)=0,0,(VLOOKUP($D358,$C$5:$AU$520,21,)/VLOOKUP($D358,$C$5:$AU$520,3,))*$E358)</f>
        <v>0</v>
      </c>
      <c r="X358" s="66">
        <f>IF(VLOOKUP($D358,$C$5:$AU$520,3,)=0,0,(VLOOKUP($D358,$C$5:$AU$520,22,)/VLOOKUP($D358,$C$5:$AU$520,3,))*$E358)</f>
        <v>0</v>
      </c>
      <c r="Y358" s="66">
        <f>IF(VLOOKUP($D358,$C$5:$AU$520,3,)=0,0,(VLOOKUP($D358,$C$5:$AU$520,23,)/VLOOKUP($D358,$C$5:$AU$520,3,))*$E358)</f>
        <v>0</v>
      </c>
      <c r="Z358" s="66">
        <f>IF(VLOOKUP($D358,$C$5:$AU$520,3,)=0,0,(VLOOKUP($D358,$C$5:$AU$520,24,)/VLOOKUP($D358,$C$5:$AU$520,3,))*$E358)</f>
        <v>0</v>
      </c>
      <c r="AA358" s="66">
        <f>IF(VLOOKUP($D358,$C$5:$AU$520,3,)=0,0,(VLOOKUP($D358,$C$5:$AU$520,25,)/VLOOKUP($D358,$C$5:$AU$520,3,))*$E358)</f>
        <v>0</v>
      </c>
      <c r="AB358" s="66">
        <f>IF(VLOOKUP($D358,$C$5:$AU$520,3,)=0,0,(VLOOKUP($D358,$C$5:$AU$520,26,)/VLOOKUP($D358,$C$5:$AU$520,3,))*$E358)</f>
        <v>0</v>
      </c>
      <c r="AC358" s="66">
        <f>IF(VLOOKUP($D358,$C$5:$AU$520,3,)=0,0,(VLOOKUP($D358,$C$5:$AU$520,27,)/VLOOKUP($D358,$C$5:$AU$520,3,))*$E358)</f>
        <v>0</v>
      </c>
      <c r="AD358" s="66">
        <f>IF(VLOOKUP($D358,$C$5:$AU$520,3,)=0,0,(VLOOKUP($D358,$C$5:$AU$520,28,)/VLOOKUP($D358,$C$5:$AU$520,3,))*$E358)</f>
        <v>0</v>
      </c>
      <c r="AE358" s="66">
        <f>IF(VLOOKUP($D358,$C$5:$AU$520,3,)=0,0,(VLOOKUP($D358,$C$5:$AU$520,29,)/VLOOKUP($D358,$C$5:$AU$520,3,))*$E358)</f>
        <v>0</v>
      </c>
      <c r="AF358" s="66">
        <f>IF(VLOOKUP($D358,$C$5:$AU$520,3,)=0,0,(VLOOKUP($D358,$C$5:$AU$520,30,)/VLOOKUP($D358,$C$5:$AU$520,3,))*$E358)</f>
        <v>0</v>
      </c>
      <c r="AG358" s="95">
        <f t="shared" ref="AG358:AG382" si="96">SUM(F358:AF358)</f>
        <v>-9903960.9999999981</v>
      </c>
      <c r="AH358" s="31" t="str">
        <f t="shared" ref="AH358:AH382" si="97">IF(ABS(E358-AG358)&lt;0.01,"ok","err")</f>
        <v>ok</v>
      </c>
      <c r="AJ358" s="14">
        <v>1</v>
      </c>
      <c r="AK358" s="50">
        <v>-9903961</v>
      </c>
    </row>
    <row r="359" spans="1:42" x14ac:dyDescent="0.2">
      <c r="A359" s="30">
        <v>2</v>
      </c>
      <c r="B359" s="14" t="s">
        <v>1144</v>
      </c>
      <c r="D359" s="14" t="s">
        <v>957</v>
      </c>
      <c r="E359" s="95">
        <f t="shared" ref="E359:E372" si="98">AJ359*AK359</f>
        <v>-11043657</v>
      </c>
      <c r="F359" s="66">
        <f>IF(VLOOKUP($D359,$C$5:$AU$520,3,)=0,0,(VLOOKUP($D359,$C$5:$AU$520,4,)/VLOOKUP($D359,$C$5:$AU$520,3,))*$E359)</f>
        <v>-8242832.9612644371</v>
      </c>
      <c r="G359" s="66">
        <f>IF(VLOOKUP($D359,$C$5:$AU$520,3,)=0,0,(VLOOKUP($D359,$C$5:$AU$520,5,)/VLOOKUP($D359,$C$5:$AU$520,3,))*$E359)</f>
        <v>0</v>
      </c>
      <c r="H359" s="66">
        <f>IF(VLOOKUP($D359,$C$5:$AU$520,3,)=0,0,(VLOOKUP($D359,$C$5:$AU$520,6,)/VLOOKUP($D359,$C$5:$AU$520,3,))*$E359)</f>
        <v>-534252.71112027089</v>
      </c>
      <c r="I359" s="66">
        <f>IF(VLOOKUP($D359,$C$5:$AU$520,3,)=0,0,(VLOOKUP($D359,$C$5:$AU$520,7,)/VLOOKUP($D359,$C$5:$AU$520,3,))*$E359)</f>
        <v>0</v>
      </c>
      <c r="J359" s="66">
        <f>IF(VLOOKUP($D359,$C$5:$AU$520,3,)=0,0,(VLOOKUP($D359,$C$5:$AU$520,8,)/VLOOKUP($D359,$C$5:$AU$520,3,))*$E359)</f>
        <v>-673999.21446982527</v>
      </c>
      <c r="K359" s="66">
        <f>IF(VLOOKUP($D359,$C$5:$AU$520,3,)=0,0,(VLOOKUP($D359,$C$5:$AU$520,9,)/VLOOKUP($D359,$C$5:$AU$520,3,))*$E359)</f>
        <v>-879613.15733717347</v>
      </c>
      <c r="L359" s="66">
        <f>IF(VLOOKUP($D359,$C$5:$AU$520,3,)=0,0,(VLOOKUP($D359,$C$5:$AU$520,10,)/VLOOKUP($D359,$C$5:$AU$520,3,))*$E359)</f>
        <v>-569430.67308071721</v>
      </c>
      <c r="M359" s="66">
        <f>IF(VLOOKUP($D359,$C$5:$AU$520,3,)=0,0,(VLOOKUP($D359,$C$5:$AU$520,11,)/VLOOKUP($D359,$C$5:$AU$520,3,))*$E359)</f>
        <v>-76540.017554421516</v>
      </c>
      <c r="N359" s="66">
        <f>IF(VLOOKUP($D359,$C$5:$AU$520,3,)=0,0,(VLOOKUP($D359,$C$5:$AU$520,12,)/VLOOKUP($D359,$C$5:$AU$520,3,))*$E359)</f>
        <v>-66988.265173155582</v>
      </c>
      <c r="O359" s="66">
        <f>IF(VLOOKUP($D359,$C$5:$AU$520,3,)=0,0,(VLOOKUP($D359,$C$5:$AU$520,13,)/VLOOKUP($D359,$C$5:$AU$520,3,))*$E359)</f>
        <v>0</v>
      </c>
      <c r="P359" s="66">
        <f>IF(VLOOKUP($D359,$C$5:$AU$520,3,)=0,0,(VLOOKUP($D359,$C$5:$AU$520,14,)/VLOOKUP($D359,$C$5:$AU$520,3,))*$E359)</f>
        <v>0</v>
      </c>
      <c r="Q359" s="66">
        <f>IF(VLOOKUP($D359,$C$5:$AU$520,3,)=0,0,(VLOOKUP($D359,$C$5:$AU$520,15,)/VLOOKUP($D359,$C$5:$AU$520,3,))*$E359)</f>
        <v>0</v>
      </c>
      <c r="R359" s="66">
        <f>IF(VLOOKUP($D359,$C$5:$AU$520,3,)=0,0,(VLOOKUP($D359,$C$5:$AU$520,16,)/VLOOKUP($D359,$C$5:$AU$520,3,))*$E359)</f>
        <v>0</v>
      </c>
      <c r="S359" s="66">
        <f>IF(VLOOKUP($D359,$C$5:$AU$520,3,)=0,0,(VLOOKUP($D359,$C$5:$AU$520,17,)/VLOOKUP($D359,$C$5:$AU$520,3,))*$E359)</f>
        <v>0</v>
      </c>
      <c r="T359" s="66">
        <f>IF(VLOOKUP($D359,$C$5:$AU$520,3,)=0,0,(VLOOKUP($D359,$C$5:$AU$520,18,)/VLOOKUP($D359,$C$5:$AU$520,3,))*$E359)</f>
        <v>0</v>
      </c>
      <c r="U359" s="66">
        <f>IF(VLOOKUP($D359,$C$5:$AU$520,3,)=0,0,(VLOOKUP($D359,$C$5:$AU$520,19,)/VLOOKUP($D359,$C$5:$AU$520,3,))*$E359)</f>
        <v>0</v>
      </c>
      <c r="V359" s="66">
        <f>IF(VLOOKUP($D359,$C$5:$AU$520,3,)=0,0,(VLOOKUP($D359,$C$5:$AU$520,20,)/VLOOKUP($D359,$C$5:$AU$520,3,))*$E359)</f>
        <v>0</v>
      </c>
      <c r="W359" s="66">
        <f>IF(VLOOKUP($D359,$C$5:$AU$520,3,)=0,0,(VLOOKUP($D359,$C$5:$AU$520,21,)/VLOOKUP($D359,$C$5:$AU$520,3,))*$E359)</f>
        <v>0</v>
      </c>
      <c r="X359" s="66">
        <f>IF(VLOOKUP($D359,$C$5:$AU$520,3,)=0,0,(VLOOKUP($D359,$C$5:$AU$520,22,)/VLOOKUP($D359,$C$5:$AU$520,3,))*$E359)</f>
        <v>0</v>
      </c>
      <c r="Y359" s="66">
        <f>IF(VLOOKUP($D359,$C$5:$AU$520,3,)=0,0,(VLOOKUP($D359,$C$5:$AU$520,23,)/VLOOKUP($D359,$C$5:$AU$520,3,))*$E359)</f>
        <v>0</v>
      </c>
      <c r="Z359" s="66">
        <f>IF(VLOOKUP($D359,$C$5:$AU$520,3,)=0,0,(VLOOKUP($D359,$C$5:$AU$520,24,)/VLOOKUP($D359,$C$5:$AU$520,3,))*$E359)</f>
        <v>0</v>
      </c>
      <c r="AA359" s="66">
        <f>IF(VLOOKUP($D359,$C$5:$AU$520,3,)=0,0,(VLOOKUP($D359,$C$5:$AU$520,25,)/VLOOKUP($D359,$C$5:$AU$520,3,))*$E359)</f>
        <v>0</v>
      </c>
      <c r="AB359" s="66">
        <f>IF(VLOOKUP($D359,$C$5:$AU$520,3,)=0,0,(VLOOKUP($D359,$C$5:$AU$520,26,)/VLOOKUP($D359,$C$5:$AU$520,3,))*$E359)</f>
        <v>0</v>
      </c>
      <c r="AC359" s="66">
        <f>IF(VLOOKUP($D359,$C$5:$AU$520,3,)=0,0,(VLOOKUP($D359,$C$5:$AU$520,27,)/VLOOKUP($D359,$C$5:$AU$520,3,))*$E359)</f>
        <v>0</v>
      </c>
      <c r="AD359" s="66">
        <f>IF(VLOOKUP($D359,$C$5:$AU$520,3,)=0,0,(VLOOKUP($D359,$C$5:$AU$520,28,)/VLOOKUP($D359,$C$5:$AU$520,3,))*$E359)</f>
        <v>0</v>
      </c>
      <c r="AE359" s="66">
        <f>IF(VLOOKUP($D359,$C$5:$AU$520,3,)=0,0,(VLOOKUP($D359,$C$5:$AU$520,29,)/VLOOKUP($D359,$C$5:$AU$520,3,))*$E359)</f>
        <v>0</v>
      </c>
      <c r="AF359" s="66">
        <f>IF(VLOOKUP($D359,$C$5:$AU$520,3,)=0,0,(VLOOKUP($D359,$C$5:$AU$520,30,)/VLOOKUP($D359,$C$5:$AU$520,3,))*$E359)</f>
        <v>0</v>
      </c>
      <c r="AG359" s="95">
        <f t="shared" si="96"/>
        <v>-11043657</v>
      </c>
      <c r="AH359" s="31" t="str">
        <f t="shared" si="97"/>
        <v>ok</v>
      </c>
      <c r="AJ359" s="14">
        <f>AJ358</f>
        <v>1</v>
      </c>
      <c r="AK359" s="50">
        <v>-11043657</v>
      </c>
    </row>
    <row r="360" spans="1:42" hidden="1" x14ac:dyDescent="0.2">
      <c r="A360" s="30"/>
      <c r="B360" s="14" t="s">
        <v>1203</v>
      </c>
      <c r="D360" s="14" t="s">
        <v>214</v>
      </c>
      <c r="E360" s="95">
        <f t="shared" si="98"/>
        <v>0</v>
      </c>
      <c r="F360" s="66">
        <f>IF(VLOOKUP($D360,$C$5:$AU$520,3,)=0,0,(VLOOKUP($D360,$C$5:$AU$520,4,)/VLOOKUP($D360,$C$5:$AU$520,3,))*$E360)</f>
        <v>0</v>
      </c>
      <c r="G360" s="66">
        <f>IF(VLOOKUP($D360,$C$5:$AU$520,3,)=0,0,(VLOOKUP($D360,$C$5:$AU$520,5,)/VLOOKUP($D360,$C$5:$AU$520,3,))*$E360)</f>
        <v>0</v>
      </c>
      <c r="H360" s="66">
        <f>IF(VLOOKUP($D360,$C$5:$AU$520,3,)=0,0,(VLOOKUP($D360,$C$5:$AU$520,6,)/VLOOKUP($D360,$C$5:$AU$520,3,))*$E360)</f>
        <v>0</v>
      </c>
      <c r="I360" s="66">
        <f>IF(VLOOKUP($D360,$C$5:$AU$520,3,)=0,0,(VLOOKUP($D360,$C$5:$AU$520,7,)/VLOOKUP($D360,$C$5:$AU$520,3,))*$E360)</f>
        <v>0</v>
      </c>
      <c r="J360" s="66">
        <f>IF(VLOOKUP($D360,$C$5:$AU$520,3,)=0,0,(VLOOKUP($D360,$C$5:$AU$520,8,)/VLOOKUP($D360,$C$5:$AU$520,3,))*$E360)</f>
        <v>0</v>
      </c>
      <c r="K360" s="66">
        <f>IF(VLOOKUP($D360,$C$5:$AU$520,3,)=0,0,(VLOOKUP($D360,$C$5:$AU$520,9,)/VLOOKUP($D360,$C$5:$AU$520,3,))*$E360)</f>
        <v>0</v>
      </c>
      <c r="L360" s="66">
        <f>IF(VLOOKUP($D360,$C$5:$AU$520,3,)=0,0,(VLOOKUP($D360,$C$5:$AU$520,10,)/VLOOKUP($D360,$C$5:$AU$520,3,))*$E360)</f>
        <v>0</v>
      </c>
      <c r="M360" s="66">
        <f>IF(VLOOKUP($D360,$C$5:$AU$520,3,)=0,0,(VLOOKUP($D360,$C$5:$AU$520,11,)/VLOOKUP($D360,$C$5:$AU$520,3,))*$E360)</f>
        <v>0</v>
      </c>
      <c r="N360" s="66">
        <f>IF(VLOOKUP($D360,$C$5:$AU$520,3,)=0,0,(VLOOKUP($D360,$C$5:$AU$520,12,)/VLOOKUP($D360,$C$5:$AU$520,3,))*$E360)</f>
        <v>0</v>
      </c>
      <c r="O360" s="66">
        <f>IF(VLOOKUP($D360,$C$5:$AU$520,3,)=0,0,(VLOOKUP($D360,$C$5:$AU$520,13,)/VLOOKUP($D360,$C$5:$AU$520,3,))*$E360)</f>
        <v>0</v>
      </c>
      <c r="P360" s="66">
        <f>IF(VLOOKUP($D360,$C$5:$AU$520,3,)=0,0,(VLOOKUP($D360,$C$5:$AU$520,14,)/VLOOKUP($D360,$C$5:$AU$520,3,))*$E360)</f>
        <v>0</v>
      </c>
      <c r="Q360" s="66">
        <f>IF(VLOOKUP($D360,$C$5:$AU$520,3,)=0,0,(VLOOKUP($D360,$C$5:$AU$520,15,)/VLOOKUP($D360,$C$5:$AU$520,3,))*$E360)</f>
        <v>0</v>
      </c>
      <c r="R360" s="66">
        <f>IF(VLOOKUP($D360,$C$5:$AU$520,3,)=0,0,(VLOOKUP($D360,$C$5:$AU$520,16,)/VLOOKUP($D360,$C$5:$AU$520,3,))*$E360)</f>
        <v>0</v>
      </c>
      <c r="S360" s="66">
        <f>IF(VLOOKUP($D360,$C$5:$AU$520,3,)=0,0,(VLOOKUP($D360,$C$5:$AU$520,17,)/VLOOKUP($D360,$C$5:$AU$520,3,))*$E360)</f>
        <v>0</v>
      </c>
      <c r="T360" s="66">
        <f>IF(VLOOKUP($D360,$C$5:$AU$520,3,)=0,0,(VLOOKUP($D360,$C$5:$AU$520,18,)/VLOOKUP($D360,$C$5:$AU$520,3,))*$E360)</f>
        <v>0</v>
      </c>
      <c r="U360" s="66">
        <f>IF(VLOOKUP($D360,$C$5:$AU$520,3,)=0,0,(VLOOKUP($D360,$C$5:$AU$520,19,)/VLOOKUP($D360,$C$5:$AU$520,3,))*$E360)</f>
        <v>0</v>
      </c>
      <c r="V360" s="66">
        <f>IF(VLOOKUP($D360,$C$5:$AU$520,3,)=0,0,(VLOOKUP($D360,$C$5:$AU$520,20,)/VLOOKUP($D360,$C$5:$AU$520,3,))*$E360)</f>
        <v>0</v>
      </c>
      <c r="W360" s="66">
        <f>IF(VLOOKUP($D360,$C$5:$AU$520,3,)=0,0,(VLOOKUP($D360,$C$5:$AU$520,21,)/VLOOKUP($D360,$C$5:$AU$520,3,))*$E360)</f>
        <v>0</v>
      </c>
      <c r="X360" s="66">
        <f>IF(VLOOKUP($D360,$C$5:$AU$520,3,)=0,0,(VLOOKUP($D360,$C$5:$AU$520,22,)/VLOOKUP($D360,$C$5:$AU$520,3,))*$E360)</f>
        <v>0</v>
      </c>
      <c r="Y360" s="66">
        <f>IF(VLOOKUP($D360,$C$5:$AU$520,3,)=0,0,(VLOOKUP($D360,$C$5:$AU$520,23,)/VLOOKUP($D360,$C$5:$AU$520,3,))*$E360)</f>
        <v>0</v>
      </c>
      <c r="Z360" s="66">
        <f>IF(VLOOKUP($D360,$C$5:$AU$520,3,)=0,0,(VLOOKUP($D360,$C$5:$AU$520,24,)/VLOOKUP($D360,$C$5:$AU$520,3,))*$E360)</f>
        <v>0</v>
      </c>
      <c r="AA360" s="66">
        <f>IF(VLOOKUP($D360,$C$5:$AU$520,3,)=0,0,(VLOOKUP($D360,$C$5:$AU$520,25,)/VLOOKUP($D360,$C$5:$AU$520,3,))*$E360)</f>
        <v>0</v>
      </c>
      <c r="AB360" s="66">
        <f>IF(VLOOKUP($D360,$C$5:$AU$520,3,)=0,0,(VLOOKUP($D360,$C$5:$AU$520,26,)/VLOOKUP($D360,$C$5:$AU$520,3,))*$E360)</f>
        <v>0</v>
      </c>
      <c r="AC360" s="66">
        <f>IF(VLOOKUP($D360,$C$5:$AU$520,3,)=0,0,(VLOOKUP($D360,$C$5:$AU$520,27,)/VLOOKUP($D360,$C$5:$AU$520,3,))*$E360)</f>
        <v>0</v>
      </c>
      <c r="AD360" s="66">
        <f>IF(VLOOKUP($D360,$C$5:$AU$520,3,)=0,0,(VLOOKUP($D360,$C$5:$AU$520,28,)/VLOOKUP($D360,$C$5:$AU$520,3,))*$E360)</f>
        <v>0</v>
      </c>
      <c r="AE360" s="66">
        <f>IF(VLOOKUP($D360,$C$5:$AU$520,3,)=0,0,(VLOOKUP($D360,$C$5:$AU$520,29,)/VLOOKUP($D360,$C$5:$AU$520,3,))*$E360)</f>
        <v>0</v>
      </c>
      <c r="AF360" s="66">
        <f>IF(VLOOKUP($D360,$C$5:$AU$520,3,)=0,0,(VLOOKUP($D360,$C$5:$AU$520,30,)/VLOOKUP($D360,$C$5:$AU$520,3,))*$E360)</f>
        <v>0</v>
      </c>
      <c r="AG360" s="95">
        <f t="shared" ref="AG360" si="99">SUM(F360:AF360)</f>
        <v>0</v>
      </c>
      <c r="AH360" s="31" t="str">
        <f t="shared" ref="AH360:AH361" si="100">IF(ABS(E360-AG360)&lt;0.01,"ok","err")</f>
        <v>ok</v>
      </c>
      <c r="AJ360" s="14">
        <v>0</v>
      </c>
      <c r="AK360" s="50">
        <v>0</v>
      </c>
    </row>
    <row r="361" spans="1:42" x14ac:dyDescent="0.2">
      <c r="A361" s="14">
        <v>3</v>
      </c>
      <c r="B361" s="14" t="s">
        <v>1148</v>
      </c>
      <c r="E361" s="95">
        <f t="shared" si="98"/>
        <v>-162877.2263804581</v>
      </c>
      <c r="F361" s="66">
        <f>AJ361*AL361</f>
        <v>27002.858352293861</v>
      </c>
      <c r="G361" s="66">
        <v>0</v>
      </c>
      <c r="H361" s="66">
        <f>AJ361*AM361</f>
        <v>12325.179283097494</v>
      </c>
      <c r="I361" s="66">
        <v>0</v>
      </c>
      <c r="J361" s="66">
        <f>AJ361*AN361</f>
        <v>-168231.33176825827</v>
      </c>
      <c r="K361" s="66">
        <v>0</v>
      </c>
      <c r="L361" s="66">
        <v>0</v>
      </c>
      <c r="M361" s="66">
        <f>AJ361*AO361</f>
        <v>-3328.8340642613034</v>
      </c>
      <c r="N361" s="66">
        <f>AJ361*AP361</f>
        <v>-30645.098183329897</v>
      </c>
      <c r="O361" s="66">
        <v>0</v>
      </c>
      <c r="P361" s="66">
        <v>0</v>
      </c>
      <c r="Q361" s="66">
        <v>0</v>
      </c>
      <c r="R361" s="66">
        <v>0</v>
      </c>
      <c r="S361" s="66">
        <v>0</v>
      </c>
      <c r="T361" s="66">
        <v>0</v>
      </c>
      <c r="U361" s="66">
        <v>0</v>
      </c>
      <c r="V361" s="66">
        <v>0</v>
      </c>
      <c r="W361" s="66">
        <v>0</v>
      </c>
      <c r="X361" s="66">
        <v>0</v>
      </c>
      <c r="Y361" s="66">
        <v>0</v>
      </c>
      <c r="Z361" s="66">
        <v>0</v>
      </c>
      <c r="AA361" s="66">
        <v>0</v>
      </c>
      <c r="AB361" s="66">
        <v>0</v>
      </c>
      <c r="AC361" s="66">
        <v>0</v>
      </c>
      <c r="AD361" s="66">
        <v>0</v>
      </c>
      <c r="AE361" s="66">
        <v>0</v>
      </c>
      <c r="AF361" s="66">
        <v>0</v>
      </c>
      <c r="AG361" s="95">
        <f t="shared" ref="AG361" si="101">SUM(F361:AF361)</f>
        <v>-162877.2263804581</v>
      </c>
      <c r="AH361" s="31" t="str">
        <f t="shared" si="100"/>
        <v>ok</v>
      </c>
      <c r="AJ361" s="14">
        <f>AJ358</f>
        <v>1</v>
      </c>
      <c r="AK361" s="50">
        <v>-162877.2263804581</v>
      </c>
      <c r="AL361" s="68">
        <v>27002.858352293861</v>
      </c>
      <c r="AM361" s="68">
        <v>12325.179283097494</v>
      </c>
      <c r="AN361" s="68">
        <v>-168231.33176825827</v>
      </c>
      <c r="AO361" s="68">
        <v>-3328.8340642613034</v>
      </c>
      <c r="AP361" s="68">
        <v>-30645.098183329897</v>
      </c>
    </row>
    <row r="362" spans="1:42" x14ac:dyDescent="0.2">
      <c r="A362" s="14">
        <v>4</v>
      </c>
      <c r="B362" s="14" t="s">
        <v>1149</v>
      </c>
      <c r="D362" s="14" t="s">
        <v>285</v>
      </c>
      <c r="E362" s="95">
        <f t="shared" si="98"/>
        <v>-175667.90999999997</v>
      </c>
      <c r="F362" s="66">
        <f t="shared" ref="F362:F381" si="102">IF(VLOOKUP($D362,$C$5:$AU$520,3,)=0,0,(VLOOKUP($D362,$C$5:$AU$520,4,)/VLOOKUP($D362,$C$5:$AU$520,3,))*$E362)</f>
        <v>-152182.94975488677</v>
      </c>
      <c r="G362" s="66">
        <f t="shared" ref="G362:G381" si="103">IF(VLOOKUP($D362,$C$5:$AU$520,3,)=0,0,(VLOOKUP($D362,$C$5:$AU$520,5,)/VLOOKUP($D362,$C$5:$AU$520,3,))*$E362)</f>
        <v>-170.42815710340255</v>
      </c>
      <c r="H362" s="66">
        <f t="shared" ref="H362:H381" si="104">IF(VLOOKUP($D362,$C$5:$AU$520,3,)=0,0,(VLOOKUP($D362,$C$5:$AU$520,6,)/VLOOKUP($D362,$C$5:$AU$520,3,))*$E362)</f>
        <v>-10235.122662480468</v>
      </c>
      <c r="I362" s="66">
        <f t="shared" ref="I362:I381" si="105">IF(VLOOKUP($D362,$C$5:$AU$520,3,)=0,0,(VLOOKUP($D362,$C$5:$AU$520,7,)/VLOOKUP($D362,$C$5:$AU$520,3,))*$E362)</f>
        <v>-2.3682355046627981</v>
      </c>
      <c r="J362" s="66">
        <f t="shared" ref="J362:J381" si="106">IF(VLOOKUP($D362,$C$5:$AU$520,3,)=0,0,(VLOOKUP($D362,$C$5:$AU$520,8,)/VLOOKUP($D362,$C$5:$AU$520,3,))*$E362)</f>
        <v>-3039.7163105032928</v>
      </c>
      <c r="K362" s="66">
        <f t="shared" ref="K362:K381" si="107">IF(VLOOKUP($D362,$C$5:$AU$520,3,)=0,0,(VLOOKUP($D362,$C$5:$AU$520,9,)/VLOOKUP($D362,$C$5:$AU$520,3,))*$E362)</f>
        <v>-1855.8754343849287</v>
      </c>
      <c r="L362" s="66">
        <f t="shared" ref="L362:L381" si="108">IF(VLOOKUP($D362,$C$5:$AU$520,3,)=0,0,(VLOOKUP($D362,$C$5:$AU$520,10,)/VLOOKUP($D362,$C$5:$AU$520,3,))*$E362)</f>
        <v>-1454.2555261192747</v>
      </c>
      <c r="M362" s="66">
        <f t="shared" ref="M362:M381" si="109">IF(VLOOKUP($D362,$C$5:$AU$520,3,)=0,0,(VLOOKUP($D362,$C$5:$AU$520,11,)/VLOOKUP($D362,$C$5:$AU$520,3,))*$E362)</f>
        <v>-4740.5508315576135</v>
      </c>
      <c r="N362" s="66">
        <f t="shared" ref="N362:N381" si="110">IF(VLOOKUP($D362,$C$5:$AU$520,3,)=0,0,(VLOOKUP($D362,$C$5:$AU$520,12,)/VLOOKUP($D362,$C$5:$AU$520,3,))*$E362)</f>
        <v>-711.51676275632735</v>
      </c>
      <c r="O362" s="66">
        <f t="shared" ref="O362:O381" si="111">IF(VLOOKUP($D362,$C$5:$AU$520,3,)=0,0,(VLOOKUP($D362,$C$5:$AU$520,13,)/VLOOKUP($D362,$C$5:$AU$520,3,))*$E362)</f>
        <v>-1275.1263247032136</v>
      </c>
      <c r="P362" s="66">
        <f t="shared" ref="P362:P381" si="112">IF(VLOOKUP($D362,$C$5:$AU$520,3,)=0,0,(VLOOKUP($D362,$C$5:$AU$520,14,)/VLOOKUP($D362,$C$5:$AU$520,3,))*$E362)</f>
        <v>0</v>
      </c>
      <c r="Q362" s="66">
        <f t="shared" ref="Q362:Q381" si="113">IF(VLOOKUP($D362,$C$5:$AU$520,3,)=0,0,(VLOOKUP($D362,$C$5:$AU$520,15,)/VLOOKUP($D362,$C$5:$AU$520,3,))*$E362)</f>
        <v>0</v>
      </c>
      <c r="R362" s="66">
        <f t="shared" ref="R362:R381" si="114">IF(VLOOKUP($D362,$C$5:$AU$520,3,)=0,0,(VLOOKUP($D362,$C$5:$AU$520,16,)/VLOOKUP($D362,$C$5:$AU$520,3,))*$E362)</f>
        <v>0</v>
      </c>
      <c r="S362" s="66">
        <f t="shared" ref="S362:S381" si="115">IF(VLOOKUP($D362,$C$5:$AU$520,3,)=0,0,(VLOOKUP($D362,$C$5:$AU$520,17,)/VLOOKUP($D362,$C$5:$AU$520,3,))*$E362)</f>
        <v>0</v>
      </c>
      <c r="T362" s="66">
        <f t="shared" ref="T362:T381" si="116">IF(VLOOKUP($D362,$C$5:$AU$520,3,)=0,0,(VLOOKUP($D362,$C$5:$AU$520,18,)/VLOOKUP($D362,$C$5:$AU$520,3,))*$E362)</f>
        <v>0</v>
      </c>
      <c r="U362" s="66">
        <f t="shared" ref="U362:U381" si="117">IF(VLOOKUP($D362,$C$5:$AU$520,3,)=0,0,(VLOOKUP($D362,$C$5:$AU$520,19,)/VLOOKUP($D362,$C$5:$AU$520,3,))*$E362)</f>
        <v>0</v>
      </c>
      <c r="V362" s="66">
        <f t="shared" ref="V362:V381" si="118">IF(VLOOKUP($D362,$C$5:$AU$520,3,)=0,0,(VLOOKUP($D362,$C$5:$AU$520,20,)/VLOOKUP($D362,$C$5:$AU$520,3,))*$E362)</f>
        <v>0</v>
      </c>
      <c r="W362" s="66">
        <f t="shared" ref="W362:W381" si="119">IF(VLOOKUP($D362,$C$5:$AU$520,3,)=0,0,(VLOOKUP($D362,$C$5:$AU$520,21,)/VLOOKUP($D362,$C$5:$AU$520,3,))*$E362)</f>
        <v>0</v>
      </c>
      <c r="X362" s="66">
        <f t="shared" ref="X362:X381" si="120">IF(VLOOKUP($D362,$C$5:$AU$520,3,)=0,0,(VLOOKUP($D362,$C$5:$AU$520,22,)/VLOOKUP($D362,$C$5:$AU$520,3,))*$E362)</f>
        <v>0</v>
      </c>
      <c r="Y362" s="66">
        <f t="shared" ref="Y362:Y381" si="121">IF(VLOOKUP($D362,$C$5:$AU$520,3,)=0,0,(VLOOKUP($D362,$C$5:$AU$520,23,)/VLOOKUP($D362,$C$5:$AU$520,3,))*$E362)</f>
        <v>0</v>
      </c>
      <c r="Z362" s="66">
        <f t="shared" ref="Z362:Z381" si="122">IF(VLOOKUP($D362,$C$5:$AU$520,3,)=0,0,(VLOOKUP($D362,$C$5:$AU$520,24,)/VLOOKUP($D362,$C$5:$AU$520,3,))*$E362)</f>
        <v>0</v>
      </c>
      <c r="AA362" s="66">
        <f t="shared" ref="AA362:AA381" si="123">IF(VLOOKUP($D362,$C$5:$AU$520,3,)=0,0,(VLOOKUP($D362,$C$5:$AU$520,25,)/VLOOKUP($D362,$C$5:$AU$520,3,))*$E362)</f>
        <v>0</v>
      </c>
      <c r="AB362" s="66">
        <f t="shared" ref="AB362:AB381" si="124">IF(VLOOKUP($D362,$C$5:$AU$520,3,)=0,0,(VLOOKUP($D362,$C$5:$AU$520,26,)/VLOOKUP($D362,$C$5:$AU$520,3,))*$E362)</f>
        <v>0</v>
      </c>
      <c r="AC362" s="66">
        <f t="shared" ref="AC362:AC381" si="125">IF(VLOOKUP($D362,$C$5:$AU$520,3,)=0,0,(VLOOKUP($D362,$C$5:$AU$520,27,)/VLOOKUP($D362,$C$5:$AU$520,3,))*$E362)</f>
        <v>0</v>
      </c>
      <c r="AD362" s="66">
        <f t="shared" ref="AD362:AD381" si="126">IF(VLOOKUP($D362,$C$5:$AU$520,3,)=0,0,(VLOOKUP($D362,$C$5:$AU$520,28,)/VLOOKUP($D362,$C$5:$AU$520,3,))*$E362)</f>
        <v>0</v>
      </c>
      <c r="AE362" s="66">
        <f t="shared" ref="AE362:AE381" si="127">IF(VLOOKUP($D362,$C$5:$AU$520,3,)=0,0,(VLOOKUP($D362,$C$5:$AU$520,29,)/VLOOKUP($D362,$C$5:$AU$520,3,))*$E362)</f>
        <v>0</v>
      </c>
      <c r="AF362" s="66">
        <f t="shared" ref="AF362:AF381" si="128">IF(VLOOKUP($D362,$C$5:$AU$520,3,)=0,0,(VLOOKUP($D362,$C$5:$AU$520,30,)/VLOOKUP($D362,$C$5:$AU$520,3,))*$E362)</f>
        <v>0</v>
      </c>
      <c r="AG362" s="95">
        <f t="shared" si="96"/>
        <v>-175667.90999999992</v>
      </c>
      <c r="AH362" s="31" t="str">
        <f t="shared" si="97"/>
        <v>ok</v>
      </c>
      <c r="AJ362" s="14">
        <f t="shared" ref="AJ362:AJ370" si="129">AJ361</f>
        <v>1</v>
      </c>
      <c r="AK362" s="50">
        <v>-175667.90999999997</v>
      </c>
    </row>
    <row r="363" spans="1:42" x14ac:dyDescent="0.2">
      <c r="A363" s="14">
        <v>5</v>
      </c>
      <c r="B363" s="14" t="s">
        <v>972</v>
      </c>
      <c r="D363" s="14" t="s">
        <v>285</v>
      </c>
      <c r="E363" s="95">
        <f t="shared" si="98"/>
        <v>-182518.55200000014</v>
      </c>
      <c r="F363" s="66">
        <f t="shared" si="102"/>
        <v>-158117.73264878438</v>
      </c>
      <c r="G363" s="66">
        <f t="shared" si="103"/>
        <v>-177.07446086505826</v>
      </c>
      <c r="H363" s="66">
        <f t="shared" si="104"/>
        <v>-10634.268762566375</v>
      </c>
      <c r="I363" s="66">
        <f t="shared" si="105"/>
        <v>-2.4605912093224287</v>
      </c>
      <c r="J363" s="66">
        <f t="shared" si="106"/>
        <v>-3158.2582128053091</v>
      </c>
      <c r="K363" s="66">
        <f t="shared" si="107"/>
        <v>-1928.2502818887554</v>
      </c>
      <c r="L363" s="66">
        <f t="shared" si="108"/>
        <v>-1510.9681265365339</v>
      </c>
      <c r="M363" s="66">
        <f t="shared" si="109"/>
        <v>-4925.4213445033429</v>
      </c>
      <c r="N363" s="66">
        <f t="shared" si="110"/>
        <v>-739.26427007648988</v>
      </c>
      <c r="O363" s="66">
        <f t="shared" si="111"/>
        <v>-1324.8533007645653</v>
      </c>
      <c r="P363" s="66">
        <f t="shared" si="112"/>
        <v>0</v>
      </c>
      <c r="Q363" s="66">
        <f t="shared" si="113"/>
        <v>0</v>
      </c>
      <c r="R363" s="66">
        <f t="shared" si="114"/>
        <v>0</v>
      </c>
      <c r="S363" s="66">
        <f t="shared" si="115"/>
        <v>0</v>
      </c>
      <c r="T363" s="66">
        <f t="shared" si="116"/>
        <v>0</v>
      </c>
      <c r="U363" s="66">
        <f t="shared" si="117"/>
        <v>0</v>
      </c>
      <c r="V363" s="66">
        <f t="shared" si="118"/>
        <v>0</v>
      </c>
      <c r="W363" s="66">
        <f t="shared" si="119"/>
        <v>0</v>
      </c>
      <c r="X363" s="66">
        <f t="shared" si="120"/>
        <v>0</v>
      </c>
      <c r="Y363" s="66">
        <f t="shared" si="121"/>
        <v>0</v>
      </c>
      <c r="Z363" s="66">
        <f t="shared" si="122"/>
        <v>0</v>
      </c>
      <c r="AA363" s="66">
        <f t="shared" si="123"/>
        <v>0</v>
      </c>
      <c r="AB363" s="66">
        <f t="shared" si="124"/>
        <v>0</v>
      </c>
      <c r="AC363" s="66">
        <f t="shared" si="125"/>
        <v>0</v>
      </c>
      <c r="AD363" s="66">
        <f t="shared" si="126"/>
        <v>0</v>
      </c>
      <c r="AE363" s="66">
        <f t="shared" si="127"/>
        <v>0</v>
      </c>
      <c r="AF363" s="66">
        <f t="shared" si="128"/>
        <v>0</v>
      </c>
      <c r="AG363" s="95">
        <f t="shared" si="96"/>
        <v>-182518.55200000017</v>
      </c>
      <c r="AH363" s="31" t="str">
        <f t="shared" si="97"/>
        <v>ok</v>
      </c>
      <c r="AJ363" s="14">
        <f t="shared" si="129"/>
        <v>1</v>
      </c>
      <c r="AK363" s="50">
        <v>-182518.55200000014</v>
      </c>
    </row>
    <row r="364" spans="1:42" x14ac:dyDescent="0.2">
      <c r="A364" s="14">
        <v>6</v>
      </c>
      <c r="B364" s="14" t="s">
        <v>1151</v>
      </c>
      <c r="D364" s="14" t="s">
        <v>285</v>
      </c>
      <c r="E364" s="95">
        <f t="shared" si="98"/>
        <v>-35011.949999999997</v>
      </c>
      <c r="F364" s="66">
        <f t="shared" si="102"/>
        <v>-30331.218875835708</v>
      </c>
      <c r="G364" s="66">
        <f t="shared" si="103"/>
        <v>-33.967627411839047</v>
      </c>
      <c r="H364" s="66">
        <f t="shared" si="104"/>
        <v>-2039.9377604175575</v>
      </c>
      <c r="I364" s="66">
        <f t="shared" si="105"/>
        <v>-0.47200734088245633</v>
      </c>
      <c r="J364" s="66">
        <f t="shared" si="106"/>
        <v>-605.83857050229471</v>
      </c>
      <c r="K364" s="66">
        <f t="shared" si="107"/>
        <v>-369.8900835953101</v>
      </c>
      <c r="L364" s="66">
        <f t="shared" si="108"/>
        <v>-289.84418251296859</v>
      </c>
      <c r="M364" s="66">
        <f t="shared" si="109"/>
        <v>-944.8278213531064</v>
      </c>
      <c r="N364" s="66">
        <f t="shared" si="110"/>
        <v>-141.81070021147517</v>
      </c>
      <c r="O364" s="66">
        <f t="shared" si="111"/>
        <v>-254.14237081885182</v>
      </c>
      <c r="P364" s="66">
        <f t="shared" si="112"/>
        <v>0</v>
      </c>
      <c r="Q364" s="66">
        <f t="shared" si="113"/>
        <v>0</v>
      </c>
      <c r="R364" s="66">
        <f t="shared" si="114"/>
        <v>0</v>
      </c>
      <c r="S364" s="66">
        <f t="shared" si="115"/>
        <v>0</v>
      </c>
      <c r="T364" s="66">
        <f t="shared" si="116"/>
        <v>0</v>
      </c>
      <c r="U364" s="66">
        <f t="shared" si="117"/>
        <v>0</v>
      </c>
      <c r="V364" s="66">
        <f t="shared" si="118"/>
        <v>0</v>
      </c>
      <c r="W364" s="66">
        <f t="shared" si="119"/>
        <v>0</v>
      </c>
      <c r="X364" s="66">
        <f t="shared" si="120"/>
        <v>0</v>
      </c>
      <c r="Y364" s="66">
        <f t="shared" si="121"/>
        <v>0</v>
      </c>
      <c r="Z364" s="66">
        <f t="shared" si="122"/>
        <v>0</v>
      </c>
      <c r="AA364" s="66">
        <f t="shared" si="123"/>
        <v>0</v>
      </c>
      <c r="AB364" s="66">
        <f t="shared" si="124"/>
        <v>0</v>
      </c>
      <c r="AC364" s="66">
        <f t="shared" si="125"/>
        <v>0</v>
      </c>
      <c r="AD364" s="66">
        <f t="shared" si="126"/>
        <v>0</v>
      </c>
      <c r="AE364" s="66">
        <f t="shared" si="127"/>
        <v>0</v>
      </c>
      <c r="AF364" s="66">
        <f t="shared" si="128"/>
        <v>0</v>
      </c>
      <c r="AG364" s="95">
        <f t="shared" si="96"/>
        <v>-35011.949999999997</v>
      </c>
      <c r="AH364" s="31" t="str">
        <f t="shared" si="97"/>
        <v>ok</v>
      </c>
      <c r="AJ364" s="14">
        <f t="shared" si="129"/>
        <v>1</v>
      </c>
      <c r="AK364" s="50">
        <v>-35011.949999999997</v>
      </c>
    </row>
    <row r="365" spans="1:42" x14ac:dyDescent="0.2">
      <c r="A365" s="14">
        <v>7</v>
      </c>
      <c r="B365" s="14" t="s">
        <v>1199</v>
      </c>
      <c r="C365" s="50"/>
      <c r="D365" s="14" t="s">
        <v>273</v>
      </c>
      <c r="E365" s="95">
        <f t="shared" si="98"/>
        <v>-265253.65999999997</v>
      </c>
      <c r="F365" s="66">
        <f t="shared" si="102"/>
        <v>-191141.25338554793</v>
      </c>
      <c r="G365" s="66">
        <f t="shared" si="103"/>
        <v>-578.45920266014161</v>
      </c>
      <c r="H365" s="66">
        <f t="shared" si="104"/>
        <v>-15782.855677300169</v>
      </c>
      <c r="I365" s="66">
        <f t="shared" si="105"/>
        <v>-4.2936081915437327</v>
      </c>
      <c r="J365" s="66">
        <f t="shared" si="106"/>
        <v>-17002.926530453828</v>
      </c>
      <c r="K365" s="66">
        <f t="shared" si="107"/>
        <v>-16726.784919986323</v>
      </c>
      <c r="L365" s="66">
        <f t="shared" si="108"/>
        <v>-12419.208745222177</v>
      </c>
      <c r="M365" s="66">
        <f t="shared" si="109"/>
        <v>-5846.4296908788683</v>
      </c>
      <c r="N365" s="66">
        <f t="shared" si="110"/>
        <v>-2275.961393671349</v>
      </c>
      <c r="O365" s="66">
        <f t="shared" si="111"/>
        <v>-3475.4868460875973</v>
      </c>
      <c r="P365" s="66">
        <f t="shared" si="112"/>
        <v>0</v>
      </c>
      <c r="Q365" s="66">
        <f t="shared" si="113"/>
        <v>0</v>
      </c>
      <c r="R365" s="66">
        <f t="shared" si="114"/>
        <v>0</v>
      </c>
      <c r="S365" s="66">
        <f t="shared" si="115"/>
        <v>0</v>
      </c>
      <c r="T365" s="66">
        <f t="shared" si="116"/>
        <v>0</v>
      </c>
      <c r="U365" s="66">
        <f t="shared" si="117"/>
        <v>0</v>
      </c>
      <c r="V365" s="66">
        <f t="shared" si="118"/>
        <v>0</v>
      </c>
      <c r="W365" s="66">
        <f t="shared" si="119"/>
        <v>0</v>
      </c>
      <c r="X365" s="66">
        <f t="shared" si="120"/>
        <v>0</v>
      </c>
      <c r="Y365" s="66">
        <f t="shared" si="121"/>
        <v>0</v>
      </c>
      <c r="Z365" s="66">
        <f t="shared" si="122"/>
        <v>0</v>
      </c>
      <c r="AA365" s="66">
        <f t="shared" si="123"/>
        <v>0</v>
      </c>
      <c r="AB365" s="66">
        <f t="shared" si="124"/>
        <v>0</v>
      </c>
      <c r="AC365" s="66">
        <f t="shared" si="125"/>
        <v>0</v>
      </c>
      <c r="AD365" s="66">
        <f t="shared" si="126"/>
        <v>0</v>
      </c>
      <c r="AE365" s="66">
        <f t="shared" si="127"/>
        <v>0</v>
      </c>
      <c r="AF365" s="66">
        <f t="shared" si="128"/>
        <v>0</v>
      </c>
      <c r="AG365" s="95">
        <f t="shared" si="96"/>
        <v>-265253.65999999992</v>
      </c>
      <c r="AH365" s="31" t="str">
        <f t="shared" si="97"/>
        <v>ok</v>
      </c>
      <c r="AJ365" s="14">
        <f t="shared" si="129"/>
        <v>1</v>
      </c>
      <c r="AK365" s="50">
        <v>-265253.65999999997</v>
      </c>
    </row>
    <row r="366" spans="1:42" x14ac:dyDescent="0.2">
      <c r="A366" s="14">
        <v>8</v>
      </c>
      <c r="B366" s="14" t="s">
        <v>1152</v>
      </c>
      <c r="C366" s="50"/>
      <c r="D366" s="14" t="s">
        <v>285</v>
      </c>
      <c r="E366" s="95">
        <f t="shared" si="98"/>
        <v>812582.41692101886</v>
      </c>
      <c r="F366" s="66">
        <f t="shared" si="102"/>
        <v>703948.65588140651</v>
      </c>
      <c r="G366" s="66">
        <f t="shared" si="103"/>
        <v>788.34503017926249</v>
      </c>
      <c r="H366" s="66">
        <f t="shared" si="104"/>
        <v>47344.336882937088</v>
      </c>
      <c r="I366" s="66">
        <f t="shared" si="105"/>
        <v>10.954684496542741</v>
      </c>
      <c r="J366" s="66">
        <f t="shared" si="106"/>
        <v>14060.735545513169</v>
      </c>
      <c r="K366" s="66">
        <f t="shared" si="107"/>
        <v>8584.6740362360506</v>
      </c>
      <c r="L366" s="66">
        <f t="shared" si="108"/>
        <v>6726.911421868389</v>
      </c>
      <c r="M366" s="66">
        <f t="shared" si="109"/>
        <v>21928.240919152686</v>
      </c>
      <c r="N366" s="66">
        <f t="shared" si="110"/>
        <v>3291.244318671269</v>
      </c>
      <c r="O366" s="66">
        <f t="shared" si="111"/>
        <v>5898.3182005578219</v>
      </c>
      <c r="P366" s="66">
        <f t="shared" si="112"/>
        <v>0</v>
      </c>
      <c r="Q366" s="66">
        <f t="shared" si="113"/>
        <v>0</v>
      </c>
      <c r="R366" s="66">
        <f t="shared" si="114"/>
        <v>0</v>
      </c>
      <c r="S366" s="66">
        <f t="shared" si="115"/>
        <v>0</v>
      </c>
      <c r="T366" s="66">
        <f t="shared" si="116"/>
        <v>0</v>
      </c>
      <c r="U366" s="66">
        <f t="shared" si="117"/>
        <v>0</v>
      </c>
      <c r="V366" s="66">
        <f t="shared" si="118"/>
        <v>0</v>
      </c>
      <c r="W366" s="66">
        <f t="shared" si="119"/>
        <v>0</v>
      </c>
      <c r="X366" s="66">
        <f t="shared" si="120"/>
        <v>0</v>
      </c>
      <c r="Y366" s="66">
        <f t="shared" si="121"/>
        <v>0</v>
      </c>
      <c r="Z366" s="66">
        <f t="shared" si="122"/>
        <v>0</v>
      </c>
      <c r="AA366" s="66">
        <f t="shared" si="123"/>
        <v>0</v>
      </c>
      <c r="AB366" s="66">
        <f t="shared" si="124"/>
        <v>0</v>
      </c>
      <c r="AC366" s="66">
        <f t="shared" si="125"/>
        <v>0</v>
      </c>
      <c r="AD366" s="66">
        <f t="shared" si="126"/>
        <v>0</v>
      </c>
      <c r="AE366" s="66">
        <f t="shared" si="127"/>
        <v>0</v>
      </c>
      <c r="AF366" s="66">
        <f t="shared" si="128"/>
        <v>0</v>
      </c>
      <c r="AG366" s="95">
        <f t="shared" si="96"/>
        <v>812582.41692101886</v>
      </c>
      <c r="AH366" s="31" t="str">
        <f t="shared" si="97"/>
        <v>ok</v>
      </c>
      <c r="AJ366" s="14">
        <f t="shared" si="129"/>
        <v>1</v>
      </c>
      <c r="AK366" s="50">
        <v>812582.41692101886</v>
      </c>
    </row>
    <row r="367" spans="1:42" x14ac:dyDescent="0.2">
      <c r="A367" s="14">
        <v>9</v>
      </c>
      <c r="B367" s="14" t="s">
        <v>1150</v>
      </c>
      <c r="C367" s="50"/>
      <c r="D367" s="14" t="s">
        <v>273</v>
      </c>
      <c r="E367" s="95">
        <f t="shared" si="98"/>
        <v>-44375.5</v>
      </c>
      <c r="F367" s="66">
        <f t="shared" si="102"/>
        <v>-31976.895962944989</v>
      </c>
      <c r="G367" s="66">
        <f t="shared" si="103"/>
        <v>-96.773090134345793</v>
      </c>
      <c r="H367" s="66">
        <f t="shared" si="104"/>
        <v>-2640.3862329667145</v>
      </c>
      <c r="I367" s="66">
        <f t="shared" si="105"/>
        <v>-0.71829738486492112</v>
      </c>
      <c r="J367" s="66">
        <f t="shared" si="106"/>
        <v>-2844.4974755566195</v>
      </c>
      <c r="K367" s="66">
        <f t="shared" si="107"/>
        <v>-2798.3004804414504</v>
      </c>
      <c r="L367" s="66">
        <f t="shared" si="108"/>
        <v>-2077.6663276714326</v>
      </c>
      <c r="M367" s="66">
        <f t="shared" si="109"/>
        <v>-978.07600750012375</v>
      </c>
      <c r="N367" s="66">
        <f t="shared" si="110"/>
        <v>-380.7560085122405</v>
      </c>
      <c r="O367" s="66">
        <f t="shared" si="111"/>
        <v>-581.43011688720969</v>
      </c>
      <c r="P367" s="66">
        <f t="shared" si="112"/>
        <v>0</v>
      </c>
      <c r="Q367" s="66">
        <f t="shared" si="113"/>
        <v>0</v>
      </c>
      <c r="R367" s="66">
        <f t="shared" si="114"/>
        <v>0</v>
      </c>
      <c r="S367" s="66">
        <f t="shared" si="115"/>
        <v>0</v>
      </c>
      <c r="T367" s="66">
        <f t="shared" si="116"/>
        <v>0</v>
      </c>
      <c r="U367" s="66">
        <f t="shared" si="117"/>
        <v>0</v>
      </c>
      <c r="V367" s="66">
        <f t="shared" si="118"/>
        <v>0</v>
      </c>
      <c r="W367" s="66">
        <f t="shared" si="119"/>
        <v>0</v>
      </c>
      <c r="X367" s="66">
        <f t="shared" si="120"/>
        <v>0</v>
      </c>
      <c r="Y367" s="66">
        <f t="shared" si="121"/>
        <v>0</v>
      </c>
      <c r="Z367" s="66">
        <f t="shared" si="122"/>
        <v>0</v>
      </c>
      <c r="AA367" s="66">
        <f t="shared" si="123"/>
        <v>0</v>
      </c>
      <c r="AB367" s="66">
        <f t="shared" si="124"/>
        <v>0</v>
      </c>
      <c r="AC367" s="66">
        <f t="shared" si="125"/>
        <v>0</v>
      </c>
      <c r="AD367" s="66">
        <f t="shared" si="126"/>
        <v>0</v>
      </c>
      <c r="AE367" s="66">
        <f t="shared" si="127"/>
        <v>0</v>
      </c>
      <c r="AF367" s="66">
        <f t="shared" si="128"/>
        <v>0</v>
      </c>
      <c r="AG367" s="95">
        <f>SUM(F367:AF367)</f>
        <v>-44375.5</v>
      </c>
      <c r="AH367" s="31" t="str">
        <f>IF(ABS(E367-AG367)&lt;0.01,"ok","err")</f>
        <v>ok</v>
      </c>
      <c r="AJ367" s="14">
        <f t="shared" si="129"/>
        <v>1</v>
      </c>
      <c r="AK367" s="50">
        <v>-44375.5</v>
      </c>
    </row>
    <row r="368" spans="1:42" hidden="1" x14ac:dyDescent="0.2">
      <c r="A368" s="14">
        <v>10</v>
      </c>
      <c r="B368" s="14" t="s">
        <v>1202</v>
      </c>
      <c r="C368" s="50"/>
      <c r="D368" s="14" t="s">
        <v>297</v>
      </c>
      <c r="E368" s="95">
        <f t="shared" si="98"/>
        <v>0</v>
      </c>
      <c r="F368" s="66">
        <f t="shared" si="102"/>
        <v>0</v>
      </c>
      <c r="G368" s="66">
        <f t="shared" si="103"/>
        <v>0</v>
      </c>
      <c r="H368" s="66">
        <f t="shared" si="104"/>
        <v>0</v>
      </c>
      <c r="I368" s="66">
        <f t="shared" si="105"/>
        <v>0</v>
      </c>
      <c r="J368" s="66">
        <f t="shared" si="106"/>
        <v>0</v>
      </c>
      <c r="K368" s="66">
        <f t="shared" si="107"/>
        <v>0</v>
      </c>
      <c r="L368" s="66">
        <f t="shared" si="108"/>
        <v>0</v>
      </c>
      <c r="M368" s="66">
        <f t="shared" si="109"/>
        <v>0</v>
      </c>
      <c r="N368" s="66">
        <f t="shared" si="110"/>
        <v>0</v>
      </c>
      <c r="O368" s="66">
        <f t="shared" si="111"/>
        <v>0</v>
      </c>
      <c r="P368" s="66">
        <f t="shared" si="112"/>
        <v>0</v>
      </c>
      <c r="Q368" s="66">
        <f t="shared" si="113"/>
        <v>0</v>
      </c>
      <c r="R368" s="66">
        <f t="shared" si="114"/>
        <v>0</v>
      </c>
      <c r="S368" s="66">
        <f t="shared" si="115"/>
        <v>0</v>
      </c>
      <c r="T368" s="66">
        <f t="shared" si="116"/>
        <v>0</v>
      </c>
      <c r="U368" s="66">
        <f t="shared" si="117"/>
        <v>0</v>
      </c>
      <c r="V368" s="66">
        <f t="shared" si="118"/>
        <v>0</v>
      </c>
      <c r="W368" s="66">
        <f t="shared" si="119"/>
        <v>0</v>
      </c>
      <c r="X368" s="66">
        <f t="shared" si="120"/>
        <v>0</v>
      </c>
      <c r="Y368" s="66">
        <f t="shared" si="121"/>
        <v>0</v>
      </c>
      <c r="Z368" s="66">
        <f t="shared" si="122"/>
        <v>0</v>
      </c>
      <c r="AA368" s="66">
        <f t="shared" si="123"/>
        <v>0</v>
      </c>
      <c r="AB368" s="66">
        <f t="shared" si="124"/>
        <v>0</v>
      </c>
      <c r="AC368" s="66">
        <f t="shared" si="125"/>
        <v>0</v>
      </c>
      <c r="AD368" s="66">
        <f t="shared" si="126"/>
        <v>0</v>
      </c>
      <c r="AE368" s="66">
        <f t="shared" si="127"/>
        <v>0</v>
      </c>
      <c r="AF368" s="66">
        <f t="shared" si="128"/>
        <v>0</v>
      </c>
      <c r="AG368" s="95">
        <f>SUM(F368:AF368)</f>
        <v>0</v>
      </c>
      <c r="AH368" s="31" t="str">
        <f>IF(ABS(E368-AG368)&lt;0.01,"ok","err")</f>
        <v>ok</v>
      </c>
      <c r="AJ368" s="14">
        <v>0</v>
      </c>
      <c r="AK368" s="50">
        <v>0</v>
      </c>
    </row>
    <row r="369" spans="1:37" x14ac:dyDescent="0.2">
      <c r="A369" s="14">
        <v>11</v>
      </c>
      <c r="B369" s="14" t="s">
        <v>951</v>
      </c>
      <c r="C369" s="50"/>
      <c r="D369" s="14" t="s">
        <v>273</v>
      </c>
      <c r="E369" s="95">
        <f t="shared" si="98"/>
        <v>17000</v>
      </c>
      <c r="F369" s="66">
        <f t="shared" si="102"/>
        <v>12250.165775485681</v>
      </c>
      <c r="G369" s="66">
        <f t="shared" si="103"/>
        <v>37.073216803954402</v>
      </c>
      <c r="H369" s="66">
        <f t="shared" si="104"/>
        <v>1011.5168496227457</v>
      </c>
      <c r="I369" s="66">
        <f t="shared" si="105"/>
        <v>0.27517561588497391</v>
      </c>
      <c r="J369" s="66">
        <f t="shared" si="106"/>
        <v>1089.7106981208669</v>
      </c>
      <c r="K369" s="66">
        <f t="shared" si="107"/>
        <v>1072.0128937703159</v>
      </c>
      <c r="L369" s="66">
        <f t="shared" si="108"/>
        <v>795.9420754789096</v>
      </c>
      <c r="M369" s="66">
        <f t="shared" si="109"/>
        <v>374.69531898236875</v>
      </c>
      <c r="N369" s="66">
        <f t="shared" si="110"/>
        <v>145.86544703063828</v>
      </c>
      <c r="O369" s="66">
        <f t="shared" si="111"/>
        <v>222.74254908863148</v>
      </c>
      <c r="P369" s="66">
        <f t="shared" si="112"/>
        <v>0</v>
      </c>
      <c r="Q369" s="66">
        <f t="shared" si="113"/>
        <v>0</v>
      </c>
      <c r="R369" s="66">
        <f t="shared" si="114"/>
        <v>0</v>
      </c>
      <c r="S369" s="66">
        <f t="shared" si="115"/>
        <v>0</v>
      </c>
      <c r="T369" s="66">
        <f t="shared" si="116"/>
        <v>0</v>
      </c>
      <c r="U369" s="66">
        <f t="shared" si="117"/>
        <v>0</v>
      </c>
      <c r="V369" s="66">
        <f t="shared" si="118"/>
        <v>0</v>
      </c>
      <c r="W369" s="66">
        <f t="shared" si="119"/>
        <v>0</v>
      </c>
      <c r="X369" s="66">
        <f t="shared" si="120"/>
        <v>0</v>
      </c>
      <c r="Y369" s="66">
        <f t="shared" si="121"/>
        <v>0</v>
      </c>
      <c r="Z369" s="66">
        <f t="shared" si="122"/>
        <v>0</v>
      </c>
      <c r="AA369" s="66">
        <f t="shared" si="123"/>
        <v>0</v>
      </c>
      <c r="AB369" s="66">
        <f t="shared" si="124"/>
        <v>0</v>
      </c>
      <c r="AC369" s="66">
        <f t="shared" si="125"/>
        <v>0</v>
      </c>
      <c r="AD369" s="66">
        <f t="shared" si="126"/>
        <v>0</v>
      </c>
      <c r="AE369" s="66">
        <f t="shared" si="127"/>
        <v>0</v>
      </c>
      <c r="AF369" s="66">
        <f t="shared" si="128"/>
        <v>0</v>
      </c>
      <c r="AG369" s="95">
        <f t="shared" si="96"/>
        <v>16999.999999999996</v>
      </c>
      <c r="AH369" s="31" t="str">
        <f t="shared" si="97"/>
        <v>ok</v>
      </c>
      <c r="AJ369" s="14">
        <f>AJ358</f>
        <v>1</v>
      </c>
      <c r="AK369" s="50">
        <v>17000</v>
      </c>
    </row>
    <row r="370" spans="1:37" x14ac:dyDescent="0.2">
      <c r="A370" s="14">
        <v>12</v>
      </c>
      <c r="B370" s="14" t="s">
        <v>1153</v>
      </c>
      <c r="C370" s="50"/>
      <c r="D370" s="14" t="s">
        <v>297</v>
      </c>
      <c r="E370" s="95">
        <f t="shared" si="98"/>
        <v>747922.66000000061</v>
      </c>
      <c r="F370" s="66">
        <f t="shared" si="102"/>
        <v>615004.51957893302</v>
      </c>
      <c r="G370" s="66">
        <f t="shared" si="103"/>
        <v>309.78709742992493</v>
      </c>
      <c r="H370" s="66">
        <f t="shared" si="104"/>
        <v>39725.499731763113</v>
      </c>
      <c r="I370" s="66">
        <f t="shared" si="105"/>
        <v>4.0379598349412849</v>
      </c>
      <c r="J370" s="66">
        <f t="shared" si="106"/>
        <v>16283.047211237261</v>
      </c>
      <c r="K370" s="66">
        <f t="shared" si="107"/>
        <v>10828.988638226225</v>
      </c>
      <c r="L370" s="66">
        <f t="shared" si="108"/>
        <v>8450.4711702384411</v>
      </c>
      <c r="M370" s="66">
        <f t="shared" si="109"/>
        <v>20499.645919891773</v>
      </c>
      <c r="N370" s="66">
        <f t="shared" si="110"/>
        <v>3968.8325805858499</v>
      </c>
      <c r="O370" s="66">
        <f t="shared" si="111"/>
        <v>32847.830111860021</v>
      </c>
      <c r="P370" s="66">
        <f t="shared" si="112"/>
        <v>0</v>
      </c>
      <c r="Q370" s="66">
        <f t="shared" si="113"/>
        <v>0</v>
      </c>
      <c r="R370" s="66">
        <f t="shared" si="114"/>
        <v>0</v>
      </c>
      <c r="S370" s="66">
        <f t="shared" si="115"/>
        <v>0</v>
      </c>
      <c r="T370" s="66">
        <f t="shared" si="116"/>
        <v>0</v>
      </c>
      <c r="U370" s="66">
        <f t="shared" si="117"/>
        <v>0</v>
      </c>
      <c r="V370" s="66">
        <f t="shared" si="118"/>
        <v>0</v>
      </c>
      <c r="W370" s="66">
        <f t="shared" si="119"/>
        <v>0</v>
      </c>
      <c r="X370" s="66">
        <f t="shared" si="120"/>
        <v>0</v>
      </c>
      <c r="Y370" s="66">
        <f t="shared" si="121"/>
        <v>0</v>
      </c>
      <c r="Z370" s="66">
        <f t="shared" si="122"/>
        <v>0</v>
      </c>
      <c r="AA370" s="66">
        <f t="shared" si="123"/>
        <v>0</v>
      </c>
      <c r="AB370" s="66">
        <f t="shared" si="124"/>
        <v>0</v>
      </c>
      <c r="AC370" s="66">
        <f t="shared" si="125"/>
        <v>0</v>
      </c>
      <c r="AD370" s="66">
        <f t="shared" si="126"/>
        <v>0</v>
      </c>
      <c r="AE370" s="66">
        <f t="shared" si="127"/>
        <v>0</v>
      </c>
      <c r="AF370" s="66">
        <f t="shared" si="128"/>
        <v>0</v>
      </c>
      <c r="AG370" s="95">
        <f t="shared" si="96"/>
        <v>747922.66000000061</v>
      </c>
      <c r="AH370" s="31" t="str">
        <f t="shared" si="97"/>
        <v>ok</v>
      </c>
      <c r="AJ370" s="14">
        <f t="shared" si="129"/>
        <v>1</v>
      </c>
      <c r="AK370" s="50">
        <v>747922.66000000061</v>
      </c>
    </row>
    <row r="371" spans="1:37" x14ac:dyDescent="0.2">
      <c r="A371" s="14">
        <v>13</v>
      </c>
      <c r="B371" s="14" t="s">
        <v>1200</v>
      </c>
      <c r="C371" s="50"/>
      <c r="D371" s="14" t="s">
        <v>261</v>
      </c>
      <c r="E371" s="95">
        <f t="shared" si="98"/>
        <v>0</v>
      </c>
      <c r="F371" s="66">
        <f t="shared" si="102"/>
        <v>0</v>
      </c>
      <c r="G371" s="66">
        <f t="shared" si="103"/>
        <v>0</v>
      </c>
      <c r="H371" s="66">
        <f t="shared" si="104"/>
        <v>0</v>
      </c>
      <c r="I371" s="66">
        <f t="shared" si="105"/>
        <v>0</v>
      </c>
      <c r="J371" s="66">
        <f t="shared" si="106"/>
        <v>0</v>
      </c>
      <c r="K371" s="66">
        <f t="shared" si="107"/>
        <v>0</v>
      </c>
      <c r="L371" s="66">
        <f t="shared" si="108"/>
        <v>0</v>
      </c>
      <c r="M371" s="66">
        <f t="shared" si="109"/>
        <v>0</v>
      </c>
      <c r="N371" s="66">
        <f t="shared" si="110"/>
        <v>0</v>
      </c>
      <c r="O371" s="66">
        <f t="shared" si="111"/>
        <v>0</v>
      </c>
      <c r="P371" s="66">
        <f t="shared" si="112"/>
        <v>0</v>
      </c>
      <c r="Q371" s="66">
        <f t="shared" si="113"/>
        <v>0</v>
      </c>
      <c r="R371" s="66">
        <f t="shared" si="114"/>
        <v>0</v>
      </c>
      <c r="S371" s="66">
        <f t="shared" si="115"/>
        <v>0</v>
      </c>
      <c r="T371" s="66">
        <f t="shared" si="116"/>
        <v>0</v>
      </c>
      <c r="U371" s="66">
        <f t="shared" si="117"/>
        <v>0</v>
      </c>
      <c r="V371" s="66">
        <f t="shared" si="118"/>
        <v>0</v>
      </c>
      <c r="W371" s="66">
        <f t="shared" si="119"/>
        <v>0</v>
      </c>
      <c r="X371" s="66">
        <f t="shared" si="120"/>
        <v>0</v>
      </c>
      <c r="Y371" s="66">
        <f t="shared" si="121"/>
        <v>0</v>
      </c>
      <c r="Z371" s="66">
        <f t="shared" si="122"/>
        <v>0</v>
      </c>
      <c r="AA371" s="66">
        <f t="shared" si="123"/>
        <v>0</v>
      </c>
      <c r="AB371" s="66">
        <f t="shared" si="124"/>
        <v>0</v>
      </c>
      <c r="AC371" s="66">
        <f t="shared" si="125"/>
        <v>0</v>
      </c>
      <c r="AD371" s="66">
        <f t="shared" si="126"/>
        <v>0</v>
      </c>
      <c r="AE371" s="66">
        <f t="shared" si="127"/>
        <v>0</v>
      </c>
      <c r="AF371" s="66">
        <f t="shared" si="128"/>
        <v>0</v>
      </c>
      <c r="AG371" s="95">
        <f t="shared" si="96"/>
        <v>0</v>
      </c>
      <c r="AH371" s="31" t="str">
        <f t="shared" si="97"/>
        <v>ok</v>
      </c>
      <c r="AJ371" s="14">
        <v>0</v>
      </c>
      <c r="AK371" s="50">
        <v>0</v>
      </c>
    </row>
    <row r="372" spans="1:37" x14ac:dyDescent="0.2">
      <c r="A372" s="14">
        <v>14</v>
      </c>
      <c r="B372" s="14" t="s">
        <v>1201</v>
      </c>
      <c r="C372" s="50"/>
      <c r="D372" s="14" t="s">
        <v>261</v>
      </c>
      <c r="E372" s="95">
        <f t="shared" si="98"/>
        <v>0</v>
      </c>
      <c r="F372" s="66">
        <f t="shared" si="102"/>
        <v>0</v>
      </c>
      <c r="G372" s="66">
        <f t="shared" si="103"/>
        <v>0</v>
      </c>
      <c r="H372" s="66">
        <f t="shared" si="104"/>
        <v>0</v>
      </c>
      <c r="I372" s="66">
        <f t="shared" si="105"/>
        <v>0</v>
      </c>
      <c r="J372" s="66">
        <f t="shared" si="106"/>
        <v>0</v>
      </c>
      <c r="K372" s="66">
        <f t="shared" si="107"/>
        <v>0</v>
      </c>
      <c r="L372" s="66">
        <f t="shared" si="108"/>
        <v>0</v>
      </c>
      <c r="M372" s="66">
        <f t="shared" si="109"/>
        <v>0</v>
      </c>
      <c r="N372" s="66">
        <f t="shared" si="110"/>
        <v>0</v>
      </c>
      <c r="O372" s="66">
        <f t="shared" si="111"/>
        <v>0</v>
      </c>
      <c r="P372" s="66">
        <f t="shared" si="112"/>
        <v>0</v>
      </c>
      <c r="Q372" s="66">
        <f t="shared" si="113"/>
        <v>0</v>
      </c>
      <c r="R372" s="66">
        <f t="shared" si="114"/>
        <v>0</v>
      </c>
      <c r="S372" s="66">
        <f t="shared" si="115"/>
        <v>0</v>
      </c>
      <c r="T372" s="66">
        <f t="shared" si="116"/>
        <v>0</v>
      </c>
      <c r="U372" s="66">
        <f t="shared" si="117"/>
        <v>0</v>
      </c>
      <c r="V372" s="66">
        <f t="shared" si="118"/>
        <v>0</v>
      </c>
      <c r="W372" s="66">
        <f t="shared" si="119"/>
        <v>0</v>
      </c>
      <c r="X372" s="66">
        <f t="shared" si="120"/>
        <v>0</v>
      </c>
      <c r="Y372" s="66">
        <f t="shared" si="121"/>
        <v>0</v>
      </c>
      <c r="Z372" s="66">
        <f t="shared" si="122"/>
        <v>0</v>
      </c>
      <c r="AA372" s="66">
        <f t="shared" si="123"/>
        <v>0</v>
      </c>
      <c r="AB372" s="66">
        <f t="shared" si="124"/>
        <v>0</v>
      </c>
      <c r="AC372" s="66">
        <f t="shared" si="125"/>
        <v>0</v>
      </c>
      <c r="AD372" s="66">
        <f t="shared" si="126"/>
        <v>0</v>
      </c>
      <c r="AE372" s="66">
        <f t="shared" si="127"/>
        <v>0</v>
      </c>
      <c r="AF372" s="66">
        <f t="shared" si="128"/>
        <v>0</v>
      </c>
      <c r="AG372" s="95">
        <f t="shared" si="96"/>
        <v>0</v>
      </c>
      <c r="AH372" s="31" t="str">
        <f t="shared" si="97"/>
        <v>ok</v>
      </c>
      <c r="AJ372" s="14">
        <v>0</v>
      </c>
      <c r="AK372" s="50">
        <v>0</v>
      </c>
    </row>
    <row r="373" spans="1:37" hidden="1" x14ac:dyDescent="0.2">
      <c r="A373" s="14">
        <v>14</v>
      </c>
      <c r="C373" s="50"/>
      <c r="D373" s="14" t="s">
        <v>261</v>
      </c>
      <c r="E373" s="208">
        <v>0</v>
      </c>
      <c r="F373" s="207">
        <f t="shared" si="102"/>
        <v>0</v>
      </c>
      <c r="G373" s="207">
        <f t="shared" si="103"/>
        <v>0</v>
      </c>
      <c r="H373" s="207">
        <f t="shared" si="104"/>
        <v>0</v>
      </c>
      <c r="I373" s="207">
        <f t="shared" si="105"/>
        <v>0</v>
      </c>
      <c r="J373" s="207">
        <f t="shared" si="106"/>
        <v>0</v>
      </c>
      <c r="K373" s="207">
        <f t="shared" si="107"/>
        <v>0</v>
      </c>
      <c r="L373" s="207">
        <f t="shared" si="108"/>
        <v>0</v>
      </c>
      <c r="M373" s="207">
        <f t="shared" si="109"/>
        <v>0</v>
      </c>
      <c r="N373" s="207">
        <f t="shared" si="110"/>
        <v>0</v>
      </c>
      <c r="O373" s="207">
        <f t="shared" si="111"/>
        <v>0</v>
      </c>
      <c r="P373" s="66">
        <f t="shared" si="112"/>
        <v>0</v>
      </c>
      <c r="Q373" s="66">
        <f t="shared" si="113"/>
        <v>0</v>
      </c>
      <c r="R373" s="66">
        <f t="shared" si="114"/>
        <v>0</v>
      </c>
      <c r="S373" s="66">
        <f t="shared" si="115"/>
        <v>0</v>
      </c>
      <c r="T373" s="66">
        <f t="shared" si="116"/>
        <v>0</v>
      </c>
      <c r="U373" s="66">
        <f t="shared" si="117"/>
        <v>0</v>
      </c>
      <c r="V373" s="66">
        <f t="shared" si="118"/>
        <v>0</v>
      </c>
      <c r="W373" s="66">
        <f t="shared" si="119"/>
        <v>0</v>
      </c>
      <c r="X373" s="66">
        <f t="shared" si="120"/>
        <v>0</v>
      </c>
      <c r="Y373" s="66">
        <f t="shared" si="121"/>
        <v>0</v>
      </c>
      <c r="Z373" s="66">
        <f t="shared" si="122"/>
        <v>0</v>
      </c>
      <c r="AA373" s="66">
        <f t="shared" si="123"/>
        <v>0</v>
      </c>
      <c r="AB373" s="66">
        <f t="shared" si="124"/>
        <v>0</v>
      </c>
      <c r="AC373" s="66">
        <f t="shared" si="125"/>
        <v>0</v>
      </c>
      <c r="AD373" s="66">
        <f t="shared" si="126"/>
        <v>0</v>
      </c>
      <c r="AE373" s="66">
        <f t="shared" si="127"/>
        <v>0</v>
      </c>
      <c r="AF373" s="66">
        <f t="shared" si="128"/>
        <v>0</v>
      </c>
      <c r="AG373" s="95">
        <f t="shared" ref="AG373" si="130">SUM(F373:AF373)</f>
        <v>0</v>
      </c>
      <c r="AH373" s="31" t="str">
        <f t="shared" ref="AH373" si="131">IF(ABS(E373-AG373)&lt;0.01,"ok","err")</f>
        <v>ok</v>
      </c>
      <c r="AJ373" s="14">
        <f t="shared" ref="AJ373:AJ381" si="132">AJ372</f>
        <v>0</v>
      </c>
    </row>
    <row r="374" spans="1:37" hidden="1" x14ac:dyDescent="0.2">
      <c r="A374" s="14">
        <v>16</v>
      </c>
      <c r="C374" s="50"/>
      <c r="D374" s="14" t="s">
        <v>261</v>
      </c>
      <c r="E374" s="208">
        <v>0</v>
      </c>
      <c r="F374" s="207">
        <f t="shared" si="102"/>
        <v>0</v>
      </c>
      <c r="G374" s="207">
        <f t="shared" si="103"/>
        <v>0</v>
      </c>
      <c r="H374" s="207">
        <f t="shared" si="104"/>
        <v>0</v>
      </c>
      <c r="I374" s="207">
        <f t="shared" si="105"/>
        <v>0</v>
      </c>
      <c r="J374" s="207">
        <f t="shared" si="106"/>
        <v>0</v>
      </c>
      <c r="K374" s="207">
        <f t="shared" si="107"/>
        <v>0</v>
      </c>
      <c r="L374" s="207">
        <f t="shared" si="108"/>
        <v>0</v>
      </c>
      <c r="M374" s="207">
        <f t="shared" si="109"/>
        <v>0</v>
      </c>
      <c r="N374" s="207">
        <f t="shared" si="110"/>
        <v>0</v>
      </c>
      <c r="O374" s="207">
        <f t="shared" si="111"/>
        <v>0</v>
      </c>
      <c r="P374" s="66">
        <f t="shared" si="112"/>
        <v>0</v>
      </c>
      <c r="Q374" s="66">
        <f t="shared" si="113"/>
        <v>0</v>
      </c>
      <c r="R374" s="66">
        <f t="shared" si="114"/>
        <v>0</v>
      </c>
      <c r="S374" s="66">
        <f t="shared" si="115"/>
        <v>0</v>
      </c>
      <c r="T374" s="66">
        <f t="shared" si="116"/>
        <v>0</v>
      </c>
      <c r="U374" s="66">
        <f t="shared" si="117"/>
        <v>0</v>
      </c>
      <c r="V374" s="66">
        <f t="shared" si="118"/>
        <v>0</v>
      </c>
      <c r="W374" s="66">
        <f t="shared" si="119"/>
        <v>0</v>
      </c>
      <c r="X374" s="66">
        <f t="shared" si="120"/>
        <v>0</v>
      </c>
      <c r="Y374" s="66">
        <f t="shared" si="121"/>
        <v>0</v>
      </c>
      <c r="Z374" s="66">
        <f t="shared" si="122"/>
        <v>0</v>
      </c>
      <c r="AA374" s="66">
        <f t="shared" si="123"/>
        <v>0</v>
      </c>
      <c r="AB374" s="66">
        <f t="shared" si="124"/>
        <v>0</v>
      </c>
      <c r="AC374" s="66">
        <f t="shared" si="125"/>
        <v>0</v>
      </c>
      <c r="AD374" s="66">
        <f t="shared" si="126"/>
        <v>0</v>
      </c>
      <c r="AE374" s="66">
        <f t="shared" si="127"/>
        <v>0</v>
      </c>
      <c r="AF374" s="66">
        <f t="shared" si="128"/>
        <v>0</v>
      </c>
      <c r="AG374" s="95">
        <f>SUM(F374:AF374)</f>
        <v>0</v>
      </c>
      <c r="AH374" s="31" t="str">
        <f>IF(ABS(E374-AG374)&lt;0.01,"ok","err")</f>
        <v>ok</v>
      </c>
      <c r="AJ374" s="14">
        <f t="shared" si="132"/>
        <v>0</v>
      </c>
    </row>
    <row r="375" spans="1:37" hidden="1" x14ac:dyDescent="0.2">
      <c r="A375" s="14">
        <v>17</v>
      </c>
      <c r="C375" s="50"/>
      <c r="D375" s="14" t="s">
        <v>261</v>
      </c>
      <c r="E375" s="95">
        <v>0</v>
      </c>
      <c r="F375" s="66">
        <f t="shared" si="102"/>
        <v>0</v>
      </c>
      <c r="G375" s="66">
        <f t="shared" si="103"/>
        <v>0</v>
      </c>
      <c r="H375" s="66">
        <f t="shared" si="104"/>
        <v>0</v>
      </c>
      <c r="I375" s="66">
        <f t="shared" si="105"/>
        <v>0</v>
      </c>
      <c r="J375" s="66">
        <f t="shared" si="106"/>
        <v>0</v>
      </c>
      <c r="K375" s="66">
        <f t="shared" si="107"/>
        <v>0</v>
      </c>
      <c r="L375" s="66">
        <f t="shared" si="108"/>
        <v>0</v>
      </c>
      <c r="M375" s="66">
        <f t="shared" si="109"/>
        <v>0</v>
      </c>
      <c r="N375" s="66">
        <f t="shared" si="110"/>
        <v>0</v>
      </c>
      <c r="O375" s="66">
        <f t="shared" si="111"/>
        <v>0</v>
      </c>
      <c r="P375" s="66">
        <f t="shared" si="112"/>
        <v>0</v>
      </c>
      <c r="Q375" s="66">
        <f t="shared" si="113"/>
        <v>0</v>
      </c>
      <c r="R375" s="66">
        <f t="shared" si="114"/>
        <v>0</v>
      </c>
      <c r="S375" s="66">
        <f t="shared" si="115"/>
        <v>0</v>
      </c>
      <c r="T375" s="66">
        <f t="shared" si="116"/>
        <v>0</v>
      </c>
      <c r="U375" s="66">
        <f t="shared" si="117"/>
        <v>0</v>
      </c>
      <c r="V375" s="66">
        <f t="shared" si="118"/>
        <v>0</v>
      </c>
      <c r="W375" s="66">
        <f t="shared" si="119"/>
        <v>0</v>
      </c>
      <c r="X375" s="66">
        <f t="shared" si="120"/>
        <v>0</v>
      </c>
      <c r="Y375" s="66">
        <f t="shared" si="121"/>
        <v>0</v>
      </c>
      <c r="Z375" s="66">
        <f t="shared" si="122"/>
        <v>0</v>
      </c>
      <c r="AA375" s="66">
        <f t="shared" si="123"/>
        <v>0</v>
      </c>
      <c r="AB375" s="66">
        <f t="shared" si="124"/>
        <v>0</v>
      </c>
      <c r="AC375" s="66">
        <f t="shared" si="125"/>
        <v>0</v>
      </c>
      <c r="AD375" s="66">
        <f t="shared" si="126"/>
        <v>0</v>
      </c>
      <c r="AE375" s="66">
        <f t="shared" si="127"/>
        <v>0</v>
      </c>
      <c r="AF375" s="66">
        <f t="shared" si="128"/>
        <v>0</v>
      </c>
      <c r="AG375" s="95">
        <f t="shared" ref="AG375:AG378" si="133">SUM(F375:AF375)</f>
        <v>0</v>
      </c>
      <c r="AH375" s="31" t="str">
        <f t="shared" ref="AH375:AH378" si="134">IF(ABS(E375-AG375)&lt;0.01,"ok","err")</f>
        <v>ok</v>
      </c>
      <c r="AJ375" s="14">
        <f t="shared" si="132"/>
        <v>0</v>
      </c>
    </row>
    <row r="376" spans="1:37" hidden="1" x14ac:dyDescent="0.2">
      <c r="A376" s="14">
        <v>18</v>
      </c>
      <c r="D376" s="14" t="s">
        <v>261</v>
      </c>
      <c r="E376" s="66">
        <v>0</v>
      </c>
      <c r="F376" s="66">
        <f t="shared" si="102"/>
        <v>0</v>
      </c>
      <c r="G376" s="66">
        <f t="shared" si="103"/>
        <v>0</v>
      </c>
      <c r="H376" s="66">
        <f t="shared" si="104"/>
        <v>0</v>
      </c>
      <c r="I376" s="66">
        <f t="shared" si="105"/>
        <v>0</v>
      </c>
      <c r="J376" s="66">
        <f t="shared" si="106"/>
        <v>0</v>
      </c>
      <c r="K376" s="66">
        <f t="shared" si="107"/>
        <v>0</v>
      </c>
      <c r="L376" s="66">
        <f t="shared" si="108"/>
        <v>0</v>
      </c>
      <c r="M376" s="66">
        <f t="shared" si="109"/>
        <v>0</v>
      </c>
      <c r="N376" s="66">
        <f t="shared" si="110"/>
        <v>0</v>
      </c>
      <c r="O376" s="66">
        <f t="shared" si="111"/>
        <v>0</v>
      </c>
      <c r="P376" s="66">
        <f t="shared" si="112"/>
        <v>0</v>
      </c>
      <c r="Q376" s="66">
        <f t="shared" si="113"/>
        <v>0</v>
      </c>
      <c r="R376" s="66">
        <f t="shared" si="114"/>
        <v>0</v>
      </c>
      <c r="S376" s="66">
        <f t="shared" si="115"/>
        <v>0</v>
      </c>
      <c r="T376" s="66">
        <f t="shared" si="116"/>
        <v>0</v>
      </c>
      <c r="U376" s="66">
        <f t="shared" si="117"/>
        <v>0</v>
      </c>
      <c r="V376" s="66">
        <f t="shared" si="118"/>
        <v>0</v>
      </c>
      <c r="W376" s="66">
        <f t="shared" si="119"/>
        <v>0</v>
      </c>
      <c r="X376" s="66">
        <f t="shared" si="120"/>
        <v>0</v>
      </c>
      <c r="Y376" s="66">
        <f t="shared" si="121"/>
        <v>0</v>
      </c>
      <c r="Z376" s="66">
        <f t="shared" si="122"/>
        <v>0</v>
      </c>
      <c r="AA376" s="66">
        <f t="shared" si="123"/>
        <v>0</v>
      </c>
      <c r="AB376" s="66">
        <f t="shared" si="124"/>
        <v>0</v>
      </c>
      <c r="AC376" s="66">
        <f t="shared" si="125"/>
        <v>0</v>
      </c>
      <c r="AD376" s="66">
        <f t="shared" si="126"/>
        <v>0</v>
      </c>
      <c r="AE376" s="66">
        <f t="shared" si="127"/>
        <v>0</v>
      </c>
      <c r="AF376" s="66">
        <f t="shared" si="128"/>
        <v>0</v>
      </c>
      <c r="AG376" s="95">
        <f t="shared" si="133"/>
        <v>0</v>
      </c>
      <c r="AH376" s="31" t="str">
        <f t="shared" si="134"/>
        <v>ok</v>
      </c>
      <c r="AJ376" s="14">
        <f t="shared" si="132"/>
        <v>0</v>
      </c>
    </row>
    <row r="377" spans="1:37" hidden="1" x14ac:dyDescent="0.2">
      <c r="A377" s="14">
        <v>19</v>
      </c>
      <c r="D377" s="14" t="s">
        <v>261</v>
      </c>
      <c r="E377" s="66">
        <v>0</v>
      </c>
      <c r="F377" s="66">
        <f t="shared" si="102"/>
        <v>0</v>
      </c>
      <c r="G377" s="66">
        <f t="shared" si="103"/>
        <v>0</v>
      </c>
      <c r="H377" s="66">
        <f t="shared" si="104"/>
        <v>0</v>
      </c>
      <c r="I377" s="66">
        <f t="shared" si="105"/>
        <v>0</v>
      </c>
      <c r="J377" s="66">
        <f t="shared" si="106"/>
        <v>0</v>
      </c>
      <c r="K377" s="66">
        <f t="shared" si="107"/>
        <v>0</v>
      </c>
      <c r="L377" s="66">
        <f t="shared" si="108"/>
        <v>0</v>
      </c>
      <c r="M377" s="66">
        <f t="shared" si="109"/>
        <v>0</v>
      </c>
      <c r="N377" s="66">
        <f t="shared" si="110"/>
        <v>0</v>
      </c>
      <c r="O377" s="66">
        <f t="shared" si="111"/>
        <v>0</v>
      </c>
      <c r="P377" s="66">
        <f t="shared" si="112"/>
        <v>0</v>
      </c>
      <c r="Q377" s="66">
        <f t="shared" si="113"/>
        <v>0</v>
      </c>
      <c r="R377" s="66">
        <f t="shared" si="114"/>
        <v>0</v>
      </c>
      <c r="S377" s="66">
        <f t="shared" si="115"/>
        <v>0</v>
      </c>
      <c r="T377" s="66">
        <f t="shared" si="116"/>
        <v>0</v>
      </c>
      <c r="U377" s="66">
        <f t="shared" si="117"/>
        <v>0</v>
      </c>
      <c r="V377" s="66">
        <f t="shared" si="118"/>
        <v>0</v>
      </c>
      <c r="W377" s="66">
        <f t="shared" si="119"/>
        <v>0</v>
      </c>
      <c r="X377" s="66">
        <f t="shared" si="120"/>
        <v>0</v>
      </c>
      <c r="Y377" s="66">
        <f t="shared" si="121"/>
        <v>0</v>
      </c>
      <c r="Z377" s="66">
        <f t="shared" si="122"/>
        <v>0</v>
      </c>
      <c r="AA377" s="66">
        <f t="shared" si="123"/>
        <v>0</v>
      </c>
      <c r="AB377" s="66">
        <f t="shared" si="124"/>
        <v>0</v>
      </c>
      <c r="AC377" s="66">
        <f t="shared" si="125"/>
        <v>0</v>
      </c>
      <c r="AD377" s="66">
        <f t="shared" si="126"/>
        <v>0</v>
      </c>
      <c r="AE377" s="66">
        <f t="shared" si="127"/>
        <v>0</v>
      </c>
      <c r="AF377" s="66">
        <f t="shared" si="128"/>
        <v>0</v>
      </c>
      <c r="AG377" s="95">
        <f t="shared" si="133"/>
        <v>0</v>
      </c>
      <c r="AH377" s="31" t="str">
        <f t="shared" si="134"/>
        <v>ok</v>
      </c>
      <c r="AJ377" s="14">
        <f t="shared" si="132"/>
        <v>0</v>
      </c>
    </row>
    <row r="378" spans="1:37" hidden="1" x14ac:dyDescent="0.2">
      <c r="A378" s="14">
        <v>20</v>
      </c>
      <c r="D378" s="14" t="s">
        <v>261</v>
      </c>
      <c r="E378" s="66">
        <v>0</v>
      </c>
      <c r="F378" s="66">
        <f t="shared" si="102"/>
        <v>0</v>
      </c>
      <c r="G378" s="66">
        <f t="shared" si="103"/>
        <v>0</v>
      </c>
      <c r="H378" s="66">
        <f t="shared" si="104"/>
        <v>0</v>
      </c>
      <c r="I378" s="66">
        <f t="shared" si="105"/>
        <v>0</v>
      </c>
      <c r="J378" s="66">
        <f t="shared" si="106"/>
        <v>0</v>
      </c>
      <c r="K378" s="66">
        <f t="shared" si="107"/>
        <v>0</v>
      </c>
      <c r="L378" s="66">
        <f t="shared" si="108"/>
        <v>0</v>
      </c>
      <c r="M378" s="66">
        <f t="shared" si="109"/>
        <v>0</v>
      </c>
      <c r="N378" s="66">
        <f t="shared" si="110"/>
        <v>0</v>
      </c>
      <c r="O378" s="66">
        <f t="shared" si="111"/>
        <v>0</v>
      </c>
      <c r="P378" s="66">
        <f t="shared" si="112"/>
        <v>0</v>
      </c>
      <c r="Q378" s="66">
        <f t="shared" si="113"/>
        <v>0</v>
      </c>
      <c r="R378" s="66">
        <f t="shared" si="114"/>
        <v>0</v>
      </c>
      <c r="S378" s="66">
        <f t="shared" si="115"/>
        <v>0</v>
      </c>
      <c r="T378" s="66">
        <f t="shared" si="116"/>
        <v>0</v>
      </c>
      <c r="U378" s="66">
        <f t="shared" si="117"/>
        <v>0</v>
      </c>
      <c r="V378" s="66">
        <f t="shared" si="118"/>
        <v>0</v>
      </c>
      <c r="W378" s="66">
        <f t="shared" si="119"/>
        <v>0</v>
      </c>
      <c r="X378" s="66">
        <f t="shared" si="120"/>
        <v>0</v>
      </c>
      <c r="Y378" s="66">
        <f t="shared" si="121"/>
        <v>0</v>
      </c>
      <c r="Z378" s="66">
        <f t="shared" si="122"/>
        <v>0</v>
      </c>
      <c r="AA378" s="66">
        <f t="shared" si="123"/>
        <v>0</v>
      </c>
      <c r="AB378" s="66">
        <f t="shared" si="124"/>
        <v>0</v>
      </c>
      <c r="AC378" s="66">
        <f t="shared" si="125"/>
        <v>0</v>
      </c>
      <c r="AD378" s="66">
        <f t="shared" si="126"/>
        <v>0</v>
      </c>
      <c r="AE378" s="66">
        <f t="shared" si="127"/>
        <v>0</v>
      </c>
      <c r="AF378" s="66">
        <f t="shared" si="128"/>
        <v>0</v>
      </c>
      <c r="AG378" s="95">
        <f t="shared" si="133"/>
        <v>0</v>
      </c>
      <c r="AH378" s="31" t="str">
        <f t="shared" si="134"/>
        <v>ok</v>
      </c>
      <c r="AJ378" s="14">
        <f t="shared" si="132"/>
        <v>0</v>
      </c>
    </row>
    <row r="379" spans="1:37" hidden="1" x14ac:dyDescent="0.2">
      <c r="A379" s="14">
        <v>21</v>
      </c>
      <c r="D379" s="14" t="s">
        <v>261</v>
      </c>
      <c r="E379" s="66">
        <v>0</v>
      </c>
      <c r="F379" s="66">
        <f t="shared" si="102"/>
        <v>0</v>
      </c>
      <c r="G379" s="66">
        <f t="shared" si="103"/>
        <v>0</v>
      </c>
      <c r="H379" s="66">
        <f t="shared" si="104"/>
        <v>0</v>
      </c>
      <c r="I379" s="66">
        <f t="shared" si="105"/>
        <v>0</v>
      </c>
      <c r="J379" s="66">
        <f t="shared" si="106"/>
        <v>0</v>
      </c>
      <c r="K379" s="66">
        <f t="shared" si="107"/>
        <v>0</v>
      </c>
      <c r="L379" s="66">
        <f t="shared" si="108"/>
        <v>0</v>
      </c>
      <c r="M379" s="66">
        <f t="shared" si="109"/>
        <v>0</v>
      </c>
      <c r="N379" s="66">
        <f t="shared" si="110"/>
        <v>0</v>
      </c>
      <c r="O379" s="66">
        <f t="shared" si="111"/>
        <v>0</v>
      </c>
      <c r="P379" s="66">
        <f t="shared" si="112"/>
        <v>0</v>
      </c>
      <c r="Q379" s="66">
        <f t="shared" si="113"/>
        <v>0</v>
      </c>
      <c r="R379" s="66">
        <f t="shared" si="114"/>
        <v>0</v>
      </c>
      <c r="S379" s="66">
        <f t="shared" si="115"/>
        <v>0</v>
      </c>
      <c r="T379" s="66">
        <f t="shared" si="116"/>
        <v>0</v>
      </c>
      <c r="U379" s="66">
        <f t="shared" si="117"/>
        <v>0</v>
      </c>
      <c r="V379" s="66">
        <f t="shared" si="118"/>
        <v>0</v>
      </c>
      <c r="W379" s="66">
        <f t="shared" si="119"/>
        <v>0</v>
      </c>
      <c r="X379" s="66">
        <f t="shared" si="120"/>
        <v>0</v>
      </c>
      <c r="Y379" s="66">
        <f t="shared" si="121"/>
        <v>0</v>
      </c>
      <c r="Z379" s="66">
        <f t="shared" si="122"/>
        <v>0</v>
      </c>
      <c r="AA379" s="66">
        <f t="shared" si="123"/>
        <v>0</v>
      </c>
      <c r="AB379" s="66">
        <f t="shared" si="124"/>
        <v>0</v>
      </c>
      <c r="AC379" s="66">
        <f t="shared" si="125"/>
        <v>0</v>
      </c>
      <c r="AD379" s="66">
        <f t="shared" si="126"/>
        <v>0</v>
      </c>
      <c r="AE379" s="66">
        <f t="shared" si="127"/>
        <v>0</v>
      </c>
      <c r="AF379" s="66">
        <f t="shared" si="128"/>
        <v>0</v>
      </c>
      <c r="AG379" s="95">
        <f t="shared" ref="AG379:AG380" si="135">SUM(F379:AF379)</f>
        <v>0</v>
      </c>
      <c r="AH379" s="31" t="str">
        <f t="shared" ref="AH379:AH380" si="136">IF(ABS(E379-AG379)&lt;0.01,"ok","err")</f>
        <v>ok</v>
      </c>
      <c r="AJ379" s="14">
        <f t="shared" si="132"/>
        <v>0</v>
      </c>
    </row>
    <row r="380" spans="1:37" hidden="1" x14ac:dyDescent="0.2">
      <c r="A380" s="14">
        <v>22</v>
      </c>
      <c r="D380" s="14" t="s">
        <v>261</v>
      </c>
      <c r="E380" s="66">
        <v>0</v>
      </c>
      <c r="F380" s="66">
        <f t="shared" si="102"/>
        <v>0</v>
      </c>
      <c r="G380" s="66">
        <f t="shared" si="103"/>
        <v>0</v>
      </c>
      <c r="H380" s="66">
        <f t="shared" si="104"/>
        <v>0</v>
      </c>
      <c r="I380" s="66">
        <f t="shared" si="105"/>
        <v>0</v>
      </c>
      <c r="J380" s="66">
        <f t="shared" si="106"/>
        <v>0</v>
      </c>
      <c r="K380" s="66">
        <f t="shared" si="107"/>
        <v>0</v>
      </c>
      <c r="L380" s="66">
        <f t="shared" si="108"/>
        <v>0</v>
      </c>
      <c r="M380" s="66">
        <f t="shared" si="109"/>
        <v>0</v>
      </c>
      <c r="N380" s="66">
        <f t="shared" si="110"/>
        <v>0</v>
      </c>
      <c r="O380" s="66">
        <f t="shared" si="111"/>
        <v>0</v>
      </c>
      <c r="P380" s="66">
        <f t="shared" si="112"/>
        <v>0</v>
      </c>
      <c r="Q380" s="66">
        <f t="shared" si="113"/>
        <v>0</v>
      </c>
      <c r="R380" s="66">
        <f t="shared" si="114"/>
        <v>0</v>
      </c>
      <c r="S380" s="66">
        <f t="shared" si="115"/>
        <v>0</v>
      </c>
      <c r="T380" s="66">
        <f t="shared" si="116"/>
        <v>0</v>
      </c>
      <c r="U380" s="66">
        <f t="shared" si="117"/>
        <v>0</v>
      </c>
      <c r="V380" s="66">
        <f t="shared" si="118"/>
        <v>0</v>
      </c>
      <c r="W380" s="66">
        <f t="shared" si="119"/>
        <v>0</v>
      </c>
      <c r="X380" s="66">
        <f t="shared" si="120"/>
        <v>0</v>
      </c>
      <c r="Y380" s="66">
        <f t="shared" si="121"/>
        <v>0</v>
      </c>
      <c r="Z380" s="66">
        <f t="shared" si="122"/>
        <v>0</v>
      </c>
      <c r="AA380" s="66">
        <f t="shared" si="123"/>
        <v>0</v>
      </c>
      <c r="AB380" s="66">
        <f t="shared" si="124"/>
        <v>0</v>
      </c>
      <c r="AC380" s="66">
        <f t="shared" si="125"/>
        <v>0</v>
      </c>
      <c r="AD380" s="66">
        <f t="shared" si="126"/>
        <v>0</v>
      </c>
      <c r="AE380" s="66">
        <f t="shared" si="127"/>
        <v>0</v>
      </c>
      <c r="AF380" s="66">
        <f t="shared" si="128"/>
        <v>0</v>
      </c>
      <c r="AG380" s="95">
        <f t="shared" si="135"/>
        <v>0</v>
      </c>
      <c r="AH380" s="31" t="str">
        <f t="shared" si="136"/>
        <v>ok</v>
      </c>
      <c r="AJ380" s="14">
        <f t="shared" si="132"/>
        <v>0</v>
      </c>
    </row>
    <row r="381" spans="1:37" hidden="1" x14ac:dyDescent="0.2">
      <c r="A381" s="14">
        <v>23</v>
      </c>
      <c r="D381" s="14" t="s">
        <v>261</v>
      </c>
      <c r="E381" s="66">
        <v>0</v>
      </c>
      <c r="F381" s="66">
        <f t="shared" si="102"/>
        <v>0</v>
      </c>
      <c r="G381" s="66">
        <f t="shared" si="103"/>
        <v>0</v>
      </c>
      <c r="H381" s="66">
        <f t="shared" si="104"/>
        <v>0</v>
      </c>
      <c r="I381" s="66">
        <f t="shared" si="105"/>
        <v>0</v>
      </c>
      <c r="J381" s="66">
        <f t="shared" si="106"/>
        <v>0</v>
      </c>
      <c r="K381" s="66">
        <f t="shared" si="107"/>
        <v>0</v>
      </c>
      <c r="L381" s="66">
        <f t="shared" si="108"/>
        <v>0</v>
      </c>
      <c r="M381" s="66">
        <f t="shared" si="109"/>
        <v>0</v>
      </c>
      <c r="N381" s="66">
        <f t="shared" si="110"/>
        <v>0</v>
      </c>
      <c r="O381" s="66">
        <f t="shared" si="111"/>
        <v>0</v>
      </c>
      <c r="P381" s="66">
        <f t="shared" si="112"/>
        <v>0</v>
      </c>
      <c r="Q381" s="66">
        <f t="shared" si="113"/>
        <v>0</v>
      </c>
      <c r="R381" s="66">
        <f t="shared" si="114"/>
        <v>0</v>
      </c>
      <c r="S381" s="66">
        <f t="shared" si="115"/>
        <v>0</v>
      </c>
      <c r="T381" s="66">
        <f t="shared" si="116"/>
        <v>0</v>
      </c>
      <c r="U381" s="66">
        <f t="shared" si="117"/>
        <v>0</v>
      </c>
      <c r="V381" s="66">
        <f t="shared" si="118"/>
        <v>0</v>
      </c>
      <c r="W381" s="66">
        <f t="shared" si="119"/>
        <v>0</v>
      </c>
      <c r="X381" s="66">
        <f t="shared" si="120"/>
        <v>0</v>
      </c>
      <c r="Y381" s="66">
        <f t="shared" si="121"/>
        <v>0</v>
      </c>
      <c r="Z381" s="66">
        <f t="shared" si="122"/>
        <v>0</v>
      </c>
      <c r="AA381" s="66">
        <f t="shared" si="123"/>
        <v>0</v>
      </c>
      <c r="AB381" s="66">
        <f t="shared" si="124"/>
        <v>0</v>
      </c>
      <c r="AC381" s="66">
        <f t="shared" si="125"/>
        <v>0</v>
      </c>
      <c r="AD381" s="66">
        <f t="shared" si="126"/>
        <v>0</v>
      </c>
      <c r="AE381" s="66">
        <f t="shared" si="127"/>
        <v>0</v>
      </c>
      <c r="AF381" s="66">
        <f t="shared" si="128"/>
        <v>0</v>
      </c>
      <c r="AG381" s="95">
        <f t="shared" ref="AG381" si="137">SUM(F381:AF381)</f>
        <v>0</v>
      </c>
      <c r="AH381" s="31" t="str">
        <f t="shared" ref="AH381" si="138">IF(ABS(E381-AG381)&lt;0.01,"ok","err")</f>
        <v>ok</v>
      </c>
      <c r="AJ381" s="14">
        <f t="shared" si="132"/>
        <v>0</v>
      </c>
    </row>
    <row r="382" spans="1:37" x14ac:dyDescent="0.2">
      <c r="B382" s="28" t="s">
        <v>901</v>
      </c>
      <c r="E382" s="107">
        <f t="shared" ref="E382:R382" si="139">SUM(E358:E381)</f>
        <v>-20235817.721459441</v>
      </c>
      <c r="F382" s="107">
        <f t="shared" si="139"/>
        <v>-13708744.907461394</v>
      </c>
      <c r="G382" s="107">
        <f t="shared" si="139"/>
        <v>-34112.485681994651</v>
      </c>
      <c r="H382" s="107">
        <f t="shared" si="139"/>
        <v>-1102932.5504831905</v>
      </c>
      <c r="I382" s="107">
        <f t="shared" si="139"/>
        <v>-233.69391147647136</v>
      </c>
      <c r="J382" s="107">
        <f t="shared" si="139"/>
        <v>-1609595.4018739371</v>
      </c>
      <c r="K382" s="107">
        <f t="shared" si="139"/>
        <v>-1890807.9266546089</v>
      </c>
      <c r="L382" s="107">
        <f t="shared" si="139"/>
        <v>-1223799.6292696786</v>
      </c>
      <c r="M382" s="107">
        <f t="shared" si="139"/>
        <v>-300638.17160618049</v>
      </c>
      <c r="N382" s="107">
        <f t="shared" si="139"/>
        <v>-202328.83159160599</v>
      </c>
      <c r="O382" s="107">
        <f t="shared" si="139"/>
        <v>-162624.1229253732</v>
      </c>
      <c r="P382" s="107">
        <f t="shared" si="139"/>
        <v>0</v>
      </c>
      <c r="Q382" s="107">
        <f t="shared" si="139"/>
        <v>0</v>
      </c>
      <c r="R382" s="107">
        <f t="shared" si="139"/>
        <v>0</v>
      </c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107">
        <f t="shared" si="96"/>
        <v>-20235817.721459437</v>
      </c>
      <c r="AH382" s="31" t="str">
        <f t="shared" si="97"/>
        <v>ok</v>
      </c>
    </row>
    <row r="383" spans="1:37" x14ac:dyDescent="0.2">
      <c r="E383" s="95"/>
    </row>
    <row r="384" spans="1:37" x14ac:dyDescent="0.2">
      <c r="A384" s="14" t="s">
        <v>572</v>
      </c>
      <c r="E384" s="95">
        <f t="shared" ref="E384:R384" si="140">E355+E382</f>
        <v>98986835.278540552</v>
      </c>
      <c r="F384" s="95">
        <f t="shared" si="140"/>
        <v>73425598.264985025</v>
      </c>
      <c r="G384" s="95">
        <f t="shared" si="140"/>
        <v>204609.16713894278</v>
      </c>
      <c r="H384" s="95">
        <f t="shared" si="140"/>
        <v>5913914.0951083153</v>
      </c>
      <c r="I384" s="95">
        <f t="shared" si="140"/>
        <v>1566.2359782094211</v>
      </c>
      <c r="J384" s="95">
        <f t="shared" si="140"/>
        <v>5522709.1457180586</v>
      </c>
      <c r="K384" s="95">
        <f t="shared" si="140"/>
        <v>5042116.415034798</v>
      </c>
      <c r="L384" s="95">
        <f t="shared" si="140"/>
        <v>3930319.4438327006</v>
      </c>
      <c r="M384" s="95">
        <f t="shared" si="140"/>
        <v>2391708.6158075863</v>
      </c>
      <c r="N384" s="95">
        <f t="shared" si="140"/>
        <v>781184.17903247289</v>
      </c>
      <c r="O384" s="95">
        <f t="shared" si="140"/>
        <v>1773109.7159044044</v>
      </c>
      <c r="P384" s="95">
        <f t="shared" si="140"/>
        <v>0</v>
      </c>
      <c r="Q384" s="95">
        <f t="shared" si="140"/>
        <v>0</v>
      </c>
      <c r="R384" s="95">
        <f t="shared" si="140"/>
        <v>0</v>
      </c>
      <c r="S384" s="95">
        <f t="shared" ref="S384:AF384" si="141">SUM(S355:S383)</f>
        <v>0</v>
      </c>
      <c r="T384" s="95">
        <f t="shared" si="141"/>
        <v>0</v>
      </c>
      <c r="U384" s="95">
        <f t="shared" si="141"/>
        <v>0</v>
      </c>
      <c r="V384" s="95">
        <f t="shared" si="141"/>
        <v>0</v>
      </c>
      <c r="W384" s="95">
        <f t="shared" si="141"/>
        <v>0</v>
      </c>
      <c r="X384" s="95">
        <f t="shared" si="141"/>
        <v>0</v>
      </c>
      <c r="Y384" s="95">
        <f t="shared" si="141"/>
        <v>0</v>
      </c>
      <c r="Z384" s="95">
        <f t="shared" si="141"/>
        <v>0</v>
      </c>
      <c r="AA384" s="95">
        <f t="shared" si="141"/>
        <v>0</v>
      </c>
      <c r="AB384" s="95">
        <f t="shared" si="141"/>
        <v>0</v>
      </c>
      <c r="AC384" s="95">
        <f t="shared" si="141"/>
        <v>0</v>
      </c>
      <c r="AD384" s="95">
        <f t="shared" si="141"/>
        <v>0</v>
      </c>
      <c r="AE384" s="95">
        <f t="shared" si="141"/>
        <v>0</v>
      </c>
      <c r="AF384" s="95">
        <f t="shared" si="141"/>
        <v>0</v>
      </c>
      <c r="AG384" s="95">
        <f>SUM(F384:AF384)</f>
        <v>98986835.278540522</v>
      </c>
      <c r="AH384" s="31" t="str">
        <f>IF(ABS(E384-AG384)&lt;0.01,"ok","err")</f>
        <v>ok</v>
      </c>
    </row>
    <row r="386" spans="1:34" x14ac:dyDescent="0.2">
      <c r="A386" s="13" t="s">
        <v>573</v>
      </c>
      <c r="E386" s="95">
        <f t="shared" ref="E386:AF386" si="142">E351-E384</f>
        <v>-1323754.1685405523</v>
      </c>
      <c r="F386" s="95">
        <f t="shared" si="142"/>
        <v>-5935136.4040880352</v>
      </c>
      <c r="G386" s="95">
        <f t="shared" si="142"/>
        <v>14358.351988263137</v>
      </c>
      <c r="H386" s="95">
        <f t="shared" si="142"/>
        <v>1604820.8075632695</v>
      </c>
      <c r="I386" s="95">
        <f t="shared" si="142"/>
        <v>-253.43911911077817</v>
      </c>
      <c r="J386" s="95">
        <f t="shared" si="142"/>
        <v>667848.06824713573</v>
      </c>
      <c r="K386" s="95">
        <f t="shared" si="142"/>
        <v>620414.75562000368</v>
      </c>
      <c r="L386" s="95">
        <f t="shared" si="142"/>
        <v>439164.42600645637</v>
      </c>
      <c r="M386" s="95">
        <f t="shared" si="142"/>
        <v>240971.94203485129</v>
      </c>
      <c r="N386" s="95">
        <f t="shared" si="142"/>
        <v>-28212.181396944216</v>
      </c>
      <c r="O386" s="95">
        <f t="shared" si="142"/>
        <v>1052269.5082648867</v>
      </c>
      <c r="P386" s="95">
        <f t="shared" si="142"/>
        <v>0</v>
      </c>
      <c r="Q386" s="95">
        <f t="shared" si="142"/>
        <v>0</v>
      </c>
      <c r="R386" s="95">
        <f t="shared" si="142"/>
        <v>0</v>
      </c>
      <c r="S386" s="95">
        <f t="shared" si="142"/>
        <v>0</v>
      </c>
      <c r="T386" s="95">
        <f t="shared" si="142"/>
        <v>0</v>
      </c>
      <c r="U386" s="95">
        <f t="shared" si="142"/>
        <v>0</v>
      </c>
      <c r="V386" s="95">
        <f t="shared" si="142"/>
        <v>0</v>
      </c>
      <c r="W386" s="95">
        <f t="shared" si="142"/>
        <v>0</v>
      </c>
      <c r="X386" s="95">
        <f t="shared" si="142"/>
        <v>0</v>
      </c>
      <c r="Y386" s="95">
        <f t="shared" si="142"/>
        <v>0</v>
      </c>
      <c r="Z386" s="95">
        <f t="shared" si="142"/>
        <v>0</v>
      </c>
      <c r="AA386" s="95">
        <f t="shared" si="142"/>
        <v>0</v>
      </c>
      <c r="AB386" s="95">
        <f t="shared" si="142"/>
        <v>0</v>
      </c>
      <c r="AC386" s="95">
        <f t="shared" si="142"/>
        <v>0</v>
      </c>
      <c r="AD386" s="95">
        <f t="shared" si="142"/>
        <v>0</v>
      </c>
      <c r="AE386" s="95">
        <f t="shared" si="142"/>
        <v>0</v>
      </c>
      <c r="AF386" s="95">
        <f t="shared" si="142"/>
        <v>0</v>
      </c>
      <c r="AG386" s="95">
        <f>SUM(F386:AF386)</f>
        <v>-1323754.1648792238</v>
      </c>
      <c r="AH386" s="31" t="str">
        <f>IF(ABS(E386-AG386)&lt;0.01,"ok","err")</f>
        <v>ok</v>
      </c>
    </row>
    <row r="388" spans="1:34" x14ac:dyDescent="0.2">
      <c r="A388" s="13" t="s">
        <v>249</v>
      </c>
      <c r="E388" s="95">
        <f t="shared" ref="E388:AF388" si="143">E328</f>
        <v>190574016.10499999</v>
      </c>
      <c r="F388" s="95">
        <f t="shared" si="143"/>
        <v>153206022.970658</v>
      </c>
      <c r="G388" s="95">
        <f t="shared" si="143"/>
        <v>84456.434304683382</v>
      </c>
      <c r="H388" s="95">
        <f t="shared" si="143"/>
        <v>9965998.5881617591</v>
      </c>
      <c r="I388" s="95">
        <f t="shared" si="143"/>
        <v>1109.7989676717832</v>
      </c>
      <c r="J388" s="95">
        <f t="shared" si="143"/>
        <v>4037543.2430580161</v>
      </c>
      <c r="K388" s="95">
        <f t="shared" si="143"/>
        <v>2708759.8924277038</v>
      </c>
      <c r="L388" s="95">
        <f t="shared" si="143"/>
        <v>2104929.1924457625</v>
      </c>
      <c r="M388" s="95">
        <f t="shared" si="143"/>
        <v>5076075.7818866875</v>
      </c>
      <c r="N388" s="95">
        <f t="shared" si="143"/>
        <v>974679.1995038836</v>
      </c>
      <c r="O388" s="95">
        <f t="shared" si="143"/>
        <v>12414441.003585782</v>
      </c>
      <c r="P388" s="95">
        <f t="shared" si="143"/>
        <v>0</v>
      </c>
      <c r="Q388" s="95">
        <f t="shared" si="143"/>
        <v>0</v>
      </c>
      <c r="R388" s="95">
        <f t="shared" si="143"/>
        <v>0</v>
      </c>
      <c r="S388" s="95">
        <f t="shared" si="143"/>
        <v>0</v>
      </c>
      <c r="T388" s="95">
        <f t="shared" si="143"/>
        <v>0</v>
      </c>
      <c r="U388" s="95">
        <f t="shared" si="143"/>
        <v>0</v>
      </c>
      <c r="V388" s="95">
        <f t="shared" si="143"/>
        <v>0</v>
      </c>
      <c r="W388" s="95">
        <f t="shared" si="143"/>
        <v>0</v>
      </c>
      <c r="X388" s="95">
        <f t="shared" si="143"/>
        <v>0</v>
      </c>
      <c r="Y388" s="95">
        <f t="shared" si="143"/>
        <v>0</v>
      </c>
      <c r="Z388" s="95">
        <f t="shared" si="143"/>
        <v>0</v>
      </c>
      <c r="AA388" s="95">
        <f t="shared" si="143"/>
        <v>0</v>
      </c>
      <c r="AB388" s="95">
        <f t="shared" si="143"/>
        <v>0</v>
      </c>
      <c r="AC388" s="95">
        <f t="shared" si="143"/>
        <v>0</v>
      </c>
      <c r="AD388" s="95">
        <f t="shared" si="143"/>
        <v>0</v>
      </c>
      <c r="AE388" s="95">
        <f t="shared" si="143"/>
        <v>0</v>
      </c>
      <c r="AF388" s="95">
        <f t="shared" si="143"/>
        <v>0</v>
      </c>
      <c r="AG388" s="95">
        <f>SUM(F388:AF388)</f>
        <v>190574016.10499996</v>
      </c>
      <c r="AH388" s="31" t="str">
        <f>IF(ABS(E388-AG388)&lt;0.01,"ok","err")</f>
        <v>ok</v>
      </c>
    </row>
    <row r="389" spans="1:34" x14ac:dyDescent="0.2">
      <c r="A389" s="14" t="s">
        <v>750</v>
      </c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31"/>
    </row>
    <row r="390" spans="1:34" x14ac:dyDescent="0.2">
      <c r="A390" s="13"/>
      <c r="B390" s="14" t="s">
        <v>1147</v>
      </c>
      <c r="D390" s="14" t="s">
        <v>261</v>
      </c>
      <c r="E390" s="95">
        <v>0</v>
      </c>
      <c r="F390" s="66">
        <f>IF(VLOOKUP($D390,$C$5:$AU$520,3,)=0,0,(VLOOKUP($D390,$C$5:$AU$520,4,)/VLOOKUP($D390,$C$5:$AU$520,3,))*$E390)</f>
        <v>0</v>
      </c>
      <c r="G390" s="66">
        <f>IF(VLOOKUP($D390,$C$5:$AU$520,3,)=0,0,(VLOOKUP($D390,$C$5:$AU$520,5,)/VLOOKUP($D390,$C$5:$AU$520,3,))*$E390)</f>
        <v>0</v>
      </c>
      <c r="H390" s="66">
        <f>IF(VLOOKUP($D390,$C$5:$AU$520,3,)=0,0,(VLOOKUP($D390,$C$5:$AU$520,6,)/VLOOKUP($D390,$C$5:$AU$520,3,))*$E390)</f>
        <v>0</v>
      </c>
      <c r="I390" s="66">
        <f>IF(VLOOKUP($D390,$C$5:$AU$520,3,)=0,0,(VLOOKUP($D390,$C$5:$AU$520,7,)/VLOOKUP($D390,$C$5:$AU$520,3,))*$E390)</f>
        <v>0</v>
      </c>
      <c r="J390" s="66">
        <f>IF(VLOOKUP($D390,$C$5:$AU$520,3,)=0,0,(VLOOKUP($D390,$C$5:$AU$520,8,)/VLOOKUP($D390,$C$5:$AU$520,3,))*$E390)</f>
        <v>0</v>
      </c>
      <c r="K390" s="66">
        <f>IF(VLOOKUP($D390,$C$5:$AU$520,3,)=0,0,(VLOOKUP($D390,$C$5:$AU$520,9,)/VLOOKUP($D390,$C$5:$AU$520,3,))*$E390)</f>
        <v>0</v>
      </c>
      <c r="L390" s="66">
        <f>IF(VLOOKUP($D390,$C$5:$AU$520,3,)=0,0,(VLOOKUP($D390,$C$5:$AU$520,10,)/VLOOKUP($D390,$C$5:$AU$520,3,))*$E390)</f>
        <v>0</v>
      </c>
      <c r="M390" s="66">
        <f>IF(VLOOKUP($D390,$C$5:$AU$520,3,)=0,0,(VLOOKUP($D390,$C$5:$AU$520,11,)/VLOOKUP($D390,$C$5:$AU$520,3,))*$E390)</f>
        <v>0</v>
      </c>
      <c r="N390" s="66">
        <f>IF(VLOOKUP($D390,$C$5:$AU$520,3,)=0,0,(VLOOKUP($D390,$C$5:$AU$520,12,)/VLOOKUP($D390,$C$5:$AU$520,3,))*$E390)</f>
        <v>0</v>
      </c>
      <c r="O390" s="66">
        <f>IF(VLOOKUP($D390,$C$5:$AU$520,3,)=0,0,(VLOOKUP($D390,$C$5:$AU$520,13,)/VLOOKUP($D390,$C$5:$AU$520,3,))*$E390)</f>
        <v>0</v>
      </c>
      <c r="P390" s="66">
        <f>IF(VLOOKUP($D390,$C$5:$AU$520,3,)=0,0,(VLOOKUP($D390,$C$5:$AU$520,14,)/VLOOKUP($D390,$C$5:$AU$520,3,))*$E390)</f>
        <v>0</v>
      </c>
      <c r="Q390" s="66">
        <f>IF(VLOOKUP($D390,$C$5:$AU$520,3,)=0,0,(VLOOKUP($D390,$C$5:$AU$520,15,)/VLOOKUP($D390,$C$5:$AU$520,3,))*$E390)</f>
        <v>0</v>
      </c>
      <c r="R390" s="66">
        <f>IF(VLOOKUP($D390,$C$5:$AU$520,3,)=0,0,(VLOOKUP($D390,$C$5:$AU$520,16,)/VLOOKUP($D390,$C$5:$AU$520,3,))*$E390)</f>
        <v>0</v>
      </c>
      <c r="S390" s="66">
        <f>IF(VLOOKUP($D390,$C$5:$AU$520,3,)=0,0,(VLOOKUP($D390,$C$5:$AU$520,17,)/VLOOKUP($D390,$C$5:$AU$520,3,))*$E390)</f>
        <v>0</v>
      </c>
      <c r="T390" s="66">
        <f>IF(VLOOKUP($D390,$C$5:$AU$520,3,)=0,0,(VLOOKUP($D390,$C$5:$AU$520,18,)/VLOOKUP($D390,$C$5:$AU$520,3,))*$E390)</f>
        <v>0</v>
      </c>
      <c r="U390" s="66">
        <f>IF(VLOOKUP($D390,$C$5:$AU$520,3,)=0,0,(VLOOKUP($D390,$C$5:$AU$520,19,)/VLOOKUP($D390,$C$5:$AU$520,3,))*$E390)</f>
        <v>0</v>
      </c>
      <c r="V390" s="66">
        <f>IF(VLOOKUP($D390,$C$5:$AU$520,3,)=0,0,(VLOOKUP($D390,$C$5:$AU$520,20,)/VLOOKUP($D390,$C$5:$AU$520,3,))*$E390)</f>
        <v>0</v>
      </c>
      <c r="W390" s="66">
        <f>IF(VLOOKUP($D390,$C$5:$AU$520,3,)=0,0,(VLOOKUP($D390,$C$5:$AU$520,21,)/VLOOKUP($D390,$C$5:$AU$520,3,))*$E390)</f>
        <v>0</v>
      </c>
      <c r="X390" s="66">
        <f>IF(VLOOKUP($D390,$C$5:$AU$520,3,)=0,0,(VLOOKUP($D390,$C$5:$AU$520,22,)/VLOOKUP($D390,$C$5:$AU$520,3,))*$E390)</f>
        <v>0</v>
      </c>
      <c r="Y390" s="66">
        <f>IF(VLOOKUP($D390,$C$5:$AU$520,3,)=0,0,(VLOOKUP($D390,$C$5:$AU$520,23,)/VLOOKUP($D390,$C$5:$AU$520,3,))*$E390)</f>
        <v>0</v>
      </c>
      <c r="Z390" s="66">
        <f>IF(VLOOKUP($D390,$C$5:$AU$520,3,)=0,0,(VLOOKUP($D390,$C$5:$AU$520,24,)/VLOOKUP($D390,$C$5:$AU$520,3,))*$E390)</f>
        <v>0</v>
      </c>
      <c r="AA390" s="66">
        <f>IF(VLOOKUP($D390,$C$5:$AU$520,3,)=0,0,(VLOOKUP($D390,$C$5:$AU$520,25,)/VLOOKUP($D390,$C$5:$AU$520,3,))*$E390)</f>
        <v>0</v>
      </c>
      <c r="AB390" s="66">
        <f>IF(VLOOKUP($D390,$C$5:$AU$520,3,)=0,0,(VLOOKUP($D390,$C$5:$AU$520,26,)/VLOOKUP($D390,$C$5:$AU$520,3,))*$E390)</f>
        <v>0</v>
      </c>
      <c r="AC390" s="66">
        <f>IF(VLOOKUP($D390,$C$5:$AU$520,3,)=0,0,(VLOOKUP($D390,$C$5:$AU$520,27,)/VLOOKUP($D390,$C$5:$AU$520,3,))*$E390)</f>
        <v>0</v>
      </c>
      <c r="AD390" s="66">
        <f>IF(VLOOKUP($D390,$C$5:$AU$520,3,)=0,0,(VLOOKUP($D390,$C$5:$AU$520,28,)/VLOOKUP($D390,$C$5:$AU$520,3,))*$E390)</f>
        <v>0</v>
      </c>
      <c r="AE390" s="66">
        <f>IF(VLOOKUP($D390,$C$5:$AU$520,3,)=0,0,(VLOOKUP($D390,$C$5:$AU$520,29,)/VLOOKUP($D390,$C$5:$AU$520,3,))*$E390)</f>
        <v>0</v>
      </c>
      <c r="AF390" s="66">
        <f>IF(VLOOKUP($D390,$C$5:$AU$520,3,)=0,0,(VLOOKUP($D390,$C$5:$AU$520,30,)/VLOOKUP($D390,$C$5:$AU$520,3,))*$E390)</f>
        <v>0</v>
      </c>
      <c r="AG390" s="95">
        <f>SUM(F390:AF390)</f>
        <v>0</v>
      </c>
      <c r="AH390" s="31" t="str">
        <f>IF(ABS(E390-AG390)&lt;0.01,"ok","err")</f>
        <v>ok</v>
      </c>
    </row>
    <row r="391" spans="1:34" x14ac:dyDescent="0.2">
      <c r="A391" s="13"/>
      <c r="E391" s="95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95"/>
      <c r="AH391" s="31"/>
    </row>
    <row r="392" spans="1:34" x14ac:dyDescent="0.2">
      <c r="A392" s="14" t="s">
        <v>749</v>
      </c>
      <c r="E392" s="95">
        <f>E388+E390</f>
        <v>190574016.10499999</v>
      </c>
      <c r="F392" s="95">
        <f t="shared" ref="F392:U392" si="144">F388+F390</f>
        <v>153206022.970658</v>
      </c>
      <c r="G392" s="95">
        <f t="shared" si="144"/>
        <v>84456.434304683382</v>
      </c>
      <c r="H392" s="95">
        <f t="shared" si="144"/>
        <v>9965998.5881617591</v>
      </c>
      <c r="I392" s="95">
        <f t="shared" si="144"/>
        <v>1109.7989676717832</v>
      </c>
      <c r="J392" s="95">
        <f t="shared" si="144"/>
        <v>4037543.2430580161</v>
      </c>
      <c r="K392" s="95">
        <f t="shared" si="144"/>
        <v>2708759.8924277038</v>
      </c>
      <c r="L392" s="95">
        <f t="shared" si="144"/>
        <v>2104929.1924457625</v>
      </c>
      <c r="M392" s="95">
        <f t="shared" si="144"/>
        <v>5076075.7818866875</v>
      </c>
      <c r="N392" s="95">
        <f t="shared" si="144"/>
        <v>974679.1995038836</v>
      </c>
      <c r="O392" s="95">
        <f t="shared" si="144"/>
        <v>12414441.003585782</v>
      </c>
      <c r="P392" s="95">
        <f>P388+P390</f>
        <v>0</v>
      </c>
      <c r="Q392" s="95">
        <f t="shared" si="144"/>
        <v>0</v>
      </c>
      <c r="R392" s="95">
        <f t="shared" si="144"/>
        <v>0</v>
      </c>
      <c r="S392" s="66">
        <f t="shared" si="144"/>
        <v>0</v>
      </c>
      <c r="T392" s="66">
        <f t="shared" si="144"/>
        <v>0</v>
      </c>
      <c r="U392" s="66">
        <f t="shared" si="144"/>
        <v>0</v>
      </c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95">
        <f>SUM(F392:AF392)</f>
        <v>190574016.10499996</v>
      </c>
      <c r="AH392" s="31" t="str">
        <f>IF(ABS(E392-AG392)&lt;0.01,"ok","err")</f>
        <v>ok</v>
      </c>
    </row>
    <row r="393" spans="1:34" ht="13.5" thickBot="1" x14ac:dyDescent="0.25"/>
    <row r="394" spans="1:34" ht="13.5" thickBot="1" x14ac:dyDescent="0.25">
      <c r="A394" s="193" t="s">
        <v>334</v>
      </c>
      <c r="B394" s="194"/>
      <c r="C394" s="194"/>
      <c r="D394" s="194"/>
      <c r="E394" s="106">
        <f t="shared" ref="E394:R394" si="145">E386/E392</f>
        <v>-6.9461419536397213E-3</v>
      </c>
      <c r="F394" s="106">
        <f t="shared" si="145"/>
        <v>-3.8739576219041547E-2</v>
      </c>
      <c r="G394" s="106">
        <f t="shared" si="145"/>
        <v>0.17000897689410172</v>
      </c>
      <c r="H394" s="106">
        <f t="shared" si="145"/>
        <v>0.16102960414519593</v>
      </c>
      <c r="I394" s="106">
        <f t="shared" si="145"/>
        <v>-0.22836488994260026</v>
      </c>
      <c r="J394" s="106">
        <f t="shared" si="145"/>
        <v>0.16540951465855033</v>
      </c>
      <c r="K394" s="106">
        <f t="shared" si="145"/>
        <v>0.22904014392503502</v>
      </c>
      <c r="L394" s="106">
        <f t="shared" si="145"/>
        <v>0.20863619906196548</v>
      </c>
      <c r="M394" s="106">
        <f t="shared" si="145"/>
        <v>4.7472093087090654E-2</v>
      </c>
      <c r="N394" s="106">
        <f t="shared" si="145"/>
        <v>-2.8945094356486064E-2</v>
      </c>
      <c r="O394" s="106">
        <f t="shared" si="145"/>
        <v>8.4761730951957451E-2</v>
      </c>
      <c r="P394" s="106" t="e">
        <f t="shared" si="145"/>
        <v>#DIV/0!</v>
      </c>
      <c r="Q394" s="106" t="e">
        <f t="shared" si="145"/>
        <v>#DIV/0!</v>
      </c>
      <c r="R394" s="106" t="e">
        <f t="shared" si="145"/>
        <v>#DIV/0!</v>
      </c>
      <c r="S394" s="106" t="e">
        <f t="shared" ref="S394:AF394" si="146">S386/S388</f>
        <v>#DIV/0!</v>
      </c>
      <c r="T394" s="106" t="e">
        <f t="shared" si="146"/>
        <v>#DIV/0!</v>
      </c>
      <c r="U394" s="106" t="e">
        <f t="shared" si="146"/>
        <v>#DIV/0!</v>
      </c>
      <c r="V394" s="106" t="e">
        <f t="shared" si="146"/>
        <v>#DIV/0!</v>
      </c>
      <c r="W394" s="106" t="e">
        <f t="shared" si="146"/>
        <v>#DIV/0!</v>
      </c>
      <c r="X394" s="106" t="e">
        <f t="shared" si="146"/>
        <v>#DIV/0!</v>
      </c>
      <c r="Y394" s="106" t="e">
        <f t="shared" si="146"/>
        <v>#DIV/0!</v>
      </c>
      <c r="Z394" s="106" t="e">
        <f t="shared" si="146"/>
        <v>#DIV/0!</v>
      </c>
      <c r="AA394" s="106" t="e">
        <f t="shared" si="146"/>
        <v>#DIV/0!</v>
      </c>
      <c r="AB394" s="106" t="e">
        <f t="shared" si="146"/>
        <v>#DIV/0!</v>
      </c>
      <c r="AC394" s="106" t="e">
        <f t="shared" si="146"/>
        <v>#DIV/0!</v>
      </c>
      <c r="AD394" s="106" t="e">
        <f t="shared" si="146"/>
        <v>#DIV/0!</v>
      </c>
      <c r="AE394" s="106" t="e">
        <f t="shared" si="146"/>
        <v>#DIV/0!</v>
      </c>
      <c r="AF394" s="106" t="e">
        <f t="shared" si="146"/>
        <v>#DIV/0!</v>
      </c>
      <c r="AG394" s="95"/>
      <c r="AH394" s="31"/>
    </row>
    <row r="395" spans="1:34" x14ac:dyDescent="0.2">
      <c r="A395" s="13" t="s">
        <v>952</v>
      </c>
      <c r="B395" s="13"/>
      <c r="C395" s="13"/>
      <c r="D395" s="13"/>
      <c r="E395" s="196">
        <f>E394/$E$394</f>
        <v>1</v>
      </c>
      <c r="F395" s="196">
        <f t="shared" ref="F395:AF395" si="147">F394/$E$394</f>
        <v>5.5771356931083629</v>
      </c>
      <c r="G395" s="196">
        <f t="shared" si="147"/>
        <v>-24.475309895591526</v>
      </c>
      <c r="H395" s="196">
        <f t="shared" si="147"/>
        <v>-23.18259621239352</v>
      </c>
      <c r="I395" s="196">
        <f t="shared" si="147"/>
        <v>32.876507774641567</v>
      </c>
      <c r="J395" s="196">
        <f t="shared" si="147"/>
        <v>-23.81314919311102</v>
      </c>
      <c r="K395" s="196">
        <f t="shared" si="147"/>
        <v>-32.973720585284021</v>
      </c>
      <c r="L395" s="196">
        <f t="shared" si="147"/>
        <v>-30.036270559175922</v>
      </c>
      <c r="M395" s="196">
        <f t="shared" si="147"/>
        <v>-6.8343108165556083</v>
      </c>
      <c r="N395" s="196">
        <f t="shared" si="147"/>
        <v>4.1670749820076844</v>
      </c>
      <c r="O395" s="196">
        <f t="shared" si="147"/>
        <v>-12.202706411368831</v>
      </c>
      <c r="P395" s="196" t="e">
        <f t="shared" si="147"/>
        <v>#DIV/0!</v>
      </c>
      <c r="Q395" s="196" t="e">
        <f t="shared" si="147"/>
        <v>#DIV/0!</v>
      </c>
      <c r="R395" s="196" t="e">
        <f t="shared" si="147"/>
        <v>#DIV/0!</v>
      </c>
      <c r="S395" s="196" t="e">
        <f t="shared" si="147"/>
        <v>#DIV/0!</v>
      </c>
      <c r="T395" s="196" t="e">
        <f t="shared" si="147"/>
        <v>#DIV/0!</v>
      </c>
      <c r="U395" s="196" t="e">
        <f t="shared" si="147"/>
        <v>#DIV/0!</v>
      </c>
      <c r="V395" s="196" t="e">
        <f t="shared" si="147"/>
        <v>#DIV/0!</v>
      </c>
      <c r="W395" s="196" t="e">
        <f t="shared" si="147"/>
        <v>#DIV/0!</v>
      </c>
      <c r="X395" s="196" t="e">
        <f t="shared" si="147"/>
        <v>#DIV/0!</v>
      </c>
      <c r="Y395" s="196" t="e">
        <f t="shared" si="147"/>
        <v>#DIV/0!</v>
      </c>
      <c r="Z395" s="196" t="e">
        <f t="shared" si="147"/>
        <v>#DIV/0!</v>
      </c>
      <c r="AA395" s="196" t="e">
        <f t="shared" si="147"/>
        <v>#DIV/0!</v>
      </c>
      <c r="AB395" s="196" t="e">
        <f t="shared" si="147"/>
        <v>#DIV/0!</v>
      </c>
      <c r="AC395" s="196" t="e">
        <f t="shared" si="147"/>
        <v>#DIV/0!</v>
      </c>
      <c r="AD395" s="196" t="e">
        <f t="shared" si="147"/>
        <v>#DIV/0!</v>
      </c>
      <c r="AE395" s="196" t="e">
        <f t="shared" si="147"/>
        <v>#DIV/0!</v>
      </c>
      <c r="AF395" s="196" t="e">
        <f t="shared" si="147"/>
        <v>#DIV/0!</v>
      </c>
      <c r="AG395" s="95"/>
      <c r="AH395" s="31"/>
    </row>
    <row r="398" spans="1:34" x14ac:dyDescent="0.2">
      <c r="A398" s="29" t="s">
        <v>567</v>
      </c>
    </row>
    <row r="400" spans="1:34" x14ac:dyDescent="0.2">
      <c r="A400" s="13" t="s">
        <v>335</v>
      </c>
    </row>
    <row r="401" spans="1:34" x14ac:dyDescent="0.2">
      <c r="A401" s="14" t="s">
        <v>336</v>
      </c>
      <c r="C401" s="14" t="s">
        <v>214</v>
      </c>
      <c r="D401" s="14" t="s">
        <v>11</v>
      </c>
      <c r="E401" s="49">
        <v>1</v>
      </c>
      <c r="F401" s="49">
        <f>IF(VLOOKUP($D401,$C$5:$AU$501,3,)=0,0,(VLOOKUP($D401,$C$5:$AU$501,4,)/VLOOKUP($D401,$C$5:$AU$501,3,))*$E401)</f>
        <v>0.63210750680026673</v>
      </c>
      <c r="G401" s="49">
        <f>IF(VLOOKUP($D401,$C$5:$AU$501,3,)=0,0,(VLOOKUP($D401,$C$5:$AU$501,5,)/VLOOKUP($D401,$C$5:$AU$501,3,))*$E401)</f>
        <v>3.4522539505388809E-3</v>
      </c>
      <c r="H401" s="49">
        <f>IF(VLOOKUP($D401,$C$5:$AU$501,3,)=0,0,(VLOOKUP($D401,$C$5:$AU$501,6,)/VLOOKUP($D401,$C$5:$AU$501,3,))*$E401)</f>
        <v>6.3384114801603983E-2</v>
      </c>
      <c r="I401" s="49">
        <f>IF(VLOOKUP($D401,$C$5:$AU$501,3,)=0,0,(VLOOKUP($D401,$C$5:$AU$501,7,)/VLOOKUP($D401,$C$5:$AU$501,3,))*$E401)</f>
        <v>2.409631780583183E-5</v>
      </c>
      <c r="J401" s="49">
        <f>IF(VLOOKUP($D401,$C$5:$AU$501,3,)=0,0,(VLOOKUP($D401,$C$5:$AU$501,8,)/VLOOKUP($D401,$C$5:$AU$501,3,))*$E401)</f>
        <v>7.796346451595515E-2</v>
      </c>
      <c r="K401" s="49">
        <f>IF(VLOOKUP($D401,$C$5:$AU$501,3,)=0,0,(VLOOKUP($D401,$C$5:$AU$501,9,)/VLOOKUP($D401,$C$5:$AU$501,3,))*$E401)</f>
        <v>0.10177759622492166</v>
      </c>
      <c r="L401" s="49">
        <f>IF(VLOOKUP($D401,$C$5:$AU$501,3,)=0,0,(VLOOKUP($D401,$C$5:$AU$501,10,)/VLOOKUP($D401,$C$5:$AU$501,3,))*$E401)</f>
        <v>6.5891852557626668E-2</v>
      </c>
      <c r="M401" s="49">
        <f>IF(VLOOKUP($D401,$C$5:$AU$501,3,)=0,0,(VLOOKUP($D401,$C$5:$AU$501,11,)/VLOOKUP($D401,$C$5:$AU$501,3,))*$E401)</f>
        <v>2.4852339023723077E-2</v>
      </c>
      <c r="N401" s="49">
        <f>IF(VLOOKUP($D401,$C$5:$AU$501,3,)=0,0,(VLOOKUP($D401,$C$5:$AU$501,12,)/VLOOKUP($D401,$C$5:$AU$501,3,))*$E401)</f>
        <v>1.0889794643393725E-2</v>
      </c>
      <c r="O401" s="49">
        <f>IF(VLOOKUP($D401,$C$5:$AU$501,3,)=0,0,(VLOOKUP($D401,$C$5:$AU$501,13,)/VLOOKUP($D401,$C$5:$AU$501,3,))*$E401)</f>
        <v>1.9656981164164342E-2</v>
      </c>
      <c r="P401" s="49">
        <f>IF(VLOOKUP($D401,$C$5:$AU$501,3,)=0,0,(VLOOKUP($D401,$C$5:$AU$501,14,)/VLOOKUP($D401,$C$5:$AU$501,3,))*$E401)</f>
        <v>0</v>
      </c>
      <c r="Q401" s="49">
        <f>IF(VLOOKUP($D401,$C$5:$AU$501,3,)=0,0,(VLOOKUP($D401,$C$5:$AU$501,15,)/VLOOKUP($D401,$C$5:$AU$501,3,))*$E401)</f>
        <v>0</v>
      </c>
      <c r="R401" s="49">
        <f>IF(VLOOKUP($D401,$C$5:$AU$501,3,)=0,0,(VLOOKUP($D401,$C$5:$AU$501,16,)/VLOOKUP($D401,$C$5:$AU$501,3,))*$E401)</f>
        <v>0</v>
      </c>
      <c r="S401" s="49">
        <f>IF(VLOOKUP($D401,$C$5:$AU$501,3,)=0,0,(VLOOKUP($D401,$C$5:$AU$501,17,)/VLOOKUP($D401,$C$5:$AU$501,3,))*$E401)</f>
        <v>0</v>
      </c>
      <c r="T401" s="49">
        <f>IF(VLOOKUP($D401,$C$5:$AU$501,3,)=0,0,(VLOOKUP($D401,$C$5:$AU$501,18,)/VLOOKUP($D401,$C$5:$AU$501,3,))*$E401)</f>
        <v>0</v>
      </c>
      <c r="U401" s="49">
        <f>IF(VLOOKUP($D401,$C$5:$AU$501,3,)=0,0,(VLOOKUP($D401,$C$5:$AU$501,19,)/VLOOKUP($D401,$C$5:$AU$501,3,))*$E401)</f>
        <v>0</v>
      </c>
      <c r="V401" s="49">
        <f>IF(VLOOKUP($D401,$C$5:$AU$501,3,)=0,0,(VLOOKUP($D401,$C$5:$AU$501,20,)/VLOOKUP($D401,$C$5:$AU$501,3,))*$E401)</f>
        <v>0</v>
      </c>
      <c r="W401" s="49">
        <f>IF(VLOOKUP($D401,$C$5:$AU$501,3,)=0,0,(VLOOKUP($D401,$C$5:$AU$501,21,)/VLOOKUP($D401,$C$5:$AU$501,3,))*$E401)</f>
        <v>0</v>
      </c>
      <c r="X401" s="49">
        <f>IF(VLOOKUP($D401,$C$5:$AU$501,3,)=0,0,(VLOOKUP($D401,$C$5:$AU$501,22,)/VLOOKUP($D401,$C$5:$AU$501,3,))*$E401)</f>
        <v>0</v>
      </c>
      <c r="Y401" s="49">
        <f>IF(VLOOKUP($D401,$C$5:$AU$501,3,)=0,0,(VLOOKUP($D401,$C$5:$AU$501,23,)/VLOOKUP($D401,$C$5:$AU$501,3,))*$E401)</f>
        <v>0</v>
      </c>
      <c r="Z401" s="49">
        <f>IF(VLOOKUP($D401,$C$5:$AU$501,3,)=0,0,(VLOOKUP($D401,$C$5:$AU$501,24,)/VLOOKUP($D401,$C$5:$AU$501,3,))*$E401)</f>
        <v>0</v>
      </c>
      <c r="AA401" s="49">
        <f>IF(VLOOKUP($D401,$C$5:$AU$501,3,)=0,0,(VLOOKUP($D401,$C$5:$AU$501,25,)/VLOOKUP($D401,$C$5:$AU$501,3,))*$E401)</f>
        <v>0</v>
      </c>
      <c r="AB401" s="49">
        <f>IF(VLOOKUP($D401,$C$5:$AU$501,3,)=0,0,(VLOOKUP($D401,$C$5:$AU$501,26,)/VLOOKUP($D401,$C$5:$AU$501,3,))*$E401)</f>
        <v>0</v>
      </c>
      <c r="AC401" s="49">
        <f>IF(VLOOKUP($D401,$C$5:$AU$501,3,)=0,0,(VLOOKUP($D401,$C$5:$AU$501,27,)/VLOOKUP($D401,$C$5:$AU$501,3,))*$E401)</f>
        <v>0</v>
      </c>
      <c r="AD401" s="49">
        <f>IF(VLOOKUP($D401,$C$5:$AU$501,3,)=0,0,(VLOOKUP($D401,$C$5:$AU$501,28,)/VLOOKUP($D401,$C$5:$AU$501,3,))*$E401)</f>
        <v>0</v>
      </c>
      <c r="AE401" s="49">
        <f>IF(VLOOKUP($D401,$C$5:$AU$501,3,)=0,0,(VLOOKUP($D401,$C$5:$AU$501,29,)/VLOOKUP($D401,$C$5:$AU$501,3,))*$E401)</f>
        <v>0</v>
      </c>
      <c r="AF401" s="49">
        <f>IF(VLOOKUP($D401,$C$5:$AU$501,3,)=0,0,(VLOOKUP($D401,$C$5:$AU$501,30,)/VLOOKUP($D401,$C$5:$AU$501,3,))*$E401)</f>
        <v>0</v>
      </c>
      <c r="AG401" s="49">
        <f>SUM(F401:AF401)</f>
        <v>1</v>
      </c>
      <c r="AH401" s="31" t="str">
        <f>IF(ABS(E401-AG401)&lt;0.01,"ok","err")</f>
        <v>ok</v>
      </c>
    </row>
    <row r="403" spans="1:34" x14ac:dyDescent="0.2">
      <c r="A403" s="13" t="s">
        <v>337</v>
      </c>
    </row>
    <row r="404" spans="1:34" x14ac:dyDescent="0.2">
      <c r="A404" s="14" t="s">
        <v>338</v>
      </c>
      <c r="C404" s="14" t="s">
        <v>211</v>
      </c>
      <c r="D404" s="14" t="s">
        <v>957</v>
      </c>
      <c r="E404" s="99">
        <v>1</v>
      </c>
      <c r="F404" s="49">
        <f>IF(VLOOKUP($D404,$C$5:$AU$501,3,)=0,0,(VLOOKUP($D404,$C$5:$AU$501,4,)/VLOOKUP($D404,$C$5:$AU$501,3,))*$E404)</f>
        <v>0.74638617998226831</v>
      </c>
      <c r="G404" s="49">
        <f>IF(VLOOKUP($D404,$C$5:$AU$501,3,)=0,0,(VLOOKUP($D404,$C$5:$AU$501,5,)/VLOOKUP($D404,$C$5:$AU$501,3,))*$E404)</f>
        <v>0</v>
      </c>
      <c r="H404" s="49">
        <f>IF(VLOOKUP($D404,$C$5:$AU$501,3,)=0,0,(VLOOKUP($D404,$C$5:$AU$501,6,)/VLOOKUP($D404,$C$5:$AU$501,3,))*$E404)</f>
        <v>4.8376431024638934E-2</v>
      </c>
      <c r="I404" s="49">
        <f>IF(VLOOKUP($D404,$C$5:$AU$501,3,)=0,0,(VLOOKUP($D404,$C$5:$AU$501,7,)/VLOOKUP($D404,$C$5:$AU$501,3,))*$E404)</f>
        <v>0</v>
      </c>
      <c r="J404" s="49">
        <f>IF(VLOOKUP($D404,$C$5:$AU$501,3,)=0,0,(VLOOKUP($D404,$C$5:$AU$501,8,)/VLOOKUP($D404,$C$5:$AU$501,3,))*$E404)</f>
        <v>6.1030437152278925E-2</v>
      </c>
      <c r="K404" s="49">
        <f>IF(VLOOKUP($D404,$C$5:$AU$501,3,)=0,0,(VLOOKUP($D404,$C$5:$AU$501,9,)/VLOOKUP($D404,$C$5:$AU$501,3,))*$E404)</f>
        <v>7.9648721192370736E-2</v>
      </c>
      <c r="L404" s="49">
        <f>IF(VLOOKUP($D404,$C$5:$AU$501,3,)=0,0,(VLOOKUP($D404,$C$5:$AU$501,10,)/VLOOKUP($D404,$C$5:$AU$501,3,))*$E404)</f>
        <v>5.1561785473844143E-2</v>
      </c>
      <c r="M404" s="49">
        <f>IF(VLOOKUP($D404,$C$5:$AU$501,3,)=0,0,(VLOOKUP($D404,$C$5:$AU$501,11,)/VLOOKUP($D404,$C$5:$AU$501,3,))*$E404)</f>
        <v>6.9306768178712466E-3</v>
      </c>
      <c r="N404" s="49">
        <f>IF(VLOOKUP($D404,$C$5:$AU$501,3,)=0,0,(VLOOKUP($D404,$C$5:$AU$501,12,)/VLOOKUP($D404,$C$5:$AU$501,3,))*$E404)</f>
        <v>6.0657683567278105E-3</v>
      </c>
      <c r="O404" s="49">
        <f>IF(VLOOKUP($D404,$C$5:$AU$501,3,)=0,0,(VLOOKUP($D404,$C$5:$AU$501,13,)/VLOOKUP($D404,$C$5:$AU$501,3,))*$E404)</f>
        <v>0</v>
      </c>
      <c r="P404" s="49">
        <f>IF(VLOOKUP($D404,$C$5:$AU$501,3,)=0,0,(VLOOKUP($D404,$C$5:$AU$501,14,)/VLOOKUP($D404,$C$5:$AU$501,3,))*$E404)</f>
        <v>0</v>
      </c>
      <c r="Q404" s="49">
        <f>IF(VLOOKUP($D404,$C$5:$AU$501,3,)=0,0,(VLOOKUP($D404,$C$5:$AU$501,15,)/VLOOKUP($D404,$C$5:$AU$501,3,))*$E404)</f>
        <v>0</v>
      </c>
      <c r="R404" s="49">
        <f>IF(VLOOKUP($D404,$C$5:$AU$501,3,)=0,0,(VLOOKUP($D404,$C$5:$AU$501,16,)/VLOOKUP($D404,$C$5:$AU$501,3,))*$E404)</f>
        <v>0</v>
      </c>
      <c r="S404" s="49">
        <f>IF(VLOOKUP($D404,$C$5:$AU$501,3,)=0,0,(VLOOKUP($D404,$C$5:$AU$501,17,)/VLOOKUP($D404,$C$5:$AU$501,3,))*$E404)</f>
        <v>0</v>
      </c>
      <c r="T404" s="49">
        <f>IF(VLOOKUP($D404,$C$5:$AU$501,3,)=0,0,(VLOOKUP($D404,$C$5:$AU$501,18,)/VLOOKUP($D404,$C$5:$AU$501,3,))*$E404)</f>
        <v>0</v>
      </c>
      <c r="U404" s="49">
        <f>IF(VLOOKUP($D404,$C$5:$AU$501,3,)=0,0,(VLOOKUP($D404,$C$5:$AU$501,19,)/VLOOKUP($D404,$C$5:$AU$501,3,))*$E404)</f>
        <v>0</v>
      </c>
      <c r="V404" s="49">
        <f>IF(VLOOKUP($D404,$C$5:$AU$501,3,)=0,0,(VLOOKUP($D404,$C$5:$AU$501,20,)/VLOOKUP($D404,$C$5:$AU$501,3,))*$E404)</f>
        <v>0</v>
      </c>
      <c r="W404" s="49">
        <f>IF(VLOOKUP($D404,$C$5:$AU$501,3,)=0,0,(VLOOKUP($D404,$C$5:$AU$501,21,)/VLOOKUP($D404,$C$5:$AU$501,3,))*$E404)</f>
        <v>0</v>
      </c>
      <c r="X404" s="49">
        <f>IF(VLOOKUP($D404,$C$5:$AU$501,3,)=0,0,(VLOOKUP($D404,$C$5:$AU$501,22,)/VLOOKUP($D404,$C$5:$AU$501,3,))*$E404)</f>
        <v>0</v>
      </c>
      <c r="Y404" s="49">
        <f>IF(VLOOKUP($D404,$C$5:$AU$501,3,)=0,0,(VLOOKUP($D404,$C$5:$AU$501,23,)/VLOOKUP($D404,$C$5:$AU$501,3,))*$E404)</f>
        <v>0</v>
      </c>
      <c r="Z404" s="49">
        <f>IF(VLOOKUP($D404,$C$5:$AU$501,3,)=0,0,(VLOOKUP($D404,$C$5:$AU$501,24,)/VLOOKUP($D404,$C$5:$AU$501,3,))*$E404)</f>
        <v>0</v>
      </c>
      <c r="AA404" s="49">
        <f>IF(VLOOKUP($D404,$C$5:$AU$501,3,)=0,0,(VLOOKUP($D404,$C$5:$AU$501,25,)/VLOOKUP($D404,$C$5:$AU$501,3,))*$E404)</f>
        <v>0</v>
      </c>
      <c r="AB404" s="49">
        <f>IF(VLOOKUP($D404,$C$5:$AU$501,3,)=0,0,(VLOOKUP($D404,$C$5:$AU$501,26,)/VLOOKUP($D404,$C$5:$AU$501,3,))*$E404)</f>
        <v>0</v>
      </c>
      <c r="AC404" s="49">
        <f>IF(VLOOKUP($D404,$C$5:$AU$501,3,)=0,0,(VLOOKUP($D404,$C$5:$AU$501,27,)/VLOOKUP($D404,$C$5:$AU$501,3,))*$E404)</f>
        <v>0</v>
      </c>
      <c r="AD404" s="49">
        <f>IF(VLOOKUP($D404,$C$5:$AU$501,3,)=0,0,(VLOOKUP($D404,$C$5:$AU$501,28,)/VLOOKUP($D404,$C$5:$AU$501,3,))*$E404)</f>
        <v>0</v>
      </c>
      <c r="AE404" s="49">
        <f>IF(VLOOKUP($D404,$C$5:$AU$501,3,)=0,0,(VLOOKUP($D404,$C$5:$AU$501,29,)/VLOOKUP($D404,$C$5:$AU$501,3,))*$E404)</f>
        <v>0</v>
      </c>
      <c r="AF404" s="49">
        <f>IF(VLOOKUP($D404,$C$5:$AU$501,3,)=0,0,(VLOOKUP($D404,$C$5:$AU$501,30,)/VLOOKUP($D404,$C$5:$AU$501,3,))*$E404)</f>
        <v>0</v>
      </c>
      <c r="AG404" s="49">
        <f>SUM(F404:AF404)</f>
        <v>1.0000000000000002</v>
      </c>
      <c r="AH404" s="31" t="str">
        <f t="shared" ref="AH404:AH409" si="148">IF(ABS(E404-AG404)&lt;0.01,"ok","err")</f>
        <v>ok</v>
      </c>
    </row>
    <row r="405" spans="1:34" x14ac:dyDescent="0.2">
      <c r="A405" s="14" t="s">
        <v>339</v>
      </c>
      <c r="C405" s="14" t="s">
        <v>218</v>
      </c>
      <c r="D405" s="14" t="s">
        <v>566</v>
      </c>
      <c r="E405" s="99">
        <v>1</v>
      </c>
      <c r="F405" s="49">
        <f>IF(VLOOKUP($D405,$C$5:$AU$501,3,)=0,0,(VLOOKUP($D405,$C$5:$AU$501,4,)/VLOOKUP($D405,$C$5:$AU$501,3,))*$E405)</f>
        <v>0.72062275748286042</v>
      </c>
      <c r="G405" s="49">
        <f>IF(VLOOKUP($D405,$C$5:$AU$501,3,)=0,0,(VLOOKUP($D405,$C$5:$AU$501,5,)/VLOOKUP($D405,$C$5:$AU$501,3,))*$E405)</f>
        <v>7.7106246633617025E-3</v>
      </c>
      <c r="H405" s="49">
        <f>IF(VLOOKUP($D405,$C$5:$AU$501,3,)=0,0,(VLOOKUP($D405,$C$5:$AU$501,6,)/VLOOKUP($D405,$C$5:$AU$501,3,))*$E405)</f>
        <v>4.6278137626105303E-2</v>
      </c>
      <c r="I405" s="49">
        <f>IF(VLOOKUP($D405,$C$5:$AU$501,3,)=0,0,(VLOOKUP($D405,$C$5:$AU$501,7,)/VLOOKUP($D405,$C$5:$AU$501,3,))*$E405)</f>
        <v>5.3143171524739327E-5</v>
      </c>
      <c r="J405" s="49">
        <f>IF(VLOOKUP($D405,$C$5:$AU$501,3,)=0,0,(VLOOKUP($D405,$C$5:$AU$501,8,)/VLOOKUP($D405,$C$5:$AU$501,3,))*$E405)</f>
        <v>5.7794955488227912E-2</v>
      </c>
      <c r="K405" s="49">
        <f>IF(VLOOKUP($D405,$C$5:$AU$501,3,)=0,0,(VLOOKUP($D405,$C$5:$AU$501,9,)/VLOOKUP($D405,$C$5:$AU$501,3,))*$E405)</f>
        <v>8.2332201342690384E-2</v>
      </c>
      <c r="L405" s="49">
        <f>IF(VLOOKUP($D405,$C$5:$AU$501,3,)=0,0,(VLOOKUP($D405,$C$5:$AU$501,10,)/VLOOKUP($D405,$C$5:$AU$501,3,))*$E405)</f>
        <v>4.6199463422771918E-2</v>
      </c>
      <c r="M405" s="49">
        <f>IF(VLOOKUP($D405,$C$5:$AU$501,3,)=0,0,(VLOOKUP($D405,$C$5:$AU$501,11,)/VLOOKUP($D405,$C$5:$AU$501,3,))*$E405)</f>
        <v>2.6541867541451224E-2</v>
      </c>
      <c r="N405" s="49">
        <f>IF(VLOOKUP($D405,$C$5:$AU$501,3,)=0,0,(VLOOKUP($D405,$C$5:$AU$501,12,)/VLOOKUP($D405,$C$5:$AU$501,3,))*$E405)</f>
        <v>1.2466849261006361E-2</v>
      </c>
      <c r="O405" s="49">
        <f>IF(VLOOKUP($D405,$C$5:$AU$501,3,)=0,0,(VLOOKUP($D405,$C$5:$AU$501,13,)/VLOOKUP($D405,$C$5:$AU$501,3,))*$E405)</f>
        <v>0</v>
      </c>
      <c r="P405" s="49">
        <f>IF(VLOOKUP($D405,$C$5:$AU$501,3,)=0,0,(VLOOKUP($D405,$C$5:$AU$501,14,)/VLOOKUP($D405,$C$5:$AU$501,3,))*$E405)</f>
        <v>0</v>
      </c>
      <c r="Q405" s="49">
        <f>IF(VLOOKUP($D405,$C$5:$AU$501,3,)=0,0,(VLOOKUP($D405,$C$5:$AU$501,15,)/VLOOKUP($D405,$C$5:$AU$501,3,))*$E405)</f>
        <v>0</v>
      </c>
      <c r="R405" s="49">
        <f>IF(VLOOKUP($D405,$C$5:$AU$501,3,)=0,0,(VLOOKUP($D405,$C$5:$AU$501,16,)/VLOOKUP($D405,$C$5:$AU$501,3,))*$E405)</f>
        <v>0</v>
      </c>
      <c r="S405" s="49">
        <f>IF(VLOOKUP($D405,$C$5:$AU$501,3,)=0,0,(VLOOKUP($D405,$C$5:$AU$501,17,)/VLOOKUP($D405,$C$5:$AU$501,3,))*$E405)</f>
        <v>0</v>
      </c>
      <c r="T405" s="49">
        <f>IF(VLOOKUP($D405,$C$5:$AU$501,3,)=0,0,(VLOOKUP($D405,$C$5:$AU$501,18,)/VLOOKUP($D405,$C$5:$AU$501,3,))*$E405)</f>
        <v>0</v>
      </c>
      <c r="U405" s="49">
        <f>IF(VLOOKUP($D405,$C$5:$AU$501,3,)=0,0,(VLOOKUP($D405,$C$5:$AU$501,19,)/VLOOKUP($D405,$C$5:$AU$501,3,))*$E405)</f>
        <v>0</v>
      </c>
      <c r="V405" s="49">
        <f>IF(VLOOKUP($D405,$C$5:$AU$501,3,)=0,0,(VLOOKUP($D405,$C$5:$AU$501,20,)/VLOOKUP($D405,$C$5:$AU$501,3,))*$E405)</f>
        <v>0</v>
      </c>
      <c r="W405" s="49">
        <f>IF(VLOOKUP($D405,$C$5:$AU$501,3,)=0,0,(VLOOKUP($D405,$C$5:$AU$501,21,)/VLOOKUP($D405,$C$5:$AU$501,3,))*$E405)</f>
        <v>0</v>
      </c>
      <c r="X405" s="49">
        <f>IF(VLOOKUP($D405,$C$5:$AU$501,3,)=0,0,(VLOOKUP($D405,$C$5:$AU$501,22,)/VLOOKUP($D405,$C$5:$AU$501,3,))*$E405)</f>
        <v>0</v>
      </c>
      <c r="Y405" s="49">
        <f>IF(VLOOKUP($D405,$C$5:$AU$501,3,)=0,0,(VLOOKUP($D405,$C$5:$AU$501,23,)/VLOOKUP($D405,$C$5:$AU$501,3,))*$E405)</f>
        <v>0</v>
      </c>
      <c r="Z405" s="49">
        <f>IF(VLOOKUP($D405,$C$5:$AU$501,3,)=0,0,(VLOOKUP($D405,$C$5:$AU$501,24,)/VLOOKUP($D405,$C$5:$AU$501,3,))*$E405)</f>
        <v>0</v>
      </c>
      <c r="AA405" s="49">
        <f>IF(VLOOKUP($D405,$C$5:$AU$501,3,)=0,0,(VLOOKUP($D405,$C$5:$AU$501,25,)/VLOOKUP($D405,$C$5:$AU$501,3,))*$E405)</f>
        <v>0</v>
      </c>
      <c r="AB405" s="49">
        <f>IF(VLOOKUP($D405,$C$5:$AU$501,3,)=0,0,(VLOOKUP($D405,$C$5:$AU$501,26,)/VLOOKUP($D405,$C$5:$AU$501,3,))*$E405)</f>
        <v>0</v>
      </c>
      <c r="AC405" s="49">
        <f>IF(VLOOKUP($D405,$C$5:$AU$501,3,)=0,0,(VLOOKUP($D405,$C$5:$AU$501,27,)/VLOOKUP($D405,$C$5:$AU$501,3,))*$E405)</f>
        <v>0</v>
      </c>
      <c r="AD405" s="49">
        <f>IF(VLOOKUP($D405,$C$5:$AU$501,3,)=0,0,(VLOOKUP($D405,$C$5:$AU$501,28,)/VLOOKUP($D405,$C$5:$AU$501,3,))*$E405)</f>
        <v>0</v>
      </c>
      <c r="AE405" s="49">
        <f>IF(VLOOKUP($D405,$C$5:$AU$501,3,)=0,0,(VLOOKUP($D405,$C$5:$AU$501,29,)/VLOOKUP($D405,$C$5:$AU$501,3,))*$E405)</f>
        <v>0</v>
      </c>
      <c r="AF405" s="49">
        <f>IF(VLOOKUP($D405,$C$5:$AU$501,3,)=0,0,(VLOOKUP($D405,$C$5:$AU$501,30,)/VLOOKUP($D405,$C$5:$AU$501,3,))*$E405)</f>
        <v>0</v>
      </c>
      <c r="AG405" s="49">
        <f>SUM(F405:AF405)</f>
        <v>1</v>
      </c>
      <c r="AH405" s="31" t="str">
        <f t="shared" si="148"/>
        <v>ok</v>
      </c>
    </row>
    <row r="406" spans="1:34" x14ac:dyDescent="0.2">
      <c r="A406" s="14" t="s">
        <v>340</v>
      </c>
      <c r="C406" s="14" t="s">
        <v>220</v>
      </c>
      <c r="D406" s="14" t="s">
        <v>566</v>
      </c>
      <c r="E406" s="99">
        <v>1</v>
      </c>
      <c r="F406" s="49">
        <f>IF(VLOOKUP($D406,$C$5:$AU$501,3,)=0,0,(VLOOKUP($D406,$C$5:$AU$501,4,)/VLOOKUP($D406,$C$5:$AU$501,3,))*$E406)</f>
        <v>0.72062275748286042</v>
      </c>
      <c r="G406" s="49">
        <f>IF(VLOOKUP($D406,$C$5:$AU$501,3,)=0,0,(VLOOKUP($D406,$C$5:$AU$501,5,)/VLOOKUP($D406,$C$5:$AU$501,3,))*$E406)</f>
        <v>7.7106246633617025E-3</v>
      </c>
      <c r="H406" s="49">
        <f>IF(VLOOKUP($D406,$C$5:$AU$501,3,)=0,0,(VLOOKUP($D406,$C$5:$AU$501,6,)/VLOOKUP($D406,$C$5:$AU$501,3,))*$E406)</f>
        <v>4.6278137626105303E-2</v>
      </c>
      <c r="I406" s="49">
        <f>IF(VLOOKUP($D406,$C$5:$AU$501,3,)=0,0,(VLOOKUP($D406,$C$5:$AU$501,7,)/VLOOKUP($D406,$C$5:$AU$501,3,))*$E406)</f>
        <v>5.3143171524739327E-5</v>
      </c>
      <c r="J406" s="49">
        <f>IF(VLOOKUP($D406,$C$5:$AU$501,3,)=0,0,(VLOOKUP($D406,$C$5:$AU$501,8,)/VLOOKUP($D406,$C$5:$AU$501,3,))*$E406)</f>
        <v>5.7794955488227912E-2</v>
      </c>
      <c r="K406" s="49">
        <f>IF(VLOOKUP($D406,$C$5:$AU$501,3,)=0,0,(VLOOKUP($D406,$C$5:$AU$501,9,)/VLOOKUP($D406,$C$5:$AU$501,3,))*$E406)</f>
        <v>8.2332201342690384E-2</v>
      </c>
      <c r="L406" s="49">
        <f>IF(VLOOKUP($D406,$C$5:$AU$501,3,)=0,0,(VLOOKUP($D406,$C$5:$AU$501,10,)/VLOOKUP($D406,$C$5:$AU$501,3,))*$E406)</f>
        <v>4.6199463422771918E-2</v>
      </c>
      <c r="M406" s="49">
        <f>IF(VLOOKUP($D406,$C$5:$AU$501,3,)=0,0,(VLOOKUP($D406,$C$5:$AU$501,11,)/VLOOKUP($D406,$C$5:$AU$501,3,))*$E406)</f>
        <v>2.6541867541451224E-2</v>
      </c>
      <c r="N406" s="49">
        <f>IF(VLOOKUP($D406,$C$5:$AU$501,3,)=0,0,(VLOOKUP($D406,$C$5:$AU$501,12,)/VLOOKUP($D406,$C$5:$AU$501,3,))*$E406)</f>
        <v>1.2466849261006361E-2</v>
      </c>
      <c r="O406" s="49">
        <f>IF(VLOOKUP($D406,$C$5:$AU$501,3,)=0,0,(VLOOKUP($D406,$C$5:$AU$501,13,)/VLOOKUP($D406,$C$5:$AU$501,3,))*$E406)</f>
        <v>0</v>
      </c>
      <c r="P406" s="49">
        <f>IF(VLOOKUP($D406,$C$5:$AU$501,3,)=0,0,(VLOOKUP($D406,$C$5:$AU$501,14,)/VLOOKUP($D406,$C$5:$AU$501,3,))*$E406)</f>
        <v>0</v>
      </c>
      <c r="Q406" s="49">
        <f>IF(VLOOKUP($D406,$C$5:$AU$501,3,)=0,0,(VLOOKUP($D406,$C$5:$AU$501,15,)/VLOOKUP($D406,$C$5:$AU$501,3,))*$E406)</f>
        <v>0</v>
      </c>
      <c r="R406" s="49">
        <f>IF(VLOOKUP($D406,$C$5:$AU$501,3,)=0,0,(VLOOKUP($D406,$C$5:$AU$501,16,)/VLOOKUP($D406,$C$5:$AU$501,3,))*$E406)</f>
        <v>0</v>
      </c>
      <c r="S406" s="49">
        <f>IF(VLOOKUP($D406,$C$5:$AU$501,3,)=0,0,(VLOOKUP($D406,$C$5:$AU$501,17,)/VLOOKUP($D406,$C$5:$AU$501,3,))*$E406)</f>
        <v>0</v>
      </c>
      <c r="T406" s="49">
        <f>IF(VLOOKUP($D406,$C$5:$AU$501,3,)=0,0,(VLOOKUP($D406,$C$5:$AU$501,18,)/VLOOKUP($D406,$C$5:$AU$501,3,))*$E406)</f>
        <v>0</v>
      </c>
      <c r="U406" s="49">
        <f>IF(VLOOKUP($D406,$C$5:$AU$501,3,)=0,0,(VLOOKUP($D406,$C$5:$AU$501,19,)/VLOOKUP($D406,$C$5:$AU$501,3,))*$E406)</f>
        <v>0</v>
      </c>
      <c r="V406" s="49">
        <f>IF(VLOOKUP($D406,$C$5:$AU$501,3,)=0,0,(VLOOKUP($D406,$C$5:$AU$501,20,)/VLOOKUP($D406,$C$5:$AU$501,3,))*$E406)</f>
        <v>0</v>
      </c>
      <c r="W406" s="49">
        <f>IF(VLOOKUP($D406,$C$5:$AU$501,3,)=0,0,(VLOOKUP($D406,$C$5:$AU$501,21,)/VLOOKUP($D406,$C$5:$AU$501,3,))*$E406)</f>
        <v>0</v>
      </c>
      <c r="X406" s="49">
        <f>IF(VLOOKUP($D406,$C$5:$AU$501,3,)=0,0,(VLOOKUP($D406,$C$5:$AU$501,22,)/VLOOKUP($D406,$C$5:$AU$501,3,))*$E406)</f>
        <v>0</v>
      </c>
      <c r="Y406" s="49">
        <f>IF(VLOOKUP($D406,$C$5:$AU$501,3,)=0,0,(VLOOKUP($D406,$C$5:$AU$501,23,)/VLOOKUP($D406,$C$5:$AU$501,3,))*$E406)</f>
        <v>0</v>
      </c>
      <c r="Z406" s="49">
        <f>IF(VLOOKUP($D406,$C$5:$AU$501,3,)=0,0,(VLOOKUP($D406,$C$5:$AU$501,24,)/VLOOKUP($D406,$C$5:$AU$501,3,))*$E406)</f>
        <v>0</v>
      </c>
      <c r="AA406" s="49">
        <f>IF(VLOOKUP($D406,$C$5:$AU$501,3,)=0,0,(VLOOKUP($D406,$C$5:$AU$501,25,)/VLOOKUP($D406,$C$5:$AU$501,3,))*$E406)</f>
        <v>0</v>
      </c>
      <c r="AB406" s="49">
        <f>IF(VLOOKUP($D406,$C$5:$AU$501,3,)=0,0,(VLOOKUP($D406,$C$5:$AU$501,26,)/VLOOKUP($D406,$C$5:$AU$501,3,))*$E406)</f>
        <v>0</v>
      </c>
      <c r="AC406" s="49">
        <f>IF(VLOOKUP($D406,$C$5:$AU$501,3,)=0,0,(VLOOKUP($D406,$C$5:$AU$501,27,)/VLOOKUP($D406,$C$5:$AU$501,3,))*$E406)</f>
        <v>0</v>
      </c>
      <c r="AD406" s="49">
        <f>IF(VLOOKUP($D406,$C$5:$AU$501,3,)=0,0,(VLOOKUP($D406,$C$5:$AU$501,28,)/VLOOKUP($D406,$C$5:$AU$501,3,))*$E406)</f>
        <v>0</v>
      </c>
      <c r="AE406" s="49">
        <f>IF(VLOOKUP($D406,$C$5:$AU$501,3,)=0,0,(VLOOKUP($D406,$C$5:$AU$501,29,)/VLOOKUP($D406,$C$5:$AU$501,3,))*$E406)</f>
        <v>0</v>
      </c>
      <c r="AF406" s="49">
        <f>IF(VLOOKUP($D406,$C$5:$AU$501,3,)=0,0,(VLOOKUP($D406,$C$5:$AU$501,30,)/VLOOKUP($D406,$C$5:$AU$501,3,))*$E406)</f>
        <v>0</v>
      </c>
      <c r="AG406" s="49">
        <f>SUM(F406:AF406)</f>
        <v>1</v>
      </c>
      <c r="AH406" s="31" t="str">
        <f t="shared" si="148"/>
        <v>ok</v>
      </c>
    </row>
    <row r="407" spans="1:34" x14ac:dyDescent="0.2">
      <c r="A407" s="14" t="s">
        <v>699</v>
      </c>
      <c r="C407" s="14" t="s">
        <v>700</v>
      </c>
      <c r="E407" s="99">
        <f>Services!G32</f>
        <v>1</v>
      </c>
      <c r="F407" s="49">
        <f>Services!G6</f>
        <v>0.83668690545812241</v>
      </c>
      <c r="G407" s="49">
        <f>Services!G7</f>
        <v>6.2585925980203241E-4</v>
      </c>
      <c r="H407" s="49">
        <f>Services!G8</f>
        <v>0.14191358716011082</v>
      </c>
      <c r="I407" s="49">
        <f>Services!G9</f>
        <v>5.2154938316836026E-6</v>
      </c>
      <c r="J407" s="49">
        <f>Services!G10</f>
        <v>2.6772868335975825E-3</v>
      </c>
      <c r="K407" s="49">
        <f>Services!G11</f>
        <v>0</v>
      </c>
      <c r="L407" s="49">
        <f>Services!G12</f>
        <v>0</v>
      </c>
      <c r="M407" s="49">
        <f>Services!G13</f>
        <v>1.7298054541750613E-2</v>
      </c>
      <c r="N407" s="49">
        <f>Services!G14</f>
        <v>7.9309125278484883E-4</v>
      </c>
      <c r="O407" s="49">
        <f>Services!G15</f>
        <v>0</v>
      </c>
      <c r="P407" s="49">
        <f>Services!G25</f>
        <v>0</v>
      </c>
      <c r="Q407" s="49">
        <f>Services!G27</f>
        <v>0</v>
      </c>
      <c r="R407" s="49">
        <f>Services!G29</f>
        <v>0</v>
      </c>
      <c r="S407" s="49">
        <v>0</v>
      </c>
      <c r="T407" s="49">
        <v>0</v>
      </c>
      <c r="U407" s="49">
        <v>0</v>
      </c>
      <c r="V407" s="49">
        <f>Services!W6</f>
        <v>0</v>
      </c>
      <c r="W407" s="49">
        <f>Services!X6</f>
        <v>0</v>
      </c>
      <c r="X407" s="49">
        <f>Services!Y6</f>
        <v>0</v>
      </c>
      <c r="Y407" s="49">
        <f>Services!Z6</f>
        <v>0</v>
      </c>
      <c r="Z407" s="49">
        <f>Services!AA6</f>
        <v>0</v>
      </c>
      <c r="AA407" s="49">
        <f>Services!AB6</f>
        <v>0</v>
      </c>
      <c r="AB407" s="49">
        <f>Services!AC6</f>
        <v>0</v>
      </c>
      <c r="AC407" s="49">
        <f>Services!AD6</f>
        <v>0</v>
      </c>
      <c r="AD407" s="49">
        <f>Services!AE6</f>
        <v>0</v>
      </c>
      <c r="AE407" s="49">
        <f>Services!AF6</f>
        <v>0</v>
      </c>
      <c r="AF407" s="49">
        <f>Services!AG6</f>
        <v>0</v>
      </c>
      <c r="AG407" s="49">
        <f>SUM(F407:AF407)</f>
        <v>1</v>
      </c>
      <c r="AH407" s="31" t="str">
        <f t="shared" si="148"/>
        <v>ok</v>
      </c>
    </row>
    <row r="408" spans="1:34" x14ac:dyDescent="0.2">
      <c r="A408" s="14" t="s">
        <v>747</v>
      </c>
      <c r="C408" s="14" t="s">
        <v>748</v>
      </c>
      <c r="E408" s="99">
        <v>1</v>
      </c>
      <c r="F408" s="49">
        <f t="shared" ref="F408:AF408" si="149">F407</f>
        <v>0.83668690545812241</v>
      </c>
      <c r="G408" s="49">
        <f t="shared" si="149"/>
        <v>6.2585925980203241E-4</v>
      </c>
      <c r="H408" s="49">
        <f t="shared" si="149"/>
        <v>0.14191358716011082</v>
      </c>
      <c r="I408" s="49">
        <f t="shared" si="149"/>
        <v>5.2154938316836026E-6</v>
      </c>
      <c r="J408" s="49">
        <f t="shared" si="149"/>
        <v>2.6772868335975825E-3</v>
      </c>
      <c r="K408" s="49">
        <f t="shared" si="149"/>
        <v>0</v>
      </c>
      <c r="L408" s="49">
        <f t="shared" si="149"/>
        <v>0</v>
      </c>
      <c r="M408" s="49">
        <f t="shared" si="149"/>
        <v>1.7298054541750613E-2</v>
      </c>
      <c r="N408" s="49">
        <f t="shared" si="149"/>
        <v>7.9309125278484883E-4</v>
      </c>
      <c r="O408" s="49">
        <f t="shared" si="149"/>
        <v>0</v>
      </c>
      <c r="P408" s="49">
        <f t="shared" si="149"/>
        <v>0</v>
      </c>
      <c r="Q408" s="49">
        <f t="shared" si="149"/>
        <v>0</v>
      </c>
      <c r="R408" s="49">
        <f t="shared" si="149"/>
        <v>0</v>
      </c>
      <c r="S408" s="49">
        <f t="shared" si="149"/>
        <v>0</v>
      </c>
      <c r="T408" s="49">
        <f t="shared" si="149"/>
        <v>0</v>
      </c>
      <c r="U408" s="49">
        <f t="shared" si="149"/>
        <v>0</v>
      </c>
      <c r="V408" s="49">
        <f t="shared" si="149"/>
        <v>0</v>
      </c>
      <c r="W408" s="49">
        <f t="shared" si="149"/>
        <v>0</v>
      </c>
      <c r="X408" s="49">
        <f t="shared" si="149"/>
        <v>0</v>
      </c>
      <c r="Y408" s="49">
        <f t="shared" si="149"/>
        <v>0</v>
      </c>
      <c r="Z408" s="49">
        <f t="shared" si="149"/>
        <v>0</v>
      </c>
      <c r="AA408" s="49">
        <f t="shared" si="149"/>
        <v>0</v>
      </c>
      <c r="AB408" s="49">
        <f t="shared" si="149"/>
        <v>0</v>
      </c>
      <c r="AC408" s="49">
        <f t="shared" si="149"/>
        <v>0</v>
      </c>
      <c r="AD408" s="49">
        <f t="shared" si="149"/>
        <v>0</v>
      </c>
      <c r="AE408" s="49">
        <f t="shared" si="149"/>
        <v>0</v>
      </c>
      <c r="AF408" s="49">
        <f t="shared" si="149"/>
        <v>0</v>
      </c>
      <c r="AG408" s="49">
        <f>SUM(F408:R408)</f>
        <v>1</v>
      </c>
      <c r="AH408" s="31" t="str">
        <f t="shared" si="148"/>
        <v>ok</v>
      </c>
    </row>
    <row r="409" spans="1:34" x14ac:dyDescent="0.2">
      <c r="A409" s="14" t="s">
        <v>955</v>
      </c>
      <c r="C409" s="14" t="s">
        <v>956</v>
      </c>
      <c r="E409" s="50">
        <f>F409+G409</f>
        <v>79662210.199999988</v>
      </c>
      <c r="F409" s="50">
        <f>F313</f>
        <v>79408476.789999992</v>
      </c>
      <c r="G409" s="50">
        <f>G313</f>
        <v>253733.41000000003</v>
      </c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50">
        <f>SUM(F409:R409)</f>
        <v>79662210.199999988</v>
      </c>
      <c r="AH409" s="31" t="str">
        <f t="shared" si="148"/>
        <v>ok</v>
      </c>
    </row>
    <row r="410" spans="1:34" x14ac:dyDescent="0.2">
      <c r="F410" s="108"/>
    </row>
    <row r="411" spans="1:34" x14ac:dyDescent="0.2">
      <c r="A411" s="13" t="s">
        <v>341</v>
      </c>
    </row>
    <row r="412" spans="1:34" x14ac:dyDescent="0.2">
      <c r="A412" s="14" t="s">
        <v>342</v>
      </c>
      <c r="C412" s="14" t="s">
        <v>223</v>
      </c>
      <c r="D412" s="14" t="s">
        <v>564</v>
      </c>
      <c r="E412" s="99">
        <v>1</v>
      </c>
      <c r="F412" s="49">
        <f>IF(VLOOKUP($D412,$C$5:$AU$501,3,)=0,0,(VLOOKUP($D412,$C$5:$AU$501,4,)/VLOOKUP($D412,$C$5:$AU$501,3,))*$E412)</f>
        <v>0.90906858578417482</v>
      </c>
      <c r="G412" s="49">
        <f>IF(VLOOKUP($D412,$C$5:$AU$501,3,)=0,0,(VLOOKUP($D412,$C$5:$AU$501,5,)/VLOOKUP($D412,$C$5:$AU$501,3,))*$E412)</f>
        <v>0</v>
      </c>
      <c r="H412" s="49">
        <f>IF(VLOOKUP($D412,$C$5:$AU$501,3,)=0,0,(VLOOKUP($D412,$C$5:$AU$501,6,)/VLOOKUP($D412,$C$5:$AU$501,3,))*$E412)</f>
        <v>6.852911731927995E-2</v>
      </c>
      <c r="I412" s="49">
        <f>IF(VLOOKUP($D412,$C$5:$AU$501,3,)=0,0,(VLOOKUP($D412,$C$5:$AU$501,7,)/VLOOKUP($D412,$C$5:$AU$501,3,))*$E412)</f>
        <v>0</v>
      </c>
      <c r="J412" s="49">
        <f>IF(VLOOKUP($D412,$C$5:$AU$501,3,)=0,0,(VLOOKUP($D412,$C$5:$AU$501,8,)/VLOOKUP($D412,$C$5:$AU$501,3,))*$E412)</f>
        <v>2.9088985852175064E-3</v>
      </c>
      <c r="K412" s="49">
        <f>IF(VLOOKUP($D412,$C$5:$AU$501,3,)=0,0,(VLOOKUP($D412,$C$5:$AU$501,9,)/VLOOKUP($D412,$C$5:$AU$501,3,))*$E412)</f>
        <v>1.5111161481649383E-4</v>
      </c>
      <c r="L412" s="49">
        <f>IF(VLOOKUP($D412,$C$5:$AU$501,3,)=0,0,(VLOOKUP($D412,$C$5:$AU$501,10,)/VLOOKUP($D412,$C$5:$AU$501,3,))*$E412)</f>
        <v>1.1333371111237037E-4</v>
      </c>
      <c r="M412" s="49">
        <f>IF(VLOOKUP($D412,$C$5:$AU$501,3,)=0,0,(VLOOKUP($D412,$C$5:$AU$501,11,)/VLOOKUP($D412,$C$5:$AU$501,3,))*$E412)</f>
        <v>1.8794507092801421E-2</v>
      </c>
      <c r="N412" s="49">
        <f>IF(VLOOKUP($D412,$C$5:$AU$501,3,)=0,0,(VLOOKUP($D412,$C$5:$AU$501,12,)/VLOOKUP($D412,$C$5:$AU$501,3,))*$E412)</f>
        <v>4.3444589259741974E-4</v>
      </c>
      <c r="O412" s="49">
        <f>IF(VLOOKUP($D412,$C$5:$AU$501,3,)=0,0,(VLOOKUP($D412,$C$5:$AU$501,13,)/VLOOKUP($D412,$C$5:$AU$501,3,))*$E412)</f>
        <v>0</v>
      </c>
      <c r="P412" s="49">
        <f>IF(VLOOKUP($D412,$C$5:$AU$501,3,)=0,0,(VLOOKUP($D412,$C$5:$AU$501,14,)/VLOOKUP($D412,$C$5:$AU$501,3,))*$E412)</f>
        <v>0</v>
      </c>
      <c r="Q412" s="49">
        <f>IF(VLOOKUP($D412,$C$5:$AU$501,3,)=0,0,(VLOOKUP($D412,$C$5:$AU$501,15,)/VLOOKUP($D412,$C$5:$AU$501,3,))*$E412)</f>
        <v>0</v>
      </c>
      <c r="R412" s="49">
        <f>IF(VLOOKUP($D412,$C$5:$AU$501,3,)=0,0,(VLOOKUP($D412,$C$5:$AU$501,16,)/VLOOKUP($D412,$C$5:$AU$501,3,))*$E412)</f>
        <v>0</v>
      </c>
      <c r="S412" s="49">
        <f>IF(VLOOKUP($D412,$C$5:$AU$501,3,)=0,0,(VLOOKUP($D412,$C$5:$AU$501,17,)/VLOOKUP($D412,$C$5:$AU$501,3,))*$E412)</f>
        <v>0</v>
      </c>
      <c r="T412" s="49">
        <f>IF(VLOOKUP($D412,$C$5:$AU$501,3,)=0,0,(VLOOKUP($D412,$C$5:$AU$501,18,)/VLOOKUP($D412,$C$5:$AU$501,3,))*$E412)</f>
        <v>0</v>
      </c>
      <c r="U412" s="49">
        <f>IF(VLOOKUP($D412,$C$5:$AU$501,3,)=0,0,(VLOOKUP($D412,$C$5:$AU$501,19,)/VLOOKUP($D412,$C$5:$AU$501,3,))*$E412)</f>
        <v>0</v>
      </c>
      <c r="V412" s="49">
        <f>IF(VLOOKUP($D412,$C$5:$AU$501,3,)=0,0,(VLOOKUP($D412,$C$5:$AU$501,20,)/VLOOKUP($D412,$C$5:$AU$501,3,))*$E412)</f>
        <v>0</v>
      </c>
      <c r="W412" s="49">
        <f>IF(VLOOKUP($D412,$C$5:$AU$501,3,)=0,0,(VLOOKUP($D412,$C$5:$AU$501,21,)/VLOOKUP($D412,$C$5:$AU$501,3,))*$E412)</f>
        <v>0</v>
      </c>
      <c r="X412" s="49">
        <f>IF(VLOOKUP($D412,$C$5:$AU$501,3,)=0,0,(VLOOKUP($D412,$C$5:$AU$501,22,)/VLOOKUP($D412,$C$5:$AU$501,3,))*$E412)</f>
        <v>0</v>
      </c>
      <c r="Y412" s="49">
        <f>IF(VLOOKUP($D412,$C$5:$AU$501,3,)=0,0,(VLOOKUP($D412,$C$5:$AU$501,23,)/VLOOKUP($D412,$C$5:$AU$501,3,))*$E412)</f>
        <v>0</v>
      </c>
      <c r="Z412" s="49">
        <f>IF(VLOOKUP($D412,$C$5:$AU$501,3,)=0,0,(VLOOKUP($D412,$C$5:$AU$501,24,)/VLOOKUP($D412,$C$5:$AU$501,3,))*$E412)</f>
        <v>0</v>
      </c>
      <c r="AA412" s="49">
        <f>IF(VLOOKUP($D412,$C$5:$AU$501,3,)=0,0,(VLOOKUP($D412,$C$5:$AU$501,25,)/VLOOKUP($D412,$C$5:$AU$501,3,))*$E412)</f>
        <v>0</v>
      </c>
      <c r="AB412" s="49">
        <f>IF(VLOOKUP($D412,$C$5:$AU$501,3,)=0,0,(VLOOKUP($D412,$C$5:$AU$501,26,)/VLOOKUP($D412,$C$5:$AU$501,3,))*$E412)</f>
        <v>0</v>
      </c>
      <c r="AC412" s="49">
        <f>IF(VLOOKUP($D412,$C$5:$AU$501,3,)=0,0,(VLOOKUP($D412,$C$5:$AU$501,27,)/VLOOKUP($D412,$C$5:$AU$501,3,))*$E412)</f>
        <v>0</v>
      </c>
      <c r="AD412" s="49">
        <f>IF(VLOOKUP($D412,$C$5:$AU$501,3,)=0,0,(VLOOKUP($D412,$C$5:$AU$501,28,)/VLOOKUP($D412,$C$5:$AU$501,3,))*$E412)</f>
        <v>0</v>
      </c>
      <c r="AE412" s="49">
        <f>IF(VLOOKUP($D412,$C$5:$AU$501,3,)=0,0,(VLOOKUP($D412,$C$5:$AU$501,29,)/VLOOKUP($D412,$C$5:$AU$501,3,))*$E412)</f>
        <v>0</v>
      </c>
      <c r="AF412" s="49">
        <f>IF(VLOOKUP($D412,$C$5:$AU$501,3,)=0,0,(VLOOKUP($D412,$C$5:$AU$501,30,)/VLOOKUP($D412,$C$5:$AU$501,3,))*$E412)</f>
        <v>0</v>
      </c>
      <c r="AG412" s="103">
        <f t="shared" ref="AG412:AG417" si="150">SUM(F412:AF412)</f>
        <v>0.99999999999999989</v>
      </c>
      <c r="AH412" s="31" t="str">
        <f t="shared" ref="AH412:AH417" si="151">IF(ABS(E412-AG412)&lt;0.01,"ok","err")</f>
        <v>ok</v>
      </c>
    </row>
    <row r="413" spans="1:34" x14ac:dyDescent="0.2">
      <c r="A413" s="14" t="s">
        <v>343</v>
      </c>
      <c r="C413" s="14" t="s">
        <v>227</v>
      </c>
      <c r="D413" s="14" t="s">
        <v>563</v>
      </c>
      <c r="E413" s="99">
        <v>1</v>
      </c>
      <c r="F413" s="49">
        <f>IF(VLOOKUP($D413,$C$5:$AU$501,3,)=0,0,(VLOOKUP($D413,$C$5:$AU$501,4,)/VLOOKUP($D413,$C$5:$AU$501,3,))*$E413)</f>
        <v>0.90287783280804446</v>
      </c>
      <c r="G413" s="49">
        <f>IF(VLOOKUP($D413,$C$5:$AU$501,3,)=0,0,(VLOOKUP($D413,$C$5:$AU$501,5,)/VLOOKUP($D413,$C$5:$AU$501,3,))*$E413)</f>
        <v>6.7537145429986496E-3</v>
      </c>
      <c r="H413" s="49">
        <f>IF(VLOOKUP($D413,$C$5:$AU$501,3,)=0,0,(VLOOKUP($D413,$C$5:$AU$501,6,)/VLOOKUP($D413,$C$5:$AU$501,3,))*$E413)</f>
        <v>6.8062434338886382E-2</v>
      </c>
      <c r="I413" s="49">
        <f>IF(VLOOKUP($D413,$C$5:$AU$501,3,)=0,0,(VLOOKUP($D413,$C$5:$AU$501,7,)/VLOOKUP($D413,$C$5:$AU$501,3,))*$E413)</f>
        <v>5.6280954524988743E-5</v>
      </c>
      <c r="J413" s="49">
        <f>IF(VLOOKUP($D413,$C$5:$AU$501,3,)=0,0,(VLOOKUP($D413,$C$5:$AU$501,8,)/VLOOKUP($D413,$C$5:$AU$501,3,))*$E413)</f>
        <v>2.889088998949422E-3</v>
      </c>
      <c r="K413" s="49">
        <f>IF(VLOOKUP($D413,$C$5:$AU$501,3,)=0,0,(VLOOKUP($D413,$C$5:$AU$501,9,)/VLOOKUP($D413,$C$5:$AU$501,3,))*$E413)</f>
        <v>1.5008254539996998E-4</v>
      </c>
      <c r="L413" s="49">
        <f>IF(VLOOKUP($D413,$C$5:$AU$501,3,)=0,0,(VLOOKUP($D413,$C$5:$AU$501,10,)/VLOOKUP($D413,$C$5:$AU$501,3,))*$E413)</f>
        <v>1.1256190904997749E-4</v>
      </c>
      <c r="M413" s="49">
        <f>IF(VLOOKUP($D413,$C$5:$AU$501,3,)=0,0,(VLOOKUP($D413,$C$5:$AU$501,11,)/VLOOKUP($D413,$C$5:$AU$501,3,))*$E413)</f>
        <v>1.8666516584121266E-2</v>
      </c>
      <c r="N413" s="49">
        <f>IF(VLOOKUP($D413,$C$5:$AU$501,3,)=0,0,(VLOOKUP($D413,$C$5:$AU$501,12,)/VLOOKUP($D413,$C$5:$AU$501,3,))*$E413)</f>
        <v>4.3148731802491368E-4</v>
      </c>
      <c r="O413" s="49">
        <f>IF(VLOOKUP($D413,$C$5:$AU$501,3,)=0,0,(VLOOKUP($D413,$C$5:$AU$501,13,)/VLOOKUP($D413,$C$5:$AU$501,3,))*$E413)</f>
        <v>0</v>
      </c>
      <c r="P413" s="49">
        <f>IF(VLOOKUP($D413,$C$5:$AU$501,3,)=0,0,(VLOOKUP($D413,$C$5:$AU$501,14,)/VLOOKUP($D413,$C$5:$AU$501,3,))*$E413)</f>
        <v>0</v>
      </c>
      <c r="Q413" s="49">
        <f>IF(VLOOKUP($D413,$C$5:$AU$501,3,)=0,0,(VLOOKUP($D413,$C$5:$AU$501,15,)/VLOOKUP($D413,$C$5:$AU$501,3,))*$E413)</f>
        <v>0</v>
      </c>
      <c r="R413" s="49">
        <f>IF(VLOOKUP($D413,$C$5:$AU$501,3,)=0,0,(VLOOKUP($D413,$C$5:$AU$501,16,)/VLOOKUP($D413,$C$5:$AU$501,3,))*$E413)</f>
        <v>0</v>
      </c>
      <c r="S413" s="49">
        <f>IF(VLOOKUP($D413,$C$5:$AU$501,3,)=0,0,(VLOOKUP($D413,$C$5:$AU$501,17,)/VLOOKUP($D413,$C$5:$AU$501,3,))*$E413)</f>
        <v>0</v>
      </c>
      <c r="T413" s="49">
        <f>IF(VLOOKUP($D413,$C$5:$AU$501,3,)=0,0,(VLOOKUP($D413,$C$5:$AU$501,18,)/VLOOKUP($D413,$C$5:$AU$501,3,))*$E413)</f>
        <v>0</v>
      </c>
      <c r="U413" s="49">
        <f>IF(VLOOKUP($D413,$C$5:$AU$501,3,)=0,0,(VLOOKUP($D413,$C$5:$AU$501,19,)/VLOOKUP($D413,$C$5:$AU$501,3,))*$E413)</f>
        <v>0</v>
      </c>
      <c r="V413" s="49">
        <f>IF(VLOOKUP($D413,$C$5:$AU$501,3,)=0,0,(VLOOKUP($D413,$C$5:$AU$501,20,)/VLOOKUP($D413,$C$5:$AU$501,3,))*$E413)</f>
        <v>0</v>
      </c>
      <c r="W413" s="49">
        <f>IF(VLOOKUP($D413,$C$5:$AU$501,3,)=0,0,(VLOOKUP($D413,$C$5:$AU$501,21,)/VLOOKUP($D413,$C$5:$AU$501,3,))*$E413)</f>
        <v>0</v>
      </c>
      <c r="X413" s="49">
        <f>IF(VLOOKUP($D413,$C$5:$AU$501,3,)=0,0,(VLOOKUP($D413,$C$5:$AU$501,22,)/VLOOKUP($D413,$C$5:$AU$501,3,))*$E413)</f>
        <v>0</v>
      </c>
      <c r="Y413" s="49">
        <f>IF(VLOOKUP($D413,$C$5:$AU$501,3,)=0,0,(VLOOKUP($D413,$C$5:$AU$501,23,)/VLOOKUP($D413,$C$5:$AU$501,3,))*$E413)</f>
        <v>0</v>
      </c>
      <c r="Z413" s="49">
        <f>IF(VLOOKUP($D413,$C$5:$AU$501,3,)=0,0,(VLOOKUP($D413,$C$5:$AU$501,24,)/VLOOKUP($D413,$C$5:$AU$501,3,))*$E413)</f>
        <v>0</v>
      </c>
      <c r="AA413" s="49">
        <f>IF(VLOOKUP($D413,$C$5:$AU$501,3,)=0,0,(VLOOKUP($D413,$C$5:$AU$501,25,)/VLOOKUP($D413,$C$5:$AU$501,3,))*$E413)</f>
        <v>0</v>
      </c>
      <c r="AB413" s="49">
        <f>IF(VLOOKUP($D413,$C$5:$AU$501,3,)=0,0,(VLOOKUP($D413,$C$5:$AU$501,26,)/VLOOKUP($D413,$C$5:$AU$501,3,))*$E413)</f>
        <v>0</v>
      </c>
      <c r="AC413" s="49">
        <f>IF(VLOOKUP($D413,$C$5:$AU$501,3,)=0,0,(VLOOKUP($D413,$C$5:$AU$501,27,)/VLOOKUP($D413,$C$5:$AU$501,3,))*$E413)</f>
        <v>0</v>
      </c>
      <c r="AD413" s="49">
        <f>IF(VLOOKUP($D413,$C$5:$AU$501,3,)=0,0,(VLOOKUP($D413,$C$5:$AU$501,28,)/VLOOKUP($D413,$C$5:$AU$501,3,))*$E413)</f>
        <v>0</v>
      </c>
      <c r="AE413" s="49">
        <f>IF(VLOOKUP($D413,$C$5:$AU$501,3,)=0,0,(VLOOKUP($D413,$C$5:$AU$501,29,)/VLOOKUP($D413,$C$5:$AU$501,3,))*$E413)</f>
        <v>0</v>
      </c>
      <c r="AF413" s="49">
        <f>IF(VLOOKUP($D413,$C$5:$AU$501,3,)=0,0,(VLOOKUP($D413,$C$5:$AU$501,30,)/VLOOKUP($D413,$C$5:$AU$501,3,))*$E413)</f>
        <v>0</v>
      </c>
      <c r="AG413" s="103">
        <f t="shared" si="150"/>
        <v>1</v>
      </c>
      <c r="AH413" s="31" t="str">
        <f t="shared" si="151"/>
        <v>ok</v>
      </c>
    </row>
    <row r="414" spans="1:34" x14ac:dyDescent="0.2">
      <c r="A414" s="14" t="s">
        <v>344</v>
      </c>
      <c r="C414" s="14" t="s">
        <v>230</v>
      </c>
      <c r="E414" s="99">
        <f>Meters!$G32</f>
        <v>0.99999999999999989</v>
      </c>
      <c r="F414" s="49">
        <f>Meters!$G6</f>
        <v>0.84854231711354944</v>
      </c>
      <c r="G414" s="49">
        <f>Meters!$G7</f>
        <v>6.3472735504161455E-3</v>
      </c>
      <c r="H414" s="49">
        <f>Meters!$G8</f>
        <v>0.10702649723836152</v>
      </c>
      <c r="I414" s="49">
        <f>Meters!$G9</f>
        <v>8.8500411167333128E-5</v>
      </c>
      <c r="J414" s="49">
        <f>Meters!$G10</f>
        <v>7.3005828167466893E-3</v>
      </c>
      <c r="K414" s="49">
        <f>Meters!$G11</f>
        <v>3.7925105541541243E-4</v>
      </c>
      <c r="L414" s="49">
        <f>Meters!$G12</f>
        <v>2.8443829156155932E-4</v>
      </c>
      <c r="M414" s="49">
        <f>Meters!$G13</f>
        <v>2.9352636370498821E-2</v>
      </c>
      <c r="N414" s="49">
        <f>Meters!$G14</f>
        <v>6.7850315228288737E-4</v>
      </c>
      <c r="O414" s="49">
        <f>Meters!$G15</f>
        <v>0</v>
      </c>
      <c r="P414" s="49">
        <f>Meters!$G26</f>
        <v>0</v>
      </c>
      <c r="Q414" s="49">
        <f>Meters!$G28</f>
        <v>0</v>
      </c>
      <c r="R414" s="49">
        <f>Meters!$G30</f>
        <v>0</v>
      </c>
      <c r="S414" s="49">
        <v>0</v>
      </c>
      <c r="T414" s="49">
        <v>0</v>
      </c>
      <c r="U414" s="49">
        <v>0</v>
      </c>
      <c r="V414" s="49">
        <f>Meters!X6</f>
        <v>0</v>
      </c>
      <c r="W414" s="49">
        <f>Meters!Y6</f>
        <v>0</v>
      </c>
      <c r="X414" s="49">
        <f>Meters!Z6</f>
        <v>0</v>
      </c>
      <c r="Y414" s="49">
        <f>Meters!AA6</f>
        <v>0</v>
      </c>
      <c r="Z414" s="49">
        <f>Meters!AB6</f>
        <v>0</v>
      </c>
      <c r="AA414" s="49">
        <f>Meters!AC6</f>
        <v>0</v>
      </c>
      <c r="AB414" s="49">
        <f>Meters!AD6</f>
        <v>0</v>
      </c>
      <c r="AC414" s="49">
        <f>Meters!AE6</f>
        <v>0</v>
      </c>
      <c r="AD414" s="49">
        <f>Meters!AF6</f>
        <v>0</v>
      </c>
      <c r="AE414" s="49">
        <f>Meters!AG6</f>
        <v>0</v>
      </c>
      <c r="AF414" s="49">
        <f>Meters!AH6</f>
        <v>0</v>
      </c>
      <c r="AG414" s="103">
        <f t="shared" si="150"/>
        <v>0.99999999999999989</v>
      </c>
      <c r="AH414" s="31" t="str">
        <f t="shared" si="151"/>
        <v>ok</v>
      </c>
    </row>
    <row r="415" spans="1:34" x14ac:dyDescent="0.2">
      <c r="A415" s="14" t="s">
        <v>345</v>
      </c>
      <c r="C415" s="14" t="s">
        <v>232</v>
      </c>
      <c r="D415" s="14" t="s">
        <v>565</v>
      </c>
      <c r="E415" s="99">
        <v>1</v>
      </c>
      <c r="F415" s="49">
        <f>IF(VLOOKUP($D415,$C$5:$AU$501,3,)=0,0,(VLOOKUP($D415,$C$5:$AU$501,4,)/VLOOKUP($D415,$C$5:$AU$501,3,))*$E415)</f>
        <v>0</v>
      </c>
      <c r="G415" s="49">
        <f>IF(VLOOKUP($D415,$C$5:$AU$501,3,)=0,0,(VLOOKUP($D415,$C$5:$AU$501,5,)/VLOOKUP($D415,$C$5:$AU$501,3,))*$E415)</f>
        <v>0</v>
      </c>
      <c r="H415" s="49">
        <f>IF(VLOOKUP($D415,$C$5:$AU$501,3,)=0,0,(VLOOKUP($D415,$C$5:$AU$501,6,)/VLOOKUP($D415,$C$5:$AU$501,3,))*$E415)</f>
        <v>0</v>
      </c>
      <c r="I415" s="49">
        <f>IF(VLOOKUP($D415,$C$5:$AU$501,3,)=0,0,(VLOOKUP($D415,$C$5:$AU$501,7,)/VLOOKUP($D415,$C$5:$AU$501,3,))*$E415)</f>
        <v>0</v>
      </c>
      <c r="J415" s="49">
        <f>IF(VLOOKUP($D415,$C$5:$AU$501,3,)=0,0,(VLOOKUP($D415,$C$5:$AU$501,8,)/VLOOKUP($D415,$C$5:$AU$501,3,))*$E415)</f>
        <v>0</v>
      </c>
      <c r="K415" s="49">
        <v>0</v>
      </c>
      <c r="L415" s="49">
        <f>IF(VLOOKUP($D415,$C$5:$AU$501,3,)=0,0,(VLOOKUP($D415,$C$5:$AU$501,10,)/VLOOKUP($D415,$C$5:$AU$501,3,))*$E415)</f>
        <v>0</v>
      </c>
      <c r="M415" s="49">
        <f>IF(VLOOKUP($D415,$C$5:$AU$501,3,)=0,0,(VLOOKUP($D415,$C$5:$AU$501,11,)/VLOOKUP($D415,$C$5:$AU$501,3,))*$E415)</f>
        <v>0</v>
      </c>
      <c r="N415" s="49">
        <f>IF(VLOOKUP($D415,$C$5:$AU$501,3,)=0,0,(VLOOKUP($D415,$C$5:$AU$501,12,)/VLOOKUP($D415,$C$5:$AU$501,3,))*$E415)</f>
        <v>0</v>
      </c>
      <c r="O415" s="49">
        <f>IF(VLOOKUP($D415,$C$5:$AU$501,3,)=0,0,(VLOOKUP($D415,$C$5:$AU$501,13,)/VLOOKUP($D415,$C$5:$AU$501,3,))*$E415)</f>
        <v>1</v>
      </c>
      <c r="P415" s="49">
        <f>IF(VLOOKUP($D415,$C$5:$AU$501,3,)=0,0,(VLOOKUP($D415,$C$5:$AU$501,14,)/VLOOKUP($D415,$C$5:$AU$501,3,))*$E415)</f>
        <v>0</v>
      </c>
      <c r="Q415" s="49">
        <f>IF(VLOOKUP($D415,$C$5:$AU$501,3,)=0,0,(VLOOKUP($D415,$C$5:$AU$501,15,)/VLOOKUP($D415,$C$5:$AU$501,3,))*$E415)</f>
        <v>0</v>
      </c>
      <c r="R415" s="49">
        <f>IF(VLOOKUP($D415,$C$5:$AU$501,3,)=0,0,(VLOOKUP($D415,$C$5:$AU$501,16,)/VLOOKUP($D415,$C$5:$AU$501,3,))*$E415)</f>
        <v>0</v>
      </c>
      <c r="S415" s="49">
        <f>IF(VLOOKUP($D415,$C$5:$AU$501,3,)=0,0,(VLOOKUP($D415,$C$5:$AU$501,17,)/VLOOKUP($D415,$C$5:$AU$501,3,))*$E415)</f>
        <v>0</v>
      </c>
      <c r="T415" s="49">
        <f>IF(VLOOKUP($D415,$C$5:$AU$501,3,)=0,0,(VLOOKUP($D415,$C$5:$AU$501,18,)/VLOOKUP($D415,$C$5:$AU$501,3,))*$E415)</f>
        <v>0</v>
      </c>
      <c r="U415" s="49">
        <f>IF(VLOOKUP($D415,$C$5:$AU$501,3,)=0,0,(VLOOKUP($D415,$C$5:$AU$501,19,)/VLOOKUP($D415,$C$5:$AU$501,3,))*$E415)</f>
        <v>0</v>
      </c>
      <c r="V415" s="49">
        <f>IF(VLOOKUP($D415,$C$5:$AU$501,3,)=0,0,(VLOOKUP($D415,$C$5:$AU$501,20,)/VLOOKUP($D415,$C$5:$AU$501,3,))*$E415)</f>
        <v>0</v>
      </c>
      <c r="W415" s="49">
        <f>IF(VLOOKUP($D415,$C$5:$AU$501,3,)=0,0,(VLOOKUP($D415,$C$5:$AU$501,21,)/VLOOKUP($D415,$C$5:$AU$501,3,))*$E415)</f>
        <v>0</v>
      </c>
      <c r="X415" s="49">
        <f>IF(VLOOKUP($D415,$C$5:$AU$501,3,)=0,0,(VLOOKUP($D415,$C$5:$AU$501,22,)/VLOOKUP($D415,$C$5:$AU$501,3,))*$E415)</f>
        <v>0</v>
      </c>
      <c r="Y415" s="49">
        <f>IF(VLOOKUP($D415,$C$5:$AU$501,3,)=0,0,(VLOOKUP($D415,$C$5:$AU$501,23,)/VLOOKUP($D415,$C$5:$AU$501,3,))*$E415)</f>
        <v>0</v>
      </c>
      <c r="Z415" s="49">
        <f>IF(VLOOKUP($D415,$C$5:$AU$501,3,)=0,0,(VLOOKUP($D415,$C$5:$AU$501,24,)/VLOOKUP($D415,$C$5:$AU$501,3,))*$E415)</f>
        <v>0</v>
      </c>
      <c r="AA415" s="49">
        <f>IF(VLOOKUP($D415,$C$5:$AU$501,3,)=0,0,(VLOOKUP($D415,$C$5:$AU$501,25,)/VLOOKUP($D415,$C$5:$AU$501,3,))*$E415)</f>
        <v>0</v>
      </c>
      <c r="AB415" s="49">
        <f>IF(VLOOKUP($D415,$C$5:$AU$501,3,)=0,0,(VLOOKUP($D415,$C$5:$AU$501,26,)/VLOOKUP($D415,$C$5:$AU$501,3,))*$E415)</f>
        <v>0</v>
      </c>
      <c r="AC415" s="49">
        <f>IF(VLOOKUP($D415,$C$5:$AU$501,3,)=0,0,(VLOOKUP($D415,$C$5:$AU$501,27,)/VLOOKUP($D415,$C$5:$AU$501,3,))*$E415)</f>
        <v>0</v>
      </c>
      <c r="AD415" s="49">
        <f>IF(VLOOKUP($D415,$C$5:$AU$501,3,)=0,0,(VLOOKUP($D415,$C$5:$AU$501,28,)/VLOOKUP($D415,$C$5:$AU$501,3,))*$E415)</f>
        <v>0</v>
      </c>
      <c r="AE415" s="49">
        <f>IF(VLOOKUP($D415,$C$5:$AU$501,3,)=0,0,(VLOOKUP($D415,$C$5:$AU$501,29,)/VLOOKUP($D415,$C$5:$AU$501,3,))*$E415)</f>
        <v>0</v>
      </c>
      <c r="AF415" s="49">
        <f>IF(VLOOKUP($D415,$C$5:$AU$501,3,)=0,0,(VLOOKUP($D415,$C$5:$AU$501,30,)/VLOOKUP($D415,$C$5:$AU$501,3,))*$E415)</f>
        <v>0</v>
      </c>
      <c r="AG415" s="103">
        <f t="shared" si="150"/>
        <v>1</v>
      </c>
      <c r="AH415" s="31" t="str">
        <f t="shared" si="151"/>
        <v>ok</v>
      </c>
    </row>
    <row r="416" spans="1:34" x14ac:dyDescent="0.2">
      <c r="A416" s="14" t="s">
        <v>346</v>
      </c>
      <c r="C416" s="14" t="s">
        <v>234</v>
      </c>
      <c r="D416" s="14" t="s">
        <v>617</v>
      </c>
      <c r="E416" s="99">
        <v>1</v>
      </c>
      <c r="F416" s="49">
        <f>IF(VLOOKUP($D416,$C$5:$AU$501,3,)=0,0,(VLOOKUP($D416,$C$5:$AU$501,4,)/VLOOKUP($D416,$C$5:$AU$501,3,))*$E416)</f>
        <v>0.90906858578417482</v>
      </c>
      <c r="G416" s="49">
        <f>IF(VLOOKUP($D416,$C$5:$AU$501,3,)=0,0,(VLOOKUP($D416,$C$5:$AU$501,5,)/VLOOKUP($D416,$C$5:$AU$501,3,))*$E416)</f>
        <v>0</v>
      </c>
      <c r="H416" s="49">
        <f>IF(VLOOKUP($D416,$C$5:$AU$501,3,)=0,0,(VLOOKUP($D416,$C$5:$AU$501,6,)/VLOOKUP($D416,$C$5:$AU$501,3,))*$E416)</f>
        <v>6.852911731927995E-2</v>
      </c>
      <c r="I416" s="49">
        <f>IF(VLOOKUP($D416,$C$5:$AU$501,3,)=0,0,(VLOOKUP($D416,$C$5:$AU$501,7,)/VLOOKUP($D416,$C$5:$AU$501,3,))*$E416)</f>
        <v>0</v>
      </c>
      <c r="J416" s="49">
        <f>IF(VLOOKUP($D416,$C$5:$AU$501,3,)=0,0,(VLOOKUP($D416,$C$5:$AU$501,8,)/VLOOKUP($D416,$C$5:$AU$501,3,))*$E416)</f>
        <v>2.9088985852175064E-3</v>
      </c>
      <c r="K416" s="49">
        <f>IF(VLOOKUP($D416,$C$5:$AU$501,3,)=0,0,(VLOOKUP($D416,$C$5:$AU$501,9,)/VLOOKUP($D416,$C$5:$AU$501,3,))*$E416)</f>
        <v>1.5111161481649383E-4</v>
      </c>
      <c r="L416" s="49">
        <f>IF(VLOOKUP($D416,$C$5:$AU$501,3,)=0,0,(VLOOKUP($D416,$C$5:$AU$501,10,)/VLOOKUP($D416,$C$5:$AU$501,3,))*$E416)</f>
        <v>1.1333371111237037E-4</v>
      </c>
      <c r="M416" s="49">
        <f>IF(VLOOKUP($D416,$C$5:$AU$501,3,)=0,0,(VLOOKUP($D416,$C$5:$AU$501,11,)/VLOOKUP($D416,$C$5:$AU$501,3,))*$E416)</f>
        <v>1.8794507092801421E-2</v>
      </c>
      <c r="N416" s="49">
        <f>IF(VLOOKUP($D416,$C$5:$AU$501,3,)=0,0,(VLOOKUP($D416,$C$5:$AU$501,12,)/VLOOKUP($D416,$C$5:$AU$501,3,))*$E416)</f>
        <v>4.3444589259741974E-4</v>
      </c>
      <c r="O416" s="49">
        <f>IF(VLOOKUP($D416,$C$5:$AU$501,3,)=0,0,(VLOOKUP($D416,$C$5:$AU$501,13,)/VLOOKUP($D416,$C$5:$AU$501,3,))*$E416)</f>
        <v>0</v>
      </c>
      <c r="P416" s="49">
        <f>IF(VLOOKUP($D416,$C$5:$AU$501,3,)=0,0,(VLOOKUP($D416,$C$5:$AU$501,14,)/VLOOKUP($D416,$C$5:$AU$501,3,))*$E416)</f>
        <v>0</v>
      </c>
      <c r="Q416" s="49">
        <f>IF(VLOOKUP($D416,$C$5:$AU$501,3,)=0,0,(VLOOKUP($D416,$C$5:$AU$501,15,)/VLOOKUP($D416,$C$5:$AU$501,3,))*$E416)</f>
        <v>0</v>
      </c>
      <c r="R416" s="49">
        <f>IF(VLOOKUP($D416,$C$5:$AU$501,3,)=0,0,(VLOOKUP($D416,$C$5:$AU$501,16,)/VLOOKUP($D416,$C$5:$AU$501,3,))*$E416)</f>
        <v>0</v>
      </c>
      <c r="S416" s="49">
        <f>IF(VLOOKUP($D416,$C$5:$AU$501,3,)=0,0,(VLOOKUP($D416,$C$5:$AU$501,17,)/VLOOKUP($D416,$C$5:$AU$501,3,))*$E416)</f>
        <v>0</v>
      </c>
      <c r="T416" s="49">
        <f>IF(VLOOKUP($D416,$C$5:$AU$501,3,)=0,0,(VLOOKUP($D416,$C$5:$AU$501,18,)/VLOOKUP($D416,$C$5:$AU$501,3,))*$E416)</f>
        <v>0</v>
      </c>
      <c r="U416" s="49">
        <f>IF(VLOOKUP($D416,$C$5:$AU$501,3,)=0,0,(VLOOKUP($D416,$C$5:$AU$501,19,)/VLOOKUP($D416,$C$5:$AU$501,3,))*$E416)</f>
        <v>0</v>
      </c>
      <c r="V416" s="49">
        <f>IF(VLOOKUP($D416,$C$5:$AU$501,3,)=0,0,(VLOOKUP($D416,$C$5:$AU$501,20,)/VLOOKUP($D416,$C$5:$AU$501,3,))*$E416)</f>
        <v>0</v>
      </c>
      <c r="W416" s="49">
        <f>IF(VLOOKUP($D416,$C$5:$AU$501,3,)=0,0,(VLOOKUP($D416,$C$5:$AU$501,21,)/VLOOKUP($D416,$C$5:$AU$501,3,))*$E416)</f>
        <v>0</v>
      </c>
      <c r="X416" s="49">
        <f>IF(VLOOKUP($D416,$C$5:$AU$501,3,)=0,0,(VLOOKUP($D416,$C$5:$AU$501,22,)/VLOOKUP($D416,$C$5:$AU$501,3,))*$E416)</f>
        <v>0</v>
      </c>
      <c r="Y416" s="49">
        <f>IF(VLOOKUP($D416,$C$5:$AU$501,3,)=0,0,(VLOOKUP($D416,$C$5:$AU$501,23,)/VLOOKUP($D416,$C$5:$AU$501,3,))*$E416)</f>
        <v>0</v>
      </c>
      <c r="Z416" s="49">
        <f>IF(VLOOKUP($D416,$C$5:$AU$501,3,)=0,0,(VLOOKUP($D416,$C$5:$AU$501,24,)/VLOOKUP($D416,$C$5:$AU$501,3,))*$E416)</f>
        <v>0</v>
      </c>
      <c r="AA416" s="49">
        <f>IF(VLOOKUP($D416,$C$5:$AU$501,3,)=0,0,(VLOOKUP($D416,$C$5:$AU$501,25,)/VLOOKUP($D416,$C$5:$AU$501,3,))*$E416)</f>
        <v>0</v>
      </c>
      <c r="AB416" s="49">
        <f>IF(VLOOKUP($D416,$C$5:$AU$501,3,)=0,0,(VLOOKUP($D416,$C$5:$AU$501,26,)/VLOOKUP($D416,$C$5:$AU$501,3,))*$E416)</f>
        <v>0</v>
      </c>
      <c r="AC416" s="49">
        <f>IF(VLOOKUP($D416,$C$5:$AU$501,3,)=0,0,(VLOOKUP($D416,$C$5:$AU$501,27,)/VLOOKUP($D416,$C$5:$AU$501,3,))*$E416)</f>
        <v>0</v>
      </c>
      <c r="AD416" s="49">
        <f>IF(VLOOKUP($D416,$C$5:$AU$501,3,)=0,0,(VLOOKUP($D416,$C$5:$AU$501,28,)/VLOOKUP($D416,$C$5:$AU$501,3,))*$E416)</f>
        <v>0</v>
      </c>
      <c r="AE416" s="49">
        <f>IF(VLOOKUP($D416,$C$5:$AU$501,3,)=0,0,(VLOOKUP($D416,$C$5:$AU$501,29,)/VLOOKUP($D416,$C$5:$AU$501,3,))*$E416)</f>
        <v>0</v>
      </c>
      <c r="AF416" s="49">
        <f>IF(VLOOKUP($D416,$C$5:$AU$501,3,)=0,0,(VLOOKUP($D416,$C$5:$AU$501,30,)/VLOOKUP($D416,$C$5:$AU$501,3,))*$E416)</f>
        <v>0</v>
      </c>
      <c r="AG416" s="103">
        <f t="shared" si="150"/>
        <v>0.99999999999999989</v>
      </c>
      <c r="AH416" s="31" t="str">
        <f t="shared" si="151"/>
        <v>ok</v>
      </c>
    </row>
    <row r="417" spans="1:34" x14ac:dyDescent="0.2">
      <c r="A417" s="14" t="s">
        <v>470</v>
      </c>
      <c r="C417" s="14" t="s">
        <v>235</v>
      </c>
      <c r="D417" s="14" t="s">
        <v>618</v>
      </c>
      <c r="E417" s="99">
        <v>1</v>
      </c>
      <c r="F417" s="49">
        <f>IF(VLOOKUP($D417,$C$5:$AU$501,3,)=0,0,(VLOOKUP($D417,$C$5:$AU$501,4,)/VLOOKUP($D417,$C$5:$AU$501,3,))*$E417)</f>
        <v>0.90906858578417482</v>
      </c>
      <c r="G417" s="49">
        <f>IF(VLOOKUP($D417,$C$5:$AU$501,3,)=0,0,(VLOOKUP($D417,$C$5:$AU$501,5,)/VLOOKUP($D417,$C$5:$AU$501,3,))*$E417)</f>
        <v>0</v>
      </c>
      <c r="H417" s="49">
        <f>IF(VLOOKUP($D417,$C$5:$AU$501,3,)=0,0,(VLOOKUP($D417,$C$5:$AU$501,6,)/VLOOKUP($D417,$C$5:$AU$501,3,))*$E417)</f>
        <v>6.852911731927995E-2</v>
      </c>
      <c r="I417" s="49">
        <f>IF(VLOOKUP($D417,$C$5:$AU$501,3,)=0,0,(VLOOKUP($D417,$C$5:$AU$501,7,)/VLOOKUP($D417,$C$5:$AU$501,3,))*$E417)</f>
        <v>0</v>
      </c>
      <c r="J417" s="49">
        <f>IF(VLOOKUP($D417,$C$5:$AU$501,3,)=0,0,(VLOOKUP($D417,$C$5:$AU$501,8,)/VLOOKUP($D417,$C$5:$AU$501,3,))*$E417)</f>
        <v>2.9088985852175064E-3</v>
      </c>
      <c r="K417" s="49">
        <f>IF(VLOOKUP($D417,$C$5:$AU$501,3,)=0,0,(VLOOKUP($D417,$C$5:$AU$501,9,)/VLOOKUP($D417,$C$5:$AU$501,3,))*$E417)</f>
        <v>1.5111161481649383E-4</v>
      </c>
      <c r="L417" s="49">
        <f>IF(VLOOKUP($D417,$C$5:$AU$501,3,)=0,0,(VLOOKUP($D417,$C$5:$AU$501,10,)/VLOOKUP($D417,$C$5:$AU$501,3,))*$E417)</f>
        <v>1.1333371111237037E-4</v>
      </c>
      <c r="M417" s="49">
        <f>IF(VLOOKUP($D417,$C$5:$AU$501,3,)=0,0,(VLOOKUP($D417,$C$5:$AU$501,11,)/VLOOKUP($D417,$C$5:$AU$501,3,))*$E417)</f>
        <v>1.8794507092801421E-2</v>
      </c>
      <c r="N417" s="49">
        <f>IF(VLOOKUP($D417,$C$5:$AU$501,3,)=0,0,(VLOOKUP($D417,$C$5:$AU$501,12,)/VLOOKUP($D417,$C$5:$AU$501,3,))*$E417)</f>
        <v>4.3444589259741974E-4</v>
      </c>
      <c r="O417" s="49">
        <f>IF(VLOOKUP($D417,$C$5:$AU$501,3,)=0,0,(VLOOKUP($D417,$C$5:$AU$501,13,)/VLOOKUP($D417,$C$5:$AU$501,3,))*$E417)</f>
        <v>0</v>
      </c>
      <c r="P417" s="49">
        <f>IF(VLOOKUP($D417,$C$5:$AU$501,3,)=0,0,(VLOOKUP($D417,$C$5:$AU$501,14,)/VLOOKUP($D417,$C$5:$AU$501,3,))*$E417)</f>
        <v>0</v>
      </c>
      <c r="Q417" s="49">
        <f>IF(VLOOKUP($D417,$C$5:$AU$501,3,)=0,0,(VLOOKUP($D417,$C$5:$AU$501,15,)/VLOOKUP($D417,$C$5:$AU$501,3,))*$E417)</f>
        <v>0</v>
      </c>
      <c r="R417" s="49">
        <f>IF(VLOOKUP($D417,$C$5:$AU$501,3,)=0,0,(VLOOKUP($D417,$C$5:$AU$501,16,)/VLOOKUP($D417,$C$5:$AU$501,3,))*$E417)</f>
        <v>0</v>
      </c>
      <c r="S417" s="49">
        <f>IF(VLOOKUP($D417,$C$5:$AU$501,3,)=0,0,(VLOOKUP($D417,$C$5:$AU$501,17,)/VLOOKUP($D417,$C$5:$AU$501,3,))*$E417)</f>
        <v>0</v>
      </c>
      <c r="T417" s="49">
        <f>IF(VLOOKUP($D417,$C$5:$AU$501,3,)=0,0,(VLOOKUP($D417,$C$5:$AU$501,18,)/VLOOKUP($D417,$C$5:$AU$501,3,))*$E417)</f>
        <v>0</v>
      </c>
      <c r="U417" s="49">
        <f>IF(VLOOKUP($D417,$C$5:$AU$501,3,)=0,0,(VLOOKUP($D417,$C$5:$AU$501,19,)/VLOOKUP($D417,$C$5:$AU$501,3,))*$E417)</f>
        <v>0</v>
      </c>
      <c r="V417" s="49">
        <f>IF(VLOOKUP($D417,$C$5:$AU$501,3,)=0,0,(VLOOKUP($D417,$C$5:$AU$501,20,)/VLOOKUP($D417,$C$5:$AU$501,3,))*$E417)</f>
        <v>0</v>
      </c>
      <c r="W417" s="49">
        <f>IF(VLOOKUP($D417,$C$5:$AU$501,3,)=0,0,(VLOOKUP($D417,$C$5:$AU$501,21,)/VLOOKUP($D417,$C$5:$AU$501,3,))*$E417)</f>
        <v>0</v>
      </c>
      <c r="X417" s="49">
        <f>IF(VLOOKUP($D417,$C$5:$AU$501,3,)=0,0,(VLOOKUP($D417,$C$5:$AU$501,22,)/VLOOKUP($D417,$C$5:$AU$501,3,))*$E417)</f>
        <v>0</v>
      </c>
      <c r="Y417" s="49">
        <f>IF(VLOOKUP($D417,$C$5:$AU$501,3,)=0,0,(VLOOKUP($D417,$C$5:$AU$501,23,)/VLOOKUP($D417,$C$5:$AU$501,3,))*$E417)</f>
        <v>0</v>
      </c>
      <c r="Z417" s="49">
        <f>IF(VLOOKUP($D417,$C$5:$AU$501,3,)=0,0,(VLOOKUP($D417,$C$5:$AU$501,24,)/VLOOKUP($D417,$C$5:$AU$501,3,))*$E417)</f>
        <v>0</v>
      </c>
      <c r="AA417" s="49">
        <f>IF(VLOOKUP($D417,$C$5:$AU$501,3,)=0,0,(VLOOKUP($D417,$C$5:$AU$501,25,)/VLOOKUP($D417,$C$5:$AU$501,3,))*$E417)</f>
        <v>0</v>
      </c>
      <c r="AB417" s="49">
        <f>IF(VLOOKUP($D417,$C$5:$AU$501,3,)=0,0,(VLOOKUP($D417,$C$5:$AU$501,26,)/VLOOKUP($D417,$C$5:$AU$501,3,))*$E417)</f>
        <v>0</v>
      </c>
      <c r="AC417" s="49">
        <f>IF(VLOOKUP($D417,$C$5:$AU$501,3,)=0,0,(VLOOKUP($D417,$C$5:$AU$501,27,)/VLOOKUP($D417,$C$5:$AU$501,3,))*$E417)</f>
        <v>0</v>
      </c>
      <c r="AD417" s="49">
        <f>IF(VLOOKUP($D417,$C$5:$AU$501,3,)=0,0,(VLOOKUP($D417,$C$5:$AU$501,28,)/VLOOKUP($D417,$C$5:$AU$501,3,))*$E417)</f>
        <v>0</v>
      </c>
      <c r="AE417" s="49">
        <f>IF(VLOOKUP($D417,$C$5:$AU$501,3,)=0,0,(VLOOKUP($D417,$C$5:$AU$501,29,)/VLOOKUP($D417,$C$5:$AU$501,3,))*$E417)</f>
        <v>0</v>
      </c>
      <c r="AF417" s="49">
        <f>IF(VLOOKUP($D417,$C$5:$AU$501,3,)=0,0,(VLOOKUP($D417,$C$5:$AU$501,30,)/VLOOKUP($D417,$C$5:$AU$501,3,))*$E417)</f>
        <v>0</v>
      </c>
      <c r="AG417" s="103">
        <f t="shared" si="150"/>
        <v>0.99999999999999989</v>
      </c>
      <c r="AH417" s="31" t="str">
        <f t="shared" si="151"/>
        <v>ok</v>
      </c>
    </row>
    <row r="419" spans="1:34" x14ac:dyDescent="0.2">
      <c r="A419" s="13" t="s">
        <v>867</v>
      </c>
      <c r="D419" s="47"/>
    </row>
    <row r="420" spans="1:34" x14ac:dyDescent="0.2">
      <c r="A420" s="14" t="s">
        <v>349</v>
      </c>
      <c r="C420" s="14" t="s">
        <v>561</v>
      </c>
      <c r="E420" s="50">
        <f>'Billing Det'!E25</f>
        <v>115951618.45999999</v>
      </c>
      <c r="F420" s="50">
        <f>'Billing Det'!$E8</f>
        <v>79408476.789999992</v>
      </c>
      <c r="G420" s="50">
        <f>'Billing Det'!$E9</f>
        <v>253733.41</v>
      </c>
      <c r="H420" s="50">
        <f>'Billing Det'!$E10</f>
        <v>8211160.2300000014</v>
      </c>
      <c r="I420" s="50">
        <f>'Billing Det'!$E11</f>
        <v>1552.53</v>
      </c>
      <c r="J420" s="50">
        <f>'Billing Det'!$E12</f>
        <v>7903197.2500000009</v>
      </c>
      <c r="K420" s="50">
        <f>'Billing Det'!$E13</f>
        <v>7615206.3700000001</v>
      </c>
      <c r="L420" s="50">
        <f>'Billing Det'!$E14</f>
        <v>5633626.5499999998</v>
      </c>
      <c r="M420" s="50">
        <f>'Billing Det'!$E15</f>
        <v>2919243.53</v>
      </c>
      <c r="N420" s="50">
        <f>'Billing Det'!$E16</f>
        <v>969766.56</v>
      </c>
      <c r="O420" s="50">
        <f>'Billing Det'!$E17</f>
        <v>3035655.2399999998</v>
      </c>
      <c r="P420" s="50">
        <f>'Billing Det'!$E18</f>
        <v>0</v>
      </c>
      <c r="Q420" s="50">
        <f>'Billing Det'!$E19</f>
        <v>0</v>
      </c>
      <c r="R420" s="50">
        <f>'Billing Det'!$E20</f>
        <v>0</v>
      </c>
      <c r="S420" s="50">
        <f>'Billing Det'!$E21</f>
        <v>0</v>
      </c>
      <c r="T420" s="50">
        <f>'Billing Det'!$E22</f>
        <v>0</v>
      </c>
      <c r="U420" s="50">
        <f>'Billing Det'!$E23</f>
        <v>0</v>
      </c>
      <c r="V420" s="50">
        <v>0</v>
      </c>
      <c r="W420" s="50">
        <v>0</v>
      </c>
      <c r="X420" s="50">
        <v>0</v>
      </c>
      <c r="Y420" s="50">
        <v>0</v>
      </c>
      <c r="Z420" s="50">
        <v>0</v>
      </c>
      <c r="AA420" s="50">
        <v>0</v>
      </c>
      <c r="AB420" s="50">
        <v>0</v>
      </c>
      <c r="AC420" s="50">
        <v>0</v>
      </c>
      <c r="AD420" s="50">
        <v>0</v>
      </c>
      <c r="AE420" s="50"/>
      <c r="AF420" s="50"/>
      <c r="AG420" s="50">
        <f t="shared" ref="AG420:AG430" si="152">SUM(F420:AF420)</f>
        <v>115951618.45999999</v>
      </c>
      <c r="AH420" s="31" t="str">
        <f t="shared" ref="AH420:AH430" si="153">IF(ABS(E420-AG420)&lt;0.01,"ok","err")</f>
        <v>ok</v>
      </c>
    </row>
    <row r="421" spans="1:34" x14ac:dyDescent="0.2">
      <c r="A421" s="14" t="s">
        <v>11</v>
      </c>
      <c r="C421" s="14" t="s">
        <v>214</v>
      </c>
      <c r="E421" s="50">
        <f>'Billing Det'!D25</f>
        <v>926179996</v>
      </c>
      <c r="F421" s="50">
        <f>'Billing Det'!D8</f>
        <v>576919032</v>
      </c>
      <c r="G421" s="50">
        <f>'Billing Det'!D9</f>
        <v>3316676</v>
      </c>
      <c r="H421" s="50">
        <f>'Billing Det'!D10</f>
        <v>59372503</v>
      </c>
      <c r="I421" s="50">
        <f>'Billing Det'!D11</f>
        <v>23150</v>
      </c>
      <c r="J421" s="50">
        <f>'Billing Det'!D12</f>
        <v>74901660</v>
      </c>
      <c r="K421" s="50">
        <f>'Billing Det'!D13</f>
        <v>97780556</v>
      </c>
      <c r="L421" s="50">
        <f>'Billing Det'!D14</f>
        <v>63304128</v>
      </c>
      <c r="M421" s="50">
        <f>'Billing Det'!D15</f>
        <v>22682514</v>
      </c>
      <c r="N421" s="50">
        <f>'Billing Det'!D16</f>
        <v>9939021</v>
      </c>
      <c r="O421" s="50">
        <f>'Billing Det'!D17</f>
        <v>17940756</v>
      </c>
      <c r="P421" s="50">
        <f>'Billing Det'!D18</f>
        <v>0</v>
      </c>
      <c r="Q421" s="50">
        <f>'Billing Det'!D19</f>
        <v>0</v>
      </c>
      <c r="R421" s="50">
        <f>'Billing Det'!D20</f>
        <v>0</v>
      </c>
      <c r="S421" s="50">
        <f>'Billing Det'!$D21</f>
        <v>0</v>
      </c>
      <c r="T421" s="50">
        <f>'Billing Det'!$D22</f>
        <v>0</v>
      </c>
      <c r="U421" s="50">
        <f>'Billing Det'!$D23</f>
        <v>0</v>
      </c>
      <c r="V421" s="50">
        <v>0</v>
      </c>
      <c r="W421" s="50">
        <v>0</v>
      </c>
      <c r="X421" s="50">
        <v>0</v>
      </c>
      <c r="Y421" s="50">
        <v>0</v>
      </c>
      <c r="Z421" s="50">
        <v>0</v>
      </c>
      <c r="AA421" s="50">
        <v>0</v>
      </c>
      <c r="AB421" s="50">
        <v>0</v>
      </c>
      <c r="AC421" s="50">
        <v>0</v>
      </c>
      <c r="AD421" s="50">
        <v>0</v>
      </c>
      <c r="AE421" s="50"/>
      <c r="AF421" s="50"/>
      <c r="AG421" s="50">
        <f>SUM(F421:AF421)</f>
        <v>926179996</v>
      </c>
      <c r="AH421" s="31" t="str">
        <f t="shared" si="153"/>
        <v>ok</v>
      </c>
    </row>
    <row r="422" spans="1:34" x14ac:dyDescent="0.2">
      <c r="A422" s="14" t="s">
        <v>744</v>
      </c>
      <c r="E422" s="109">
        <v>0.05</v>
      </c>
      <c r="F422" s="109">
        <v>0.05</v>
      </c>
      <c r="G422" s="109">
        <v>0</v>
      </c>
      <c r="H422" s="109">
        <v>2.5000000000000001E-2</v>
      </c>
      <c r="I422" s="109">
        <v>0</v>
      </c>
      <c r="J422" s="50">
        <v>0</v>
      </c>
      <c r="K422" s="50">
        <v>0</v>
      </c>
      <c r="L422" s="50">
        <v>0</v>
      </c>
      <c r="M422" s="109">
        <v>0.05</v>
      </c>
      <c r="N422" s="109">
        <f t="shared" ref="N422:O422" si="154">M422</f>
        <v>0.05</v>
      </c>
      <c r="O422" s="109">
        <f t="shared" si="154"/>
        <v>0.05</v>
      </c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3"/>
      <c r="AH422" s="31"/>
    </row>
    <row r="423" spans="1:34" x14ac:dyDescent="0.2">
      <c r="A423" s="14" t="s">
        <v>745</v>
      </c>
      <c r="C423" s="14" t="s">
        <v>11</v>
      </c>
      <c r="E423" s="50">
        <v>960727700.66126859</v>
      </c>
      <c r="F423" s="50">
        <f t="shared" ref="F423:AF423" si="155">F421/(1-F422)</f>
        <v>607283191.57894742</v>
      </c>
      <c r="G423" s="50">
        <f t="shared" si="155"/>
        <v>3316676</v>
      </c>
      <c r="H423" s="50">
        <f t="shared" si="155"/>
        <v>60894874.871794872</v>
      </c>
      <c r="I423" s="50">
        <f t="shared" si="155"/>
        <v>23150</v>
      </c>
      <c r="J423" s="50">
        <f t="shared" si="155"/>
        <v>74901660</v>
      </c>
      <c r="K423" s="50">
        <f t="shared" si="155"/>
        <v>97780556</v>
      </c>
      <c r="L423" s="50">
        <f t="shared" si="155"/>
        <v>63304128</v>
      </c>
      <c r="M423" s="50">
        <f t="shared" si="155"/>
        <v>23876330.52631579</v>
      </c>
      <c r="N423" s="50">
        <f t="shared" si="155"/>
        <v>10462127.368421054</v>
      </c>
      <c r="O423" s="50">
        <f t="shared" si="155"/>
        <v>18885006.315789476</v>
      </c>
      <c r="P423" s="50">
        <f t="shared" si="155"/>
        <v>0</v>
      </c>
      <c r="Q423" s="50">
        <f t="shared" si="155"/>
        <v>0</v>
      </c>
      <c r="R423" s="50">
        <f t="shared" si="155"/>
        <v>0</v>
      </c>
      <c r="S423" s="50">
        <f t="shared" si="155"/>
        <v>0</v>
      </c>
      <c r="T423" s="50">
        <f t="shared" si="155"/>
        <v>0</v>
      </c>
      <c r="U423" s="50">
        <f t="shared" si="155"/>
        <v>0</v>
      </c>
      <c r="V423" s="50">
        <f t="shared" si="155"/>
        <v>0</v>
      </c>
      <c r="W423" s="50">
        <f t="shared" si="155"/>
        <v>0</v>
      </c>
      <c r="X423" s="50">
        <f t="shared" si="155"/>
        <v>0</v>
      </c>
      <c r="Y423" s="50">
        <f t="shared" si="155"/>
        <v>0</v>
      </c>
      <c r="Z423" s="50">
        <f t="shared" si="155"/>
        <v>0</v>
      </c>
      <c r="AA423" s="50">
        <f t="shared" si="155"/>
        <v>0</v>
      </c>
      <c r="AB423" s="50">
        <f t="shared" si="155"/>
        <v>0</v>
      </c>
      <c r="AC423" s="50">
        <f t="shared" si="155"/>
        <v>0</v>
      </c>
      <c r="AD423" s="50">
        <f t="shared" si="155"/>
        <v>0</v>
      </c>
      <c r="AE423" s="50">
        <f t="shared" si="155"/>
        <v>0</v>
      </c>
      <c r="AF423" s="50">
        <f t="shared" si="155"/>
        <v>0</v>
      </c>
      <c r="AG423" s="50">
        <f t="shared" si="152"/>
        <v>960727700.66126859</v>
      </c>
      <c r="AH423" s="31" t="str">
        <f t="shared" si="153"/>
        <v>ok</v>
      </c>
    </row>
    <row r="424" spans="1:34" x14ac:dyDescent="0.2">
      <c r="A424" s="14" t="s">
        <v>558</v>
      </c>
      <c r="E424" s="50">
        <f>'Billing Det'!C25*12</f>
        <v>639648</v>
      </c>
      <c r="F424" s="50">
        <f>'Billing Det'!$C8*12</f>
        <v>577524</v>
      </c>
      <c r="G424" s="50">
        <f>'Billing Det'!$C9*12</f>
        <v>4320</v>
      </c>
      <c r="H424" s="50">
        <f>'Billing Det'!$C10*12</f>
        <v>43536</v>
      </c>
      <c r="I424" s="50">
        <f>'Billing Det'!$C11*12</f>
        <v>36</v>
      </c>
      <c r="J424" s="50">
        <f>'Billing Det'!$C12*12</f>
        <v>1848</v>
      </c>
      <c r="K424" s="50">
        <f>'Billing Det'!$C13*12</f>
        <v>96</v>
      </c>
      <c r="L424" s="50">
        <f>'Billing Det'!$C14*12</f>
        <v>72</v>
      </c>
      <c r="M424" s="50">
        <f>'Billing Det'!$C15*12</f>
        <v>11940</v>
      </c>
      <c r="N424" s="50">
        <f>'Billing Det'!$C16*12</f>
        <v>276</v>
      </c>
      <c r="O424" s="50">
        <f>'Billing Det'!$C17*12</f>
        <v>0</v>
      </c>
      <c r="P424" s="50">
        <f>'Billing Det'!$C18*12</f>
        <v>0</v>
      </c>
      <c r="Q424" s="50">
        <f>'Billing Det'!$C19*12</f>
        <v>0</v>
      </c>
      <c r="R424" s="50">
        <f>'Billing Det'!$C20*12</f>
        <v>0</v>
      </c>
      <c r="S424" s="50">
        <f>'Billing Det'!$C21*12</f>
        <v>0</v>
      </c>
      <c r="T424" s="50">
        <f>'Billing Det'!$C22*12</f>
        <v>0</v>
      </c>
      <c r="U424" s="50">
        <f>'Billing Det'!$C23*12</f>
        <v>0</v>
      </c>
      <c r="V424" s="50">
        <v>0</v>
      </c>
      <c r="W424" s="50">
        <v>0</v>
      </c>
      <c r="X424" s="50">
        <v>0</v>
      </c>
      <c r="Y424" s="50">
        <v>0</v>
      </c>
      <c r="Z424" s="50">
        <v>0</v>
      </c>
      <c r="AA424" s="50">
        <v>0</v>
      </c>
      <c r="AB424" s="50">
        <v>0</v>
      </c>
      <c r="AC424" s="50">
        <v>0</v>
      </c>
      <c r="AD424" s="50">
        <v>0</v>
      </c>
      <c r="AE424" s="50"/>
      <c r="AF424" s="50"/>
      <c r="AG424" s="50">
        <f t="shared" si="152"/>
        <v>639648</v>
      </c>
      <c r="AH424" s="31" t="str">
        <f t="shared" si="153"/>
        <v>ok</v>
      </c>
    </row>
    <row r="425" spans="1:34" x14ac:dyDescent="0.2">
      <c r="A425" s="14" t="s">
        <v>559</v>
      </c>
      <c r="C425" s="14" t="s">
        <v>562</v>
      </c>
      <c r="E425" s="50">
        <f>'Billing Det'!C25</f>
        <v>53304</v>
      </c>
      <c r="F425" s="50">
        <f>F424/12</f>
        <v>48127</v>
      </c>
      <c r="G425" s="50">
        <f t="shared" ref="G425:AF425" si="156">G424/12</f>
        <v>360</v>
      </c>
      <c r="H425" s="50">
        <f>H424/12</f>
        <v>3628</v>
      </c>
      <c r="I425" s="50">
        <f t="shared" si="156"/>
        <v>3</v>
      </c>
      <c r="J425" s="50">
        <f t="shared" si="156"/>
        <v>154</v>
      </c>
      <c r="K425" s="50">
        <f t="shared" si="156"/>
        <v>8</v>
      </c>
      <c r="L425" s="50">
        <f t="shared" si="156"/>
        <v>6</v>
      </c>
      <c r="M425" s="50">
        <f t="shared" si="156"/>
        <v>995</v>
      </c>
      <c r="N425" s="50">
        <f t="shared" si="156"/>
        <v>23</v>
      </c>
      <c r="O425" s="50">
        <f t="shared" si="156"/>
        <v>0</v>
      </c>
      <c r="P425" s="50">
        <f t="shared" si="156"/>
        <v>0</v>
      </c>
      <c r="Q425" s="50">
        <f t="shared" si="156"/>
        <v>0</v>
      </c>
      <c r="R425" s="50">
        <f t="shared" si="156"/>
        <v>0</v>
      </c>
      <c r="S425" s="50">
        <f t="shared" si="156"/>
        <v>0</v>
      </c>
      <c r="T425" s="50">
        <f t="shared" si="156"/>
        <v>0</v>
      </c>
      <c r="U425" s="50">
        <f t="shared" si="156"/>
        <v>0</v>
      </c>
      <c r="V425" s="50">
        <v>0</v>
      </c>
      <c r="W425" s="50">
        <v>0</v>
      </c>
      <c r="X425" s="50">
        <v>0</v>
      </c>
      <c r="Y425" s="50">
        <v>0</v>
      </c>
      <c r="Z425" s="50">
        <f t="shared" si="156"/>
        <v>0</v>
      </c>
      <c r="AA425" s="50">
        <f t="shared" si="156"/>
        <v>0</v>
      </c>
      <c r="AB425" s="50">
        <f t="shared" si="156"/>
        <v>0</v>
      </c>
      <c r="AC425" s="50">
        <f t="shared" si="156"/>
        <v>0</v>
      </c>
      <c r="AD425" s="50">
        <f t="shared" si="156"/>
        <v>0</v>
      </c>
      <c r="AE425" s="50">
        <f t="shared" si="156"/>
        <v>0</v>
      </c>
      <c r="AF425" s="50">
        <f t="shared" si="156"/>
        <v>0</v>
      </c>
      <c r="AG425" s="50">
        <f t="shared" si="152"/>
        <v>53304</v>
      </c>
      <c r="AH425" s="31" t="str">
        <f t="shared" si="153"/>
        <v>ok</v>
      </c>
    </row>
    <row r="426" spans="1:34" x14ac:dyDescent="0.2">
      <c r="A426" s="14" t="s">
        <v>560</v>
      </c>
      <c r="C426" s="14" t="s">
        <v>563</v>
      </c>
      <c r="E426" s="50">
        <f>E425</f>
        <v>53304</v>
      </c>
      <c r="F426" s="50">
        <f t="shared" ref="F426:O426" si="157">F425</f>
        <v>48127</v>
      </c>
      <c r="G426" s="50">
        <f t="shared" si="157"/>
        <v>360</v>
      </c>
      <c r="H426" s="50">
        <f t="shared" si="157"/>
        <v>3628</v>
      </c>
      <c r="I426" s="50">
        <f t="shared" si="157"/>
        <v>3</v>
      </c>
      <c r="J426" s="50">
        <f t="shared" si="157"/>
        <v>154</v>
      </c>
      <c r="K426" s="50">
        <f t="shared" si="157"/>
        <v>8</v>
      </c>
      <c r="L426" s="50">
        <f t="shared" si="157"/>
        <v>6</v>
      </c>
      <c r="M426" s="50">
        <f t="shared" si="157"/>
        <v>995</v>
      </c>
      <c r="N426" s="50">
        <f t="shared" si="157"/>
        <v>23</v>
      </c>
      <c r="O426" s="50">
        <f t="shared" si="157"/>
        <v>0</v>
      </c>
      <c r="P426" s="50">
        <f t="shared" ref="P426:U426" si="158">P425</f>
        <v>0</v>
      </c>
      <c r="Q426" s="50">
        <f t="shared" si="158"/>
        <v>0</v>
      </c>
      <c r="R426" s="50">
        <f t="shared" si="158"/>
        <v>0</v>
      </c>
      <c r="S426" s="50">
        <f t="shared" si="158"/>
        <v>0</v>
      </c>
      <c r="T426" s="50">
        <f t="shared" si="158"/>
        <v>0</v>
      </c>
      <c r="U426" s="50">
        <f t="shared" si="158"/>
        <v>0</v>
      </c>
      <c r="V426" s="50">
        <v>0</v>
      </c>
      <c r="W426" s="50">
        <v>0</v>
      </c>
      <c r="X426" s="50">
        <v>0</v>
      </c>
      <c r="Y426" s="50">
        <v>0</v>
      </c>
      <c r="Z426" s="37">
        <f t="shared" ref="Z426:AF426" si="159">Z425</f>
        <v>0</v>
      </c>
      <c r="AA426" s="37">
        <f t="shared" si="159"/>
        <v>0</v>
      </c>
      <c r="AB426" s="37">
        <f t="shared" si="159"/>
        <v>0</v>
      </c>
      <c r="AC426" s="37">
        <f t="shared" si="159"/>
        <v>0</v>
      </c>
      <c r="AD426" s="37">
        <f t="shared" si="159"/>
        <v>0</v>
      </c>
      <c r="AE426" s="37">
        <f t="shared" si="159"/>
        <v>0</v>
      </c>
      <c r="AF426" s="37">
        <f t="shared" si="159"/>
        <v>0</v>
      </c>
      <c r="AG426" s="50">
        <f t="shared" si="152"/>
        <v>53304</v>
      </c>
      <c r="AH426" s="31" t="str">
        <f t="shared" si="153"/>
        <v>ok</v>
      </c>
    </row>
    <row r="427" spans="1:34" x14ac:dyDescent="0.2">
      <c r="A427" s="14" t="s">
        <v>902</v>
      </c>
      <c r="C427" s="14" t="s">
        <v>564</v>
      </c>
      <c r="E427" s="50">
        <v>52941</v>
      </c>
      <c r="F427" s="37">
        <f>F425</f>
        <v>48127</v>
      </c>
      <c r="G427" s="37">
        <v>0</v>
      </c>
      <c r="H427" s="37">
        <f>H425</f>
        <v>3628</v>
      </c>
      <c r="I427" s="37">
        <v>0</v>
      </c>
      <c r="J427" s="37">
        <f t="shared" ref="J427:R427" si="160">J425</f>
        <v>154</v>
      </c>
      <c r="K427" s="37">
        <f t="shared" si="160"/>
        <v>8</v>
      </c>
      <c r="L427" s="37">
        <f t="shared" si="160"/>
        <v>6</v>
      </c>
      <c r="M427" s="37">
        <f t="shared" si="160"/>
        <v>995</v>
      </c>
      <c r="N427" s="37">
        <f t="shared" si="160"/>
        <v>23</v>
      </c>
      <c r="O427" s="81">
        <f>O425/45</f>
        <v>0</v>
      </c>
      <c r="P427" s="37">
        <f>P425/45</f>
        <v>0</v>
      </c>
      <c r="Q427" s="37">
        <f t="shared" si="160"/>
        <v>0</v>
      </c>
      <c r="R427" s="37">
        <f t="shared" si="160"/>
        <v>0</v>
      </c>
      <c r="S427" s="50">
        <f>S425</f>
        <v>0</v>
      </c>
      <c r="T427" s="50">
        <f>T425</f>
        <v>0</v>
      </c>
      <c r="U427" s="50">
        <f>U425</f>
        <v>0</v>
      </c>
      <c r="V427" s="50">
        <v>0</v>
      </c>
      <c r="W427" s="50">
        <v>0</v>
      </c>
      <c r="X427" s="50">
        <v>0</v>
      </c>
      <c r="Y427" s="50">
        <v>0</v>
      </c>
      <c r="Z427" s="37">
        <f t="shared" ref="Z427:AF427" si="161">Z425</f>
        <v>0</v>
      </c>
      <c r="AA427" s="37">
        <f t="shared" si="161"/>
        <v>0</v>
      </c>
      <c r="AB427" s="37">
        <f t="shared" si="161"/>
        <v>0</v>
      </c>
      <c r="AC427" s="37">
        <f t="shared" si="161"/>
        <v>0</v>
      </c>
      <c r="AD427" s="37">
        <f t="shared" si="161"/>
        <v>0</v>
      </c>
      <c r="AE427" s="37">
        <f t="shared" si="161"/>
        <v>0</v>
      </c>
      <c r="AF427" s="37">
        <f t="shared" si="161"/>
        <v>0</v>
      </c>
      <c r="AG427" s="50">
        <f>SUM(F427:AF427)</f>
        <v>52941</v>
      </c>
      <c r="AH427" s="31" t="str">
        <f t="shared" si="153"/>
        <v>ok</v>
      </c>
    </row>
    <row r="428" spans="1:34" x14ac:dyDescent="0.2">
      <c r="A428" s="14" t="s">
        <v>755</v>
      </c>
      <c r="C428" s="14" t="s">
        <v>565</v>
      </c>
      <c r="E428" s="50">
        <v>1</v>
      </c>
      <c r="F428" s="50">
        <v>0</v>
      </c>
      <c r="G428" s="50">
        <v>0</v>
      </c>
      <c r="H428" s="50">
        <v>0</v>
      </c>
      <c r="I428" s="50">
        <v>0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1</v>
      </c>
      <c r="P428" s="50">
        <f>'Billing Det'!C18</f>
        <v>0</v>
      </c>
      <c r="Q428" s="50">
        <v>0</v>
      </c>
      <c r="R428" s="50">
        <v>0</v>
      </c>
      <c r="S428" s="50">
        <v>0</v>
      </c>
      <c r="T428" s="50">
        <v>0</v>
      </c>
      <c r="U428" s="50">
        <v>0</v>
      </c>
      <c r="V428" s="50">
        <v>0</v>
      </c>
      <c r="W428" s="50">
        <v>0</v>
      </c>
      <c r="X428" s="50">
        <v>0</v>
      </c>
      <c r="Y428" s="50">
        <v>0</v>
      </c>
      <c r="Z428" s="37"/>
      <c r="AA428" s="37"/>
      <c r="AB428" s="37"/>
      <c r="AC428" s="37"/>
      <c r="AD428" s="37"/>
      <c r="AE428" s="37"/>
      <c r="AF428" s="37"/>
      <c r="AG428" s="50">
        <f t="shared" si="152"/>
        <v>1</v>
      </c>
      <c r="AH428" s="31" t="str">
        <f t="shared" si="153"/>
        <v>ok</v>
      </c>
    </row>
    <row r="429" spans="1:34" x14ac:dyDescent="0.2">
      <c r="A429" s="14" t="s">
        <v>616</v>
      </c>
      <c r="C429" s="14" t="s">
        <v>617</v>
      </c>
      <c r="E429" s="50">
        <v>52941</v>
      </c>
      <c r="F429" s="37">
        <f>F426</f>
        <v>48127</v>
      </c>
      <c r="G429" s="37">
        <v>0</v>
      </c>
      <c r="H429" s="37">
        <f t="shared" ref="H429:N429" si="162">H426</f>
        <v>3628</v>
      </c>
      <c r="I429" s="37">
        <v>0</v>
      </c>
      <c r="J429" s="37">
        <f t="shared" si="162"/>
        <v>154</v>
      </c>
      <c r="K429" s="37">
        <f t="shared" si="162"/>
        <v>8</v>
      </c>
      <c r="L429" s="37">
        <f t="shared" si="162"/>
        <v>6</v>
      </c>
      <c r="M429" s="37">
        <f t="shared" si="162"/>
        <v>995</v>
      </c>
      <c r="N429" s="37">
        <f t="shared" si="162"/>
        <v>23</v>
      </c>
      <c r="O429" s="37">
        <f>O427</f>
        <v>0</v>
      </c>
      <c r="P429" s="37">
        <f>P427</f>
        <v>0</v>
      </c>
      <c r="Q429" s="50">
        <f>Q424/12*2.11</f>
        <v>0</v>
      </c>
      <c r="R429" s="50">
        <f>R424/12*2.11</f>
        <v>0</v>
      </c>
      <c r="S429" s="50">
        <f>S427</f>
        <v>0</v>
      </c>
      <c r="T429" s="50">
        <f>T427</f>
        <v>0</v>
      </c>
      <c r="U429" s="50">
        <f>U427</f>
        <v>0</v>
      </c>
      <c r="V429" s="50">
        <v>0</v>
      </c>
      <c r="W429" s="50">
        <v>0</v>
      </c>
      <c r="X429" s="50">
        <v>0</v>
      </c>
      <c r="Y429" s="50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50">
        <f t="shared" si="152"/>
        <v>52941</v>
      </c>
      <c r="AH429" s="31" t="str">
        <f t="shared" si="153"/>
        <v>ok</v>
      </c>
    </row>
    <row r="430" spans="1:34" x14ac:dyDescent="0.2">
      <c r="A430" s="14" t="s">
        <v>470</v>
      </c>
      <c r="C430" s="14" t="s">
        <v>618</v>
      </c>
      <c r="E430" s="50">
        <v>52941</v>
      </c>
      <c r="F430" s="37">
        <f>F426</f>
        <v>48127</v>
      </c>
      <c r="G430" s="37">
        <v>0</v>
      </c>
      <c r="H430" s="37">
        <f t="shared" ref="H430:Q430" si="163">H426</f>
        <v>3628</v>
      </c>
      <c r="I430" s="37">
        <v>0</v>
      </c>
      <c r="J430" s="37">
        <f t="shared" si="163"/>
        <v>154</v>
      </c>
      <c r="K430" s="37">
        <f t="shared" si="163"/>
        <v>8</v>
      </c>
      <c r="L430" s="37">
        <f t="shared" si="163"/>
        <v>6</v>
      </c>
      <c r="M430" s="37">
        <f t="shared" si="163"/>
        <v>995</v>
      </c>
      <c r="N430" s="37">
        <f t="shared" si="163"/>
        <v>23</v>
      </c>
      <c r="O430" s="37">
        <v>0</v>
      </c>
      <c r="P430" s="37">
        <f t="shared" si="163"/>
        <v>0</v>
      </c>
      <c r="Q430" s="37">
        <f t="shared" si="163"/>
        <v>0</v>
      </c>
      <c r="R430" s="37">
        <f>R426</f>
        <v>0</v>
      </c>
      <c r="S430" s="50">
        <f>S426</f>
        <v>0</v>
      </c>
      <c r="T430" s="50">
        <v>0</v>
      </c>
      <c r="U430" s="50">
        <v>0</v>
      </c>
      <c r="V430" s="50">
        <v>0</v>
      </c>
      <c r="W430" s="50">
        <v>0</v>
      </c>
      <c r="X430" s="50">
        <v>0</v>
      </c>
      <c r="Y430" s="50">
        <v>0</v>
      </c>
      <c r="Z430" s="37"/>
      <c r="AA430" s="37"/>
      <c r="AB430" s="37"/>
      <c r="AC430" s="37"/>
      <c r="AD430" s="37"/>
      <c r="AE430" s="37"/>
      <c r="AF430" s="37"/>
      <c r="AG430" s="50">
        <f t="shared" si="152"/>
        <v>52941</v>
      </c>
      <c r="AH430" s="31" t="str">
        <f t="shared" si="153"/>
        <v>ok</v>
      </c>
    </row>
    <row r="432" spans="1:34" x14ac:dyDescent="0.2">
      <c r="A432" s="14" t="s">
        <v>690</v>
      </c>
      <c r="C432" s="14" t="s">
        <v>958</v>
      </c>
      <c r="E432" s="50">
        <f>'Billing Det'!$K$25</f>
        <v>1739777.5431507267</v>
      </c>
      <c r="F432" s="50">
        <f>'Billing Det'!$K$8</f>
        <v>1323983.1312704997</v>
      </c>
      <c r="G432" s="50">
        <f>'Billing Det'!$K$9</f>
        <v>0</v>
      </c>
      <c r="H432" s="50">
        <f>'Billing Det'!$K$10</f>
        <v>79197.048805256883</v>
      </c>
      <c r="I432" s="50">
        <f>'Billing Det'!$K$11</f>
        <v>0</v>
      </c>
      <c r="J432" s="50">
        <f>'Billing Det'!$K$12</f>
        <v>99518.232915173256</v>
      </c>
      <c r="K432" s="50">
        <f>'Billing Det'!$K$13</f>
        <v>132022.58614097966</v>
      </c>
      <c r="L432" s="50">
        <f>'Billing Det'!$K$14</f>
        <v>83429.468100358426</v>
      </c>
      <c r="M432" s="50">
        <f>'Billing Det'!$K$15</f>
        <v>11432.450694444446</v>
      </c>
      <c r="N432" s="50">
        <f>'Billing Det'!$K$16</f>
        <v>10194.62522401434</v>
      </c>
      <c r="O432" s="50">
        <f>'Billing Det'!$K$17</f>
        <v>0</v>
      </c>
      <c r="P432" s="50">
        <f>'Billing Det'!$K$18</f>
        <v>0</v>
      </c>
      <c r="Q432" s="50">
        <f>'Billing Det'!$K$19</f>
        <v>0</v>
      </c>
      <c r="R432" s="50">
        <f>'Billing Det'!$K$20</f>
        <v>0</v>
      </c>
      <c r="S432" s="50">
        <f>'Billing Det'!$K$21</f>
        <v>0</v>
      </c>
      <c r="T432" s="50">
        <f>'Billing Det'!$K$22</f>
        <v>0</v>
      </c>
      <c r="U432" s="50">
        <f>'Billing Det'!$K$23</f>
        <v>0</v>
      </c>
      <c r="V432" s="50">
        <v>0</v>
      </c>
      <c r="W432" s="50">
        <v>0</v>
      </c>
      <c r="X432" s="50">
        <v>0</v>
      </c>
      <c r="Y432" s="50">
        <v>0</v>
      </c>
      <c r="Z432" s="50">
        <v>0</v>
      </c>
      <c r="AA432" s="50">
        <v>0</v>
      </c>
      <c r="AB432" s="50">
        <v>0</v>
      </c>
      <c r="AC432" s="50">
        <v>0</v>
      </c>
      <c r="AD432" s="50">
        <v>0</v>
      </c>
      <c r="AE432" s="50"/>
      <c r="AF432" s="50"/>
      <c r="AG432" s="95">
        <f>SUM(F432:AF432)</f>
        <v>1739777.5431507267</v>
      </c>
      <c r="AH432" s="31" t="str">
        <f>IF(ABS(E432-AG432)&lt;0.01,"ok","err")</f>
        <v>ok</v>
      </c>
    </row>
    <row r="433" spans="1:34" x14ac:dyDescent="0.2">
      <c r="A433" s="14" t="s">
        <v>691</v>
      </c>
      <c r="C433" s="14" t="s">
        <v>959</v>
      </c>
      <c r="E433" s="50">
        <f>'Billing Det'!$J$25</f>
        <v>504679.53040833719</v>
      </c>
      <c r="F433" s="50">
        <f>'Billing Det'!$J$8</f>
        <v>351248.60999743076</v>
      </c>
      <c r="G433" s="50">
        <f>'Billing Det'!$J$9</f>
        <v>0</v>
      </c>
      <c r="H433" s="50">
        <f>'Billing Det'!$J$10</f>
        <v>29381.774001536105</v>
      </c>
      <c r="I433" s="50">
        <f>'Billing Det'!$J$11</f>
        <v>0</v>
      </c>
      <c r="J433" s="50">
        <f>'Billing Det'!$J$12</f>
        <v>37461.963453661039</v>
      </c>
      <c r="K433" s="50">
        <f>'Billing Det'!$J$13</f>
        <v>46745.549539170512</v>
      </c>
      <c r="L433" s="50">
        <f>'Billing Det'!$J$14</f>
        <v>32298.746031746035</v>
      </c>
      <c r="M433" s="50">
        <f>'Billing Det'!$J$15</f>
        <v>4123.1559139784949</v>
      </c>
      <c r="N433" s="50">
        <f>'Billing Det'!$J$16</f>
        <v>3419.7314708141321</v>
      </c>
      <c r="O433" s="50">
        <f>'Billing Det'!$J$17</f>
        <v>0</v>
      </c>
      <c r="P433" s="50">
        <f>'Billing Det'!$J$18</f>
        <v>0</v>
      </c>
      <c r="Q433" s="50">
        <f>'Billing Det'!$J$19</f>
        <v>0</v>
      </c>
      <c r="R433" s="50">
        <f>'Billing Det'!$J$20</f>
        <v>0</v>
      </c>
      <c r="S433" s="50">
        <f>'Billing Det'!$J$21</f>
        <v>0</v>
      </c>
      <c r="T433" s="50">
        <f>'Billing Det'!$J$22</f>
        <v>0</v>
      </c>
      <c r="U433" s="50">
        <f>'Billing Det'!$J$23</f>
        <v>0</v>
      </c>
      <c r="V433" s="50">
        <v>0</v>
      </c>
      <c r="W433" s="50">
        <v>0</v>
      </c>
      <c r="X433" s="50">
        <v>0</v>
      </c>
      <c r="Y433" s="50">
        <v>0</v>
      </c>
      <c r="Z433" s="50">
        <v>0</v>
      </c>
      <c r="AA433" s="50">
        <v>0</v>
      </c>
      <c r="AB433" s="50">
        <v>0</v>
      </c>
      <c r="AC433" s="50">
        <v>0</v>
      </c>
      <c r="AD433" s="50">
        <v>0</v>
      </c>
      <c r="AE433" s="50"/>
      <c r="AF433" s="50"/>
      <c r="AG433" s="95">
        <f>SUM(F433:AF433)</f>
        <v>504679.53040833719</v>
      </c>
      <c r="AH433" s="31" t="str">
        <f>IF(ABS(E433-AG433)&lt;0.01,"ok","err")</f>
        <v>ok</v>
      </c>
    </row>
    <row r="434" spans="1:34" x14ac:dyDescent="0.2">
      <c r="A434" s="14" t="s">
        <v>891</v>
      </c>
      <c r="C434" s="14" t="s">
        <v>957</v>
      </c>
      <c r="E434" s="50">
        <f>'Billing Det'!$I$25</f>
        <v>2244457.0735590635</v>
      </c>
      <c r="F434" s="50">
        <f>'Billing Det'!$I$8</f>
        <v>1675231.7412679305</v>
      </c>
      <c r="G434" s="50">
        <f>'Billing Det'!$I$9</f>
        <v>0</v>
      </c>
      <c r="H434" s="50">
        <f>'Billing Det'!$I$10</f>
        <v>108578.82280679299</v>
      </c>
      <c r="I434" s="50">
        <f>'Billing Det'!$I$11</f>
        <v>0</v>
      </c>
      <c r="J434" s="50">
        <f>'Billing Det'!$I$12</f>
        <v>136980.19636883429</v>
      </c>
      <c r="K434" s="50">
        <f>'Billing Det'!$I$13</f>
        <v>178768.13568015018</v>
      </c>
      <c r="L434" s="50">
        <f>'Billing Det'!$I$14</f>
        <v>115728.21413210446</v>
      </c>
      <c r="M434" s="50">
        <f>'Billing Det'!$I$15</f>
        <v>15555.606608422941</v>
      </c>
      <c r="N434" s="50">
        <f>'Billing Det'!$I$16</f>
        <v>13614.356694828472</v>
      </c>
      <c r="O434" s="50">
        <f>'Billing Det'!$I$17</f>
        <v>0</v>
      </c>
      <c r="P434" s="50">
        <f>'Billing Det'!$I$18</f>
        <v>0</v>
      </c>
      <c r="Q434" s="50">
        <f>'Billing Det'!$I$19</f>
        <v>0</v>
      </c>
      <c r="R434" s="50">
        <f>'Billing Det'!$I$20</f>
        <v>0</v>
      </c>
      <c r="S434" s="50">
        <f>'Billing Det'!$I$21</f>
        <v>0</v>
      </c>
      <c r="T434" s="50">
        <f>'Billing Det'!$I$22</f>
        <v>0</v>
      </c>
      <c r="U434" s="50">
        <f>'Billing Det'!$I$23</f>
        <v>0</v>
      </c>
      <c r="V434" s="50">
        <v>0</v>
      </c>
      <c r="W434" s="50">
        <v>0</v>
      </c>
      <c r="X434" s="50">
        <v>0</v>
      </c>
      <c r="Y434" s="50">
        <v>0</v>
      </c>
      <c r="Z434" s="50">
        <v>0</v>
      </c>
      <c r="AA434" s="50">
        <v>0</v>
      </c>
      <c r="AB434" s="50">
        <v>0</v>
      </c>
      <c r="AC434" s="50">
        <v>0</v>
      </c>
      <c r="AD434" s="50">
        <v>0</v>
      </c>
      <c r="AE434" s="50"/>
      <c r="AF434" s="50"/>
      <c r="AG434" s="95">
        <f>SUM(F434:AF434)</f>
        <v>2244457.0735590635</v>
      </c>
      <c r="AH434" s="31" t="str">
        <f>IF(ABS(E434-AG434)&lt;0.01,"ok","err")</f>
        <v>ok</v>
      </c>
    </row>
    <row r="435" spans="1:34" x14ac:dyDescent="0.2">
      <c r="A435" s="14" t="s">
        <v>692</v>
      </c>
      <c r="C435" s="14" t="s">
        <v>566</v>
      </c>
      <c r="E435" s="50">
        <f>'Billing Det'!$H$25</f>
        <v>297937.30556638993</v>
      </c>
      <c r="F435" s="50">
        <f>'Billing Det'!$H$8</f>
        <v>214700.40269426547</v>
      </c>
      <c r="G435" s="50">
        <f>'Billing Det'!$H$9</f>
        <v>2297.2827364357381</v>
      </c>
      <c r="H435" s="50">
        <f>'Billing Det'!$H$10</f>
        <v>13787.983630952383</v>
      </c>
      <c r="I435" s="50">
        <f>'Billing Det'!$H$11</f>
        <v>15.833333333333334</v>
      </c>
      <c r="J435" s="50">
        <f>'Billing Det'!$H$12</f>
        <v>17219.273313492064</v>
      </c>
      <c r="K435" s="50">
        <f>'Billing Det'!$H$13</f>
        <v>24529.834229390683</v>
      </c>
      <c r="L435" s="50">
        <f>'Billing Det'!$H$14</f>
        <v>13764.543650793652</v>
      </c>
      <c r="M435" s="50">
        <f>'Billing Det'!$H$15</f>
        <v>7907.8125</v>
      </c>
      <c r="N435" s="50">
        <f>'Billing Det'!$H$16</f>
        <v>3714.3394777265748</v>
      </c>
      <c r="O435" s="50">
        <f>'Billing Det'!$H$17</f>
        <v>0</v>
      </c>
      <c r="P435" s="50">
        <f>'Billing Det'!$H$18</f>
        <v>0</v>
      </c>
      <c r="Q435" s="50">
        <f>'Billing Det'!$H$19</f>
        <v>0</v>
      </c>
      <c r="R435" s="50">
        <f>'Billing Det'!$H$20</f>
        <v>0</v>
      </c>
      <c r="S435" s="50">
        <f>'Billing Det'!$H$21</f>
        <v>0</v>
      </c>
      <c r="T435" s="50">
        <f>'Billing Det'!$H$22</f>
        <v>0</v>
      </c>
      <c r="U435" s="50">
        <f>'Billing Det'!$H$23</f>
        <v>0</v>
      </c>
      <c r="V435" s="50">
        <v>0</v>
      </c>
      <c r="W435" s="50">
        <v>0</v>
      </c>
      <c r="X435" s="50">
        <v>0</v>
      </c>
      <c r="Y435" s="50">
        <v>0</v>
      </c>
      <c r="Z435" s="50">
        <v>0</v>
      </c>
      <c r="AA435" s="50">
        <v>0</v>
      </c>
      <c r="AB435" s="50">
        <v>0</v>
      </c>
      <c r="AC435" s="50">
        <v>0</v>
      </c>
      <c r="AD435" s="50">
        <v>0</v>
      </c>
      <c r="AE435" s="50"/>
      <c r="AF435" s="50"/>
      <c r="AG435" s="95">
        <f>SUM(F435:AF435)</f>
        <v>297937.30556638993</v>
      </c>
      <c r="AH435" s="31" t="str">
        <f>IF(ABS(E435-AG435)&lt;0.01,"ok","err")</f>
        <v>ok</v>
      </c>
    </row>
    <row r="436" spans="1:34" x14ac:dyDescent="0.2">
      <c r="A436" s="14" t="s">
        <v>746</v>
      </c>
      <c r="C436" s="14" t="s">
        <v>892</v>
      </c>
      <c r="E436" s="50">
        <f>'Billing Det'!$F$25</f>
        <v>5359679.0161935799</v>
      </c>
      <c r="F436" s="50">
        <f>'Billing Det'!$F$8</f>
        <v>4394897.2592557035</v>
      </c>
      <c r="G436" s="50">
        <f>'Billing Det'!$F$9</f>
        <v>24766.099163679814</v>
      </c>
      <c r="H436" s="50">
        <f>'Billing Det'!$F$10</f>
        <v>98627.12</v>
      </c>
      <c r="I436" s="50">
        <f>'Billing Det'!$F$11</f>
        <v>135.28517999064985</v>
      </c>
      <c r="J436" s="50">
        <f>'Billing Det'!$F$12</f>
        <v>232886</v>
      </c>
      <c r="K436" s="50">
        <f>'Billing Det'!$F$13</f>
        <v>163790</v>
      </c>
      <c r="L436" s="50">
        <f>'Billing Det'!$F$14</f>
        <v>128782</v>
      </c>
      <c r="M436" s="50">
        <f>'Billing Det'!$F$15</f>
        <v>207408.08811230585</v>
      </c>
      <c r="N436" s="50">
        <f>'Billing Det'!$F$16</f>
        <v>59192.855194906377</v>
      </c>
      <c r="O436" s="50">
        <f>'Billing Det'!$F$17</f>
        <v>49194.309286994358</v>
      </c>
      <c r="P436" s="50">
        <f>'Billing Det'!$F$18</f>
        <v>0</v>
      </c>
      <c r="Q436" s="50">
        <f>'Billing Det'!$F$19</f>
        <v>0</v>
      </c>
      <c r="R436" s="50">
        <f>'Billing Det'!$F$20</f>
        <v>0</v>
      </c>
      <c r="S436" s="50">
        <f>'Billing Det'!$F$21</f>
        <v>0</v>
      </c>
      <c r="T436" s="50">
        <f>'Billing Det'!$F$22</f>
        <v>0</v>
      </c>
      <c r="U436" s="50">
        <f>'Billing Det'!$F$23</f>
        <v>0</v>
      </c>
      <c r="V436" s="50">
        <v>0</v>
      </c>
      <c r="W436" s="50">
        <v>0</v>
      </c>
      <c r="X436" s="50">
        <v>0</v>
      </c>
      <c r="Y436" s="50">
        <v>0</v>
      </c>
      <c r="Z436" s="50">
        <v>0</v>
      </c>
      <c r="AA436" s="50">
        <v>0</v>
      </c>
      <c r="AB436" s="50">
        <v>0</v>
      </c>
      <c r="AC436" s="50">
        <v>0</v>
      </c>
      <c r="AD436" s="50">
        <v>0</v>
      </c>
      <c r="AE436" s="50"/>
      <c r="AF436" s="50"/>
      <c r="AG436" s="95">
        <f>SUM(F436:AF436)</f>
        <v>5359679.0161935799</v>
      </c>
      <c r="AH436" s="31" t="str">
        <f>IF(ABS(E436-AG436)&lt;0.01,"ok","err")</f>
        <v>ok</v>
      </c>
    </row>
    <row r="438" spans="1:34" x14ac:dyDescent="0.2">
      <c r="A438" s="29" t="s">
        <v>903</v>
      </c>
    </row>
    <row r="439" spans="1:34" x14ac:dyDescent="0.2"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31"/>
    </row>
    <row r="440" spans="1:34" x14ac:dyDescent="0.2">
      <c r="A440" s="14" t="s">
        <v>597</v>
      </c>
      <c r="C440" s="14" t="s">
        <v>598</v>
      </c>
      <c r="E440" s="50">
        <v>2244457.0735590635</v>
      </c>
      <c r="F440" s="50">
        <f t="shared" ref="F440:S440" si="164">F434</f>
        <v>1675231.7412679305</v>
      </c>
      <c r="G440" s="50">
        <f t="shared" si="164"/>
        <v>0</v>
      </c>
      <c r="H440" s="50">
        <f t="shared" si="164"/>
        <v>108578.82280679299</v>
      </c>
      <c r="I440" s="50">
        <f t="shared" si="164"/>
        <v>0</v>
      </c>
      <c r="J440" s="50">
        <f t="shared" si="164"/>
        <v>136980.19636883429</v>
      </c>
      <c r="K440" s="50">
        <f t="shared" si="164"/>
        <v>178768.13568015018</v>
      </c>
      <c r="L440" s="50">
        <f t="shared" si="164"/>
        <v>115728.21413210446</v>
      </c>
      <c r="M440" s="50">
        <f t="shared" si="164"/>
        <v>15555.606608422941</v>
      </c>
      <c r="N440" s="50">
        <f t="shared" si="164"/>
        <v>13614.356694828472</v>
      </c>
      <c r="O440" s="50">
        <f t="shared" si="164"/>
        <v>0</v>
      </c>
      <c r="P440" s="50">
        <f t="shared" si="164"/>
        <v>0</v>
      </c>
      <c r="Q440" s="50">
        <f t="shared" si="164"/>
        <v>0</v>
      </c>
      <c r="R440" s="50">
        <f t="shared" si="164"/>
        <v>0</v>
      </c>
      <c r="S440" s="50">
        <f t="shared" si="164"/>
        <v>0</v>
      </c>
      <c r="T440" s="50">
        <f t="shared" ref="T440:AF440" si="165">T435</f>
        <v>0</v>
      </c>
      <c r="U440" s="50">
        <f t="shared" si="165"/>
        <v>0</v>
      </c>
      <c r="V440" s="50">
        <f t="shared" si="165"/>
        <v>0</v>
      </c>
      <c r="W440" s="50">
        <f t="shared" si="165"/>
        <v>0</v>
      </c>
      <c r="X440" s="50">
        <f t="shared" si="165"/>
        <v>0</v>
      </c>
      <c r="Y440" s="50">
        <f t="shared" si="165"/>
        <v>0</v>
      </c>
      <c r="Z440" s="50">
        <f t="shared" si="165"/>
        <v>0</v>
      </c>
      <c r="AA440" s="50">
        <f t="shared" si="165"/>
        <v>0</v>
      </c>
      <c r="AB440" s="50">
        <f t="shared" si="165"/>
        <v>0</v>
      </c>
      <c r="AC440" s="50">
        <f t="shared" si="165"/>
        <v>0</v>
      </c>
      <c r="AD440" s="50">
        <f t="shared" si="165"/>
        <v>0</v>
      </c>
      <c r="AE440" s="50">
        <f t="shared" si="165"/>
        <v>0</v>
      </c>
      <c r="AF440" s="50">
        <f t="shared" si="165"/>
        <v>0</v>
      </c>
      <c r="AG440" s="50">
        <f>SUM(F440:AF440)</f>
        <v>2244457.0735590635</v>
      </c>
      <c r="AH440" s="31" t="str">
        <f t="shared" ref="AH440:AH445" si="166">IF(ABS(E440-AG440)&lt;0.01,"ok","err")</f>
        <v>ok</v>
      </c>
    </row>
    <row r="441" spans="1:34" x14ac:dyDescent="0.2">
      <c r="A441" s="14" t="s">
        <v>596</v>
      </c>
      <c r="E441" s="95">
        <f>'Func &amp; Classif'!K35</f>
        <v>0</v>
      </c>
      <c r="AG441" s="95">
        <f>E441</f>
        <v>0</v>
      </c>
      <c r="AH441" s="31" t="str">
        <f t="shared" si="166"/>
        <v>ok</v>
      </c>
    </row>
    <row r="442" spans="1:34" x14ac:dyDescent="0.2">
      <c r="A442" s="14" t="s">
        <v>594</v>
      </c>
      <c r="E442" s="66"/>
      <c r="M442" s="50">
        <v>0</v>
      </c>
      <c r="N442" s="50">
        <v>0</v>
      </c>
      <c r="O442" s="50"/>
      <c r="P442" s="50"/>
      <c r="AG442" s="95">
        <f>SUM(F442:AF442)</f>
        <v>0</v>
      </c>
      <c r="AH442" s="31" t="str">
        <f t="shared" si="166"/>
        <v>ok</v>
      </c>
    </row>
    <row r="443" spans="1:34" x14ac:dyDescent="0.2">
      <c r="A443" s="14" t="s">
        <v>595</v>
      </c>
      <c r="D443" s="14" t="s">
        <v>598</v>
      </c>
      <c r="E443" s="95">
        <f>E441-E442</f>
        <v>0</v>
      </c>
      <c r="F443" s="66">
        <f>IF(VLOOKUP($D443,$C$5:$AU$520,3,)=0,0,(VLOOKUP($D443,$C$5:$AU$520,4,)/VLOOKUP($D443,$C$5:$AU$520,3,))*$E443)</f>
        <v>0</v>
      </c>
      <c r="G443" s="66">
        <f>IF(VLOOKUP($D443,$C$5:$AU$520,3,)=0,0,(VLOOKUP($D443,$C$5:$AU$520,5,)/VLOOKUP($D443,$C$5:$AU$520,3,))*$E443)</f>
        <v>0</v>
      </c>
      <c r="H443" s="66">
        <f>IF(VLOOKUP($D443,$C$5:$AU$520,3,)=0,0,(VLOOKUP($D443,$C$5:$AU$520,6,)/VLOOKUP($D443,$C$5:$AU$520,3,))*$E443)</f>
        <v>0</v>
      </c>
      <c r="I443" s="66">
        <f>IF(VLOOKUP($D443,$C$5:$AU$520,3,)=0,0,(VLOOKUP($D443,$C$5:$AU$520,7,)/VLOOKUP($D443,$C$5:$AU$520,3,))*$E443)</f>
        <v>0</v>
      </c>
      <c r="J443" s="66">
        <f>IF(VLOOKUP($D443,$C$5:$AU$520,3,)=0,0,(VLOOKUP($D443,$C$5:$AU$520,8,)/VLOOKUP($D443,$C$5:$AU$520,3,))*$E443)</f>
        <v>0</v>
      </c>
      <c r="K443" s="66">
        <f>IF(VLOOKUP($D443,$C$5:$AU$520,3,)=0,0,(VLOOKUP($D443,$C$5:$AU$520,9,)/VLOOKUP($D443,$C$5:$AU$520,3,))*$E443)</f>
        <v>0</v>
      </c>
      <c r="L443" s="66">
        <f>IF(VLOOKUP($D443,$C$5:$AU$520,3,)=0,0,(VLOOKUP($D443,$C$5:$AU$520,10,)/VLOOKUP($D443,$C$5:$AU$520,3,))*$E443)</f>
        <v>0</v>
      </c>
      <c r="M443" s="66">
        <f>IF(VLOOKUP($D443,$C$5:$AU$520,3,)=0,0,(VLOOKUP($D443,$C$5:$AU$520,11,)/VLOOKUP($D443,$C$5:$AU$520,3,))*$E443)</f>
        <v>0</v>
      </c>
      <c r="N443" s="66">
        <f>IF(VLOOKUP($D443,$C$5:$AU$520,3,)=0,0,(VLOOKUP($D443,$C$5:$AU$520,12,)/VLOOKUP($D443,$C$5:$AU$520,3,))*$E443)</f>
        <v>0</v>
      </c>
      <c r="O443" s="66">
        <f>IF(VLOOKUP($D443,$C$5:$AU$520,3,)=0,0,(VLOOKUP($D443,$C$5:$AU$520,13,)/VLOOKUP($D443,$C$5:$AU$520,3,))*$E443)</f>
        <v>0</v>
      </c>
      <c r="P443" s="66">
        <f>IF(VLOOKUP($D443,$C$5:$AU$520,3,)=0,0,(VLOOKUP($D443,$C$5:$AU$520,14,)/VLOOKUP($D443,$C$5:$AU$520,3,))*$E443)</f>
        <v>0</v>
      </c>
      <c r="Q443" s="66">
        <f>IF(VLOOKUP($D443,$C$5:$AU$520,3,)=0,0,(VLOOKUP($D443,$C$5:$AU$520,15,)/VLOOKUP($D443,$C$5:$AU$520,3,))*$E443)</f>
        <v>0</v>
      </c>
      <c r="R443" s="66">
        <f>IF(VLOOKUP($D443,$C$5:$AU$520,3,)=0,0,(VLOOKUP($D443,$C$5:$AU$520,16,)/VLOOKUP($D443,$C$5:$AU$520,3,))*$E443)</f>
        <v>0</v>
      </c>
      <c r="S443" s="66">
        <f>IF(VLOOKUP($D443,$C$5:$AU$520,3,)=0,0,(VLOOKUP($D443,$C$5:$AU$520,17,)/VLOOKUP($D443,$C$5:$AU$520,3,))*$E443)</f>
        <v>0</v>
      </c>
      <c r="T443" s="66">
        <f>IF(VLOOKUP($D443,$C$5:$AU$520,3,)=0,0,(VLOOKUP($D443,$C$5:$AU$520,18,)/VLOOKUP($D443,$C$5:$AU$520,3,))*$E443)</f>
        <v>0</v>
      </c>
      <c r="U443" s="66">
        <f>IF(VLOOKUP($D443,$C$5:$AU$520,3,)=0,0,(VLOOKUP($D443,$C$5:$AU$520,19,)/VLOOKUP($D443,$C$5:$AU$520,3,))*$E443)</f>
        <v>0</v>
      </c>
      <c r="V443" s="66">
        <f>IF(VLOOKUP($D443,$C$5:$AU$520,3,)=0,0,(VLOOKUP($D443,$C$5:$AU$520,20,)/VLOOKUP($D443,$C$5:$AU$520,3,))*$E443)</f>
        <v>0</v>
      </c>
      <c r="W443" s="66">
        <f>IF(VLOOKUP($D443,$C$5:$AU$520,3,)=0,0,(VLOOKUP($D443,$C$5:$AU$520,21,)/VLOOKUP($D443,$C$5:$AU$520,3,))*$E443)</f>
        <v>0</v>
      </c>
      <c r="X443" s="66">
        <f>IF(VLOOKUP($D443,$C$5:$AU$520,3,)=0,0,(VLOOKUP($D443,$C$5:$AU$520,22,)/VLOOKUP($D443,$C$5:$AU$520,3,))*$E443)</f>
        <v>0</v>
      </c>
      <c r="Y443" s="66">
        <f>IF(VLOOKUP($D443,$C$5:$AU$520,3,)=0,0,(VLOOKUP($D443,$C$5:$AU$520,23,)/VLOOKUP($D443,$C$5:$AU$520,3,))*$E443)</f>
        <v>0</v>
      </c>
      <c r="Z443" s="66">
        <f>IF(VLOOKUP($D443,$C$5:$AU$520,3,)=0,0,(VLOOKUP($D443,$C$5:$AU$520,24,)/VLOOKUP($D443,$C$5:$AU$520,3,))*$E443)</f>
        <v>0</v>
      </c>
      <c r="AA443" s="66">
        <f>IF(VLOOKUP($D443,$C$5:$AU$520,3,)=0,0,(VLOOKUP($D443,$C$5:$AU$520,25,)/VLOOKUP($D443,$C$5:$AU$520,3,))*$E443)</f>
        <v>0</v>
      </c>
      <c r="AB443" s="66">
        <f>IF(VLOOKUP($D443,$C$5:$AU$520,3,)=0,0,(VLOOKUP($D443,$C$5:$AU$520,26,)/VLOOKUP($D443,$C$5:$AU$520,3,))*$E443)</f>
        <v>0</v>
      </c>
      <c r="AC443" s="66">
        <f>IF(VLOOKUP($D443,$C$5:$AU$520,3,)=0,0,(VLOOKUP($D443,$C$5:$AU$520,27,)/VLOOKUP($D443,$C$5:$AU$520,3,))*$E443)</f>
        <v>0</v>
      </c>
      <c r="AD443" s="66">
        <f>IF(VLOOKUP($D443,$C$5:$AU$520,3,)=0,0,(VLOOKUP($D443,$C$5:$AU$520,28,)/VLOOKUP($D443,$C$5:$AU$520,3,))*$E443)</f>
        <v>0</v>
      </c>
      <c r="AE443" s="66">
        <f>IF(VLOOKUP($D443,$C$5:$AU$520,3,)=0,0,(VLOOKUP($D443,$C$5:$AU$520,29,)/VLOOKUP($D443,$C$5:$AU$520,3,))*$E443)</f>
        <v>0</v>
      </c>
      <c r="AF443" s="66">
        <f>IF(VLOOKUP($D443,$C$5:$AU$520,3,)=0,0,(VLOOKUP($D443,$C$5:$AU$520,30,)/VLOOKUP($D443,$C$5:$AU$520,3,))*$E443)</f>
        <v>0</v>
      </c>
      <c r="AG443" s="95">
        <f>SUM(F443:AF443)</f>
        <v>0</v>
      </c>
      <c r="AH443" s="31" t="str">
        <f t="shared" si="166"/>
        <v>ok</v>
      </c>
    </row>
    <row r="444" spans="1:34" x14ac:dyDescent="0.2">
      <c r="A444" s="14" t="s">
        <v>600</v>
      </c>
      <c r="C444" s="14" t="s">
        <v>599</v>
      </c>
      <c r="E444" s="95">
        <f>E442+E443</f>
        <v>0</v>
      </c>
      <c r="F444" s="95">
        <f t="shared" ref="F444:U444" si="167">F442+F443</f>
        <v>0</v>
      </c>
      <c r="G444" s="95">
        <f t="shared" si="167"/>
        <v>0</v>
      </c>
      <c r="H444" s="95">
        <f t="shared" si="167"/>
        <v>0</v>
      </c>
      <c r="I444" s="95">
        <f t="shared" si="167"/>
        <v>0</v>
      </c>
      <c r="J444" s="95">
        <f t="shared" si="167"/>
        <v>0</v>
      </c>
      <c r="K444" s="95">
        <f t="shared" si="167"/>
        <v>0</v>
      </c>
      <c r="L444" s="95">
        <f t="shared" si="167"/>
        <v>0</v>
      </c>
      <c r="M444" s="95">
        <f t="shared" si="167"/>
        <v>0</v>
      </c>
      <c r="N444" s="95">
        <f t="shared" si="167"/>
        <v>0</v>
      </c>
      <c r="O444" s="95">
        <f t="shared" si="167"/>
        <v>0</v>
      </c>
      <c r="P444" s="95">
        <f t="shared" si="167"/>
        <v>0</v>
      </c>
      <c r="Q444" s="95">
        <f t="shared" si="167"/>
        <v>0</v>
      </c>
      <c r="R444" s="95">
        <f t="shared" si="167"/>
        <v>0</v>
      </c>
      <c r="S444" s="95">
        <f t="shared" si="167"/>
        <v>0</v>
      </c>
      <c r="T444" s="95">
        <f t="shared" si="167"/>
        <v>0</v>
      </c>
      <c r="U444" s="95">
        <f t="shared" si="167"/>
        <v>0</v>
      </c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>
        <f>SUM(F444:AF444)</f>
        <v>0</v>
      </c>
      <c r="AH444" s="31" t="str">
        <f t="shared" si="166"/>
        <v>ok</v>
      </c>
    </row>
    <row r="445" spans="1:34" x14ac:dyDescent="0.2">
      <c r="A445" s="14" t="s">
        <v>623</v>
      </c>
      <c r="C445" s="14" t="s">
        <v>601</v>
      </c>
      <c r="D445" s="14" t="s">
        <v>599</v>
      </c>
      <c r="E445" s="49">
        <v>0</v>
      </c>
      <c r="F445" s="103">
        <f>IF(VLOOKUP($D445,$C$5:$AU$520,3,)=0,0,(VLOOKUP($D445,$C$5:$AU$520,4,)/VLOOKUP($D445,$C$5:$AU$520,3,))*$E445)</f>
        <v>0</v>
      </c>
      <c r="G445" s="103">
        <f>IF(VLOOKUP($D445,$C$5:$AU$520,3,)=0,0,(VLOOKUP($D445,$C$5:$AU$520,5,)/VLOOKUP($D445,$C$5:$AU$520,3,))*$E445)</f>
        <v>0</v>
      </c>
      <c r="H445" s="103">
        <f>IF(VLOOKUP($D445,$C$5:$AU$520,3,)=0,0,(VLOOKUP($D445,$C$5:$AU$520,6,)/VLOOKUP($D445,$C$5:$AU$520,3,))*$E445)</f>
        <v>0</v>
      </c>
      <c r="I445" s="103">
        <f>IF(VLOOKUP($D445,$C$5:$AU$520,3,)=0,0,(VLOOKUP($D445,$C$5:$AU$520,7,)/VLOOKUP($D445,$C$5:$AU$520,3,))*$E445)</f>
        <v>0</v>
      </c>
      <c r="J445" s="103">
        <f>IF(VLOOKUP($D445,$C$5:$AU$520,3,)=0,0,(VLOOKUP($D445,$C$5:$AU$520,8,)/VLOOKUP($D445,$C$5:$AU$520,3,))*$E445)</f>
        <v>0</v>
      </c>
      <c r="K445" s="103">
        <f>IF(VLOOKUP($D445,$C$5:$AU$520,3,)=0,0,(VLOOKUP($D445,$C$5:$AU$520,9,)/VLOOKUP($D445,$C$5:$AU$520,3,))*$E445)</f>
        <v>0</v>
      </c>
      <c r="L445" s="103">
        <f>IF(VLOOKUP($D445,$C$5:$AU$520,3,)=0,0,(VLOOKUP($D445,$C$5:$AU$520,10,)/VLOOKUP($D445,$C$5:$AU$520,3,))*$E445)</f>
        <v>0</v>
      </c>
      <c r="M445" s="103">
        <f>IF(VLOOKUP($D445,$C$5:$AU$520,3,)=0,0,(VLOOKUP($D445,$C$5:$AU$520,11,)/VLOOKUP($D445,$C$5:$AU$520,3,))*$E445)</f>
        <v>0</v>
      </c>
      <c r="N445" s="103">
        <f>IF(VLOOKUP($D445,$C$5:$AU$520,3,)=0,0,(VLOOKUP($D445,$C$5:$AU$520,12,)/VLOOKUP($D445,$C$5:$AU$520,3,))*$E445)</f>
        <v>0</v>
      </c>
      <c r="O445" s="103">
        <f>IF(VLOOKUP($D445,$C$5:$AU$520,3,)=0,0,(VLOOKUP($D445,$C$5:$AU$520,13,)/VLOOKUP($D445,$C$5:$AU$520,3,))*$E445)</f>
        <v>0</v>
      </c>
      <c r="P445" s="103">
        <f>IF(VLOOKUP($D445,$C$5:$AU$520,3,)=0,0,(VLOOKUP($D445,$C$5:$AU$520,14,)/VLOOKUP($D445,$C$5:$AU$520,3,))*$E445)</f>
        <v>0</v>
      </c>
      <c r="Q445" s="103">
        <f>IF(VLOOKUP($D445,$C$5:$AU$520,3,)=0,0,(VLOOKUP($D445,$C$5:$AU$520,15,)/VLOOKUP($D445,$C$5:$AU$520,3,))*$E445)</f>
        <v>0</v>
      </c>
      <c r="R445" s="103">
        <f>IF(VLOOKUP($D445,$C$5:$AU$520,3,)=0,0,(VLOOKUP($D445,$C$5:$AU$520,16,)/VLOOKUP($D445,$C$5:$AU$520,3,))*$E445)</f>
        <v>0</v>
      </c>
      <c r="S445" s="103">
        <f>IF(VLOOKUP($D445,$C$5:$AU$520,3,)=0,0,(VLOOKUP($D445,$C$5:$AU$520,17,)/VLOOKUP($D445,$C$5:$AU$520,3,))*$E445)</f>
        <v>0</v>
      </c>
      <c r="T445" s="103">
        <f>IF(VLOOKUP($D445,$C$5:$AU$520,3,)=0,0,(VLOOKUP($D445,$C$5:$AU$520,18,)/VLOOKUP($D445,$C$5:$AU$520,3,))*$E445)</f>
        <v>0</v>
      </c>
      <c r="U445" s="103">
        <f>IF(VLOOKUP($D445,$C$5:$AU$520,3,)=0,0,(VLOOKUP($D445,$C$5:$AU$520,19,)/VLOOKUP($D445,$C$5:$AU$520,3,))*$E445)</f>
        <v>0</v>
      </c>
      <c r="V445" s="103">
        <f>IF(VLOOKUP($D445,$C$5:$AU$520,3,)=0,0,(VLOOKUP($D445,$C$5:$AU$520,20,)/VLOOKUP($D445,$C$5:$AU$520,3,))*$E445)</f>
        <v>0</v>
      </c>
      <c r="W445" s="103">
        <f>IF(VLOOKUP($D445,$C$5:$AU$520,3,)=0,0,(VLOOKUP($D445,$C$5:$AU$520,21,)/VLOOKUP($D445,$C$5:$AU$520,3,))*$E445)</f>
        <v>0</v>
      </c>
      <c r="X445" s="103">
        <f>IF(VLOOKUP($D445,$C$5:$AU$520,3,)=0,0,(VLOOKUP($D445,$C$5:$AU$520,22,)/VLOOKUP($D445,$C$5:$AU$520,3,))*$E445)</f>
        <v>0</v>
      </c>
      <c r="Y445" s="103">
        <f>IF(VLOOKUP($D445,$C$5:$AU$520,3,)=0,0,(VLOOKUP($D445,$C$5:$AU$520,23,)/VLOOKUP($D445,$C$5:$AU$520,3,))*$E445)</f>
        <v>0</v>
      </c>
      <c r="Z445" s="103">
        <f>IF(VLOOKUP($D445,$C$5:$AU$520,3,)=0,0,(VLOOKUP($D445,$C$5:$AU$520,24,)/VLOOKUP($D445,$C$5:$AU$520,3,))*$E445)</f>
        <v>0</v>
      </c>
      <c r="AA445" s="103">
        <f>IF(VLOOKUP($D445,$C$5:$AU$520,3,)=0,0,(VLOOKUP($D445,$C$5:$AU$520,25,)/VLOOKUP($D445,$C$5:$AU$520,3,))*$E445)</f>
        <v>0</v>
      </c>
      <c r="AB445" s="103">
        <f>IF(VLOOKUP($D445,$C$5:$AU$520,3,)=0,0,(VLOOKUP($D445,$C$5:$AU$520,26,)/VLOOKUP($D445,$C$5:$AU$520,3,))*$E445)</f>
        <v>0</v>
      </c>
      <c r="AC445" s="103">
        <f>IF(VLOOKUP($D445,$C$5:$AU$520,3,)=0,0,(VLOOKUP($D445,$C$5:$AU$520,27,)/VLOOKUP($D445,$C$5:$AU$520,3,))*$E445)</f>
        <v>0</v>
      </c>
      <c r="AD445" s="103">
        <f>IF(VLOOKUP($D445,$C$5:$AU$520,3,)=0,0,(VLOOKUP($D445,$C$5:$AU$520,28,)/VLOOKUP($D445,$C$5:$AU$520,3,))*$E445)</f>
        <v>0</v>
      </c>
      <c r="AE445" s="103">
        <f>IF(VLOOKUP($D445,$C$5:$AU$520,3,)=0,0,(VLOOKUP($D445,$C$5:$AU$520,29,)/VLOOKUP($D445,$C$5:$AU$520,3,))*$E445)</f>
        <v>0</v>
      </c>
      <c r="AF445" s="103">
        <f>IF(VLOOKUP($D445,$C$5:$AU$520,3,)=0,0,(VLOOKUP($D445,$C$5:$AU$520,30,)/VLOOKUP($D445,$C$5:$AU$520,3,))*$E445)</f>
        <v>0</v>
      </c>
      <c r="AG445" s="103">
        <f>SUM(F445:AF445)</f>
        <v>0</v>
      </c>
      <c r="AH445" s="31" t="str">
        <f t="shared" si="166"/>
        <v>ok</v>
      </c>
    </row>
    <row r="446" spans="1:34" x14ac:dyDescent="0.2"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31"/>
    </row>
    <row r="447" spans="1:34" x14ac:dyDescent="0.2">
      <c r="A447" s="14" t="s">
        <v>597</v>
      </c>
      <c r="C447" s="14" t="s">
        <v>624</v>
      </c>
      <c r="E447" s="50">
        <f>E440</f>
        <v>2244457.0735590635</v>
      </c>
      <c r="F447" s="50">
        <f t="shared" ref="F447:AF447" si="168">F440</f>
        <v>1675231.7412679305</v>
      </c>
      <c r="G447" s="50">
        <f t="shared" si="168"/>
        <v>0</v>
      </c>
      <c r="H447" s="50">
        <f t="shared" si="168"/>
        <v>108578.82280679299</v>
      </c>
      <c r="I447" s="50">
        <f t="shared" si="168"/>
        <v>0</v>
      </c>
      <c r="J447" s="50">
        <f t="shared" si="168"/>
        <v>136980.19636883429</v>
      </c>
      <c r="K447" s="50">
        <f t="shared" si="168"/>
        <v>178768.13568015018</v>
      </c>
      <c r="L447" s="50">
        <f t="shared" si="168"/>
        <v>115728.21413210446</v>
      </c>
      <c r="M447" s="50">
        <f t="shared" si="168"/>
        <v>15555.606608422941</v>
      </c>
      <c r="N447" s="50">
        <f t="shared" si="168"/>
        <v>13614.356694828472</v>
      </c>
      <c r="O447" s="50">
        <f t="shared" si="168"/>
        <v>0</v>
      </c>
      <c r="P447" s="50">
        <f t="shared" si="168"/>
        <v>0</v>
      </c>
      <c r="Q447" s="50">
        <f t="shared" si="168"/>
        <v>0</v>
      </c>
      <c r="R447" s="50">
        <f t="shared" si="168"/>
        <v>0</v>
      </c>
      <c r="S447" s="50">
        <f t="shared" si="168"/>
        <v>0</v>
      </c>
      <c r="T447" s="50">
        <f t="shared" si="168"/>
        <v>0</v>
      </c>
      <c r="U447" s="50">
        <f t="shared" si="168"/>
        <v>0</v>
      </c>
      <c r="V447" s="50">
        <f t="shared" si="168"/>
        <v>0</v>
      </c>
      <c r="W447" s="50">
        <f t="shared" si="168"/>
        <v>0</v>
      </c>
      <c r="X447" s="50">
        <f t="shared" si="168"/>
        <v>0</v>
      </c>
      <c r="Y447" s="50">
        <f t="shared" si="168"/>
        <v>0</v>
      </c>
      <c r="Z447" s="50">
        <f t="shared" si="168"/>
        <v>0</v>
      </c>
      <c r="AA447" s="50">
        <f t="shared" si="168"/>
        <v>0</v>
      </c>
      <c r="AB447" s="50">
        <f t="shared" si="168"/>
        <v>0</v>
      </c>
      <c r="AC447" s="50">
        <f t="shared" si="168"/>
        <v>0</v>
      </c>
      <c r="AD447" s="50">
        <f t="shared" si="168"/>
        <v>0</v>
      </c>
      <c r="AE447" s="50">
        <f t="shared" si="168"/>
        <v>0</v>
      </c>
      <c r="AF447" s="50">
        <f t="shared" si="168"/>
        <v>0</v>
      </c>
      <c r="AG447" s="50">
        <f>SUM(F447:AF447)</f>
        <v>2244457.0735590635</v>
      </c>
      <c r="AH447" s="31" t="str">
        <f t="shared" ref="AH447:AH452" si="169">IF(ABS(E447-AG447)&lt;0.01,"ok","err")</f>
        <v>ok</v>
      </c>
    </row>
    <row r="448" spans="1:34" x14ac:dyDescent="0.2">
      <c r="A448" s="14" t="s">
        <v>596</v>
      </c>
      <c r="E448" s="95">
        <f>E441</f>
        <v>0</v>
      </c>
      <c r="AG448" s="95">
        <f>E448</f>
        <v>0</v>
      </c>
      <c r="AH448" s="31" t="str">
        <f t="shared" si="169"/>
        <v>ok</v>
      </c>
    </row>
    <row r="449" spans="1:34" x14ac:dyDescent="0.2">
      <c r="A449" s="14" t="s">
        <v>594</v>
      </c>
      <c r="E449" s="66">
        <f>E442</f>
        <v>0</v>
      </c>
      <c r="F449" s="48">
        <f>F442</f>
        <v>0</v>
      </c>
      <c r="G449" s="48">
        <f t="shared" ref="G449:S449" si="170">G442</f>
        <v>0</v>
      </c>
      <c r="H449" s="48">
        <f t="shared" si="170"/>
        <v>0</v>
      </c>
      <c r="I449" s="48">
        <f t="shared" si="170"/>
        <v>0</v>
      </c>
      <c r="J449" s="48">
        <f t="shared" si="170"/>
        <v>0</v>
      </c>
      <c r="K449" s="48">
        <f t="shared" si="170"/>
        <v>0</v>
      </c>
      <c r="L449" s="48">
        <f t="shared" si="170"/>
        <v>0</v>
      </c>
      <c r="M449" s="48">
        <f t="shared" si="170"/>
        <v>0</v>
      </c>
      <c r="N449" s="48">
        <f t="shared" si="170"/>
        <v>0</v>
      </c>
      <c r="O449" s="50">
        <f t="shared" si="170"/>
        <v>0</v>
      </c>
      <c r="P449" s="50">
        <f t="shared" si="170"/>
        <v>0</v>
      </c>
      <c r="Q449" s="14">
        <f t="shared" si="170"/>
        <v>0</v>
      </c>
      <c r="R449" s="14">
        <f t="shared" si="170"/>
        <v>0</v>
      </c>
      <c r="S449" s="14">
        <f t="shared" si="170"/>
        <v>0</v>
      </c>
      <c r="AG449" s="95">
        <f>SUM(F449:AF449)</f>
        <v>0</v>
      </c>
      <c r="AH449" s="31" t="str">
        <f t="shared" si="169"/>
        <v>ok</v>
      </c>
    </row>
    <row r="450" spans="1:34" x14ac:dyDescent="0.2">
      <c r="A450" s="14" t="s">
        <v>595</v>
      </c>
      <c r="D450" s="14" t="s">
        <v>624</v>
      </c>
      <c r="E450" s="95">
        <f>E448-E449</f>
        <v>0</v>
      </c>
      <c r="F450" s="66">
        <f>IF(VLOOKUP($D450,$C$5:$AU$520,3,)=0,0,(VLOOKUP($D450,$C$5:$AU$520,4,)/VLOOKUP($D450,$C$5:$AU$520,3,))*$E450)</f>
        <v>0</v>
      </c>
      <c r="G450" s="66">
        <f>IF(VLOOKUP($D450,$C$5:$AU$520,3,)=0,0,(VLOOKUP($D450,$C$5:$AU$520,5,)/VLOOKUP($D450,$C$5:$AU$520,3,))*$E450)</f>
        <v>0</v>
      </c>
      <c r="H450" s="66">
        <f>IF(VLOOKUP($D450,$C$5:$AU$520,3,)=0,0,(VLOOKUP($D450,$C$5:$AU$520,6,)/VLOOKUP($D450,$C$5:$AU$520,3,))*$E450)</f>
        <v>0</v>
      </c>
      <c r="I450" s="66">
        <f>IF(VLOOKUP($D450,$C$5:$AU$520,3,)=0,0,(VLOOKUP($D450,$C$5:$AU$520,7,)/VLOOKUP($D450,$C$5:$AU$520,3,))*$E450)</f>
        <v>0</v>
      </c>
      <c r="J450" s="66">
        <f>IF(VLOOKUP($D450,$C$5:$AU$520,3,)=0,0,(VLOOKUP($D450,$C$5:$AU$520,8,)/VLOOKUP($D450,$C$5:$AU$520,3,))*$E450)</f>
        <v>0</v>
      </c>
      <c r="K450" s="66">
        <f>IF(VLOOKUP($D450,$C$5:$AU$520,3,)=0,0,(VLOOKUP($D450,$C$5:$AU$520,9,)/VLOOKUP($D450,$C$5:$AU$520,3,))*$E450)</f>
        <v>0</v>
      </c>
      <c r="L450" s="66">
        <f>IF(VLOOKUP($D450,$C$5:$AU$520,3,)=0,0,(VLOOKUP($D450,$C$5:$AU$520,10,)/VLOOKUP($D450,$C$5:$AU$520,3,))*$E450)</f>
        <v>0</v>
      </c>
      <c r="M450" s="66">
        <f>IF(VLOOKUP($D450,$C$5:$AU$520,3,)=0,0,(VLOOKUP($D450,$C$5:$AU$520,11,)/VLOOKUP($D450,$C$5:$AU$520,3,))*$E450)</f>
        <v>0</v>
      </c>
      <c r="N450" s="66">
        <f>IF(VLOOKUP($D450,$C$5:$AU$520,3,)=0,0,(VLOOKUP($D450,$C$5:$AU$520,12,)/VLOOKUP($D450,$C$5:$AU$520,3,))*$E450)</f>
        <v>0</v>
      </c>
      <c r="O450" s="66">
        <f>IF(VLOOKUP($D450,$C$5:$AU$520,3,)=0,0,(VLOOKUP($D450,$C$5:$AU$520,13,)/VLOOKUP($D450,$C$5:$AU$520,3,))*$E450)</f>
        <v>0</v>
      </c>
      <c r="P450" s="66">
        <f>IF(VLOOKUP($D450,$C$5:$AU$520,3,)=0,0,(VLOOKUP($D450,$C$5:$AU$520,14,)/VLOOKUP($D450,$C$5:$AU$520,3,))*$E450)</f>
        <v>0</v>
      </c>
      <c r="Q450" s="66">
        <f>IF(VLOOKUP($D450,$C$5:$AU$520,3,)=0,0,(VLOOKUP($D450,$C$5:$AU$520,15,)/VLOOKUP($D450,$C$5:$AU$520,3,))*$E450)</f>
        <v>0</v>
      </c>
      <c r="R450" s="66">
        <f>IF(VLOOKUP($D450,$C$5:$AU$520,3,)=0,0,(VLOOKUP($D450,$C$5:$AU$520,16,)/VLOOKUP($D450,$C$5:$AU$520,3,))*$E450)</f>
        <v>0</v>
      </c>
      <c r="S450" s="66">
        <f>IF(VLOOKUP($D450,$C$5:$AU$520,3,)=0,0,(VLOOKUP($D450,$C$5:$AU$520,17,)/VLOOKUP($D450,$C$5:$AU$520,3,))*$E450)</f>
        <v>0</v>
      </c>
      <c r="T450" s="66">
        <f>IF(VLOOKUP($D450,$C$5:$AU$520,3,)=0,0,(VLOOKUP($D450,$C$5:$AU$520,18,)/VLOOKUP($D450,$C$5:$AU$520,3,))*$E450)</f>
        <v>0</v>
      </c>
      <c r="U450" s="66">
        <f>IF(VLOOKUP($D450,$C$5:$AU$520,3,)=0,0,(VLOOKUP($D450,$C$5:$AU$520,19,)/VLOOKUP($D450,$C$5:$AU$520,3,))*$E450)</f>
        <v>0</v>
      </c>
      <c r="V450" s="66">
        <f>IF(VLOOKUP($D450,$C$5:$AU$520,3,)=0,0,(VLOOKUP($D450,$C$5:$AU$520,20,)/VLOOKUP($D450,$C$5:$AU$520,3,))*$E450)</f>
        <v>0</v>
      </c>
      <c r="W450" s="66">
        <f>IF(VLOOKUP($D450,$C$5:$AU$520,3,)=0,0,(VLOOKUP($D450,$C$5:$AU$520,21,)/VLOOKUP($D450,$C$5:$AU$520,3,))*$E450)</f>
        <v>0</v>
      </c>
      <c r="X450" s="66">
        <f>IF(VLOOKUP($D450,$C$5:$AU$520,3,)=0,0,(VLOOKUP($D450,$C$5:$AU$520,22,)/VLOOKUP($D450,$C$5:$AU$520,3,))*$E450)</f>
        <v>0</v>
      </c>
      <c r="Y450" s="66">
        <f>IF(VLOOKUP($D450,$C$5:$AU$520,3,)=0,0,(VLOOKUP($D450,$C$5:$AU$520,23,)/VLOOKUP($D450,$C$5:$AU$520,3,))*$E450)</f>
        <v>0</v>
      </c>
      <c r="Z450" s="66">
        <f>IF(VLOOKUP($D450,$C$5:$AU$520,3,)=0,0,(VLOOKUP($D450,$C$5:$AU$520,24,)/VLOOKUP($D450,$C$5:$AU$520,3,))*$E450)</f>
        <v>0</v>
      </c>
      <c r="AA450" s="66">
        <f>IF(VLOOKUP($D450,$C$5:$AU$520,3,)=0,0,(VLOOKUP($D450,$C$5:$AU$520,25,)/VLOOKUP($D450,$C$5:$AU$520,3,))*$E450)</f>
        <v>0</v>
      </c>
      <c r="AB450" s="66">
        <f>IF(VLOOKUP($D450,$C$5:$AU$520,3,)=0,0,(VLOOKUP($D450,$C$5:$AU$520,26,)/VLOOKUP($D450,$C$5:$AU$520,3,))*$E450)</f>
        <v>0</v>
      </c>
      <c r="AC450" s="66">
        <f>IF(VLOOKUP($D450,$C$5:$AU$520,3,)=0,0,(VLOOKUP($D450,$C$5:$AU$520,27,)/VLOOKUP($D450,$C$5:$AU$520,3,))*$E450)</f>
        <v>0</v>
      </c>
      <c r="AD450" s="66">
        <f>IF(VLOOKUP($D450,$C$5:$AU$520,3,)=0,0,(VLOOKUP($D450,$C$5:$AU$520,28,)/VLOOKUP($D450,$C$5:$AU$520,3,))*$E450)</f>
        <v>0</v>
      </c>
      <c r="AE450" s="66">
        <f>IF(VLOOKUP($D450,$C$5:$AU$520,3,)=0,0,(VLOOKUP($D450,$C$5:$AU$520,29,)/VLOOKUP($D450,$C$5:$AU$520,3,))*$E450)</f>
        <v>0</v>
      </c>
      <c r="AF450" s="66">
        <f>IF(VLOOKUP($D450,$C$5:$AU$520,3,)=0,0,(VLOOKUP($D450,$C$5:$AU$520,30,)/VLOOKUP($D450,$C$5:$AU$520,3,))*$E450)</f>
        <v>0</v>
      </c>
      <c r="AG450" s="95">
        <f>SUM(F450:AF450)</f>
        <v>0</v>
      </c>
      <c r="AH450" s="31" t="str">
        <f t="shared" si="169"/>
        <v>ok</v>
      </c>
    </row>
    <row r="451" spans="1:34" x14ac:dyDescent="0.2">
      <c r="A451" s="14" t="s">
        <v>600</v>
      </c>
      <c r="C451" s="14" t="s">
        <v>625</v>
      </c>
      <c r="E451" s="95">
        <f t="shared" ref="E451:U451" si="171">E449+E450</f>
        <v>0</v>
      </c>
      <c r="F451" s="95">
        <f t="shared" si="171"/>
        <v>0</v>
      </c>
      <c r="G451" s="95">
        <f t="shared" si="171"/>
        <v>0</v>
      </c>
      <c r="H451" s="95">
        <f t="shared" si="171"/>
        <v>0</v>
      </c>
      <c r="I451" s="95">
        <f t="shared" si="171"/>
        <v>0</v>
      </c>
      <c r="J451" s="95">
        <f t="shared" si="171"/>
        <v>0</v>
      </c>
      <c r="K451" s="95">
        <f t="shared" si="171"/>
        <v>0</v>
      </c>
      <c r="L451" s="95">
        <f t="shared" si="171"/>
        <v>0</v>
      </c>
      <c r="M451" s="95">
        <f t="shared" si="171"/>
        <v>0</v>
      </c>
      <c r="N451" s="95">
        <f t="shared" si="171"/>
        <v>0</v>
      </c>
      <c r="O451" s="95">
        <f t="shared" si="171"/>
        <v>0</v>
      </c>
      <c r="P451" s="95">
        <f t="shared" si="171"/>
        <v>0</v>
      </c>
      <c r="Q451" s="95">
        <f t="shared" si="171"/>
        <v>0</v>
      </c>
      <c r="R451" s="95">
        <f t="shared" si="171"/>
        <v>0</v>
      </c>
      <c r="S451" s="95">
        <f t="shared" si="171"/>
        <v>0</v>
      </c>
      <c r="T451" s="95">
        <f t="shared" si="171"/>
        <v>0</v>
      </c>
      <c r="U451" s="95">
        <f t="shared" si="171"/>
        <v>0</v>
      </c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>
        <f>SUM(F451:AF451)</f>
        <v>0</v>
      </c>
      <c r="AH451" s="31" t="str">
        <f t="shared" si="169"/>
        <v>ok</v>
      </c>
    </row>
    <row r="452" spans="1:34" x14ac:dyDescent="0.2">
      <c r="A452" s="14" t="s">
        <v>633</v>
      </c>
      <c r="C452" s="14" t="s">
        <v>626</v>
      </c>
      <c r="D452" s="14" t="s">
        <v>625</v>
      </c>
      <c r="E452" s="49">
        <v>0</v>
      </c>
      <c r="F452" s="103">
        <f>IF(VLOOKUP($D452,$C$5:$AU$520,3,)=0,0,(VLOOKUP($D452,$C$5:$AU$520,4,)/VLOOKUP($D452,$C$5:$AU$520,3,))*$E452)</f>
        <v>0</v>
      </c>
      <c r="G452" s="103">
        <f>IF(VLOOKUP($D452,$C$5:$AU$520,3,)=0,0,(VLOOKUP($D452,$C$5:$AU$520,5,)/VLOOKUP($D452,$C$5:$AU$520,3,))*$E452)</f>
        <v>0</v>
      </c>
      <c r="H452" s="103">
        <f>IF(VLOOKUP($D452,$C$5:$AU$520,3,)=0,0,(VLOOKUP($D452,$C$5:$AU$520,6,)/VLOOKUP($D452,$C$5:$AU$520,3,))*$E452)</f>
        <v>0</v>
      </c>
      <c r="I452" s="103">
        <f>IF(VLOOKUP($D452,$C$5:$AU$520,3,)=0,0,(VLOOKUP($D452,$C$5:$AU$520,7,)/VLOOKUP($D452,$C$5:$AU$520,3,))*$E452)</f>
        <v>0</v>
      </c>
      <c r="J452" s="103">
        <f>IF(VLOOKUP($D452,$C$5:$AU$520,3,)=0,0,(VLOOKUP($D452,$C$5:$AU$520,8,)/VLOOKUP($D452,$C$5:$AU$520,3,))*$E452)</f>
        <v>0</v>
      </c>
      <c r="K452" s="103">
        <f>IF(VLOOKUP($D452,$C$5:$AU$520,3,)=0,0,(VLOOKUP($D452,$C$5:$AU$520,9,)/VLOOKUP($D452,$C$5:$AU$520,3,))*$E452)</f>
        <v>0</v>
      </c>
      <c r="L452" s="103">
        <f>IF(VLOOKUP($D452,$C$5:$AU$520,3,)=0,0,(VLOOKUP($D452,$C$5:$AU$520,10,)/VLOOKUP($D452,$C$5:$AU$520,3,))*$E452)</f>
        <v>0</v>
      </c>
      <c r="M452" s="103">
        <f>IF(VLOOKUP($D452,$C$5:$AU$520,3,)=0,0,(VLOOKUP($D452,$C$5:$AU$520,11,)/VLOOKUP($D452,$C$5:$AU$520,3,))*$E452)</f>
        <v>0</v>
      </c>
      <c r="N452" s="103">
        <f>IF(VLOOKUP($D452,$C$5:$AU$520,3,)=0,0,(VLOOKUP($D452,$C$5:$AU$520,12,)/VLOOKUP($D452,$C$5:$AU$520,3,))*$E452)</f>
        <v>0</v>
      </c>
      <c r="O452" s="103">
        <f>IF(VLOOKUP($D452,$C$5:$AU$520,3,)=0,0,(VLOOKUP($D452,$C$5:$AU$520,13,)/VLOOKUP($D452,$C$5:$AU$520,3,))*$E452)</f>
        <v>0</v>
      </c>
      <c r="P452" s="103">
        <f>IF(VLOOKUP($D452,$C$5:$AU$520,3,)=0,0,(VLOOKUP($D452,$C$5:$AU$520,14,)/VLOOKUP($D452,$C$5:$AU$520,3,))*$E452)</f>
        <v>0</v>
      </c>
      <c r="Q452" s="103">
        <f>IF(VLOOKUP($D452,$C$5:$AU$520,3,)=0,0,(VLOOKUP($D452,$C$5:$AU$520,15,)/VLOOKUP($D452,$C$5:$AU$520,3,))*$E452)</f>
        <v>0</v>
      </c>
      <c r="R452" s="103">
        <f>IF(VLOOKUP($D452,$C$5:$AU$520,3,)=0,0,(VLOOKUP($D452,$C$5:$AU$520,16,)/VLOOKUP($D452,$C$5:$AU$520,3,))*$E452)</f>
        <v>0</v>
      </c>
      <c r="S452" s="103">
        <f>IF(VLOOKUP($D452,$C$5:$AU$520,3,)=0,0,(VLOOKUP($D452,$C$5:$AU$520,17,)/VLOOKUP($D452,$C$5:$AU$520,3,))*$E452)</f>
        <v>0</v>
      </c>
      <c r="T452" s="103">
        <f>IF(VLOOKUP($D452,$C$5:$AU$520,3,)=0,0,(VLOOKUP($D452,$C$5:$AU$520,18,)/VLOOKUP($D452,$C$5:$AU$520,3,))*$E452)</f>
        <v>0</v>
      </c>
      <c r="U452" s="103">
        <f>IF(VLOOKUP($D452,$C$5:$AU$520,3,)=0,0,(VLOOKUP($D452,$C$5:$AU$520,19,)/VLOOKUP($D452,$C$5:$AU$520,3,))*$E452)</f>
        <v>0</v>
      </c>
      <c r="V452" s="103">
        <f>IF(VLOOKUP($D452,$C$5:$AU$520,3,)=0,0,(VLOOKUP($D452,$C$5:$AU$520,20,)/VLOOKUP($D452,$C$5:$AU$520,3,))*$E452)</f>
        <v>0</v>
      </c>
      <c r="W452" s="103">
        <f>IF(VLOOKUP($D452,$C$5:$AU$520,3,)=0,0,(VLOOKUP($D452,$C$5:$AU$520,21,)/VLOOKUP($D452,$C$5:$AU$520,3,))*$E452)</f>
        <v>0</v>
      </c>
      <c r="X452" s="103">
        <f>IF(VLOOKUP($D452,$C$5:$AU$520,3,)=0,0,(VLOOKUP($D452,$C$5:$AU$520,22,)/VLOOKUP($D452,$C$5:$AU$520,3,))*$E452)</f>
        <v>0</v>
      </c>
      <c r="Y452" s="103">
        <f>IF(VLOOKUP($D452,$C$5:$AU$520,3,)=0,0,(VLOOKUP($D452,$C$5:$AU$520,23,)/VLOOKUP($D452,$C$5:$AU$520,3,))*$E452)</f>
        <v>0</v>
      </c>
      <c r="Z452" s="103">
        <f>IF(VLOOKUP($D452,$C$5:$AU$520,3,)=0,0,(VLOOKUP($D452,$C$5:$AU$520,24,)/VLOOKUP($D452,$C$5:$AU$520,3,))*$E452)</f>
        <v>0</v>
      </c>
      <c r="AA452" s="103">
        <f>IF(VLOOKUP($D452,$C$5:$AU$520,3,)=0,0,(VLOOKUP($D452,$C$5:$AU$520,25,)/VLOOKUP($D452,$C$5:$AU$520,3,))*$E452)</f>
        <v>0</v>
      </c>
      <c r="AB452" s="103">
        <f>IF(VLOOKUP($D452,$C$5:$AU$520,3,)=0,0,(VLOOKUP($D452,$C$5:$AU$520,26,)/VLOOKUP($D452,$C$5:$AU$520,3,))*$E452)</f>
        <v>0</v>
      </c>
      <c r="AC452" s="103">
        <f>IF(VLOOKUP($D452,$C$5:$AU$520,3,)=0,0,(VLOOKUP($D452,$C$5:$AU$520,27,)/VLOOKUP($D452,$C$5:$AU$520,3,))*$E452)</f>
        <v>0</v>
      </c>
      <c r="AD452" s="103">
        <f>IF(VLOOKUP($D452,$C$5:$AU$520,3,)=0,0,(VLOOKUP($D452,$C$5:$AU$520,28,)/VLOOKUP($D452,$C$5:$AU$520,3,))*$E452)</f>
        <v>0</v>
      </c>
      <c r="AE452" s="103">
        <f>IF(VLOOKUP($D452,$C$5:$AU$520,3,)=0,0,(VLOOKUP($D452,$C$5:$AU$520,29,)/VLOOKUP($D452,$C$5:$AU$520,3,))*$E452)</f>
        <v>0</v>
      </c>
      <c r="AF452" s="103">
        <f>IF(VLOOKUP($D452,$C$5:$AU$520,3,)=0,0,(VLOOKUP($D452,$C$5:$AU$520,30,)/VLOOKUP($D452,$C$5:$AU$520,3,))*$E452)</f>
        <v>0</v>
      </c>
      <c r="AG452" s="103">
        <f>SUM(F452:AF452)</f>
        <v>0</v>
      </c>
      <c r="AH452" s="31" t="str">
        <f t="shared" si="169"/>
        <v>ok</v>
      </c>
    </row>
    <row r="453" spans="1:34" x14ac:dyDescent="0.2"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31"/>
    </row>
    <row r="454" spans="1:34" x14ac:dyDescent="0.2">
      <c r="A454" s="14" t="s">
        <v>602</v>
      </c>
      <c r="B454" s="50"/>
      <c r="C454" s="14" t="s">
        <v>606</v>
      </c>
      <c r="E454" s="50">
        <v>5334777.6318499101</v>
      </c>
      <c r="F454" s="50">
        <f>F436</f>
        <v>4394897.2592557035</v>
      </c>
      <c r="G454" s="50">
        <v>0</v>
      </c>
      <c r="H454" s="50">
        <f t="shared" ref="H454:O454" si="172">H436</f>
        <v>98627.12</v>
      </c>
      <c r="I454" s="50">
        <v>0</v>
      </c>
      <c r="J454" s="50">
        <f t="shared" si="172"/>
        <v>232886</v>
      </c>
      <c r="K454" s="50">
        <f t="shared" si="172"/>
        <v>163790</v>
      </c>
      <c r="L454" s="50">
        <f t="shared" si="172"/>
        <v>128782</v>
      </c>
      <c r="M454" s="50">
        <f t="shared" si="172"/>
        <v>207408.08811230585</v>
      </c>
      <c r="N454" s="50">
        <f t="shared" si="172"/>
        <v>59192.855194906377</v>
      </c>
      <c r="O454" s="50">
        <f t="shared" si="172"/>
        <v>49194.309286994358</v>
      </c>
      <c r="P454" s="50">
        <f>P436</f>
        <v>0</v>
      </c>
      <c r="Q454" s="50">
        <f>Q436*2.11</f>
        <v>0</v>
      </c>
      <c r="R454" s="50">
        <f>R436*2.11</f>
        <v>0</v>
      </c>
      <c r="S454" s="50">
        <f>S436</f>
        <v>0</v>
      </c>
      <c r="T454" s="50">
        <f>T436*0.9</f>
        <v>0</v>
      </c>
      <c r="U454" s="50">
        <f t="shared" ref="U454:Z454" si="173">U436</f>
        <v>0</v>
      </c>
      <c r="V454" s="50">
        <f t="shared" si="173"/>
        <v>0</v>
      </c>
      <c r="W454" s="50">
        <f t="shared" si="173"/>
        <v>0</v>
      </c>
      <c r="X454" s="50">
        <f t="shared" si="173"/>
        <v>0</v>
      </c>
      <c r="Y454" s="50">
        <f t="shared" si="173"/>
        <v>0</v>
      </c>
      <c r="Z454" s="50">
        <f t="shared" si="173"/>
        <v>0</v>
      </c>
      <c r="AA454" s="50">
        <f>AA436*0.5</f>
        <v>0</v>
      </c>
      <c r="AB454" s="50">
        <f>AB436*0.1</f>
        <v>0</v>
      </c>
      <c r="AC454" s="50">
        <f>AC436*0.5</f>
        <v>0</v>
      </c>
      <c r="AD454" s="50">
        <f>AD436*0.07</f>
        <v>0</v>
      </c>
      <c r="AE454" s="50">
        <f>AE436*0.07</f>
        <v>0</v>
      </c>
      <c r="AF454" s="50">
        <f>AF436</f>
        <v>0</v>
      </c>
      <c r="AG454" s="50">
        <f>SUM(F454:AF454)</f>
        <v>5334777.6318499101</v>
      </c>
      <c r="AH454" s="31" t="str">
        <f t="shared" ref="AH454:AH459" si="174">IF(ABS(E454-AG454)&lt;0.01,"ok","err")</f>
        <v>ok</v>
      </c>
    </row>
    <row r="455" spans="1:34" x14ac:dyDescent="0.2">
      <c r="A455" s="14" t="s">
        <v>603</v>
      </c>
      <c r="E455" s="95">
        <f>'Func &amp; Classif'!O54</f>
        <v>126243859.87349135</v>
      </c>
      <c r="AG455" s="95">
        <f>E455</f>
        <v>126243859.87349135</v>
      </c>
      <c r="AH455" s="31" t="str">
        <f t="shared" si="174"/>
        <v>ok</v>
      </c>
    </row>
    <row r="456" spans="1:34" x14ac:dyDescent="0.2">
      <c r="A456" s="14" t="s">
        <v>594</v>
      </c>
      <c r="E456" s="66"/>
      <c r="M456" s="50">
        <v>0</v>
      </c>
      <c r="N456" s="50">
        <v>0</v>
      </c>
      <c r="P456" s="50"/>
      <c r="Q456" s="50">
        <f>(1/70)*'Func &amp; Classif'!F53</f>
        <v>0</v>
      </c>
      <c r="AA456" s="66">
        <v>0</v>
      </c>
      <c r="AB456" s="66">
        <v>0</v>
      </c>
      <c r="AC456" s="66">
        <v>0</v>
      </c>
      <c r="AD456" s="66">
        <v>0</v>
      </c>
      <c r="AE456" s="66">
        <v>0</v>
      </c>
      <c r="AG456" s="95">
        <f>SUM(F456:AF456)</f>
        <v>0</v>
      </c>
      <c r="AH456" s="31" t="str">
        <f t="shared" si="174"/>
        <v>ok</v>
      </c>
    </row>
    <row r="457" spans="1:34" x14ac:dyDescent="0.2">
      <c r="A457" s="14" t="s">
        <v>604</v>
      </c>
      <c r="D457" s="14" t="s">
        <v>627</v>
      </c>
      <c r="E457" s="95">
        <f>E455-E456</f>
        <v>126243859.87349135</v>
      </c>
      <c r="F457" s="110">
        <f>IF(VLOOKUP($D457,$C$5:$AU$520,3,)=0,0,(VLOOKUP($D457,$C$5:$AU$520,4,)/VLOOKUP($D457,$C$5:$AU$520,3,))*$E457)</f>
        <v>104002234.40306236</v>
      </c>
      <c r="G457" s="66">
        <f>IF(VLOOKUP($D457,$C$5:$AU$520,3,)=0,0,(VLOOKUP($D457,$C$5:$AU$520,5,)/VLOOKUP($D457,$C$5:$AU$520,3,))*$E457)</f>
        <v>0</v>
      </c>
      <c r="H457" s="66">
        <f>IF(VLOOKUP($D457,$C$5:$AU$520,3,)=0,0,(VLOOKUP($D457,$C$5:$AU$520,6,)/VLOOKUP($D457,$C$5:$AU$520,3,))*$E457)</f>
        <v>2333943.2636648496</v>
      </c>
      <c r="I457" s="66">
        <f>IF(VLOOKUP($D457,$C$5:$AU$520,3,)=0,0,(VLOOKUP($D457,$C$5:$AU$520,7,)/VLOOKUP($D457,$C$5:$AU$520,3,))*$E457)</f>
        <v>0</v>
      </c>
      <c r="J457" s="66">
        <f>IF(VLOOKUP($D457,$C$5:$AU$520,3,)=0,0,(VLOOKUP($D457,$C$5:$AU$520,8,)/VLOOKUP($D457,$C$5:$AU$520,3,))*$E457)</f>
        <v>5511087.7302495716</v>
      </c>
      <c r="K457" s="66">
        <f>IF(VLOOKUP($D457,$C$5:$AU$520,3,)=0,0,(VLOOKUP($D457,$C$5:$AU$520,9,)/VLOOKUP($D457,$C$5:$AU$520,3,))*$E457)</f>
        <v>3875978.2010836946</v>
      </c>
      <c r="L457" s="66">
        <f>IF(VLOOKUP($D457,$C$5:$AU$520,3,)=0,0,(VLOOKUP($D457,$C$5:$AU$520,10,)/VLOOKUP($D457,$C$5:$AU$520,3,))*$E457)</f>
        <v>3047537.8514681016</v>
      </c>
      <c r="M457" s="66">
        <f>IF(VLOOKUP($D457,$C$5:$AU$520,3,)=0,0,(VLOOKUP($D457,$C$5:$AU$520,11,)/VLOOKUP($D457,$C$5:$AU$520,3,))*$E457)</f>
        <v>4908170.3904496226</v>
      </c>
      <c r="N457" s="66">
        <f>IF(VLOOKUP($D457,$C$5:$AU$520,3,)=0,0,(VLOOKUP($D457,$C$5:$AU$520,12,)/VLOOKUP($D457,$C$5:$AU$520,3,))*$E457)</f>
        <v>1400758.3881516627</v>
      </c>
      <c r="O457" s="66">
        <f>IF(VLOOKUP($D457,$C$5:$AU$520,3,)=0,0,(VLOOKUP($D457,$C$5:$AU$520,13,)/VLOOKUP($D457,$C$5:$AU$520,3,))*$E457)</f>
        <v>1164149.6453614952</v>
      </c>
      <c r="P457" s="66">
        <f>IF(VLOOKUP($D457,$C$5:$AU$520,3,)=0,0,(VLOOKUP($D457,$C$5:$AU$520,14,)/VLOOKUP($D457,$C$5:$AU$520,3,))*$E457)</f>
        <v>0</v>
      </c>
      <c r="Q457" s="66">
        <f>IF(VLOOKUP($D457,$C$5:$AU$520,3,)=0,0,(VLOOKUP($D457,$C$5:$AU$520,15,)/VLOOKUP($D457,$C$5:$AU$520,3,))*$E457)</f>
        <v>0</v>
      </c>
      <c r="R457" s="66">
        <f>IF(VLOOKUP($D457,$C$5:$AU$520,3,)=0,0,(VLOOKUP($D457,$C$5:$AU$520,16,)/VLOOKUP($D457,$C$5:$AU$520,3,))*$E457)</f>
        <v>0</v>
      </c>
      <c r="S457" s="66">
        <f>IF(VLOOKUP($D457,$C$5:$AU$520,3,)=0,0,(VLOOKUP($D457,$C$5:$AU$520,17,)/VLOOKUP($D457,$C$5:$AU$520,3,))*$E457)</f>
        <v>0</v>
      </c>
      <c r="T457" s="66">
        <f>IF(VLOOKUP($D457,$C$5:$AU$520,3,)=0,0,(VLOOKUP($D457,$C$5:$AU$520,18,)/VLOOKUP($D457,$C$5:$AU$520,3,))*$E457)</f>
        <v>0</v>
      </c>
      <c r="U457" s="66">
        <f>IF(VLOOKUP($D457,$C$5:$AU$520,3,)=0,0,(VLOOKUP($D457,$C$5:$AU$520,19,)/VLOOKUP($D457,$C$5:$AU$520,3,))*$E457)</f>
        <v>0</v>
      </c>
      <c r="V457" s="66">
        <f>IF(VLOOKUP($D457,$C$5:$AU$520,3,)=0,0,(VLOOKUP($D457,$C$5:$AU$520,20,)/VLOOKUP($D457,$C$5:$AU$520,3,))*$E457)</f>
        <v>0</v>
      </c>
      <c r="W457" s="66">
        <f>IF(VLOOKUP($D457,$C$5:$AU$520,3,)=0,0,(VLOOKUP($D457,$C$5:$AU$520,21,)/VLOOKUP($D457,$C$5:$AU$520,3,))*$E457)</f>
        <v>0</v>
      </c>
      <c r="X457" s="66">
        <f>IF(VLOOKUP($D457,$C$5:$AU$520,3,)=0,0,(VLOOKUP($D457,$C$5:$AU$520,22,)/VLOOKUP($D457,$C$5:$AU$520,3,))*$E457)</f>
        <v>0</v>
      </c>
      <c r="Y457" s="66">
        <f>IF(VLOOKUP($D457,$C$5:$AU$520,3,)=0,0,(VLOOKUP($D457,$C$5:$AU$520,23,)/VLOOKUP($D457,$C$5:$AU$520,3,))*$E457)</f>
        <v>0</v>
      </c>
      <c r="Z457" s="66">
        <f>IF(VLOOKUP($D457,$C$5:$AU$520,3,)=0,0,(VLOOKUP($D457,$C$5:$AU$520,24,)/VLOOKUP($D457,$C$5:$AU$520,3,))*$E457)</f>
        <v>0</v>
      </c>
      <c r="AA457" s="66">
        <f>IF(VLOOKUP($D457,$C$5:$AU$520,3,)=0,0,(VLOOKUP($D457,$C$5:$AU$520,25,)/VLOOKUP($D457,$C$5:$AU$520,3,))*$E457)</f>
        <v>0</v>
      </c>
      <c r="AB457" s="66">
        <f>IF(VLOOKUP($D457,$C$5:$AU$520,3,)=0,0,(VLOOKUP($D457,$C$5:$AU$520,26,)/VLOOKUP($D457,$C$5:$AU$520,3,))*$E457)</f>
        <v>0</v>
      </c>
      <c r="AC457" s="66">
        <f>IF(VLOOKUP($D457,$C$5:$AU$520,3,)=0,0,(VLOOKUP($D457,$C$5:$AU$520,27,)/VLOOKUP($D457,$C$5:$AU$520,3,))*$E457)</f>
        <v>0</v>
      </c>
      <c r="AD457" s="66">
        <f>IF(VLOOKUP($D457,$C$5:$AU$520,3,)=0,0,(VLOOKUP($D457,$C$5:$AU$520,28,)/VLOOKUP($D457,$C$5:$AU$520,3,))*$E457)</f>
        <v>0</v>
      </c>
      <c r="AE457" s="66">
        <f>IF(VLOOKUP($D457,$C$5:$AU$520,3,)=0,0,(VLOOKUP($D457,$C$5:$AU$520,29,)/VLOOKUP($D457,$C$5:$AU$520,3,))*$E457)</f>
        <v>0</v>
      </c>
      <c r="AF457" s="66">
        <f>IF(VLOOKUP($D457,$C$5:$AU$520,3,)=0,0,(VLOOKUP($D457,$C$5:$AU$520,30,)/VLOOKUP($D457,$C$5:$AU$520,3,))*$E457)</f>
        <v>0</v>
      </c>
      <c r="AG457" s="95">
        <f>SUM(F457:AF457)</f>
        <v>126243859.87349136</v>
      </c>
      <c r="AH457" s="31" t="str">
        <f t="shared" si="174"/>
        <v>ok</v>
      </c>
    </row>
    <row r="458" spans="1:34" x14ac:dyDescent="0.2">
      <c r="A458" s="14" t="s">
        <v>605</v>
      </c>
      <c r="C458" s="14" t="s">
        <v>608</v>
      </c>
      <c r="E458" s="95">
        <f t="shared" ref="E458:AF458" si="175">E456+E457</f>
        <v>126243859.87349135</v>
      </c>
      <c r="F458" s="111">
        <f t="shared" si="175"/>
        <v>104002234.40306236</v>
      </c>
      <c r="G458" s="95">
        <f t="shared" si="175"/>
        <v>0</v>
      </c>
      <c r="H458" s="95">
        <f t="shared" si="175"/>
        <v>2333943.2636648496</v>
      </c>
      <c r="I458" s="95">
        <f t="shared" si="175"/>
        <v>0</v>
      </c>
      <c r="J458" s="95">
        <f t="shared" si="175"/>
        <v>5511087.7302495716</v>
      </c>
      <c r="K458" s="95">
        <f t="shared" si="175"/>
        <v>3875978.2010836946</v>
      </c>
      <c r="L458" s="95">
        <f t="shared" si="175"/>
        <v>3047537.8514681016</v>
      </c>
      <c r="M458" s="95">
        <f t="shared" si="175"/>
        <v>4908170.3904496226</v>
      </c>
      <c r="N458" s="95">
        <f t="shared" si="175"/>
        <v>1400758.3881516627</v>
      </c>
      <c r="O458" s="95">
        <f t="shared" si="175"/>
        <v>1164149.6453614952</v>
      </c>
      <c r="P458" s="95">
        <f>P456+P457</f>
        <v>0</v>
      </c>
      <c r="Q458" s="95">
        <f t="shared" si="175"/>
        <v>0</v>
      </c>
      <c r="R458" s="95">
        <f t="shared" si="175"/>
        <v>0</v>
      </c>
      <c r="S458" s="95">
        <f t="shared" si="175"/>
        <v>0</v>
      </c>
      <c r="T458" s="95">
        <f t="shared" si="175"/>
        <v>0</v>
      </c>
      <c r="U458" s="95">
        <f t="shared" si="175"/>
        <v>0</v>
      </c>
      <c r="V458" s="95">
        <f t="shared" si="175"/>
        <v>0</v>
      </c>
      <c r="W458" s="95">
        <f t="shared" si="175"/>
        <v>0</v>
      </c>
      <c r="X458" s="95">
        <f t="shared" si="175"/>
        <v>0</v>
      </c>
      <c r="Y458" s="95">
        <f t="shared" si="175"/>
        <v>0</v>
      </c>
      <c r="Z458" s="95">
        <f t="shared" si="175"/>
        <v>0</v>
      </c>
      <c r="AA458" s="95">
        <f t="shared" si="175"/>
        <v>0</v>
      </c>
      <c r="AB458" s="95">
        <f t="shared" si="175"/>
        <v>0</v>
      </c>
      <c r="AC458" s="95">
        <f t="shared" si="175"/>
        <v>0</v>
      </c>
      <c r="AD458" s="95">
        <f t="shared" si="175"/>
        <v>0</v>
      </c>
      <c r="AE458" s="95">
        <f t="shared" si="175"/>
        <v>0</v>
      </c>
      <c r="AF458" s="95">
        <f t="shared" si="175"/>
        <v>0</v>
      </c>
      <c r="AG458" s="95">
        <f>SUM(F458:AF458)</f>
        <v>126243859.87349136</v>
      </c>
      <c r="AH458" s="31" t="str">
        <f t="shared" si="174"/>
        <v>ok</v>
      </c>
    </row>
    <row r="459" spans="1:34" x14ac:dyDescent="0.2">
      <c r="A459" s="14" t="s">
        <v>635</v>
      </c>
      <c r="C459" s="14" t="s">
        <v>607</v>
      </c>
      <c r="D459" s="14" t="s">
        <v>608</v>
      </c>
      <c r="E459" s="49">
        <v>1</v>
      </c>
      <c r="F459" s="103">
        <f>IF(VLOOKUP($D459,$C$5:$AU$520,3,)=0,0,(VLOOKUP($D459,$C$5:$AU$520,4,)/VLOOKUP($D459,$C$5:$AU$520,3,))*$E459)</f>
        <v>0.82382014069660681</v>
      </c>
      <c r="G459" s="103">
        <f>IF(VLOOKUP($D459,$C$5:$AU$520,3,)=0,0,(VLOOKUP($D459,$C$5:$AU$520,5,)/VLOOKUP($D459,$C$5:$AU$520,3,))*$E459)</f>
        <v>0</v>
      </c>
      <c r="H459" s="103">
        <f>IF(VLOOKUP($D459,$C$5:$AU$520,3,)=0,0,(VLOOKUP($D459,$C$5:$AU$520,6,)/VLOOKUP($D459,$C$5:$AU$520,3,))*$E459)</f>
        <v>1.8487578453349637E-2</v>
      </c>
      <c r="I459" s="103">
        <f>IF(VLOOKUP($D459,$C$5:$AU$520,3,)=0,0,(VLOOKUP($D459,$C$5:$AU$520,7,)/VLOOKUP($D459,$C$5:$AU$520,3,))*$E459)</f>
        <v>0</v>
      </c>
      <c r="J459" s="103">
        <f>IF(VLOOKUP($D459,$C$5:$AU$520,3,)=0,0,(VLOOKUP($D459,$C$5:$AU$520,8,)/VLOOKUP($D459,$C$5:$AU$520,3,))*$E459)</f>
        <v>4.3654303154008589E-2</v>
      </c>
      <c r="K459" s="103">
        <f>IF(VLOOKUP($D459,$C$5:$AU$520,3,)=0,0,(VLOOKUP($D459,$C$5:$AU$520,9,)/VLOOKUP($D459,$C$5:$AU$520,3,))*$E459)</f>
        <v>3.07023106309313E-2</v>
      </c>
      <c r="L459" s="103">
        <f>IF(VLOOKUP($D459,$C$5:$AU$520,3,)=0,0,(VLOOKUP($D459,$C$5:$AU$520,10,)/VLOOKUP($D459,$C$5:$AU$520,3,))*$E459)</f>
        <v>2.4140087720084222E-2</v>
      </c>
      <c r="M459" s="103">
        <f>IF(VLOOKUP($D459,$C$5:$AU$520,3,)=0,0,(VLOOKUP($D459,$C$5:$AU$520,11,)/VLOOKUP($D459,$C$5:$AU$520,3,))*$E459)</f>
        <v>3.8878487994331669E-2</v>
      </c>
      <c r="N459" s="103">
        <f>IF(VLOOKUP($D459,$C$5:$AU$520,3,)=0,0,(VLOOKUP($D459,$C$5:$AU$520,12,)/VLOOKUP($D459,$C$5:$AU$520,3,))*$E459)</f>
        <v>1.1095655579252402E-2</v>
      </c>
      <c r="O459" s="103">
        <f>IF(VLOOKUP($D459,$C$5:$AU$520,3,)=0,0,(VLOOKUP($D459,$C$5:$AU$520,13,)/VLOOKUP($D459,$C$5:$AU$520,3,))*$E459)</f>
        <v>9.2214357714354312E-3</v>
      </c>
      <c r="P459" s="103">
        <f>IF(VLOOKUP($D459,$C$5:$AU$520,3,)=0,0,(VLOOKUP($D459,$C$5:$AU$520,14,)/VLOOKUP($D459,$C$5:$AU$520,3,))*$E459)</f>
        <v>0</v>
      </c>
      <c r="Q459" s="103">
        <f>IF(VLOOKUP($D459,$C$5:$AU$520,3,)=0,0,(VLOOKUP($D459,$C$5:$AU$520,15,)/VLOOKUP($D459,$C$5:$AU$520,3,))*$E459)</f>
        <v>0</v>
      </c>
      <c r="R459" s="103">
        <f>IF(VLOOKUP($D459,$C$5:$AU$520,3,)=0,0,(VLOOKUP($D459,$C$5:$AU$520,16,)/VLOOKUP($D459,$C$5:$AU$520,3,))*$E459)</f>
        <v>0</v>
      </c>
      <c r="S459" s="103">
        <f>IF(VLOOKUP($D459,$C$5:$AU$520,3,)=0,0,(VLOOKUP($D459,$C$5:$AU$520,17,)/VLOOKUP($D459,$C$5:$AU$520,3,))*$E459)</f>
        <v>0</v>
      </c>
      <c r="T459" s="103">
        <f>IF(VLOOKUP($D459,$C$5:$AU$520,3,)=0,0,(VLOOKUP($D459,$C$5:$AU$520,18,)/VLOOKUP($D459,$C$5:$AU$520,3,))*$E459)</f>
        <v>0</v>
      </c>
      <c r="U459" s="103">
        <f>IF(VLOOKUP($D459,$C$5:$AU$520,3,)=0,0,(VLOOKUP($D459,$C$5:$AU$520,19,)/VLOOKUP($D459,$C$5:$AU$520,3,))*$E459)</f>
        <v>0</v>
      </c>
      <c r="V459" s="103">
        <f>IF(VLOOKUP($D459,$C$5:$AU$520,3,)=0,0,(VLOOKUP($D459,$C$5:$AU$520,20,)/VLOOKUP($D459,$C$5:$AU$520,3,))*$E459)</f>
        <v>0</v>
      </c>
      <c r="W459" s="103">
        <f>IF(VLOOKUP($D459,$C$5:$AU$520,3,)=0,0,(VLOOKUP($D459,$C$5:$AU$520,21,)/VLOOKUP($D459,$C$5:$AU$520,3,))*$E459)</f>
        <v>0</v>
      </c>
      <c r="X459" s="103">
        <f>IF(VLOOKUP($D459,$C$5:$AU$520,3,)=0,0,(VLOOKUP($D459,$C$5:$AU$520,22,)/VLOOKUP($D459,$C$5:$AU$520,3,))*$E459)</f>
        <v>0</v>
      </c>
      <c r="Y459" s="103">
        <f>IF(VLOOKUP($D459,$C$5:$AU$520,3,)=0,0,(VLOOKUP($D459,$C$5:$AU$520,23,)/VLOOKUP($D459,$C$5:$AU$520,3,))*$E459)</f>
        <v>0</v>
      </c>
      <c r="Z459" s="103">
        <f>IF(VLOOKUP($D459,$C$5:$AU$520,3,)=0,0,(VLOOKUP($D459,$C$5:$AU$520,24,)/VLOOKUP($D459,$C$5:$AU$520,3,))*$E459)</f>
        <v>0</v>
      </c>
      <c r="AA459" s="103">
        <f>IF(VLOOKUP($D459,$C$5:$AU$520,3,)=0,0,(VLOOKUP($D459,$C$5:$AU$520,25,)/VLOOKUP($D459,$C$5:$AU$520,3,))*$E459)</f>
        <v>0</v>
      </c>
      <c r="AB459" s="103">
        <f>IF(VLOOKUP($D459,$C$5:$AU$520,3,)=0,0,(VLOOKUP($D459,$C$5:$AU$520,26,)/VLOOKUP($D459,$C$5:$AU$520,3,))*$E459)</f>
        <v>0</v>
      </c>
      <c r="AC459" s="103">
        <f>IF(VLOOKUP($D459,$C$5:$AU$520,3,)=0,0,(VLOOKUP($D459,$C$5:$AU$520,27,)/VLOOKUP($D459,$C$5:$AU$520,3,))*$E459)</f>
        <v>0</v>
      </c>
      <c r="AD459" s="103">
        <f>IF(VLOOKUP($D459,$C$5:$AU$520,3,)=0,0,(VLOOKUP($D459,$C$5:$AU$520,28,)/VLOOKUP($D459,$C$5:$AU$520,3,))*$E459)</f>
        <v>0</v>
      </c>
      <c r="AE459" s="103">
        <f>IF(VLOOKUP($D459,$C$5:$AU$520,3,)=0,0,(VLOOKUP($D459,$C$5:$AU$520,29,)/VLOOKUP($D459,$C$5:$AU$520,3,))*$E459)</f>
        <v>0</v>
      </c>
      <c r="AF459" s="103">
        <f>IF(VLOOKUP($D459,$C$5:$AU$520,3,)=0,0,(VLOOKUP($D459,$C$5:$AU$520,30,)/VLOOKUP($D459,$C$5:$AU$520,3,))*$E459)</f>
        <v>0</v>
      </c>
      <c r="AG459" s="103">
        <f>SUM(F459:AF459)</f>
        <v>1.0000000000000002</v>
      </c>
      <c r="AH459" s="31" t="str">
        <f t="shared" si="174"/>
        <v>ok</v>
      </c>
    </row>
    <row r="461" spans="1:34" x14ac:dyDescent="0.2">
      <c r="A461" s="14" t="s">
        <v>602</v>
      </c>
      <c r="C461" s="14" t="s">
        <v>627</v>
      </c>
      <c r="E461" s="50">
        <f>E454</f>
        <v>5334777.6318499101</v>
      </c>
      <c r="F461" s="48">
        <f>F454</f>
        <v>4394897.2592557035</v>
      </c>
      <c r="G461" s="50">
        <f t="shared" ref="G461:Q461" si="176">G454</f>
        <v>0</v>
      </c>
      <c r="H461" s="50">
        <f t="shared" si="176"/>
        <v>98627.12</v>
      </c>
      <c r="I461" s="50">
        <f t="shared" si="176"/>
        <v>0</v>
      </c>
      <c r="J461" s="50">
        <f t="shared" si="176"/>
        <v>232886</v>
      </c>
      <c r="K461" s="50">
        <f t="shared" si="176"/>
        <v>163790</v>
      </c>
      <c r="L461" s="50">
        <f t="shared" si="176"/>
        <v>128782</v>
      </c>
      <c r="M461" s="50">
        <f t="shared" si="176"/>
        <v>207408.08811230585</v>
      </c>
      <c r="N461" s="50">
        <f t="shared" si="176"/>
        <v>59192.855194906377</v>
      </c>
      <c r="O461" s="50">
        <f t="shared" si="176"/>
        <v>49194.309286994358</v>
      </c>
      <c r="P461" s="50">
        <f t="shared" si="176"/>
        <v>0</v>
      </c>
      <c r="Q461" s="50">
        <f t="shared" si="176"/>
        <v>0</v>
      </c>
      <c r="R461" s="50">
        <f>R454</f>
        <v>0</v>
      </c>
      <c r="S461" s="50">
        <f>S454</f>
        <v>0</v>
      </c>
      <c r="T461" s="50">
        <f>T454</f>
        <v>0</v>
      </c>
      <c r="U461" s="50">
        <f t="shared" ref="U461:AF461" si="177">U454</f>
        <v>0</v>
      </c>
      <c r="V461" s="50">
        <f t="shared" si="177"/>
        <v>0</v>
      </c>
      <c r="W461" s="50">
        <f t="shared" si="177"/>
        <v>0</v>
      </c>
      <c r="X461" s="50">
        <f t="shared" si="177"/>
        <v>0</v>
      </c>
      <c r="Y461" s="50">
        <f t="shared" si="177"/>
        <v>0</v>
      </c>
      <c r="Z461" s="50">
        <f t="shared" si="177"/>
        <v>0</v>
      </c>
      <c r="AA461" s="50">
        <f t="shared" si="177"/>
        <v>0</v>
      </c>
      <c r="AB461" s="50">
        <f t="shared" si="177"/>
        <v>0</v>
      </c>
      <c r="AC461" s="50">
        <f t="shared" si="177"/>
        <v>0</v>
      </c>
      <c r="AD461" s="50">
        <f t="shared" si="177"/>
        <v>0</v>
      </c>
      <c r="AE461" s="50">
        <f t="shared" si="177"/>
        <v>0</v>
      </c>
      <c r="AF461" s="50">
        <f t="shared" si="177"/>
        <v>0</v>
      </c>
      <c r="AG461" s="50">
        <f>SUM(F461:AF461)</f>
        <v>5334777.6318499101</v>
      </c>
      <c r="AH461" s="31" t="str">
        <f t="shared" ref="AH461:AH466" si="178">IF(ABS(E461-AG461)&lt;0.01,"ok","err")</f>
        <v>ok</v>
      </c>
    </row>
    <row r="462" spans="1:34" x14ac:dyDescent="0.2">
      <c r="A462" s="14" t="s">
        <v>603</v>
      </c>
      <c r="E462" s="95">
        <f>E455</f>
        <v>126243859.87349135</v>
      </c>
      <c r="AG462" s="95">
        <f>E462</f>
        <v>126243859.87349135</v>
      </c>
      <c r="AH462" s="31" t="str">
        <f t="shared" si="178"/>
        <v>ok</v>
      </c>
    </row>
    <row r="463" spans="1:34" x14ac:dyDescent="0.2">
      <c r="A463" s="14" t="s">
        <v>594</v>
      </c>
      <c r="E463" s="66"/>
      <c r="M463" s="50">
        <v>0</v>
      </c>
      <c r="N463" s="50">
        <v>0</v>
      </c>
      <c r="P463" s="50"/>
      <c r="Q463" s="124"/>
      <c r="R463" s="14">
        <v>0</v>
      </c>
      <c r="S463" s="14">
        <v>0</v>
      </c>
      <c r="AA463" s="66">
        <v>0</v>
      </c>
      <c r="AB463" s="66">
        <v>0</v>
      </c>
      <c r="AC463" s="66">
        <v>0</v>
      </c>
      <c r="AD463" s="95">
        <f>AD456</f>
        <v>0</v>
      </c>
      <c r="AE463" s="66">
        <v>0</v>
      </c>
      <c r="AG463" s="95">
        <f>SUM(F463:AF463)</f>
        <v>0</v>
      </c>
      <c r="AH463" s="31" t="str">
        <f t="shared" si="178"/>
        <v>ok</v>
      </c>
    </row>
    <row r="464" spans="1:34" x14ac:dyDescent="0.2">
      <c r="A464" s="14" t="s">
        <v>604</v>
      </c>
      <c r="D464" s="14" t="s">
        <v>627</v>
      </c>
      <c r="E464" s="95">
        <f>E462-E463</f>
        <v>126243859.87349135</v>
      </c>
      <c r="F464" s="110">
        <f>IF(VLOOKUP($D464,$C$5:$AU$520,3,)=0,0,(VLOOKUP($D464,$C$5:$AU$520,4,)/VLOOKUP($D464,$C$5:$AU$520,3,))*$E464)</f>
        <v>104002234.40306236</v>
      </c>
      <c r="G464" s="66">
        <f>IF(VLOOKUP($D464,$C$5:$AU$520,3,)=0,0,(VLOOKUP($D464,$C$5:$AU$520,5,)/VLOOKUP($D464,$C$5:$AU$520,3,))*$E464)</f>
        <v>0</v>
      </c>
      <c r="H464" s="66">
        <f>IF(VLOOKUP($D464,$C$5:$AU$520,3,)=0,0,(VLOOKUP($D464,$C$5:$AU$520,6,)/VLOOKUP($D464,$C$5:$AU$520,3,))*$E464)</f>
        <v>2333943.2636648496</v>
      </c>
      <c r="I464" s="66">
        <f>IF(VLOOKUP($D464,$C$5:$AU$520,3,)=0,0,(VLOOKUP($D464,$C$5:$AU$520,7,)/VLOOKUP($D464,$C$5:$AU$520,3,))*$E464)</f>
        <v>0</v>
      </c>
      <c r="J464" s="66">
        <f>IF(VLOOKUP($D464,$C$5:$AU$520,3,)=0,0,(VLOOKUP($D464,$C$5:$AU$520,8,)/VLOOKUP($D464,$C$5:$AU$520,3,))*$E464)</f>
        <v>5511087.7302495716</v>
      </c>
      <c r="K464" s="66">
        <f>IF(VLOOKUP($D464,$C$5:$AU$520,3,)=0,0,(VLOOKUP($D464,$C$5:$AU$520,9,)/VLOOKUP($D464,$C$5:$AU$520,3,))*$E464)</f>
        <v>3875978.2010836946</v>
      </c>
      <c r="L464" s="66">
        <f>IF(VLOOKUP($D464,$C$5:$AU$520,3,)=0,0,(VLOOKUP($D464,$C$5:$AU$520,10,)/VLOOKUP($D464,$C$5:$AU$520,3,))*$E464)</f>
        <v>3047537.8514681016</v>
      </c>
      <c r="M464" s="66">
        <f>IF(VLOOKUP($D464,$C$5:$AU$520,3,)=0,0,(VLOOKUP($D464,$C$5:$AU$520,11,)/VLOOKUP($D464,$C$5:$AU$520,3,))*$E464)</f>
        <v>4908170.3904496226</v>
      </c>
      <c r="N464" s="66">
        <f>IF(VLOOKUP($D464,$C$5:$AU$520,3,)=0,0,(VLOOKUP($D464,$C$5:$AU$520,12,)/VLOOKUP($D464,$C$5:$AU$520,3,))*$E464)</f>
        <v>1400758.3881516627</v>
      </c>
      <c r="O464" s="66">
        <f>IF(VLOOKUP($D464,$C$5:$AU$520,3,)=0,0,(VLOOKUP($D464,$C$5:$AU$520,13,)/VLOOKUP($D464,$C$5:$AU$520,3,))*$E464)</f>
        <v>1164149.6453614952</v>
      </c>
      <c r="P464" s="66">
        <f>IF(VLOOKUP($D464,$C$5:$AU$520,3,)=0,0,(VLOOKUP($D464,$C$5:$AU$520,14,)/VLOOKUP($D464,$C$5:$AU$520,3,))*$E464)</f>
        <v>0</v>
      </c>
      <c r="Q464" s="66">
        <f>IF(VLOOKUP($D464,$C$5:$AU$520,3,)=0,0,(VLOOKUP($D464,$C$5:$AU$520,15,)/VLOOKUP($D464,$C$5:$AU$520,3,))*$E464)</f>
        <v>0</v>
      </c>
      <c r="R464" s="66">
        <f>IF(VLOOKUP($D464,$C$5:$AU$520,3,)=0,0,(VLOOKUP($D464,$C$5:$AU$520,16,)/VLOOKUP($D464,$C$5:$AU$520,3,))*$E464)</f>
        <v>0</v>
      </c>
      <c r="S464" s="66">
        <f>IF(VLOOKUP($D464,$C$5:$AU$520,3,)=0,0,(VLOOKUP($D464,$C$5:$AU$520,17,)/VLOOKUP($D464,$C$5:$AU$520,3,))*$E464)</f>
        <v>0</v>
      </c>
      <c r="T464" s="66">
        <f>IF(VLOOKUP($D464,$C$5:$AU$520,3,)=0,0,(VLOOKUP($D464,$C$5:$AU$520,18,)/VLOOKUP($D464,$C$5:$AU$520,3,))*$E464)</f>
        <v>0</v>
      </c>
      <c r="U464" s="66">
        <f>IF(VLOOKUP($D464,$C$5:$AU$520,3,)=0,0,(VLOOKUP($D464,$C$5:$AU$520,19,)/VLOOKUP($D464,$C$5:$AU$520,3,))*$E464)</f>
        <v>0</v>
      </c>
      <c r="V464" s="66">
        <f>IF(VLOOKUP($D464,$C$5:$AU$520,3,)=0,0,(VLOOKUP($D464,$C$5:$AU$520,20,)/VLOOKUP($D464,$C$5:$AU$520,3,))*$E464)</f>
        <v>0</v>
      </c>
      <c r="W464" s="66">
        <f>IF(VLOOKUP($D464,$C$5:$AU$520,3,)=0,0,(VLOOKUP($D464,$C$5:$AU$520,21,)/VLOOKUP($D464,$C$5:$AU$520,3,))*$E464)</f>
        <v>0</v>
      </c>
      <c r="X464" s="66">
        <f>IF(VLOOKUP($D464,$C$5:$AU$520,3,)=0,0,(VLOOKUP($D464,$C$5:$AU$520,22,)/VLOOKUP($D464,$C$5:$AU$520,3,))*$E464)</f>
        <v>0</v>
      </c>
      <c r="Y464" s="66">
        <f>IF(VLOOKUP($D464,$C$5:$AU$520,3,)=0,0,(VLOOKUP($D464,$C$5:$AU$520,23,)/VLOOKUP($D464,$C$5:$AU$520,3,))*$E464)</f>
        <v>0</v>
      </c>
      <c r="Z464" s="66">
        <f>IF(VLOOKUP($D464,$C$5:$AU$520,3,)=0,0,(VLOOKUP($D464,$C$5:$AU$520,24,)/VLOOKUP($D464,$C$5:$AU$520,3,))*$E464)</f>
        <v>0</v>
      </c>
      <c r="AA464" s="66">
        <f>IF(VLOOKUP($D464,$C$5:$AU$520,3,)=0,0,(VLOOKUP($D464,$C$5:$AU$520,25,)/VLOOKUP($D464,$C$5:$AU$520,3,))*$E464)</f>
        <v>0</v>
      </c>
      <c r="AB464" s="66">
        <f>IF(VLOOKUP($D464,$C$5:$AU$520,3,)=0,0,(VLOOKUP($D464,$C$5:$AU$520,26,)/VLOOKUP($D464,$C$5:$AU$520,3,))*$E464)</f>
        <v>0</v>
      </c>
      <c r="AC464" s="66">
        <f>IF(VLOOKUP($D464,$C$5:$AU$520,3,)=0,0,(VLOOKUP($D464,$C$5:$AU$520,27,)/VLOOKUP($D464,$C$5:$AU$520,3,))*$E464)</f>
        <v>0</v>
      </c>
      <c r="AD464" s="66">
        <f>IF(VLOOKUP($D464,$C$5:$AU$520,3,)=0,0,(VLOOKUP($D464,$C$5:$AU$520,28,)/VLOOKUP($D464,$C$5:$AU$520,3,))*$E464)</f>
        <v>0</v>
      </c>
      <c r="AE464" s="66">
        <f>IF(VLOOKUP($D464,$C$5:$AU$520,3,)=0,0,(VLOOKUP($D464,$C$5:$AU$520,29,)/VLOOKUP($D464,$C$5:$AU$520,3,))*$E464)</f>
        <v>0</v>
      </c>
      <c r="AF464" s="66">
        <f>IF(VLOOKUP($D464,$C$5:$AU$520,3,)=0,0,(VLOOKUP($D464,$C$5:$AU$520,30,)/VLOOKUP($D464,$C$5:$AU$520,3,))*$E464)</f>
        <v>0</v>
      </c>
      <c r="AG464" s="95">
        <f>SUM(F464:AF464)</f>
        <v>126243859.87349136</v>
      </c>
      <c r="AH464" s="31" t="str">
        <f t="shared" si="178"/>
        <v>ok</v>
      </c>
    </row>
    <row r="465" spans="1:34" x14ac:dyDescent="0.2">
      <c r="A465" s="14" t="s">
        <v>605</v>
      </c>
      <c r="C465" s="14" t="s">
        <v>628</v>
      </c>
      <c r="E465" s="95">
        <f t="shared" ref="E465:AF465" si="179">E463+E464</f>
        <v>126243859.87349135</v>
      </c>
      <c r="F465" s="111">
        <f t="shared" si="179"/>
        <v>104002234.40306236</v>
      </c>
      <c r="G465" s="95">
        <f t="shared" si="179"/>
        <v>0</v>
      </c>
      <c r="H465" s="95">
        <f t="shared" si="179"/>
        <v>2333943.2636648496</v>
      </c>
      <c r="I465" s="95">
        <f t="shared" si="179"/>
        <v>0</v>
      </c>
      <c r="J465" s="95">
        <f t="shared" si="179"/>
        <v>5511087.7302495716</v>
      </c>
      <c r="K465" s="95">
        <f t="shared" si="179"/>
        <v>3875978.2010836946</v>
      </c>
      <c r="L465" s="95">
        <f t="shared" si="179"/>
        <v>3047537.8514681016</v>
      </c>
      <c r="M465" s="95">
        <f t="shared" si="179"/>
        <v>4908170.3904496226</v>
      </c>
      <c r="N465" s="95">
        <f t="shared" si="179"/>
        <v>1400758.3881516627</v>
      </c>
      <c r="O465" s="95">
        <f t="shared" si="179"/>
        <v>1164149.6453614952</v>
      </c>
      <c r="P465" s="95">
        <f t="shared" si="179"/>
        <v>0</v>
      </c>
      <c r="Q465" s="95">
        <f t="shared" si="179"/>
        <v>0</v>
      </c>
      <c r="R465" s="95">
        <f t="shared" si="179"/>
        <v>0</v>
      </c>
      <c r="S465" s="95">
        <f t="shared" si="179"/>
        <v>0</v>
      </c>
      <c r="T465" s="95">
        <f t="shared" si="179"/>
        <v>0</v>
      </c>
      <c r="U465" s="95">
        <f t="shared" si="179"/>
        <v>0</v>
      </c>
      <c r="V465" s="95">
        <f t="shared" si="179"/>
        <v>0</v>
      </c>
      <c r="W465" s="95">
        <f t="shared" si="179"/>
        <v>0</v>
      </c>
      <c r="X465" s="95">
        <f t="shared" si="179"/>
        <v>0</v>
      </c>
      <c r="Y465" s="95">
        <f t="shared" si="179"/>
        <v>0</v>
      </c>
      <c r="Z465" s="95">
        <f t="shared" si="179"/>
        <v>0</v>
      </c>
      <c r="AA465" s="95">
        <f t="shared" si="179"/>
        <v>0</v>
      </c>
      <c r="AB465" s="95">
        <f t="shared" si="179"/>
        <v>0</v>
      </c>
      <c r="AC465" s="95">
        <f t="shared" si="179"/>
        <v>0</v>
      </c>
      <c r="AD465" s="95">
        <f t="shared" si="179"/>
        <v>0</v>
      </c>
      <c r="AE465" s="95">
        <f t="shared" si="179"/>
        <v>0</v>
      </c>
      <c r="AF465" s="95">
        <f t="shared" si="179"/>
        <v>0</v>
      </c>
      <c r="AG465" s="95">
        <f>SUM(F465:AF465)</f>
        <v>126243859.87349136</v>
      </c>
      <c r="AH465" s="31" t="str">
        <f t="shared" si="178"/>
        <v>ok</v>
      </c>
    </row>
    <row r="466" spans="1:34" x14ac:dyDescent="0.2">
      <c r="A466" s="14" t="s">
        <v>634</v>
      </c>
      <c r="C466" s="14" t="s">
        <v>629</v>
      </c>
      <c r="D466" s="14" t="s">
        <v>628</v>
      </c>
      <c r="E466" s="49">
        <v>1</v>
      </c>
      <c r="F466" s="103">
        <f>IF(VLOOKUP($D466,$C$5:$AU$520,3,)=0,0,(VLOOKUP($D466,$C$5:$AU$520,4,)/VLOOKUP($D466,$C$5:$AU$520,3,))*$E466)</f>
        <v>0.82382014069660681</v>
      </c>
      <c r="G466" s="103">
        <f>IF(VLOOKUP($D466,$C$5:$AU$520,3,)=0,0,(VLOOKUP($D466,$C$5:$AU$520,5,)/VLOOKUP($D466,$C$5:$AU$520,3,))*$E466)</f>
        <v>0</v>
      </c>
      <c r="H466" s="103">
        <f>IF(VLOOKUP($D466,$C$5:$AU$520,3,)=0,0,(VLOOKUP($D466,$C$5:$AU$520,6,)/VLOOKUP($D466,$C$5:$AU$520,3,))*$E466)</f>
        <v>1.8487578453349637E-2</v>
      </c>
      <c r="I466" s="103">
        <f>IF(VLOOKUP($D466,$C$5:$AU$520,3,)=0,0,(VLOOKUP($D466,$C$5:$AU$520,7,)/VLOOKUP($D466,$C$5:$AU$520,3,))*$E466)</f>
        <v>0</v>
      </c>
      <c r="J466" s="103">
        <f>IF(VLOOKUP($D466,$C$5:$AU$520,3,)=0,0,(VLOOKUP($D466,$C$5:$AU$520,8,)/VLOOKUP($D466,$C$5:$AU$520,3,))*$E466)</f>
        <v>4.3654303154008589E-2</v>
      </c>
      <c r="K466" s="103">
        <f>IF(VLOOKUP($D466,$C$5:$AU$520,3,)=0,0,(VLOOKUP($D466,$C$5:$AU$520,9,)/VLOOKUP($D466,$C$5:$AU$520,3,))*$E466)</f>
        <v>3.07023106309313E-2</v>
      </c>
      <c r="L466" s="103">
        <f>IF(VLOOKUP($D466,$C$5:$AU$520,3,)=0,0,(VLOOKUP($D466,$C$5:$AU$520,10,)/VLOOKUP($D466,$C$5:$AU$520,3,))*$E466)</f>
        <v>2.4140087720084222E-2</v>
      </c>
      <c r="M466" s="103">
        <f>IF(VLOOKUP($D466,$C$5:$AU$520,3,)=0,0,(VLOOKUP($D466,$C$5:$AU$520,11,)/VLOOKUP($D466,$C$5:$AU$520,3,))*$E466)</f>
        <v>3.8878487994331669E-2</v>
      </c>
      <c r="N466" s="103">
        <f>IF(VLOOKUP($D466,$C$5:$AU$520,3,)=0,0,(VLOOKUP($D466,$C$5:$AU$520,12,)/VLOOKUP($D466,$C$5:$AU$520,3,))*$E466)</f>
        <v>1.1095655579252402E-2</v>
      </c>
      <c r="O466" s="103">
        <f>IF(VLOOKUP($D466,$C$5:$AU$520,3,)=0,0,(VLOOKUP($D466,$C$5:$AU$520,13,)/VLOOKUP($D466,$C$5:$AU$520,3,))*$E466)</f>
        <v>9.2214357714354312E-3</v>
      </c>
      <c r="P466" s="103">
        <f>IF(VLOOKUP($D466,$C$5:$AU$520,3,)=0,0,(VLOOKUP($D466,$C$5:$AU$520,14,)/VLOOKUP($D466,$C$5:$AU$520,3,))*$E466)</f>
        <v>0</v>
      </c>
      <c r="Q466" s="103">
        <f>IF(VLOOKUP($D466,$C$5:$AU$520,3,)=0,0,(VLOOKUP($D466,$C$5:$AU$520,15,)/VLOOKUP($D466,$C$5:$AU$520,3,))*$E466)</f>
        <v>0</v>
      </c>
      <c r="R466" s="103">
        <f>IF(VLOOKUP($D466,$C$5:$AU$520,3,)=0,0,(VLOOKUP($D466,$C$5:$AU$520,16,)/VLOOKUP($D466,$C$5:$AU$520,3,))*$E466)</f>
        <v>0</v>
      </c>
      <c r="S466" s="103">
        <f>IF(VLOOKUP($D466,$C$5:$AU$520,3,)=0,0,(VLOOKUP($D466,$C$5:$AU$520,17,)/VLOOKUP($D466,$C$5:$AU$520,3,))*$E466)</f>
        <v>0</v>
      </c>
      <c r="T466" s="103">
        <f>IF(VLOOKUP($D466,$C$5:$AU$520,3,)=0,0,(VLOOKUP($D466,$C$5:$AU$520,18,)/VLOOKUP($D466,$C$5:$AU$520,3,))*$E466)</f>
        <v>0</v>
      </c>
      <c r="U466" s="103">
        <f>IF(VLOOKUP($D466,$C$5:$AU$520,3,)=0,0,(VLOOKUP($D466,$C$5:$AU$520,19,)/VLOOKUP($D466,$C$5:$AU$520,3,))*$E466)</f>
        <v>0</v>
      </c>
      <c r="V466" s="103">
        <f>IF(VLOOKUP($D466,$C$5:$AU$520,3,)=0,0,(VLOOKUP($D466,$C$5:$AU$520,20,)/VLOOKUP($D466,$C$5:$AU$520,3,))*$E466)</f>
        <v>0</v>
      </c>
      <c r="W466" s="103">
        <f>IF(VLOOKUP($D466,$C$5:$AU$520,3,)=0,0,(VLOOKUP($D466,$C$5:$AU$520,21,)/VLOOKUP($D466,$C$5:$AU$520,3,))*$E466)</f>
        <v>0</v>
      </c>
      <c r="X466" s="103">
        <f>IF(VLOOKUP($D466,$C$5:$AU$520,3,)=0,0,(VLOOKUP($D466,$C$5:$AU$520,22,)/VLOOKUP($D466,$C$5:$AU$520,3,))*$E466)</f>
        <v>0</v>
      </c>
      <c r="Y466" s="103">
        <f>IF(VLOOKUP($D466,$C$5:$AU$520,3,)=0,0,(VLOOKUP($D466,$C$5:$AU$520,23,)/VLOOKUP($D466,$C$5:$AU$520,3,))*$E466)</f>
        <v>0</v>
      </c>
      <c r="Z466" s="103">
        <f>IF(VLOOKUP($D466,$C$5:$AU$520,3,)=0,0,(VLOOKUP($D466,$C$5:$AU$520,24,)/VLOOKUP($D466,$C$5:$AU$520,3,))*$E466)</f>
        <v>0</v>
      </c>
      <c r="AA466" s="103">
        <f>IF(VLOOKUP($D466,$C$5:$AU$520,3,)=0,0,(VLOOKUP($D466,$C$5:$AU$520,25,)/VLOOKUP($D466,$C$5:$AU$520,3,))*$E466)</f>
        <v>0</v>
      </c>
      <c r="AB466" s="103">
        <f>IF(VLOOKUP($D466,$C$5:$AU$520,3,)=0,0,(VLOOKUP($D466,$C$5:$AU$520,26,)/VLOOKUP($D466,$C$5:$AU$520,3,))*$E466)</f>
        <v>0</v>
      </c>
      <c r="AC466" s="103">
        <f>IF(VLOOKUP($D466,$C$5:$AU$520,3,)=0,0,(VLOOKUP($D466,$C$5:$AU$520,27,)/VLOOKUP($D466,$C$5:$AU$520,3,))*$E466)</f>
        <v>0</v>
      </c>
      <c r="AD466" s="103">
        <f>IF(VLOOKUP($D466,$C$5:$AU$520,3,)=0,0,(VLOOKUP($D466,$C$5:$AU$520,28,)/VLOOKUP($D466,$C$5:$AU$520,3,))*$E466)</f>
        <v>0</v>
      </c>
      <c r="AE466" s="103">
        <f>IF(VLOOKUP($D466,$C$5:$AU$520,3,)=0,0,(VLOOKUP($D466,$C$5:$AU$520,29,)/VLOOKUP($D466,$C$5:$AU$520,3,))*$E466)</f>
        <v>0</v>
      </c>
      <c r="AF466" s="103">
        <f>IF(VLOOKUP($D466,$C$5:$AU$520,3,)=0,0,(VLOOKUP($D466,$C$5:$AU$520,30,)/VLOOKUP($D466,$C$5:$AU$520,3,))*$E466)</f>
        <v>0</v>
      </c>
      <c r="AG466" s="103">
        <f>SUM(F466:AF466)</f>
        <v>1.0000000000000002</v>
      </c>
      <c r="AH466" s="31" t="str">
        <f t="shared" si="178"/>
        <v>ok</v>
      </c>
    </row>
    <row r="468" spans="1:34" x14ac:dyDescent="0.2">
      <c r="A468" s="14" t="s">
        <v>609</v>
      </c>
      <c r="C468" s="14" t="s">
        <v>613</v>
      </c>
      <c r="E468" s="50">
        <f>E447</f>
        <v>2244457.0735590635</v>
      </c>
      <c r="F468" s="50">
        <f t="shared" ref="F468:S468" si="180">F447</f>
        <v>1675231.7412679305</v>
      </c>
      <c r="G468" s="50">
        <f t="shared" si="180"/>
        <v>0</v>
      </c>
      <c r="H468" s="50">
        <f t="shared" si="180"/>
        <v>108578.82280679299</v>
      </c>
      <c r="I468" s="50">
        <f t="shared" si="180"/>
        <v>0</v>
      </c>
      <c r="J468" s="50">
        <f t="shared" si="180"/>
        <v>136980.19636883429</v>
      </c>
      <c r="K468" s="50">
        <f t="shared" si="180"/>
        <v>178768.13568015018</v>
      </c>
      <c r="L468" s="50">
        <f t="shared" si="180"/>
        <v>115728.21413210446</v>
      </c>
      <c r="M468" s="50">
        <f t="shared" si="180"/>
        <v>15555.606608422941</v>
      </c>
      <c r="N468" s="50">
        <f t="shared" si="180"/>
        <v>13614.356694828472</v>
      </c>
      <c r="O468" s="50">
        <f t="shared" si="180"/>
        <v>0</v>
      </c>
      <c r="P468" s="50">
        <f t="shared" si="180"/>
        <v>0</v>
      </c>
      <c r="Q468" s="50">
        <f t="shared" si="180"/>
        <v>0</v>
      </c>
      <c r="R468" s="50">
        <f t="shared" si="180"/>
        <v>0</v>
      </c>
      <c r="S468" s="50">
        <f t="shared" si="180"/>
        <v>0</v>
      </c>
      <c r="T468" s="50">
        <f t="shared" ref="T468:AC468" si="181">T435</f>
        <v>0</v>
      </c>
      <c r="U468" s="50">
        <f t="shared" si="181"/>
        <v>0</v>
      </c>
      <c r="V468" s="50">
        <f t="shared" si="181"/>
        <v>0</v>
      </c>
      <c r="W468" s="50">
        <f t="shared" si="181"/>
        <v>0</v>
      </c>
      <c r="X468" s="50">
        <f t="shared" si="181"/>
        <v>0</v>
      </c>
      <c r="Y468" s="50">
        <f t="shared" si="181"/>
        <v>0</v>
      </c>
      <c r="Z468" s="50">
        <f t="shared" si="181"/>
        <v>0</v>
      </c>
      <c r="AA468" s="50">
        <f t="shared" si="181"/>
        <v>0</v>
      </c>
      <c r="AB468" s="50">
        <f t="shared" si="181"/>
        <v>0</v>
      </c>
      <c r="AC468" s="50">
        <f t="shared" si="181"/>
        <v>0</v>
      </c>
      <c r="AD468" s="50">
        <v>0</v>
      </c>
      <c r="AE468" s="50">
        <v>0</v>
      </c>
      <c r="AF468" s="50">
        <f>AF435</f>
        <v>0</v>
      </c>
      <c r="AG468" s="95">
        <f>SUM(F468:AF468)</f>
        <v>2244457.0735590635</v>
      </c>
      <c r="AH468" s="31" t="str">
        <f t="shared" ref="AH468:AH473" si="182">IF(ABS(E468-AG468)&lt;0.01,"ok","err")</f>
        <v>ok</v>
      </c>
    </row>
    <row r="469" spans="1:34" x14ac:dyDescent="0.2">
      <c r="A469" s="14" t="s">
        <v>610</v>
      </c>
      <c r="E469" s="95">
        <f>'Func &amp; Classif'!M56</f>
        <v>2103107</v>
      </c>
      <c r="AG469" s="95">
        <f>E469</f>
        <v>2103107</v>
      </c>
      <c r="AH469" s="31" t="str">
        <f t="shared" si="182"/>
        <v>ok</v>
      </c>
    </row>
    <row r="470" spans="1:34" x14ac:dyDescent="0.2">
      <c r="A470" s="14" t="s">
        <v>594</v>
      </c>
      <c r="E470" s="50"/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66"/>
      <c r="P470" s="50"/>
      <c r="Q470" s="14">
        <v>0</v>
      </c>
      <c r="R470" s="14">
        <v>0</v>
      </c>
      <c r="S470" s="14">
        <v>0</v>
      </c>
      <c r="AG470" s="95">
        <f>SUM(F470:AF470)</f>
        <v>0</v>
      </c>
      <c r="AH470" s="31" t="str">
        <f t="shared" si="182"/>
        <v>ok</v>
      </c>
    </row>
    <row r="471" spans="1:34" x14ac:dyDescent="0.2">
      <c r="A471" s="14" t="s">
        <v>611</v>
      </c>
      <c r="D471" s="14" t="s">
        <v>613</v>
      </c>
      <c r="E471" s="95">
        <f>E469-E470</f>
        <v>2103107</v>
      </c>
      <c r="F471" s="66">
        <f>IF(VLOOKUP($D471,$C$5:$AU$520,3,)=0,0,(VLOOKUP($D471,$C$5:$AU$520,4,)/VLOOKUP($D471,$C$5:$AU$520,3,))*$E471)</f>
        <v>1569729.9998239684</v>
      </c>
      <c r="G471" s="66">
        <f>IF(VLOOKUP($D471,$C$5:$AU$520,3,)=0,0,(VLOOKUP($D471,$C$5:$AU$520,5,)/VLOOKUP($D471,$C$5:$AU$520,3,))*$E471)</f>
        <v>0</v>
      </c>
      <c r="H471" s="66">
        <f>IF(VLOOKUP($D471,$C$5:$AU$520,3,)=0,0,(VLOOKUP($D471,$C$5:$AU$520,6,)/VLOOKUP($D471,$C$5:$AU$520,3,))*$E471)</f>
        <v>101740.81072293532</v>
      </c>
      <c r="I471" s="66">
        <f>IF(VLOOKUP($D471,$C$5:$AU$520,3,)=0,0,(VLOOKUP($D471,$C$5:$AU$520,7,)/VLOOKUP($D471,$C$5:$AU$520,3,))*$E471)</f>
        <v>0</v>
      </c>
      <c r="J471" s="66">
        <f>IF(VLOOKUP($D471,$C$5:$AU$520,3,)=0,0,(VLOOKUP($D471,$C$5:$AU$520,8,)/VLOOKUP($D471,$C$5:$AU$520,3,))*$E471)</f>
        <v>128353.53958801787</v>
      </c>
      <c r="K471" s="66">
        <f>IF(VLOOKUP($D471,$C$5:$AU$520,3,)=0,0,(VLOOKUP($D471,$C$5:$AU$520,9,)/VLOOKUP($D471,$C$5:$AU$520,3,))*$E471)</f>
        <v>167509.78308072325</v>
      </c>
      <c r="L471" s="66">
        <f>IF(VLOOKUP($D471,$C$5:$AU$520,3,)=0,0,(VLOOKUP($D471,$C$5:$AU$520,10,)/VLOOKUP($D471,$C$5:$AU$520,3,))*$E471)</f>
        <v>108439.95196253994</v>
      </c>
      <c r="M471" s="66">
        <f>IF(VLOOKUP($D471,$C$5:$AU$520,3,)=0,0,(VLOOKUP($D471,$C$5:$AU$520,11,)/VLOOKUP($D471,$C$5:$AU$520,3,))*$E471)</f>
        <v>14575.954930402744</v>
      </c>
      <c r="N471" s="66">
        <f>IF(VLOOKUP($D471,$C$5:$AU$520,3,)=0,0,(VLOOKUP($D471,$C$5:$AU$520,12,)/VLOOKUP($D471,$C$5:$AU$520,3,))*$E471)</f>
        <v>12756.959891412755</v>
      </c>
      <c r="O471" s="66">
        <f>IF(VLOOKUP($D471,$C$5:$AU$520,3,)=0,0,(VLOOKUP($D471,$C$5:$AU$520,13,)/VLOOKUP($D471,$C$5:$AU$520,3,))*$E471)</f>
        <v>0</v>
      </c>
      <c r="P471" s="66">
        <f>IF(VLOOKUP($D471,$C$5:$AU$520,3,)=0,0,(VLOOKUP($D471,$C$5:$AU$520,14,)/VLOOKUP($D471,$C$5:$AU$520,3,))*$E471)</f>
        <v>0</v>
      </c>
      <c r="Q471" s="66">
        <f>IF(VLOOKUP($D471,$C$5:$AU$520,3,)=0,0,(VLOOKUP($D471,$C$5:$AU$520,15,)/VLOOKUP($D471,$C$5:$AU$520,3,))*$E471)</f>
        <v>0</v>
      </c>
      <c r="R471" s="66">
        <f>IF(VLOOKUP($D471,$C$5:$AU$520,3,)=0,0,(VLOOKUP($D471,$C$5:$AU$520,16,)/VLOOKUP($D471,$C$5:$AU$520,3,))*$E471)</f>
        <v>0</v>
      </c>
      <c r="S471" s="66">
        <f>IF(VLOOKUP($D471,$C$5:$AU$520,3,)=0,0,(VLOOKUP($D471,$C$5:$AU$520,17,)/VLOOKUP($D471,$C$5:$AU$520,3,))*$E471)</f>
        <v>0</v>
      </c>
      <c r="T471" s="66">
        <f>IF(VLOOKUP($D471,$C$5:$AU$520,3,)=0,0,(VLOOKUP($D471,$C$5:$AU$520,18,)/VLOOKUP($D471,$C$5:$AU$520,3,))*$E471)</f>
        <v>0</v>
      </c>
      <c r="U471" s="66">
        <f>IF(VLOOKUP($D471,$C$5:$AU$520,3,)=0,0,(VLOOKUP($D471,$C$5:$AU$520,19,)/VLOOKUP($D471,$C$5:$AU$520,3,))*$E471)</f>
        <v>0</v>
      </c>
      <c r="V471" s="66">
        <f>IF(VLOOKUP($D471,$C$5:$AU$520,3,)=0,0,(VLOOKUP($D471,$C$5:$AU$520,20,)/VLOOKUP($D471,$C$5:$AU$520,3,))*$E471)</f>
        <v>0</v>
      </c>
      <c r="W471" s="66">
        <f>IF(VLOOKUP($D471,$C$5:$AU$520,3,)=0,0,(VLOOKUP($D471,$C$5:$AU$520,21,)/VLOOKUP($D471,$C$5:$AU$520,3,))*$E471)</f>
        <v>0</v>
      </c>
      <c r="X471" s="66">
        <f>IF(VLOOKUP($D471,$C$5:$AU$520,3,)=0,0,(VLOOKUP($D471,$C$5:$AU$520,22,)/VLOOKUP($D471,$C$5:$AU$520,3,))*$E471)</f>
        <v>0</v>
      </c>
      <c r="Y471" s="66">
        <f>IF(VLOOKUP($D471,$C$5:$AU$520,3,)=0,0,(VLOOKUP($D471,$C$5:$AU$520,23,)/VLOOKUP($D471,$C$5:$AU$520,3,))*$E471)</f>
        <v>0</v>
      </c>
      <c r="Z471" s="66">
        <f>IF(VLOOKUP($D471,$C$5:$AU$520,3,)=0,0,(VLOOKUP($D471,$C$5:$AU$520,24,)/VLOOKUP($D471,$C$5:$AU$520,3,))*$E471)</f>
        <v>0</v>
      </c>
      <c r="AA471" s="66">
        <f>IF(VLOOKUP($D471,$C$5:$AU$520,3,)=0,0,(VLOOKUP($D471,$C$5:$AU$520,25,)/VLOOKUP($D471,$C$5:$AU$520,3,))*$E471)</f>
        <v>0</v>
      </c>
      <c r="AB471" s="66">
        <f>IF(VLOOKUP($D471,$C$5:$AU$520,3,)=0,0,(VLOOKUP($D471,$C$5:$AU$520,26,)/VLOOKUP($D471,$C$5:$AU$520,3,))*$E471)</f>
        <v>0</v>
      </c>
      <c r="AC471" s="66">
        <f>IF(VLOOKUP($D471,$C$5:$AU$520,3,)=0,0,(VLOOKUP($D471,$C$5:$AU$520,27,)/VLOOKUP($D471,$C$5:$AU$520,3,))*$E471)</f>
        <v>0</v>
      </c>
      <c r="AD471" s="66">
        <f>IF(VLOOKUP($D471,$C$5:$AU$520,3,)=0,0,(VLOOKUP($D471,$C$5:$AU$520,28,)/VLOOKUP($D471,$C$5:$AU$520,3,))*$E471)</f>
        <v>0</v>
      </c>
      <c r="AE471" s="66">
        <f>IF(VLOOKUP($D471,$C$5:$AU$520,3,)=0,0,(VLOOKUP($D471,$C$5:$AU$520,29,)/VLOOKUP($D471,$C$5:$AU$520,3,))*$E471)</f>
        <v>0</v>
      </c>
      <c r="AF471" s="66">
        <f>IF(VLOOKUP($D471,$C$5:$AU$520,3,)=0,0,(VLOOKUP($D471,$C$5:$AU$520,30,)/VLOOKUP($D471,$C$5:$AU$520,3,))*$E471)</f>
        <v>0</v>
      </c>
      <c r="AG471" s="95">
        <f>SUM(F471:AF471)</f>
        <v>2103107.0000000005</v>
      </c>
      <c r="AH471" s="31" t="str">
        <f t="shared" si="182"/>
        <v>ok</v>
      </c>
    </row>
    <row r="472" spans="1:34" x14ac:dyDescent="0.2">
      <c r="A472" s="14" t="s">
        <v>612</v>
      </c>
      <c r="C472" s="14" t="s">
        <v>614</v>
      </c>
      <c r="E472" s="95">
        <f t="shared" ref="E472:AF472" si="183">E470+E471</f>
        <v>2103107</v>
      </c>
      <c r="F472" s="95">
        <f t="shared" si="183"/>
        <v>1569729.9998239684</v>
      </c>
      <c r="G472" s="95">
        <f t="shared" si="183"/>
        <v>0</v>
      </c>
      <c r="H472" s="95">
        <f t="shared" si="183"/>
        <v>101740.81072293532</v>
      </c>
      <c r="I472" s="95">
        <f t="shared" si="183"/>
        <v>0</v>
      </c>
      <c r="J472" s="95">
        <f t="shared" si="183"/>
        <v>128353.53958801787</v>
      </c>
      <c r="K472" s="95">
        <f t="shared" si="183"/>
        <v>167509.78308072325</v>
      </c>
      <c r="L472" s="95">
        <f t="shared" si="183"/>
        <v>108439.95196253994</v>
      </c>
      <c r="M472" s="95">
        <f t="shared" si="183"/>
        <v>14575.954930402744</v>
      </c>
      <c r="N472" s="95">
        <f t="shared" si="183"/>
        <v>12756.959891412755</v>
      </c>
      <c r="O472" s="95">
        <f t="shared" si="183"/>
        <v>0</v>
      </c>
      <c r="P472" s="95">
        <f t="shared" si="183"/>
        <v>0</v>
      </c>
      <c r="Q472" s="95">
        <f t="shared" si="183"/>
        <v>0</v>
      </c>
      <c r="R472" s="95">
        <f t="shared" si="183"/>
        <v>0</v>
      </c>
      <c r="S472" s="95">
        <f t="shared" si="183"/>
        <v>0</v>
      </c>
      <c r="T472" s="95">
        <f t="shared" si="183"/>
        <v>0</v>
      </c>
      <c r="U472" s="95">
        <f t="shared" si="183"/>
        <v>0</v>
      </c>
      <c r="V472" s="95">
        <f t="shared" si="183"/>
        <v>0</v>
      </c>
      <c r="W472" s="95">
        <f t="shared" si="183"/>
        <v>0</v>
      </c>
      <c r="X472" s="95">
        <f t="shared" si="183"/>
        <v>0</v>
      </c>
      <c r="Y472" s="95">
        <f t="shared" si="183"/>
        <v>0</v>
      </c>
      <c r="Z472" s="95">
        <f t="shared" si="183"/>
        <v>0</v>
      </c>
      <c r="AA472" s="95">
        <f t="shared" si="183"/>
        <v>0</v>
      </c>
      <c r="AB472" s="95">
        <f t="shared" si="183"/>
        <v>0</v>
      </c>
      <c r="AC472" s="95">
        <f t="shared" si="183"/>
        <v>0</v>
      </c>
      <c r="AD472" s="95">
        <f t="shared" si="183"/>
        <v>0</v>
      </c>
      <c r="AE472" s="95">
        <f t="shared" si="183"/>
        <v>0</v>
      </c>
      <c r="AF472" s="95">
        <f t="shared" si="183"/>
        <v>0</v>
      </c>
      <c r="AG472" s="95">
        <f>SUM(F472:AF472)</f>
        <v>2103107.0000000005</v>
      </c>
      <c r="AH472" s="31" t="str">
        <f t="shared" si="182"/>
        <v>ok</v>
      </c>
    </row>
    <row r="473" spans="1:34" x14ac:dyDescent="0.2">
      <c r="A473" s="14" t="s">
        <v>636</v>
      </c>
      <c r="C473" s="14" t="s">
        <v>615</v>
      </c>
      <c r="D473" s="14" t="s">
        <v>614</v>
      </c>
      <c r="E473" s="49">
        <v>1</v>
      </c>
      <c r="F473" s="103">
        <f>IF(VLOOKUP($D473,$C$5:$AU$520,3,)=0,0,(VLOOKUP($D473,$C$5:$AU$520,4,)/VLOOKUP($D473,$C$5:$AU$520,3,))*$E473)</f>
        <v>0.74638617998226831</v>
      </c>
      <c r="G473" s="103">
        <f>IF(VLOOKUP($D473,$C$5:$AU$520,3,)=0,0,(VLOOKUP($D473,$C$5:$AU$520,5,)/VLOOKUP($D473,$C$5:$AU$520,3,))*$E473)</f>
        <v>0</v>
      </c>
      <c r="H473" s="103">
        <f>IF(VLOOKUP($D473,$C$5:$AU$520,3,)=0,0,(VLOOKUP($D473,$C$5:$AU$520,6,)/VLOOKUP($D473,$C$5:$AU$520,3,))*$E473)</f>
        <v>4.8376431024638934E-2</v>
      </c>
      <c r="I473" s="103">
        <f>IF(VLOOKUP($D473,$C$5:$AU$520,3,)=0,0,(VLOOKUP($D473,$C$5:$AU$520,7,)/VLOOKUP($D473,$C$5:$AU$520,3,))*$E473)</f>
        <v>0</v>
      </c>
      <c r="J473" s="103">
        <f>IF(VLOOKUP($D473,$C$5:$AU$520,3,)=0,0,(VLOOKUP($D473,$C$5:$AU$520,8,)/VLOOKUP($D473,$C$5:$AU$520,3,))*$E473)</f>
        <v>6.1030437152278925E-2</v>
      </c>
      <c r="K473" s="103">
        <f>IF(VLOOKUP($D473,$C$5:$AU$520,3,)=0,0,(VLOOKUP($D473,$C$5:$AU$520,9,)/VLOOKUP($D473,$C$5:$AU$520,3,))*$E473)</f>
        <v>7.9648721192370736E-2</v>
      </c>
      <c r="L473" s="103">
        <f>IF(VLOOKUP($D473,$C$5:$AU$520,3,)=0,0,(VLOOKUP($D473,$C$5:$AU$520,10,)/VLOOKUP($D473,$C$5:$AU$520,3,))*$E473)</f>
        <v>5.1561785473844143E-2</v>
      </c>
      <c r="M473" s="103">
        <f>IF(VLOOKUP($D473,$C$5:$AU$520,3,)=0,0,(VLOOKUP($D473,$C$5:$AU$520,11,)/VLOOKUP($D473,$C$5:$AU$520,3,))*$E473)</f>
        <v>6.9306768178712466E-3</v>
      </c>
      <c r="N473" s="103">
        <f>IF(VLOOKUP($D473,$C$5:$AU$520,3,)=0,0,(VLOOKUP($D473,$C$5:$AU$520,12,)/VLOOKUP($D473,$C$5:$AU$520,3,))*$E473)</f>
        <v>6.0657683567278105E-3</v>
      </c>
      <c r="O473" s="103">
        <f>IF(VLOOKUP($D473,$C$5:$AU$520,3,)=0,0,(VLOOKUP($D473,$C$5:$AU$520,13,)/VLOOKUP($D473,$C$5:$AU$520,3,))*$E473)</f>
        <v>0</v>
      </c>
      <c r="P473" s="103">
        <f>IF(VLOOKUP($D473,$C$5:$AU$520,3,)=0,0,(VLOOKUP($D473,$C$5:$AU$520,14,)/VLOOKUP($D473,$C$5:$AU$520,3,))*$E473)</f>
        <v>0</v>
      </c>
      <c r="Q473" s="103">
        <f>IF(VLOOKUP($D473,$C$5:$AU$520,3,)=0,0,(VLOOKUP($D473,$C$5:$AU$520,15,)/VLOOKUP($D473,$C$5:$AU$520,3,))*$E473)</f>
        <v>0</v>
      </c>
      <c r="R473" s="103">
        <f>IF(VLOOKUP($D473,$C$5:$AU$520,3,)=0,0,(VLOOKUP($D473,$C$5:$AU$520,16,)/VLOOKUP($D473,$C$5:$AU$520,3,))*$E473)</f>
        <v>0</v>
      </c>
      <c r="S473" s="103">
        <f>IF(VLOOKUP($D473,$C$5:$AU$520,3,)=0,0,(VLOOKUP($D473,$C$5:$AU$520,17,)/VLOOKUP($D473,$C$5:$AU$520,3,))*$E473)</f>
        <v>0</v>
      </c>
      <c r="T473" s="103">
        <f>IF(VLOOKUP($D473,$C$5:$AU$520,3,)=0,0,(VLOOKUP($D473,$C$5:$AU$520,18,)/VLOOKUP($D473,$C$5:$AU$520,3,))*$E473)</f>
        <v>0</v>
      </c>
      <c r="U473" s="103">
        <f>IF(VLOOKUP($D473,$C$5:$AU$520,3,)=0,0,(VLOOKUP($D473,$C$5:$AU$520,19,)/VLOOKUP($D473,$C$5:$AU$520,3,))*$E473)</f>
        <v>0</v>
      </c>
      <c r="V473" s="103">
        <f>IF(VLOOKUP($D473,$C$5:$AU$520,3,)=0,0,(VLOOKUP($D473,$C$5:$AU$520,20,)/VLOOKUP($D473,$C$5:$AU$520,3,))*$E473)</f>
        <v>0</v>
      </c>
      <c r="W473" s="103">
        <f>IF(VLOOKUP($D473,$C$5:$AU$520,3,)=0,0,(VLOOKUP($D473,$C$5:$AU$520,21,)/VLOOKUP($D473,$C$5:$AU$520,3,))*$E473)</f>
        <v>0</v>
      </c>
      <c r="X473" s="103">
        <f>IF(VLOOKUP($D473,$C$5:$AU$520,3,)=0,0,(VLOOKUP($D473,$C$5:$AU$520,22,)/VLOOKUP($D473,$C$5:$AU$520,3,))*$E473)</f>
        <v>0</v>
      </c>
      <c r="Y473" s="103">
        <f>IF(VLOOKUP($D473,$C$5:$AU$520,3,)=0,0,(VLOOKUP($D473,$C$5:$AU$520,23,)/VLOOKUP($D473,$C$5:$AU$520,3,))*$E473)</f>
        <v>0</v>
      </c>
      <c r="Z473" s="103">
        <f>IF(VLOOKUP($D473,$C$5:$AU$520,3,)=0,0,(VLOOKUP($D473,$C$5:$AU$520,24,)/VLOOKUP($D473,$C$5:$AU$520,3,))*$E473)</f>
        <v>0</v>
      </c>
      <c r="AA473" s="103">
        <f>IF(VLOOKUP($D473,$C$5:$AU$520,3,)=0,0,(VLOOKUP($D473,$C$5:$AU$520,25,)/VLOOKUP($D473,$C$5:$AU$520,3,))*$E473)</f>
        <v>0</v>
      </c>
      <c r="AB473" s="103">
        <f>IF(VLOOKUP($D473,$C$5:$AU$520,3,)=0,0,(VLOOKUP($D473,$C$5:$AU$520,26,)/VLOOKUP($D473,$C$5:$AU$520,3,))*$E473)</f>
        <v>0</v>
      </c>
      <c r="AC473" s="103">
        <f>IF(VLOOKUP($D473,$C$5:$AU$520,3,)=0,0,(VLOOKUP($D473,$C$5:$AU$520,27,)/VLOOKUP($D473,$C$5:$AU$520,3,))*$E473)</f>
        <v>0</v>
      </c>
      <c r="AD473" s="103">
        <f>IF(VLOOKUP($D473,$C$5:$AU$520,3,)=0,0,(VLOOKUP($D473,$C$5:$AU$520,28,)/VLOOKUP($D473,$C$5:$AU$520,3,))*$E473)</f>
        <v>0</v>
      </c>
      <c r="AE473" s="103">
        <f>IF(VLOOKUP($D473,$C$5:$AU$520,3,)=0,0,(VLOOKUP($D473,$C$5:$AU$520,29,)/VLOOKUP($D473,$C$5:$AU$520,3,))*$E473)</f>
        <v>0</v>
      </c>
      <c r="AF473" s="103">
        <f>IF(VLOOKUP($D473,$C$5:$AU$520,3,)=0,0,(VLOOKUP($D473,$C$5:$AU$520,30,)/VLOOKUP($D473,$C$5:$AU$520,3,))*$E473)</f>
        <v>0</v>
      </c>
      <c r="AG473" s="103">
        <f>SUM(F473:AF473)</f>
        <v>1.0000000000000002</v>
      </c>
      <c r="AH473" s="31" t="str">
        <f t="shared" si="182"/>
        <v>ok</v>
      </c>
    </row>
    <row r="475" spans="1:34" x14ac:dyDescent="0.2">
      <c r="A475" s="14" t="s">
        <v>609</v>
      </c>
      <c r="C475" s="14" t="s">
        <v>630</v>
      </c>
      <c r="E475" s="66">
        <f>E468</f>
        <v>2244457.0735590635</v>
      </c>
      <c r="F475" s="50">
        <f>F468</f>
        <v>1675231.7412679305</v>
      </c>
      <c r="G475" s="50">
        <f t="shared" ref="G475:AF475" si="184">G468</f>
        <v>0</v>
      </c>
      <c r="H475" s="50">
        <f t="shared" si="184"/>
        <v>108578.82280679299</v>
      </c>
      <c r="I475" s="50">
        <f t="shared" si="184"/>
        <v>0</v>
      </c>
      <c r="J475" s="50">
        <f t="shared" si="184"/>
        <v>136980.19636883429</v>
      </c>
      <c r="K475" s="50">
        <f t="shared" si="184"/>
        <v>178768.13568015018</v>
      </c>
      <c r="L475" s="50">
        <f t="shared" si="184"/>
        <v>115728.21413210446</v>
      </c>
      <c r="M475" s="50">
        <f t="shared" si="184"/>
        <v>15555.606608422941</v>
      </c>
      <c r="N475" s="50">
        <f t="shared" si="184"/>
        <v>13614.356694828472</v>
      </c>
      <c r="O475" s="50">
        <f t="shared" si="184"/>
        <v>0</v>
      </c>
      <c r="P475" s="50">
        <f t="shared" si="184"/>
        <v>0</v>
      </c>
      <c r="Q475" s="50">
        <f t="shared" si="184"/>
        <v>0</v>
      </c>
      <c r="R475" s="50">
        <f t="shared" si="184"/>
        <v>0</v>
      </c>
      <c r="S475" s="50">
        <f t="shared" si="184"/>
        <v>0</v>
      </c>
      <c r="T475" s="50">
        <f t="shared" si="184"/>
        <v>0</v>
      </c>
      <c r="U475" s="50">
        <f t="shared" si="184"/>
        <v>0</v>
      </c>
      <c r="V475" s="50">
        <f t="shared" si="184"/>
        <v>0</v>
      </c>
      <c r="W475" s="50">
        <f t="shared" si="184"/>
        <v>0</v>
      </c>
      <c r="X475" s="50">
        <f t="shared" si="184"/>
        <v>0</v>
      </c>
      <c r="Y475" s="50">
        <f t="shared" si="184"/>
        <v>0</v>
      </c>
      <c r="Z475" s="50">
        <f t="shared" si="184"/>
        <v>0</v>
      </c>
      <c r="AA475" s="50">
        <f t="shared" si="184"/>
        <v>0</v>
      </c>
      <c r="AB475" s="50">
        <f t="shared" si="184"/>
        <v>0</v>
      </c>
      <c r="AC475" s="50">
        <f t="shared" si="184"/>
        <v>0</v>
      </c>
      <c r="AD475" s="50">
        <f t="shared" si="184"/>
        <v>0</v>
      </c>
      <c r="AE475" s="50">
        <f t="shared" si="184"/>
        <v>0</v>
      </c>
      <c r="AF475" s="50">
        <f t="shared" si="184"/>
        <v>0</v>
      </c>
      <c r="AG475" s="95">
        <f>SUM(F475:AF475)</f>
        <v>2244457.0735590635</v>
      </c>
      <c r="AH475" s="31" t="str">
        <f t="shared" ref="AH475:AH480" si="185">IF(ABS(E475-AG475)&lt;0.01,"ok","err")</f>
        <v>ok</v>
      </c>
    </row>
    <row r="476" spans="1:34" x14ac:dyDescent="0.2">
      <c r="A476" s="14" t="s">
        <v>610</v>
      </c>
      <c r="E476" s="95">
        <f>E469</f>
        <v>2103107</v>
      </c>
      <c r="AG476" s="95">
        <f>E476</f>
        <v>2103107</v>
      </c>
      <c r="AH476" s="31" t="str">
        <f t="shared" si="185"/>
        <v>ok</v>
      </c>
    </row>
    <row r="477" spans="1:34" x14ac:dyDescent="0.2">
      <c r="A477" s="14" t="s">
        <v>594</v>
      </c>
      <c r="E477" s="50"/>
      <c r="M477" s="50">
        <v>0</v>
      </c>
      <c r="N477" s="50">
        <v>0</v>
      </c>
      <c r="O477" s="50"/>
      <c r="P477" s="50"/>
      <c r="Q477" s="14">
        <v>0</v>
      </c>
      <c r="R477" s="14">
        <v>0</v>
      </c>
      <c r="S477" s="14">
        <v>0</v>
      </c>
      <c r="AD477" s="66">
        <v>0</v>
      </c>
      <c r="AE477" s="66"/>
      <c r="AG477" s="95">
        <f>SUM(F477:AF477)</f>
        <v>0</v>
      </c>
      <c r="AH477" s="31" t="str">
        <f t="shared" si="185"/>
        <v>ok</v>
      </c>
    </row>
    <row r="478" spans="1:34" x14ac:dyDescent="0.2">
      <c r="A478" s="14" t="s">
        <v>611</v>
      </c>
      <c r="D478" s="14" t="s">
        <v>630</v>
      </c>
      <c r="E478" s="95">
        <f>E476-E477</f>
        <v>2103107</v>
      </c>
      <c r="F478" s="66">
        <f>IF(VLOOKUP($D478,$C$5:$AU$520,3,)=0,0,(VLOOKUP($D478,$C$5:$AU$520,4,)/VLOOKUP($D478,$C$5:$AU$520,3,))*$E478)</f>
        <v>1569729.9998239684</v>
      </c>
      <c r="G478" s="66">
        <f>IF(VLOOKUP($D478,$C$5:$AU$520,3,)=0,0,(VLOOKUP($D478,$C$5:$AU$520,5,)/VLOOKUP($D478,$C$5:$AU$520,3,))*$E478)</f>
        <v>0</v>
      </c>
      <c r="H478" s="66">
        <f>IF(VLOOKUP($D478,$C$5:$AU$520,3,)=0,0,(VLOOKUP($D478,$C$5:$AU$520,6,)/VLOOKUP($D478,$C$5:$AU$520,3,))*$E478)</f>
        <v>101740.81072293532</v>
      </c>
      <c r="I478" s="66">
        <f>IF(VLOOKUP($D478,$C$5:$AU$520,3,)=0,0,(VLOOKUP($D478,$C$5:$AU$520,7,)/VLOOKUP($D478,$C$5:$AU$520,3,))*$E478)</f>
        <v>0</v>
      </c>
      <c r="J478" s="66">
        <f>IF(VLOOKUP($D478,$C$5:$AU$520,3,)=0,0,(VLOOKUP($D478,$C$5:$AU$520,8,)/VLOOKUP($D478,$C$5:$AU$520,3,))*$E478)</f>
        <v>128353.53958801787</v>
      </c>
      <c r="K478" s="66">
        <f>IF(VLOOKUP($D478,$C$5:$AU$520,3,)=0,0,(VLOOKUP($D478,$C$5:$AU$520,9,)/VLOOKUP($D478,$C$5:$AU$520,3,))*$E478)</f>
        <v>167509.78308072325</v>
      </c>
      <c r="L478" s="66">
        <f>IF(VLOOKUP($D478,$C$5:$AU$520,3,)=0,0,(VLOOKUP($D478,$C$5:$AU$520,10,)/VLOOKUP($D478,$C$5:$AU$520,3,))*$E478)</f>
        <v>108439.95196253994</v>
      </c>
      <c r="M478" s="66">
        <f>IF(VLOOKUP($D478,$C$5:$AU$520,3,)=0,0,(VLOOKUP($D478,$C$5:$AU$520,11,)/VLOOKUP($D478,$C$5:$AU$520,3,))*$E478)</f>
        <v>14575.954930402744</v>
      </c>
      <c r="N478" s="66">
        <f>IF(VLOOKUP($D478,$C$5:$AU$520,3,)=0,0,(VLOOKUP($D478,$C$5:$AU$520,12,)/VLOOKUP($D478,$C$5:$AU$520,3,))*$E478)</f>
        <v>12756.959891412755</v>
      </c>
      <c r="O478" s="66">
        <f>IF(VLOOKUP($D478,$C$5:$AU$520,3,)=0,0,(VLOOKUP($D478,$C$5:$AU$520,13,)/VLOOKUP($D478,$C$5:$AU$520,3,))*$E478)</f>
        <v>0</v>
      </c>
      <c r="P478" s="66">
        <f>IF(VLOOKUP($D478,$C$5:$AU$520,3,)=0,0,(VLOOKUP($D478,$C$5:$AU$520,14,)/VLOOKUP($D478,$C$5:$AU$520,3,))*$E478)</f>
        <v>0</v>
      </c>
      <c r="Q478" s="66">
        <f>IF(VLOOKUP($D478,$C$5:$AU$520,3,)=0,0,(VLOOKUP($D478,$C$5:$AU$520,15,)/VLOOKUP($D478,$C$5:$AU$520,3,))*$E478)</f>
        <v>0</v>
      </c>
      <c r="R478" s="66">
        <f>IF(VLOOKUP($D478,$C$5:$AU$520,3,)=0,0,(VLOOKUP($D478,$C$5:$AU$520,16,)/VLOOKUP($D478,$C$5:$AU$520,3,))*$E478)</f>
        <v>0</v>
      </c>
      <c r="S478" s="66">
        <f>IF(VLOOKUP($D478,$C$5:$AU$520,3,)=0,0,(VLOOKUP($D478,$C$5:$AU$520,17,)/VLOOKUP($D478,$C$5:$AU$520,3,))*$E478)</f>
        <v>0</v>
      </c>
      <c r="T478" s="66">
        <f>IF(VLOOKUP($D478,$C$5:$AU$520,3,)=0,0,(VLOOKUP($D478,$C$5:$AU$520,18,)/VLOOKUP($D478,$C$5:$AU$520,3,))*$E478)</f>
        <v>0</v>
      </c>
      <c r="U478" s="66">
        <f>IF(VLOOKUP($D478,$C$5:$AU$520,3,)=0,0,(VLOOKUP($D478,$C$5:$AU$520,19,)/VLOOKUP($D478,$C$5:$AU$520,3,))*$E478)</f>
        <v>0</v>
      </c>
      <c r="V478" s="66">
        <f>IF(VLOOKUP($D478,$C$5:$AU$520,3,)=0,0,(VLOOKUP($D478,$C$5:$AU$520,20,)/VLOOKUP($D478,$C$5:$AU$520,3,))*$E478)</f>
        <v>0</v>
      </c>
      <c r="W478" s="66">
        <f>IF(VLOOKUP($D478,$C$5:$AU$520,3,)=0,0,(VLOOKUP($D478,$C$5:$AU$520,21,)/VLOOKUP($D478,$C$5:$AU$520,3,))*$E478)</f>
        <v>0</v>
      </c>
      <c r="X478" s="66">
        <f>IF(VLOOKUP($D478,$C$5:$AU$520,3,)=0,0,(VLOOKUP($D478,$C$5:$AU$520,22,)/VLOOKUP($D478,$C$5:$AU$520,3,))*$E478)</f>
        <v>0</v>
      </c>
      <c r="Y478" s="66">
        <f>IF(VLOOKUP($D478,$C$5:$AU$520,3,)=0,0,(VLOOKUP($D478,$C$5:$AU$520,23,)/VLOOKUP($D478,$C$5:$AU$520,3,))*$E478)</f>
        <v>0</v>
      </c>
      <c r="Z478" s="66">
        <f>IF(VLOOKUP($D478,$C$5:$AU$520,3,)=0,0,(VLOOKUP($D478,$C$5:$AU$520,24,)/VLOOKUP($D478,$C$5:$AU$520,3,))*$E478)</f>
        <v>0</v>
      </c>
      <c r="AA478" s="66">
        <f>IF(VLOOKUP($D478,$C$5:$AU$520,3,)=0,0,(VLOOKUP($D478,$C$5:$AU$520,25,)/VLOOKUP($D478,$C$5:$AU$520,3,))*$E478)</f>
        <v>0</v>
      </c>
      <c r="AB478" s="66">
        <f>IF(VLOOKUP($D478,$C$5:$AU$520,3,)=0,0,(VLOOKUP($D478,$C$5:$AU$520,26,)/VLOOKUP($D478,$C$5:$AU$520,3,))*$E478)</f>
        <v>0</v>
      </c>
      <c r="AC478" s="66">
        <f>IF(VLOOKUP($D478,$C$5:$AU$520,3,)=0,0,(VLOOKUP($D478,$C$5:$AU$520,27,)/VLOOKUP($D478,$C$5:$AU$520,3,))*$E478)</f>
        <v>0</v>
      </c>
      <c r="AD478" s="66">
        <f>IF(VLOOKUP($D478,$C$5:$AU$520,3,)=0,0,(VLOOKUP($D478,$C$5:$AU$520,28,)/VLOOKUP($D478,$C$5:$AU$520,3,))*$E478)</f>
        <v>0</v>
      </c>
      <c r="AE478" s="66">
        <f>IF(VLOOKUP($D478,$C$5:$AU$520,3,)=0,0,(VLOOKUP($D478,$C$5:$AU$520,29,)/VLOOKUP($D478,$C$5:$AU$520,3,))*$E478)</f>
        <v>0</v>
      </c>
      <c r="AF478" s="66">
        <f>IF(VLOOKUP($D478,$C$5:$AU$520,3,)=0,0,(VLOOKUP($D478,$C$5:$AU$520,30,)/VLOOKUP($D478,$C$5:$AU$520,3,))*$E478)</f>
        <v>0</v>
      </c>
      <c r="AG478" s="95">
        <f>SUM(F478:AF478)</f>
        <v>2103107.0000000005</v>
      </c>
      <c r="AH478" s="31" t="str">
        <f t="shared" si="185"/>
        <v>ok</v>
      </c>
    </row>
    <row r="479" spans="1:34" x14ac:dyDescent="0.2">
      <c r="A479" s="14" t="s">
        <v>612</v>
      </c>
      <c r="C479" s="14" t="s">
        <v>631</v>
      </c>
      <c r="E479" s="95">
        <f t="shared" ref="E479:AF479" si="186">E477+E478</f>
        <v>2103107</v>
      </c>
      <c r="F479" s="95">
        <f t="shared" si="186"/>
        <v>1569729.9998239684</v>
      </c>
      <c r="G479" s="95">
        <f t="shared" si="186"/>
        <v>0</v>
      </c>
      <c r="H479" s="95">
        <f t="shared" si="186"/>
        <v>101740.81072293532</v>
      </c>
      <c r="I479" s="95">
        <f t="shared" si="186"/>
        <v>0</v>
      </c>
      <c r="J479" s="95">
        <f t="shared" si="186"/>
        <v>128353.53958801787</v>
      </c>
      <c r="K479" s="95">
        <f t="shared" si="186"/>
        <v>167509.78308072325</v>
      </c>
      <c r="L479" s="95">
        <f t="shared" si="186"/>
        <v>108439.95196253994</v>
      </c>
      <c r="M479" s="95">
        <f t="shared" si="186"/>
        <v>14575.954930402744</v>
      </c>
      <c r="N479" s="95">
        <f t="shared" si="186"/>
        <v>12756.959891412755</v>
      </c>
      <c r="O479" s="95">
        <f t="shared" si="186"/>
        <v>0</v>
      </c>
      <c r="P479" s="95">
        <f t="shared" si="186"/>
        <v>0</v>
      </c>
      <c r="Q479" s="95">
        <f t="shared" si="186"/>
        <v>0</v>
      </c>
      <c r="R479" s="95">
        <f t="shared" si="186"/>
        <v>0</v>
      </c>
      <c r="S479" s="95">
        <f t="shared" si="186"/>
        <v>0</v>
      </c>
      <c r="T479" s="95">
        <f t="shared" si="186"/>
        <v>0</v>
      </c>
      <c r="U479" s="95">
        <f t="shared" si="186"/>
        <v>0</v>
      </c>
      <c r="V479" s="95">
        <f t="shared" si="186"/>
        <v>0</v>
      </c>
      <c r="W479" s="95">
        <f t="shared" si="186"/>
        <v>0</v>
      </c>
      <c r="X479" s="95">
        <f t="shared" si="186"/>
        <v>0</v>
      </c>
      <c r="Y479" s="95">
        <f t="shared" si="186"/>
        <v>0</v>
      </c>
      <c r="Z479" s="95">
        <f t="shared" si="186"/>
        <v>0</v>
      </c>
      <c r="AA479" s="95">
        <f t="shared" si="186"/>
        <v>0</v>
      </c>
      <c r="AB479" s="95">
        <f t="shared" si="186"/>
        <v>0</v>
      </c>
      <c r="AC479" s="95">
        <f t="shared" si="186"/>
        <v>0</v>
      </c>
      <c r="AD479" s="95">
        <f t="shared" si="186"/>
        <v>0</v>
      </c>
      <c r="AE479" s="95">
        <f t="shared" si="186"/>
        <v>0</v>
      </c>
      <c r="AF479" s="95">
        <f t="shared" si="186"/>
        <v>0</v>
      </c>
      <c r="AG479" s="95">
        <f>SUM(F479:AF479)</f>
        <v>2103107.0000000005</v>
      </c>
      <c r="AH479" s="31" t="str">
        <f t="shared" si="185"/>
        <v>ok</v>
      </c>
    </row>
    <row r="480" spans="1:34" x14ac:dyDescent="0.2">
      <c r="A480" s="14" t="s">
        <v>637</v>
      </c>
      <c r="C480" s="14" t="s">
        <v>632</v>
      </c>
      <c r="D480" s="14" t="s">
        <v>631</v>
      </c>
      <c r="E480" s="49">
        <v>1</v>
      </c>
      <c r="F480" s="103">
        <f>IF(VLOOKUP($D480,$C$5:$AU$520,3,)=0,0,(VLOOKUP($D480,$C$5:$AU$520,4,)/VLOOKUP($D480,$C$5:$AU$520,3,))*$E480)</f>
        <v>0.74638617998226831</v>
      </c>
      <c r="G480" s="103">
        <f>IF(VLOOKUP($D480,$C$5:$AU$520,3,)=0,0,(VLOOKUP($D480,$C$5:$AU$520,5,)/VLOOKUP($D480,$C$5:$AU$520,3,))*$E480)</f>
        <v>0</v>
      </c>
      <c r="H480" s="103">
        <f>IF(VLOOKUP($D480,$C$5:$AU$520,3,)=0,0,(VLOOKUP($D480,$C$5:$AU$520,6,)/VLOOKUP($D480,$C$5:$AU$520,3,))*$E480)</f>
        <v>4.8376431024638934E-2</v>
      </c>
      <c r="I480" s="103">
        <f>IF(VLOOKUP($D480,$C$5:$AU$520,3,)=0,0,(VLOOKUP($D480,$C$5:$AU$520,7,)/VLOOKUP($D480,$C$5:$AU$520,3,))*$E480)</f>
        <v>0</v>
      </c>
      <c r="J480" s="103">
        <f>IF(VLOOKUP($D480,$C$5:$AU$520,3,)=0,0,(VLOOKUP($D480,$C$5:$AU$520,8,)/VLOOKUP($D480,$C$5:$AU$520,3,))*$E480)</f>
        <v>6.1030437152278925E-2</v>
      </c>
      <c r="K480" s="103">
        <f>IF(VLOOKUP($D480,$C$5:$AU$520,3,)=0,0,(VLOOKUP($D480,$C$5:$AU$520,9,)/VLOOKUP($D480,$C$5:$AU$520,3,))*$E480)</f>
        <v>7.9648721192370736E-2</v>
      </c>
      <c r="L480" s="103">
        <f>IF(VLOOKUP($D480,$C$5:$AU$520,3,)=0,0,(VLOOKUP($D480,$C$5:$AU$520,10,)/VLOOKUP($D480,$C$5:$AU$520,3,))*$E480)</f>
        <v>5.1561785473844143E-2</v>
      </c>
      <c r="M480" s="103">
        <f>IF(VLOOKUP($D480,$C$5:$AU$520,3,)=0,0,(VLOOKUP($D480,$C$5:$AU$520,11,)/VLOOKUP($D480,$C$5:$AU$520,3,))*$E480)</f>
        <v>6.9306768178712466E-3</v>
      </c>
      <c r="N480" s="103">
        <f>IF(VLOOKUP($D480,$C$5:$AU$520,3,)=0,0,(VLOOKUP($D480,$C$5:$AU$520,12,)/VLOOKUP($D480,$C$5:$AU$520,3,))*$E480)</f>
        <v>6.0657683567278105E-3</v>
      </c>
      <c r="O480" s="103">
        <f>IF(VLOOKUP($D480,$C$5:$AU$520,3,)=0,0,(VLOOKUP($D480,$C$5:$AU$520,13,)/VLOOKUP($D480,$C$5:$AU$520,3,))*$E480)</f>
        <v>0</v>
      </c>
      <c r="P480" s="103">
        <f>IF(VLOOKUP($D480,$C$5:$AU$520,3,)=0,0,(VLOOKUP($D480,$C$5:$AU$520,14,)/VLOOKUP($D480,$C$5:$AU$520,3,))*$E480)</f>
        <v>0</v>
      </c>
      <c r="Q480" s="103">
        <f>IF(VLOOKUP($D480,$C$5:$AU$520,3,)=0,0,(VLOOKUP($D480,$C$5:$AU$520,15,)/VLOOKUP($D480,$C$5:$AU$520,3,))*$E480)</f>
        <v>0</v>
      </c>
      <c r="R480" s="103">
        <f>IF(VLOOKUP($D480,$C$5:$AU$520,3,)=0,0,(VLOOKUP($D480,$C$5:$AU$520,16,)/VLOOKUP($D480,$C$5:$AU$520,3,))*$E480)</f>
        <v>0</v>
      </c>
      <c r="S480" s="103">
        <f>IF(VLOOKUP($D480,$C$5:$AU$520,3,)=0,0,(VLOOKUP($D480,$C$5:$AU$520,17,)/VLOOKUP($D480,$C$5:$AU$520,3,))*$E480)</f>
        <v>0</v>
      </c>
      <c r="T480" s="103">
        <f>IF(VLOOKUP($D480,$C$5:$AU$520,3,)=0,0,(VLOOKUP($D480,$C$5:$AU$520,18,)/VLOOKUP($D480,$C$5:$AU$520,3,))*$E480)</f>
        <v>0</v>
      </c>
      <c r="U480" s="103">
        <f>IF(VLOOKUP($D480,$C$5:$AU$520,3,)=0,0,(VLOOKUP($D480,$C$5:$AU$520,19,)/VLOOKUP($D480,$C$5:$AU$520,3,))*$E480)</f>
        <v>0</v>
      </c>
      <c r="V480" s="103">
        <f>IF(VLOOKUP($D480,$C$5:$AU$520,3,)=0,0,(VLOOKUP($D480,$C$5:$AU$520,20,)/VLOOKUP($D480,$C$5:$AU$520,3,))*$E480)</f>
        <v>0</v>
      </c>
      <c r="W480" s="103">
        <f>IF(VLOOKUP($D480,$C$5:$AU$520,3,)=0,0,(VLOOKUP($D480,$C$5:$AU$520,21,)/VLOOKUP($D480,$C$5:$AU$520,3,))*$E480)</f>
        <v>0</v>
      </c>
      <c r="X480" s="103">
        <f>IF(VLOOKUP($D480,$C$5:$AU$520,3,)=0,0,(VLOOKUP($D480,$C$5:$AU$520,22,)/VLOOKUP($D480,$C$5:$AU$520,3,))*$E480)</f>
        <v>0</v>
      </c>
      <c r="Y480" s="103">
        <f>IF(VLOOKUP($D480,$C$5:$AU$520,3,)=0,0,(VLOOKUP($D480,$C$5:$AU$520,23,)/VLOOKUP($D480,$C$5:$AU$520,3,))*$E480)</f>
        <v>0</v>
      </c>
      <c r="Z480" s="103">
        <f>IF(VLOOKUP($D480,$C$5:$AU$520,3,)=0,0,(VLOOKUP($D480,$C$5:$AU$520,24,)/VLOOKUP($D480,$C$5:$AU$520,3,))*$E480)</f>
        <v>0</v>
      </c>
      <c r="AA480" s="103">
        <f>IF(VLOOKUP($D480,$C$5:$AU$520,3,)=0,0,(VLOOKUP($D480,$C$5:$AU$520,25,)/VLOOKUP($D480,$C$5:$AU$520,3,))*$E480)</f>
        <v>0</v>
      </c>
      <c r="AB480" s="103">
        <f>IF(VLOOKUP($D480,$C$5:$AU$520,3,)=0,0,(VLOOKUP($D480,$C$5:$AU$520,26,)/VLOOKUP($D480,$C$5:$AU$520,3,))*$E480)</f>
        <v>0</v>
      </c>
      <c r="AC480" s="103">
        <f>IF(VLOOKUP($D480,$C$5:$AU$520,3,)=0,0,(VLOOKUP($D480,$C$5:$AU$520,27,)/VLOOKUP($D480,$C$5:$AU$520,3,))*$E480)</f>
        <v>0</v>
      </c>
      <c r="AD480" s="103">
        <f>IF(VLOOKUP($D480,$C$5:$AU$520,3,)=0,0,(VLOOKUP($D480,$C$5:$AU$520,28,)/VLOOKUP($D480,$C$5:$AU$520,3,))*$E480)</f>
        <v>0</v>
      </c>
      <c r="AE480" s="103">
        <f>IF(VLOOKUP($D480,$C$5:$AU$520,3,)=0,0,(VLOOKUP($D480,$C$5:$AU$520,29,)/VLOOKUP($D480,$C$5:$AU$520,3,))*$E480)</f>
        <v>0</v>
      </c>
      <c r="AF480" s="103">
        <f>IF(VLOOKUP($D480,$C$5:$AU$520,3,)=0,0,(VLOOKUP($D480,$C$5:$AU$520,30,)/VLOOKUP($D480,$C$5:$AU$520,3,))*$E480)</f>
        <v>0</v>
      </c>
      <c r="AG480" s="103">
        <f>SUM(F480:AF480)</f>
        <v>1.0000000000000002</v>
      </c>
      <c r="AH480" s="31" t="str">
        <f t="shared" si="185"/>
        <v>ok</v>
      </c>
    </row>
    <row r="482" spans="1:34" x14ac:dyDescent="0.2">
      <c r="A482" s="29" t="s">
        <v>903</v>
      </c>
    </row>
    <row r="484" spans="1:34" x14ac:dyDescent="0.2">
      <c r="A484" s="14" t="s">
        <v>621</v>
      </c>
      <c r="C484" s="14" t="s">
        <v>622</v>
      </c>
      <c r="E484" s="50">
        <f>E454</f>
        <v>5334777.6318499101</v>
      </c>
      <c r="F484" s="50">
        <f t="shared" ref="F484:AF484" si="187">F454</f>
        <v>4394897.2592557035</v>
      </c>
      <c r="G484" s="50">
        <f t="shared" si="187"/>
        <v>0</v>
      </c>
      <c r="H484" s="50">
        <f t="shared" si="187"/>
        <v>98627.12</v>
      </c>
      <c r="I484" s="50">
        <f t="shared" si="187"/>
        <v>0</v>
      </c>
      <c r="J484" s="50">
        <f t="shared" si="187"/>
        <v>232886</v>
      </c>
      <c r="K484" s="50">
        <f t="shared" si="187"/>
        <v>163790</v>
      </c>
      <c r="L484" s="50">
        <f t="shared" si="187"/>
        <v>128782</v>
      </c>
      <c r="M484" s="50">
        <f t="shared" si="187"/>
        <v>207408.08811230585</v>
      </c>
      <c r="N484" s="50">
        <f t="shared" si="187"/>
        <v>59192.855194906377</v>
      </c>
      <c r="O484" s="50">
        <f t="shared" si="187"/>
        <v>49194.309286994358</v>
      </c>
      <c r="P484" s="50">
        <f t="shared" si="187"/>
        <v>0</v>
      </c>
      <c r="Q484" s="50">
        <f t="shared" si="187"/>
        <v>0</v>
      </c>
      <c r="R484" s="50">
        <f t="shared" si="187"/>
        <v>0</v>
      </c>
      <c r="S484" s="50">
        <f t="shared" si="187"/>
        <v>0</v>
      </c>
      <c r="T484" s="50">
        <f t="shared" si="187"/>
        <v>0</v>
      </c>
      <c r="U484" s="50">
        <f t="shared" si="187"/>
        <v>0</v>
      </c>
      <c r="V484" s="50">
        <f t="shared" si="187"/>
        <v>0</v>
      </c>
      <c r="W484" s="50">
        <f t="shared" si="187"/>
        <v>0</v>
      </c>
      <c r="X484" s="50">
        <f t="shared" si="187"/>
        <v>0</v>
      </c>
      <c r="Y484" s="50">
        <f t="shared" si="187"/>
        <v>0</v>
      </c>
      <c r="Z484" s="50">
        <f t="shared" si="187"/>
        <v>0</v>
      </c>
      <c r="AA484" s="50">
        <f t="shared" si="187"/>
        <v>0</v>
      </c>
      <c r="AB484" s="50">
        <f t="shared" si="187"/>
        <v>0</v>
      </c>
      <c r="AC484" s="50">
        <f t="shared" si="187"/>
        <v>0</v>
      </c>
      <c r="AD484" s="50">
        <f t="shared" si="187"/>
        <v>0</v>
      </c>
      <c r="AE484" s="50">
        <f t="shared" si="187"/>
        <v>0</v>
      </c>
      <c r="AF484" s="50">
        <f t="shared" si="187"/>
        <v>0</v>
      </c>
      <c r="AG484" s="95">
        <f>SUM(F484:AF484)</f>
        <v>5334777.6318499101</v>
      </c>
      <c r="AH484" s="31" t="str">
        <f>IF(ABS(E484-AG484)&lt;0.01,"ok","err")</f>
        <v>ok</v>
      </c>
    </row>
    <row r="485" spans="1:34" x14ac:dyDescent="0.2">
      <c r="A485" s="14" t="s">
        <v>620</v>
      </c>
      <c r="C485" s="14" t="s">
        <v>619</v>
      </c>
      <c r="D485" s="14" t="s">
        <v>622</v>
      </c>
      <c r="E485" s="49">
        <v>1</v>
      </c>
      <c r="F485" s="103">
        <f>IF(VLOOKUP($D485,$C$5:$AU$520,3,)=0,0,(VLOOKUP($D485,$C$5:$AU$520,4,)/VLOOKUP($D485,$C$5:$AU$520,3,))*$E485)</f>
        <v>0.82382014069660681</v>
      </c>
      <c r="G485" s="103">
        <f>IF(VLOOKUP($D485,$C$5:$AU$520,3,)=0,0,(VLOOKUP($D485,$C$5:$AU$520,5,)/VLOOKUP($D485,$C$5:$AU$520,3,))*$E485)</f>
        <v>0</v>
      </c>
      <c r="H485" s="103">
        <f>IF(VLOOKUP($D485,$C$5:$AU$520,3,)=0,0,(VLOOKUP($D485,$C$5:$AU$520,6,)/VLOOKUP($D485,$C$5:$AU$520,3,))*$E485)</f>
        <v>1.8487578453349637E-2</v>
      </c>
      <c r="I485" s="103">
        <f>IF(VLOOKUP($D485,$C$5:$AU$520,3,)=0,0,(VLOOKUP($D485,$C$5:$AU$520,7,)/VLOOKUP($D485,$C$5:$AU$520,3,))*$E485)</f>
        <v>0</v>
      </c>
      <c r="J485" s="103">
        <f>IF(VLOOKUP($D485,$C$5:$AU$520,3,)=0,0,(VLOOKUP($D485,$C$5:$AU$520,8,)/VLOOKUP($D485,$C$5:$AU$520,3,))*$E485)</f>
        <v>4.3654303154008589E-2</v>
      </c>
      <c r="K485" s="103">
        <f>IF(VLOOKUP($D485,$C$5:$AU$520,3,)=0,0,(VLOOKUP($D485,$C$5:$AU$520,9,)/VLOOKUP($D485,$C$5:$AU$520,3,))*$E485)</f>
        <v>3.07023106309313E-2</v>
      </c>
      <c r="L485" s="103">
        <f>IF(VLOOKUP($D485,$C$5:$AU$520,3,)=0,0,(VLOOKUP($D485,$C$5:$AU$520,10,)/VLOOKUP($D485,$C$5:$AU$520,3,))*$E485)</f>
        <v>2.4140087720084222E-2</v>
      </c>
      <c r="M485" s="103">
        <f>IF(VLOOKUP($D485,$C$5:$AU$520,3,)=0,0,(VLOOKUP($D485,$C$5:$AU$520,11,)/VLOOKUP($D485,$C$5:$AU$520,3,))*$E485)</f>
        <v>3.8878487994331669E-2</v>
      </c>
      <c r="N485" s="103">
        <f>IF(VLOOKUP($D485,$C$5:$AU$520,3,)=0,0,(VLOOKUP($D485,$C$5:$AU$520,12,)/VLOOKUP($D485,$C$5:$AU$520,3,))*$E485)</f>
        <v>1.1095655579252402E-2</v>
      </c>
      <c r="O485" s="103">
        <f>IF(VLOOKUP($D485,$C$5:$AU$520,3,)=0,0,(VLOOKUP($D485,$C$5:$AU$520,13,)/VLOOKUP($D485,$C$5:$AU$520,3,))*$E485)</f>
        <v>9.2214357714354312E-3</v>
      </c>
      <c r="P485" s="103">
        <f>IF(VLOOKUP($D485,$C$5:$AU$520,3,)=0,0,(VLOOKUP($D485,$C$5:$AU$520,14,)/VLOOKUP($D485,$C$5:$AU$520,3,))*$E485)</f>
        <v>0</v>
      </c>
      <c r="Q485" s="103">
        <f>IF(VLOOKUP($D485,$C$5:$AU$520,3,)=0,0,(VLOOKUP($D485,$C$5:$AU$520,15,)/VLOOKUP($D485,$C$5:$AU$520,3,))*$E485)</f>
        <v>0</v>
      </c>
      <c r="R485" s="103">
        <f>IF(VLOOKUP($D485,$C$5:$AU$520,3,)=0,0,(VLOOKUP($D485,$C$5:$AU$520,16,)/VLOOKUP($D485,$C$5:$AU$520,3,))*$E485)</f>
        <v>0</v>
      </c>
      <c r="S485" s="103">
        <f>IF(VLOOKUP($D485,$C$5:$AU$520,3,)=0,0,(VLOOKUP($D485,$C$5:$AU$520,17,)/VLOOKUP($D485,$C$5:$AU$520,3,))*$E485)</f>
        <v>0</v>
      </c>
      <c r="T485" s="103">
        <f>IF(VLOOKUP($D485,$C$5:$AU$520,3,)=0,0,(VLOOKUP($D485,$C$5:$AU$520,18,)/VLOOKUP($D485,$C$5:$AU$520,3,))*$E485)</f>
        <v>0</v>
      </c>
      <c r="U485" s="103">
        <f>IF(VLOOKUP($D485,$C$5:$AU$520,3,)=0,0,(VLOOKUP($D485,$C$5:$AU$520,19,)/VLOOKUP($D485,$C$5:$AU$520,3,))*$E485)</f>
        <v>0</v>
      </c>
      <c r="V485" s="103">
        <f>IF(VLOOKUP($D485,$C$5:$AU$520,3,)=0,0,(VLOOKUP($D485,$C$5:$AU$520,20,)/VLOOKUP($D485,$C$5:$AU$520,3,))*$E485)</f>
        <v>0</v>
      </c>
      <c r="W485" s="103">
        <f>IF(VLOOKUP($D485,$C$5:$AU$520,3,)=0,0,(VLOOKUP($D485,$C$5:$AU$520,21,)/VLOOKUP($D485,$C$5:$AU$520,3,))*$E485)</f>
        <v>0</v>
      </c>
      <c r="X485" s="103">
        <f>IF(VLOOKUP($D485,$C$5:$AU$520,3,)=0,0,(VLOOKUP($D485,$C$5:$AU$520,22,)/VLOOKUP($D485,$C$5:$AU$520,3,))*$E485)</f>
        <v>0</v>
      </c>
      <c r="Y485" s="103">
        <f>IF(VLOOKUP($D485,$C$5:$AU$520,3,)=0,0,(VLOOKUP($D485,$C$5:$AU$520,23,)/VLOOKUP($D485,$C$5:$AU$520,3,))*$E485)</f>
        <v>0</v>
      </c>
      <c r="Z485" s="103">
        <f>IF(VLOOKUP($D485,$C$5:$AU$520,3,)=0,0,(VLOOKUP($D485,$C$5:$AU$520,24,)/VLOOKUP($D485,$C$5:$AU$520,3,))*$E485)</f>
        <v>0</v>
      </c>
      <c r="AA485" s="103">
        <f>IF(VLOOKUP($D485,$C$5:$AU$520,3,)=0,0,(VLOOKUP($D485,$C$5:$AU$520,25,)/VLOOKUP($D485,$C$5:$AU$520,3,))*$E485)</f>
        <v>0</v>
      </c>
      <c r="AB485" s="103">
        <f>IF(VLOOKUP($D485,$C$5:$AU$520,3,)=0,0,(VLOOKUP($D485,$C$5:$AU$520,26,)/VLOOKUP($D485,$C$5:$AU$520,3,))*$E485)</f>
        <v>0</v>
      </c>
      <c r="AC485" s="103">
        <f>IF(VLOOKUP($D485,$C$5:$AU$520,3,)=0,0,(VLOOKUP($D485,$C$5:$AU$520,27,)/VLOOKUP($D485,$C$5:$AU$520,3,))*$E485)</f>
        <v>0</v>
      </c>
      <c r="AD485" s="103">
        <f>IF(VLOOKUP($D485,$C$5:$AU$520,3,)=0,0,(VLOOKUP($D485,$C$5:$AU$520,28,)/VLOOKUP($D485,$C$5:$AU$520,3,))*$E485)</f>
        <v>0</v>
      </c>
      <c r="AE485" s="103">
        <f>IF(VLOOKUP($D485,$C$5:$AU$520,3,)=0,0,(VLOOKUP($D485,$C$5:$AU$520,29,)/VLOOKUP($D485,$C$5:$AU$520,3,))*$E485)</f>
        <v>0</v>
      </c>
      <c r="AF485" s="103">
        <f>IF(VLOOKUP($D485,$C$5:$AU$520,3,)=0,0,(VLOOKUP($D485,$C$5:$AU$520,30,)/VLOOKUP($D485,$C$5:$AU$520,3,))*$E485)</f>
        <v>0</v>
      </c>
      <c r="AG485" s="103">
        <f>SUM(F485:AF485)</f>
        <v>1.0000000000000002</v>
      </c>
      <c r="AH485" s="31" t="str">
        <f>IF(ABS(E485-AG485)&lt;0.01,"ok","err")</f>
        <v>ok</v>
      </c>
    </row>
    <row r="487" spans="1:34" x14ac:dyDescent="0.2">
      <c r="A487" s="14" t="s">
        <v>651</v>
      </c>
      <c r="C487" s="14" t="s">
        <v>658</v>
      </c>
      <c r="E487" s="50">
        <v>1949960.7237468092</v>
      </c>
      <c r="F487" s="50">
        <f>F434</f>
        <v>1675231.7412679305</v>
      </c>
      <c r="G487" s="50">
        <f>G434</f>
        <v>0</v>
      </c>
      <c r="H487" s="50">
        <f>H434</f>
        <v>108578.82280679299</v>
      </c>
      <c r="I487" s="50">
        <f>I434</f>
        <v>0</v>
      </c>
      <c r="J487" s="50">
        <f>J434</f>
        <v>136980.19636883429</v>
      </c>
      <c r="K487" s="50">
        <v>0</v>
      </c>
      <c r="L487" s="50">
        <v>0</v>
      </c>
      <c r="M487" s="50">
        <f t="shared" ref="M487:Z487" si="188">M434</f>
        <v>15555.606608422941</v>
      </c>
      <c r="N487" s="50">
        <f t="shared" si="188"/>
        <v>13614.356694828472</v>
      </c>
      <c r="O487" s="50">
        <f t="shared" si="188"/>
        <v>0</v>
      </c>
      <c r="P487" s="50">
        <f t="shared" si="188"/>
        <v>0</v>
      </c>
      <c r="Q487" s="50">
        <f t="shared" si="188"/>
        <v>0</v>
      </c>
      <c r="R487" s="50">
        <f t="shared" si="188"/>
        <v>0</v>
      </c>
      <c r="S487" s="50">
        <f t="shared" si="188"/>
        <v>0</v>
      </c>
      <c r="T487" s="50">
        <f t="shared" si="188"/>
        <v>0</v>
      </c>
      <c r="U487" s="50">
        <f t="shared" si="188"/>
        <v>0</v>
      </c>
      <c r="V487" s="50">
        <f t="shared" si="188"/>
        <v>0</v>
      </c>
      <c r="W487" s="50">
        <f t="shared" si="188"/>
        <v>0</v>
      </c>
      <c r="X487" s="50">
        <f t="shared" si="188"/>
        <v>0</v>
      </c>
      <c r="Y487" s="50">
        <f t="shared" si="188"/>
        <v>0</v>
      </c>
      <c r="Z487" s="50">
        <f t="shared" si="188"/>
        <v>0</v>
      </c>
      <c r="AA487" s="50">
        <v>0</v>
      </c>
      <c r="AB487" s="50">
        <v>0</v>
      </c>
      <c r="AC487" s="50">
        <v>0</v>
      </c>
      <c r="AD487" s="50">
        <v>0</v>
      </c>
      <c r="AE487" s="50">
        <v>0</v>
      </c>
      <c r="AF487" s="50">
        <f>AF434</f>
        <v>0</v>
      </c>
      <c r="AG487" s="95">
        <f>SUM(F487:AF487)</f>
        <v>1949960.7237468092</v>
      </c>
      <c r="AH487" s="31" t="str">
        <f t="shared" ref="AH487:AH492" si="189">IF(ABS(E487-AG487)&lt;0.01,"ok","err")</f>
        <v>ok</v>
      </c>
    </row>
    <row r="488" spans="1:34" x14ac:dyDescent="0.2">
      <c r="A488" s="14" t="s">
        <v>652</v>
      </c>
      <c r="E488" s="95">
        <f>E123</f>
        <v>22680439.375992071</v>
      </c>
      <c r="AG488" s="95">
        <f>E488</f>
        <v>22680439.375992071</v>
      </c>
      <c r="AH488" s="31" t="str">
        <f t="shared" si="189"/>
        <v>ok</v>
      </c>
    </row>
    <row r="489" spans="1:34" x14ac:dyDescent="0.2">
      <c r="A489" s="14" t="s">
        <v>594</v>
      </c>
      <c r="E489" s="132">
        <f>K489+L489</f>
        <v>2548520.4000000004</v>
      </c>
      <c r="F489" s="50"/>
      <c r="G489" s="50">
        <v>0</v>
      </c>
      <c r="H489" s="50">
        <v>0</v>
      </c>
      <c r="I489" s="50">
        <v>0</v>
      </c>
      <c r="J489" s="50">
        <v>0</v>
      </c>
      <c r="K489" s="50">
        <f>'Purchased Power'!P184</f>
        <v>1215412.8</v>
      </c>
      <c r="L489" s="50">
        <f>'Purchased Power'!P179</f>
        <v>1333107.6000000001</v>
      </c>
      <c r="M489" s="50">
        <v>0</v>
      </c>
      <c r="N489" s="50">
        <v>0</v>
      </c>
      <c r="O489" s="48">
        <v>0</v>
      </c>
      <c r="P489" s="48">
        <v>0</v>
      </c>
      <c r="Q489" s="48">
        <v>0</v>
      </c>
      <c r="R489" s="50">
        <v>0</v>
      </c>
      <c r="S489" s="14">
        <v>0</v>
      </c>
      <c r="Y489" s="50">
        <v>0</v>
      </c>
      <c r="AA489" s="48">
        <v>0</v>
      </c>
      <c r="AB489" s="50">
        <v>0</v>
      </c>
      <c r="AC489" s="50">
        <v>0</v>
      </c>
      <c r="AD489" s="48">
        <v>0</v>
      </c>
      <c r="AE489" s="48"/>
      <c r="AG489" s="95">
        <f>SUM(F489:AF489)</f>
        <v>2548520.4000000004</v>
      </c>
      <c r="AH489" s="31" t="str">
        <f t="shared" si="189"/>
        <v>ok</v>
      </c>
    </row>
    <row r="490" spans="1:34" x14ac:dyDescent="0.2">
      <c r="A490" s="14" t="s">
        <v>653</v>
      </c>
      <c r="D490" s="14" t="s">
        <v>658</v>
      </c>
      <c r="E490" s="95">
        <f>E488-E489</f>
        <v>20131918.975992069</v>
      </c>
      <c r="F490" s="66">
        <f>IF(VLOOKUP($D490,$C$5:$AU$520,3,)=0,0,(VLOOKUP($D490,$C$5:$AU$520,4,)/VLOOKUP($D490,$C$5:$AU$520,3,))*$E490)</f>
        <v>17295543.069407564</v>
      </c>
      <c r="G490" s="66">
        <f>IF(VLOOKUP($D490,$C$5:$AU$520,3,)=0,0,(VLOOKUP($D490,$C$5:$AU$520,5,)/VLOOKUP($D490,$C$5:$AU$520,3,))*$E490)</f>
        <v>0</v>
      </c>
      <c r="H490" s="66">
        <f>IF(VLOOKUP($D490,$C$5:$AU$520,3,)=0,0,(VLOOKUP($D490,$C$5:$AU$520,6,)/VLOOKUP($D490,$C$5:$AU$520,3,))*$E490)</f>
        <v>1120996.9701619397</v>
      </c>
      <c r="I490" s="66">
        <f>IF(VLOOKUP($D490,$C$5:$AU$520,3,)=0,0,(VLOOKUP($D490,$C$5:$AU$520,7,)/VLOOKUP($D490,$C$5:$AU$520,3,))*$E490)</f>
        <v>0</v>
      </c>
      <c r="J490" s="66">
        <f>IF(VLOOKUP($D490,$C$5:$AU$520,3,)=0,0,(VLOOKUP($D490,$C$5:$AU$520,8,)/VLOOKUP($D490,$C$5:$AU$520,3,))*$E490)</f>
        <v>1414220.3896876655</v>
      </c>
      <c r="K490" s="66">
        <f>IF(VLOOKUP($D490,$C$5:$AU$520,3,)=0,0,(VLOOKUP($D490,$C$5:$AU$520,9,)/VLOOKUP($D490,$C$5:$AU$520,3,))*$E490)</f>
        <v>0</v>
      </c>
      <c r="L490" s="66">
        <f>IF(VLOOKUP($D490,$C$5:$AU$520,3,)=0,0,(VLOOKUP($D490,$C$5:$AU$520,10,)/VLOOKUP($D490,$C$5:$AU$520,3,))*$E490)</f>
        <v>0</v>
      </c>
      <c r="M490" s="66">
        <f>IF(VLOOKUP($D490,$C$5:$AU$520,3,)=0,0,(VLOOKUP($D490,$C$5:$AU$520,11,)/VLOOKUP($D490,$C$5:$AU$520,3,))*$E490)</f>
        <v>160600.26648200324</v>
      </c>
      <c r="N490" s="66">
        <f>IF(VLOOKUP($D490,$C$5:$AU$520,3,)=0,0,(VLOOKUP($D490,$C$5:$AU$520,12,)/VLOOKUP($D490,$C$5:$AU$520,3,))*$E490)</f>
        <v>140558.280252895</v>
      </c>
      <c r="O490" s="66">
        <f>IF(VLOOKUP($D490,$C$5:$AU$520,3,)=0,0,(VLOOKUP($D490,$C$5:$AU$520,13,)/VLOOKUP($D490,$C$5:$AU$520,3,))*$E490)</f>
        <v>0</v>
      </c>
      <c r="P490" s="66">
        <f>IF(VLOOKUP($D490,$C$5:$AU$520,3,)=0,0,(VLOOKUP($D490,$C$5:$AU$520,14,)/VLOOKUP($D490,$C$5:$AU$520,3,))*$E490)</f>
        <v>0</v>
      </c>
      <c r="Q490" s="66">
        <f>IF(VLOOKUP($D490,$C$5:$AU$520,3,)=0,0,(VLOOKUP($D490,$C$5:$AU$520,15,)/VLOOKUP($D490,$C$5:$AU$520,3,))*$E490)</f>
        <v>0</v>
      </c>
      <c r="R490" s="66">
        <f>IF(VLOOKUP($D490,$C$5:$AU$520,3,)=0,0,(VLOOKUP($D490,$C$5:$AU$520,16,)/VLOOKUP($D490,$C$5:$AU$520,3,))*$E490)</f>
        <v>0</v>
      </c>
      <c r="S490" s="66">
        <f>IF(VLOOKUP($D490,$C$5:$AU$520,3,)=0,0,(VLOOKUP($D490,$C$5:$AU$520,17,)/VLOOKUP($D490,$C$5:$AU$520,3,))*$E490)</f>
        <v>0</v>
      </c>
      <c r="T490" s="66">
        <f>IF(VLOOKUP($D490,$C$5:$AU$520,3,)=0,0,(VLOOKUP($D490,$C$5:$AU$520,18,)/VLOOKUP($D490,$C$5:$AU$520,3,))*$E490)</f>
        <v>0</v>
      </c>
      <c r="U490" s="66">
        <f>IF(VLOOKUP($D490,$C$5:$AU$520,3,)=0,0,(VLOOKUP($D490,$C$5:$AU$520,19,)/VLOOKUP($D490,$C$5:$AU$520,3,))*$E490)</f>
        <v>0</v>
      </c>
      <c r="V490" s="66">
        <f>IF(VLOOKUP($D490,$C$5:$AU$520,3,)=0,0,(VLOOKUP($D490,$C$5:$AU$520,20,)/VLOOKUP($D490,$C$5:$AU$520,3,))*$E490)</f>
        <v>0</v>
      </c>
      <c r="W490" s="66">
        <f>IF(VLOOKUP($D490,$C$5:$AU$520,3,)=0,0,(VLOOKUP($D490,$C$5:$AU$520,21,)/VLOOKUP($D490,$C$5:$AU$520,3,))*$E490)</f>
        <v>0</v>
      </c>
      <c r="X490" s="66">
        <f>IF(VLOOKUP($D490,$C$5:$AU$520,3,)=0,0,(VLOOKUP($D490,$C$5:$AU$520,22,)/VLOOKUP($D490,$C$5:$AU$520,3,))*$E490)</f>
        <v>0</v>
      </c>
      <c r="Y490" s="66">
        <f>IF(VLOOKUP($D490,$C$5:$AU$520,3,)=0,0,(VLOOKUP($D490,$C$5:$AU$520,23,)/VLOOKUP($D490,$C$5:$AU$520,3,))*$E490)</f>
        <v>0</v>
      </c>
      <c r="Z490" s="66">
        <f>IF(VLOOKUP($D490,$C$5:$AU$520,3,)=0,0,(VLOOKUP($D490,$C$5:$AU$520,24,)/VLOOKUP($D490,$C$5:$AU$520,3,))*$E490)</f>
        <v>0</v>
      </c>
      <c r="AA490" s="66">
        <f>IF(VLOOKUP($D490,$C$5:$AU$520,3,)=0,0,(VLOOKUP($D490,$C$5:$AU$520,25,)/VLOOKUP($D490,$C$5:$AU$520,3,))*$E490)</f>
        <v>0</v>
      </c>
      <c r="AB490" s="66">
        <f>IF(VLOOKUP($D490,$C$5:$AU$520,3,)=0,0,(VLOOKUP($D490,$C$5:$AU$520,26,)/VLOOKUP($D490,$C$5:$AU$520,3,))*$E490)</f>
        <v>0</v>
      </c>
      <c r="AC490" s="66">
        <f>IF(VLOOKUP($D490,$C$5:$AU$520,3,)=0,0,(VLOOKUP($D490,$C$5:$AU$520,27,)/VLOOKUP($D490,$C$5:$AU$520,3,))*$E490)</f>
        <v>0</v>
      </c>
      <c r="AD490" s="66">
        <f>IF(VLOOKUP($D490,$C$5:$AU$520,3,)=0,0,(VLOOKUP($D490,$C$5:$AU$520,28,)/VLOOKUP($D490,$C$5:$AU$520,3,))*$E490)</f>
        <v>0</v>
      </c>
      <c r="AE490" s="66">
        <f>IF(VLOOKUP($D490,$C$5:$AU$520,3,)=0,0,(VLOOKUP($D490,$C$5:$AU$520,29,)/VLOOKUP($D490,$C$5:$AU$520,3,))*$E490)</f>
        <v>0</v>
      </c>
      <c r="AF490" s="66">
        <f>IF(VLOOKUP($D490,$C$5:$AU$520,3,)=0,0,(VLOOKUP($D490,$C$5:$AU$520,30,)/VLOOKUP($D490,$C$5:$AU$520,3,))*$E490)</f>
        <v>0</v>
      </c>
      <c r="AG490" s="95">
        <f>SUM(F490:AF490)</f>
        <v>20131918.975992069</v>
      </c>
      <c r="AH490" s="31" t="str">
        <f t="shared" si="189"/>
        <v>ok</v>
      </c>
    </row>
    <row r="491" spans="1:34" x14ac:dyDescent="0.2">
      <c r="A491" s="14" t="s">
        <v>654</v>
      </c>
      <c r="C491" s="14" t="s">
        <v>656</v>
      </c>
      <c r="E491" s="95">
        <f t="shared" ref="E491:AF491" si="190">E489+E490</f>
        <v>22680439.375992067</v>
      </c>
      <c r="F491" s="95">
        <f t="shared" si="190"/>
        <v>17295543.069407564</v>
      </c>
      <c r="G491" s="95">
        <f t="shared" si="190"/>
        <v>0</v>
      </c>
      <c r="H491" s="95">
        <f t="shared" si="190"/>
        <v>1120996.9701619397</v>
      </c>
      <c r="I491" s="95">
        <f t="shared" si="190"/>
        <v>0</v>
      </c>
      <c r="J491" s="95">
        <f t="shared" si="190"/>
        <v>1414220.3896876655</v>
      </c>
      <c r="K491" s="95">
        <f t="shared" si="190"/>
        <v>1215412.8</v>
      </c>
      <c r="L491" s="95">
        <f t="shared" si="190"/>
        <v>1333107.6000000001</v>
      </c>
      <c r="M491" s="95">
        <f t="shared" si="190"/>
        <v>160600.26648200324</v>
      </c>
      <c r="N491" s="95">
        <f t="shared" si="190"/>
        <v>140558.280252895</v>
      </c>
      <c r="O491" s="95">
        <f t="shared" si="190"/>
        <v>0</v>
      </c>
      <c r="P491" s="95">
        <f t="shared" si="190"/>
        <v>0</v>
      </c>
      <c r="Q491" s="95">
        <f t="shared" si="190"/>
        <v>0</v>
      </c>
      <c r="R491" s="95">
        <f t="shared" si="190"/>
        <v>0</v>
      </c>
      <c r="S491" s="95">
        <f t="shared" si="190"/>
        <v>0</v>
      </c>
      <c r="T491" s="95">
        <f t="shared" si="190"/>
        <v>0</v>
      </c>
      <c r="U491" s="95">
        <f t="shared" si="190"/>
        <v>0</v>
      </c>
      <c r="V491" s="95">
        <f t="shared" si="190"/>
        <v>0</v>
      </c>
      <c r="W491" s="95">
        <f t="shared" si="190"/>
        <v>0</v>
      </c>
      <c r="X491" s="95">
        <f t="shared" si="190"/>
        <v>0</v>
      </c>
      <c r="Y491" s="95">
        <f t="shared" si="190"/>
        <v>0</v>
      </c>
      <c r="Z491" s="95">
        <f t="shared" si="190"/>
        <v>0</v>
      </c>
      <c r="AA491" s="95">
        <f t="shared" si="190"/>
        <v>0</v>
      </c>
      <c r="AB491" s="95">
        <f t="shared" si="190"/>
        <v>0</v>
      </c>
      <c r="AC491" s="95">
        <f t="shared" si="190"/>
        <v>0</v>
      </c>
      <c r="AD491" s="95">
        <f t="shared" si="190"/>
        <v>0</v>
      </c>
      <c r="AE491" s="95">
        <f t="shared" si="190"/>
        <v>0</v>
      </c>
      <c r="AF491" s="95">
        <f t="shared" si="190"/>
        <v>0</v>
      </c>
      <c r="AG491" s="95">
        <f>SUM(F491:AF491)</f>
        <v>22680439.375992071</v>
      </c>
      <c r="AH491" s="31" t="str">
        <f t="shared" si="189"/>
        <v>ok</v>
      </c>
    </row>
    <row r="492" spans="1:34" x14ac:dyDescent="0.2">
      <c r="A492" s="14" t="s">
        <v>655</v>
      </c>
      <c r="C492" s="14" t="s">
        <v>657</v>
      </c>
      <c r="D492" s="14" t="s">
        <v>656</v>
      </c>
      <c r="E492" s="49">
        <v>1</v>
      </c>
      <c r="F492" s="103">
        <f>IF(VLOOKUP($D492,$C$5:$AU$520,3,)=0,0,(VLOOKUP($D492,$C$5:$AU$520,4,)/VLOOKUP($D492,$C$5:$AU$520,3,))*$E492)</f>
        <v>0.76257530917656824</v>
      </c>
      <c r="G492" s="103">
        <f>IF(VLOOKUP($D492,$C$5:$AU$520,3,)=0,0,(VLOOKUP($D492,$C$5:$AU$520,5,)/VLOOKUP($D492,$C$5:$AU$520,3,))*$E492)</f>
        <v>0</v>
      </c>
      <c r="H492" s="103">
        <f>IF(VLOOKUP($D492,$C$5:$AU$520,3,)=0,0,(VLOOKUP($D492,$C$5:$AU$520,6,)/VLOOKUP($D492,$C$5:$AU$520,3,))*$E492)</f>
        <v>4.9425716652938788E-2</v>
      </c>
      <c r="I492" s="103">
        <f>IF(VLOOKUP($D492,$C$5:$AU$520,3,)=0,0,(VLOOKUP($D492,$C$5:$AU$520,7,)/VLOOKUP($D492,$C$5:$AU$520,3,))*$E492)</f>
        <v>0</v>
      </c>
      <c r="J492" s="103">
        <f>IF(VLOOKUP($D492,$C$5:$AU$520,3,)=0,0,(VLOOKUP($D492,$C$5:$AU$520,8,)/VLOOKUP($D492,$C$5:$AU$520,3,))*$E492)</f>
        <v>6.2354188393045892E-2</v>
      </c>
      <c r="K492" s="103">
        <f>IF(VLOOKUP($D492,$C$5:$AU$520,3,)=0,0,(VLOOKUP($D492,$C$5:$AU$520,9,)/VLOOKUP($D492,$C$5:$AU$520,3,))*$E492)</f>
        <v>5.3588591466466537E-2</v>
      </c>
      <c r="L492" s="103">
        <f>IF(VLOOKUP($D492,$C$5:$AU$520,3,)=0,0,(VLOOKUP($D492,$C$5:$AU$520,10,)/VLOOKUP($D492,$C$5:$AU$520,3,))*$E492)</f>
        <v>5.8777856015044178E-2</v>
      </c>
      <c r="M492" s="103">
        <f>IF(VLOOKUP($D492,$C$5:$AU$520,3,)=0,0,(VLOOKUP($D492,$C$5:$AU$520,11,)/VLOOKUP($D492,$C$5:$AU$520,3,))*$E492)</f>
        <v>7.081003318304472E-3</v>
      </c>
      <c r="N492" s="103">
        <f>IF(VLOOKUP($D492,$C$5:$AU$520,3,)=0,0,(VLOOKUP($D492,$C$5:$AU$520,12,)/VLOOKUP($D492,$C$5:$AU$520,3,))*$E492)</f>
        <v>6.1973349776318796E-3</v>
      </c>
      <c r="O492" s="103">
        <f>IF(VLOOKUP($D492,$C$5:$AU$520,3,)=0,0,(VLOOKUP($D492,$C$5:$AU$520,13,)/VLOOKUP($D492,$C$5:$AU$520,3,))*$E492)</f>
        <v>0</v>
      </c>
      <c r="P492" s="103">
        <f>IF(VLOOKUP($D492,$C$5:$AU$520,3,)=0,0,(VLOOKUP($D492,$C$5:$AU$520,14,)/VLOOKUP($D492,$C$5:$AU$520,3,))*$E492)</f>
        <v>0</v>
      </c>
      <c r="Q492" s="103">
        <f>IF(VLOOKUP($D492,$C$5:$AU$520,3,)=0,0,(VLOOKUP($D492,$C$5:$AU$520,15,)/VLOOKUP($D492,$C$5:$AU$520,3,))*$E492)</f>
        <v>0</v>
      </c>
      <c r="R492" s="103">
        <f>IF(VLOOKUP($D492,$C$5:$AU$520,3,)=0,0,(VLOOKUP($D492,$C$5:$AU$520,16,)/VLOOKUP($D492,$C$5:$AU$520,3,))*$E492)</f>
        <v>0</v>
      </c>
      <c r="S492" s="103">
        <f>IF(VLOOKUP($D492,$C$5:$AU$520,3,)=0,0,(VLOOKUP($D492,$C$5:$AU$520,17,)/VLOOKUP($D492,$C$5:$AU$520,3,))*$E492)</f>
        <v>0</v>
      </c>
      <c r="T492" s="103">
        <f>IF(VLOOKUP($D492,$C$5:$AU$520,3,)=0,0,(VLOOKUP($D492,$C$5:$AU$520,18,)/VLOOKUP($D492,$C$5:$AU$520,3,))*$E492)</f>
        <v>0</v>
      </c>
      <c r="U492" s="103">
        <f>IF(VLOOKUP($D492,$C$5:$AU$520,3,)=0,0,(VLOOKUP($D492,$C$5:$AU$520,19,)/VLOOKUP($D492,$C$5:$AU$520,3,))*$E492)</f>
        <v>0</v>
      </c>
      <c r="V492" s="103">
        <f>IF(VLOOKUP($D492,$C$5:$AU$520,3,)=0,0,(VLOOKUP($D492,$C$5:$AU$520,20,)/VLOOKUP($D492,$C$5:$AU$520,3,))*$E492)</f>
        <v>0</v>
      </c>
      <c r="W492" s="103">
        <f>IF(VLOOKUP($D492,$C$5:$AU$520,3,)=0,0,(VLOOKUP($D492,$C$5:$AU$520,21,)/VLOOKUP($D492,$C$5:$AU$520,3,))*$E492)</f>
        <v>0</v>
      </c>
      <c r="X492" s="103">
        <f>IF(VLOOKUP($D492,$C$5:$AU$520,3,)=0,0,(VLOOKUP($D492,$C$5:$AU$520,22,)/VLOOKUP($D492,$C$5:$AU$520,3,))*$E492)</f>
        <v>0</v>
      </c>
      <c r="Y492" s="103">
        <f>IF(VLOOKUP($D492,$C$5:$AU$520,3,)=0,0,(VLOOKUP($D492,$C$5:$AU$520,23,)/VLOOKUP($D492,$C$5:$AU$520,3,))*$E492)</f>
        <v>0</v>
      </c>
      <c r="Z492" s="103">
        <f>IF(VLOOKUP($D492,$C$5:$AU$520,3,)=0,0,(VLOOKUP($D492,$C$5:$AU$520,24,)/VLOOKUP($D492,$C$5:$AU$520,3,))*$E492)</f>
        <v>0</v>
      </c>
      <c r="AA492" s="103">
        <f>IF(VLOOKUP($D492,$C$5:$AU$520,3,)=0,0,(VLOOKUP($D492,$C$5:$AU$520,25,)/VLOOKUP($D492,$C$5:$AU$520,3,))*$E492)</f>
        <v>0</v>
      </c>
      <c r="AB492" s="103">
        <f>IF(VLOOKUP($D492,$C$5:$AU$520,3,)=0,0,(VLOOKUP($D492,$C$5:$AU$520,26,)/VLOOKUP($D492,$C$5:$AU$520,3,))*$E492)</f>
        <v>0</v>
      </c>
      <c r="AC492" s="103">
        <f>IF(VLOOKUP($D492,$C$5:$AU$520,3,)=0,0,(VLOOKUP($D492,$C$5:$AU$520,27,)/VLOOKUP($D492,$C$5:$AU$520,3,))*$E492)</f>
        <v>0</v>
      </c>
      <c r="AD492" s="103">
        <f>IF(VLOOKUP($D492,$C$5:$AU$520,3,)=0,0,(VLOOKUP($D492,$C$5:$AU$520,28,)/VLOOKUP($D492,$C$5:$AU$520,3,))*$E492)</f>
        <v>0</v>
      </c>
      <c r="AE492" s="103">
        <f>IF(VLOOKUP($D492,$C$5:$AU$520,3,)=0,0,(VLOOKUP($D492,$C$5:$AU$520,29,)/VLOOKUP($D492,$C$5:$AU$520,3,))*$E492)</f>
        <v>0</v>
      </c>
      <c r="AF492" s="103">
        <f>IF(VLOOKUP($D492,$C$5:$AU$520,3,)=0,0,(VLOOKUP($D492,$C$5:$AU$520,30,)/VLOOKUP($D492,$C$5:$AU$520,3,))*$E492)</f>
        <v>0</v>
      </c>
      <c r="AG492" s="103">
        <f>SUM(F492:AF492)</f>
        <v>1</v>
      </c>
      <c r="AH492" s="31" t="str">
        <f t="shared" si="189"/>
        <v>ok</v>
      </c>
    </row>
    <row r="493" spans="1:34" x14ac:dyDescent="0.2">
      <c r="E493" s="49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31"/>
    </row>
    <row r="494" spans="1:34" x14ac:dyDescent="0.2">
      <c r="A494" s="14" t="s">
        <v>659</v>
      </c>
      <c r="C494" s="14" t="s">
        <v>664</v>
      </c>
      <c r="E494" s="50">
        <v>765095312</v>
      </c>
      <c r="F494" s="50">
        <f>F421</f>
        <v>576919032</v>
      </c>
      <c r="G494" s="50">
        <f>G421</f>
        <v>3316676</v>
      </c>
      <c r="H494" s="50">
        <f>H421</f>
        <v>59372503</v>
      </c>
      <c r="I494" s="50">
        <f>I421</f>
        <v>23150</v>
      </c>
      <c r="J494" s="50">
        <f>J421</f>
        <v>74901660</v>
      </c>
      <c r="K494" s="50">
        <v>0</v>
      </c>
      <c r="L494" s="50">
        <v>0</v>
      </c>
      <c r="M494" s="50">
        <f t="shared" ref="M494:Z494" si="191">M421</f>
        <v>22682514</v>
      </c>
      <c r="N494" s="50">
        <f t="shared" si="191"/>
        <v>9939021</v>
      </c>
      <c r="O494" s="50">
        <f t="shared" si="191"/>
        <v>17940756</v>
      </c>
      <c r="P494" s="50">
        <f t="shared" si="191"/>
        <v>0</v>
      </c>
      <c r="Q494" s="50">
        <f t="shared" si="191"/>
        <v>0</v>
      </c>
      <c r="R494" s="50">
        <f t="shared" si="191"/>
        <v>0</v>
      </c>
      <c r="S494" s="50">
        <f t="shared" si="191"/>
        <v>0</v>
      </c>
      <c r="T494" s="50">
        <f t="shared" si="191"/>
        <v>0</v>
      </c>
      <c r="U494" s="50">
        <f t="shared" si="191"/>
        <v>0</v>
      </c>
      <c r="V494" s="50">
        <f t="shared" si="191"/>
        <v>0</v>
      </c>
      <c r="W494" s="50">
        <f t="shared" si="191"/>
        <v>0</v>
      </c>
      <c r="X494" s="50">
        <f t="shared" si="191"/>
        <v>0</v>
      </c>
      <c r="Y494" s="50">
        <f t="shared" si="191"/>
        <v>0</v>
      </c>
      <c r="Z494" s="50">
        <f t="shared" si="191"/>
        <v>0</v>
      </c>
      <c r="AA494" s="50">
        <v>0</v>
      </c>
      <c r="AB494" s="50">
        <v>0</v>
      </c>
      <c r="AC494" s="50">
        <v>0</v>
      </c>
      <c r="AD494" s="50">
        <v>0</v>
      </c>
      <c r="AE494" s="50">
        <v>0</v>
      </c>
      <c r="AF494" s="50">
        <f>AF421</f>
        <v>0</v>
      </c>
      <c r="AG494" s="95">
        <f>SUM(F494:AF494)</f>
        <v>765095312</v>
      </c>
      <c r="AH494" s="31" t="str">
        <f t="shared" ref="AH494:AH499" si="192">IF(ABS(E494-AG494)&lt;0.01,"ok","err")</f>
        <v>ok</v>
      </c>
    </row>
    <row r="495" spans="1:34" x14ac:dyDescent="0.2">
      <c r="A495" s="14" t="s">
        <v>660</v>
      </c>
      <c r="E495" s="95">
        <f>E124</f>
        <v>59046070.624007918</v>
      </c>
      <c r="AG495" s="95">
        <f>E495</f>
        <v>59046070.624007918</v>
      </c>
      <c r="AH495" s="31" t="str">
        <f t="shared" si="192"/>
        <v>ok</v>
      </c>
    </row>
    <row r="496" spans="1:34" x14ac:dyDescent="0.2">
      <c r="A496" s="14" t="s">
        <v>594</v>
      </c>
      <c r="E496" s="66">
        <f>K496+L496</f>
        <v>8626292.1999999993</v>
      </c>
      <c r="F496" s="50">
        <v>0</v>
      </c>
      <c r="G496" s="50">
        <v>0</v>
      </c>
      <c r="H496" s="50">
        <v>0</v>
      </c>
      <c r="I496" s="50">
        <v>0</v>
      </c>
      <c r="J496" s="50">
        <v>0</v>
      </c>
      <c r="K496" s="50">
        <f>'Purchased Power'!P185</f>
        <v>5205004.2</v>
      </c>
      <c r="L496" s="50">
        <f>'Purchased Power'!P180</f>
        <v>3421288</v>
      </c>
      <c r="M496" s="50">
        <v>0</v>
      </c>
      <c r="N496" s="50">
        <v>0</v>
      </c>
      <c r="O496" s="50">
        <v>0</v>
      </c>
      <c r="P496" s="50">
        <v>0</v>
      </c>
      <c r="Q496" s="50">
        <v>0</v>
      </c>
      <c r="R496" s="50">
        <v>0</v>
      </c>
      <c r="S496" s="50">
        <v>0</v>
      </c>
      <c r="T496" s="50"/>
      <c r="U496" s="50"/>
      <c r="V496" s="50"/>
      <c r="W496" s="50"/>
      <c r="X496" s="50"/>
      <c r="Y496" s="50">
        <v>0</v>
      </c>
      <c r="Z496" s="50"/>
      <c r="AA496" s="50">
        <v>0</v>
      </c>
      <c r="AB496" s="50">
        <v>0</v>
      </c>
      <c r="AC496" s="50">
        <v>0</v>
      </c>
      <c r="AD496" s="50">
        <v>0</v>
      </c>
      <c r="AE496" s="50"/>
      <c r="AF496" s="50"/>
      <c r="AG496" s="95">
        <f>SUM(F496:AF496)</f>
        <v>8626292.1999999993</v>
      </c>
      <c r="AH496" s="31" t="str">
        <f t="shared" si="192"/>
        <v>ok</v>
      </c>
    </row>
    <row r="497" spans="1:41" x14ac:dyDescent="0.2">
      <c r="A497" s="14" t="s">
        <v>661</v>
      </c>
      <c r="D497" s="14" t="s">
        <v>664</v>
      </c>
      <c r="E497" s="95">
        <f>E495-E496</f>
        <v>50419778.424007922</v>
      </c>
      <c r="F497" s="66">
        <f>IF(VLOOKUP($D497,$C$5:$AU$520,3,)=0,0,(VLOOKUP($D497,$C$5:$AU$520,4,)/VLOOKUP($D497,$C$5:$AU$520,3,))*$E497)</f>
        <v>38018962.220530689</v>
      </c>
      <c r="G497" s="66">
        <f>IF(VLOOKUP($D497,$C$5:$AU$520,3,)=0,0,(VLOOKUP($D497,$C$5:$AU$520,5,)/VLOOKUP($D497,$C$5:$AU$520,3,))*$E497)</f>
        <v>218568.93696954829</v>
      </c>
      <c r="H497" s="66">
        <f>IF(VLOOKUP($D497,$C$5:$AU$520,3,)=0,0,(VLOOKUP($D497,$C$5:$AU$520,6,)/VLOOKUP($D497,$C$5:$AU$520,3,))*$E497)</f>
        <v>3912647.7430811203</v>
      </c>
      <c r="I497" s="66">
        <f>IF(VLOOKUP($D497,$C$5:$AU$520,3,)=0,0,(VLOOKUP($D497,$C$5:$AU$520,7,)/VLOOKUP($D497,$C$5:$AU$520,3,))*$E497)</f>
        <v>1525.5849202168206</v>
      </c>
      <c r="J497" s="66">
        <f>IF(VLOOKUP($D497,$C$5:$AU$520,3,)=0,0,(VLOOKUP($D497,$C$5:$AU$520,8,)/VLOOKUP($D497,$C$5:$AU$520,3,))*$E497)</f>
        <v>4936019.1358620916</v>
      </c>
      <c r="K497" s="66">
        <f>IF(VLOOKUP($D497,$C$5:$AU$520,3,)=0,0,(VLOOKUP($D497,$C$5:$AU$520,9,)/VLOOKUP($D497,$C$5:$AU$520,3,))*$E497)</f>
        <v>0</v>
      </c>
      <c r="L497" s="66">
        <f>IF(VLOOKUP($D497,$C$5:$AU$520,3,)=0,0,(VLOOKUP($D497,$C$5:$AU$520,10,)/VLOOKUP($D497,$C$5:$AU$520,3,))*$E497)</f>
        <v>0</v>
      </c>
      <c r="M497" s="66">
        <f>IF(VLOOKUP($D497,$C$5:$AU$520,3,)=0,0,(VLOOKUP($D497,$C$5:$AU$520,11,)/VLOOKUP($D497,$C$5:$AU$520,3,))*$E497)</f>
        <v>1494777.5944279444</v>
      </c>
      <c r="N497" s="66">
        <f>IF(VLOOKUP($D497,$C$5:$AU$520,3,)=0,0,(VLOOKUP($D497,$C$5:$AU$520,12,)/VLOOKUP($D497,$C$5:$AU$520,3,))*$E497)</f>
        <v>654981.44964657899</v>
      </c>
      <c r="O497" s="66">
        <f>IF(VLOOKUP($D497,$C$5:$AU$520,3,)=0,0,(VLOOKUP($D497,$C$5:$AU$520,13,)/VLOOKUP($D497,$C$5:$AU$520,3,))*$E497)</f>
        <v>1182295.7585697386</v>
      </c>
      <c r="P497" s="66">
        <f>IF(VLOOKUP($D497,$C$5:$AU$520,3,)=0,0,(VLOOKUP($D497,$C$5:$AU$520,14,)/VLOOKUP($D497,$C$5:$AU$520,3,))*$E497)</f>
        <v>0</v>
      </c>
      <c r="Q497" s="66">
        <f>IF(VLOOKUP($D497,$C$5:$AU$520,3,)=0,0,(VLOOKUP($D497,$C$5:$AU$520,15,)/VLOOKUP($D497,$C$5:$AU$520,3,))*$E497)</f>
        <v>0</v>
      </c>
      <c r="R497" s="66">
        <f>IF(VLOOKUP($D497,$C$5:$AU$520,3,)=0,0,(VLOOKUP($D497,$C$5:$AU$520,16,)/VLOOKUP($D497,$C$5:$AU$520,3,))*$E497)</f>
        <v>0</v>
      </c>
      <c r="S497" s="66">
        <f>IF(VLOOKUP($D497,$C$5:$AU$520,3,)=0,0,(VLOOKUP($D497,$C$5:$AU$520,17,)/VLOOKUP($D497,$C$5:$AU$520,3,))*$E497)</f>
        <v>0</v>
      </c>
      <c r="T497" s="66">
        <f>IF(VLOOKUP($D497,$C$5:$AU$520,3,)=0,0,(VLOOKUP($D497,$C$5:$AU$520,18,)/VLOOKUP($D497,$C$5:$AU$520,3,))*$E497)</f>
        <v>0</v>
      </c>
      <c r="U497" s="66">
        <f>IF(VLOOKUP($D497,$C$5:$AU$520,3,)=0,0,(VLOOKUP($D497,$C$5:$AU$520,19,)/VLOOKUP($D497,$C$5:$AU$520,3,))*$E497)</f>
        <v>0</v>
      </c>
      <c r="V497" s="66">
        <f>IF(VLOOKUP($D497,$C$5:$AU$520,3,)=0,0,(VLOOKUP($D497,$C$5:$AU$520,20,)/VLOOKUP($D497,$C$5:$AU$520,3,))*$E497)</f>
        <v>0</v>
      </c>
      <c r="W497" s="66">
        <f>IF(VLOOKUP($D497,$C$5:$AU$520,3,)=0,0,(VLOOKUP($D497,$C$5:$AU$520,21,)/VLOOKUP($D497,$C$5:$AU$520,3,))*$E497)</f>
        <v>0</v>
      </c>
      <c r="X497" s="66">
        <f>IF(VLOOKUP($D497,$C$5:$AU$520,3,)=0,0,(VLOOKUP($D497,$C$5:$AU$520,22,)/VLOOKUP($D497,$C$5:$AU$520,3,))*$E497)</f>
        <v>0</v>
      </c>
      <c r="Y497" s="66">
        <f>IF(VLOOKUP($D497,$C$5:$AU$520,3,)=0,0,(VLOOKUP($D497,$C$5:$AU$520,23,)/VLOOKUP($D497,$C$5:$AU$520,3,))*$E497)</f>
        <v>0</v>
      </c>
      <c r="Z497" s="66">
        <f>IF(VLOOKUP($D497,$C$5:$AU$520,3,)=0,0,(VLOOKUP($D497,$C$5:$AU$520,24,)/VLOOKUP($D497,$C$5:$AU$520,3,))*$E497)</f>
        <v>0</v>
      </c>
      <c r="AA497" s="66">
        <f>IF(VLOOKUP($D497,$C$5:$AU$520,3,)=0,0,(VLOOKUP($D497,$C$5:$AU$520,25,)/VLOOKUP($D497,$C$5:$AU$520,3,))*$E497)</f>
        <v>0</v>
      </c>
      <c r="AB497" s="66">
        <f>IF(VLOOKUP($D497,$C$5:$AU$520,3,)=0,0,(VLOOKUP($D497,$C$5:$AU$520,26,)/VLOOKUP($D497,$C$5:$AU$520,3,))*$E497)</f>
        <v>0</v>
      </c>
      <c r="AC497" s="66">
        <f>IF(VLOOKUP($D497,$C$5:$AU$520,3,)=0,0,(VLOOKUP($D497,$C$5:$AU$520,27,)/VLOOKUP($D497,$C$5:$AU$520,3,))*$E497)</f>
        <v>0</v>
      </c>
      <c r="AD497" s="66">
        <f>IF(VLOOKUP($D497,$C$5:$AU$520,3,)=0,0,(VLOOKUP($D497,$C$5:$AU$520,28,)/VLOOKUP($D497,$C$5:$AU$520,3,))*$E497)</f>
        <v>0</v>
      </c>
      <c r="AE497" s="66">
        <f>IF(VLOOKUP($D497,$C$5:$AU$520,3,)=0,0,(VLOOKUP($D497,$C$5:$AU$520,29,)/VLOOKUP($D497,$C$5:$AU$520,3,))*$E497)</f>
        <v>0</v>
      </c>
      <c r="AF497" s="66">
        <f>IF(VLOOKUP($D497,$C$5:$AU$520,3,)=0,0,(VLOOKUP($D497,$C$5:$AU$520,30,)/VLOOKUP($D497,$C$5:$AU$520,3,))*$E497)</f>
        <v>0</v>
      </c>
      <c r="AG497" s="95">
        <f>SUM(F497:AF497)</f>
        <v>50419778.42400793</v>
      </c>
      <c r="AH497" s="31" t="str">
        <f t="shared" si="192"/>
        <v>ok</v>
      </c>
    </row>
    <row r="498" spans="1:41" x14ac:dyDescent="0.2">
      <c r="A498" s="14" t="s">
        <v>662</v>
      </c>
      <c r="C498" s="14" t="s">
        <v>665</v>
      </c>
      <c r="E498" s="95">
        <f t="shared" ref="E498:AF498" si="193">E496+E497</f>
        <v>59046070.624007925</v>
      </c>
      <c r="F498" s="95">
        <f t="shared" si="193"/>
        <v>38018962.220530689</v>
      </c>
      <c r="G498" s="95">
        <f t="shared" si="193"/>
        <v>218568.93696954829</v>
      </c>
      <c r="H498" s="95">
        <f t="shared" si="193"/>
        <v>3912647.7430811203</v>
      </c>
      <c r="I498" s="95">
        <f t="shared" si="193"/>
        <v>1525.5849202168206</v>
      </c>
      <c r="J498" s="95">
        <f t="shared" si="193"/>
        <v>4936019.1358620916</v>
      </c>
      <c r="K498" s="95">
        <f t="shared" si="193"/>
        <v>5205004.2</v>
      </c>
      <c r="L498" s="95">
        <f t="shared" si="193"/>
        <v>3421288</v>
      </c>
      <c r="M498" s="95">
        <f t="shared" si="193"/>
        <v>1494777.5944279444</v>
      </c>
      <c r="N498" s="95">
        <f t="shared" si="193"/>
        <v>654981.44964657899</v>
      </c>
      <c r="O498" s="95">
        <f t="shared" si="193"/>
        <v>1182295.7585697386</v>
      </c>
      <c r="P498" s="95">
        <f t="shared" si="193"/>
        <v>0</v>
      </c>
      <c r="Q498" s="95">
        <f t="shared" si="193"/>
        <v>0</v>
      </c>
      <c r="R498" s="95">
        <f t="shared" si="193"/>
        <v>0</v>
      </c>
      <c r="S498" s="95">
        <f t="shared" si="193"/>
        <v>0</v>
      </c>
      <c r="T498" s="95">
        <f t="shared" si="193"/>
        <v>0</v>
      </c>
      <c r="U498" s="95">
        <f t="shared" si="193"/>
        <v>0</v>
      </c>
      <c r="V498" s="95">
        <f t="shared" si="193"/>
        <v>0</v>
      </c>
      <c r="W498" s="95">
        <f t="shared" si="193"/>
        <v>0</v>
      </c>
      <c r="X498" s="95">
        <f t="shared" si="193"/>
        <v>0</v>
      </c>
      <c r="Y498" s="95">
        <f t="shared" si="193"/>
        <v>0</v>
      </c>
      <c r="Z498" s="95">
        <f t="shared" si="193"/>
        <v>0</v>
      </c>
      <c r="AA498" s="95">
        <f t="shared" si="193"/>
        <v>0</v>
      </c>
      <c r="AB498" s="95">
        <f t="shared" si="193"/>
        <v>0</v>
      </c>
      <c r="AC498" s="95">
        <f t="shared" si="193"/>
        <v>0</v>
      </c>
      <c r="AD498" s="95">
        <f t="shared" si="193"/>
        <v>0</v>
      </c>
      <c r="AE498" s="95">
        <f t="shared" si="193"/>
        <v>0</v>
      </c>
      <c r="AF498" s="95">
        <f t="shared" si="193"/>
        <v>0</v>
      </c>
      <c r="AG498" s="95">
        <f>SUM(F498:AF498)</f>
        <v>59046070.624007933</v>
      </c>
      <c r="AH498" s="31" t="str">
        <f t="shared" si="192"/>
        <v>ok</v>
      </c>
    </row>
    <row r="499" spans="1:41" x14ac:dyDescent="0.2">
      <c r="A499" s="14" t="s">
        <v>663</v>
      </c>
      <c r="C499" s="14" t="s">
        <v>666</v>
      </c>
      <c r="D499" s="14" t="s">
        <v>665</v>
      </c>
      <c r="E499" s="49">
        <v>1</v>
      </c>
      <c r="F499" s="103">
        <f>IF(VLOOKUP($D499,$C$5:$AU$520,3,)=0,0,(VLOOKUP($D499,$C$5:$AU$520,4,)/VLOOKUP($D499,$C$5:$AU$520,3,))*$E499)</f>
        <v>0.64388640630511851</v>
      </c>
      <c r="G499" s="103">
        <f>IF(VLOOKUP($D499,$C$5:$AU$520,3,)=0,0,(VLOOKUP($D499,$C$5:$AU$520,5,)/VLOOKUP($D499,$C$5:$AU$520,3,))*$E499)</f>
        <v>3.7016677766984027E-3</v>
      </c>
      <c r="H499" s="103">
        <f>IF(VLOOKUP($D499,$C$5:$AU$520,3,)=0,0,(VLOOKUP($D499,$C$5:$AU$520,6,)/VLOOKUP($D499,$C$5:$AU$520,3,))*$E499)</f>
        <v>6.626432041508705E-2</v>
      </c>
      <c r="I499" s="103">
        <f>IF(VLOOKUP($D499,$C$5:$AU$520,3,)=0,0,(VLOOKUP($D499,$C$5:$AU$520,7,)/VLOOKUP($D499,$C$5:$AU$520,3,))*$E499)</f>
        <v>2.5837196346754414E-5</v>
      </c>
      <c r="J499" s="103">
        <f>IF(VLOOKUP($D499,$C$5:$AU$520,3,)=0,0,(VLOOKUP($D499,$C$5:$AU$520,8,)/VLOOKUP($D499,$C$5:$AU$520,3,))*$E499)</f>
        <v>8.3596064627120562E-2</v>
      </c>
      <c r="K499" s="103">
        <f>IF(VLOOKUP($D499,$C$5:$AU$520,3,)=0,0,(VLOOKUP($D499,$C$5:$AU$520,9,)/VLOOKUP($D499,$C$5:$AU$520,3,))*$E499)</f>
        <v>8.8151576302922752E-2</v>
      </c>
      <c r="L499" s="103">
        <f>IF(VLOOKUP($D499,$C$5:$AU$520,3,)=0,0,(VLOOKUP($D499,$C$5:$AU$520,10,)/VLOOKUP($D499,$C$5:$AU$520,3,))*$E499)</f>
        <v>5.7942687190583625E-2</v>
      </c>
      <c r="M499" s="103">
        <f>IF(VLOOKUP($D499,$C$5:$AU$520,3,)=0,0,(VLOOKUP($D499,$C$5:$AU$520,11,)/VLOOKUP($D499,$C$5:$AU$520,3,))*$E499)</f>
        <v>2.531544569572379E-2</v>
      </c>
      <c r="N499" s="103">
        <f>IF(VLOOKUP($D499,$C$5:$AU$520,3,)=0,0,(VLOOKUP($D499,$C$5:$AU$520,12,)/VLOOKUP($D499,$C$5:$AU$520,3,))*$E499)</f>
        <v>1.1092718663996344E-2</v>
      </c>
      <c r="O499" s="103">
        <f>IF(VLOOKUP($D499,$C$5:$AU$520,3,)=0,0,(VLOOKUP($D499,$C$5:$AU$520,13,)/VLOOKUP($D499,$C$5:$AU$520,3,))*$E499)</f>
        <v>2.0023275826402263E-2</v>
      </c>
      <c r="P499" s="103">
        <f>IF(VLOOKUP($D499,$C$5:$AU$520,3,)=0,0,(VLOOKUP($D499,$C$5:$AU$520,14,)/VLOOKUP($D499,$C$5:$AU$520,3,))*$E499)</f>
        <v>0</v>
      </c>
      <c r="Q499" s="103">
        <f>IF(VLOOKUP($D499,$C$5:$AU$520,3,)=0,0,(VLOOKUP($D499,$C$5:$AU$520,15,)/VLOOKUP($D499,$C$5:$AU$520,3,))*$E499)</f>
        <v>0</v>
      </c>
      <c r="R499" s="103">
        <f>IF(VLOOKUP($D499,$C$5:$AU$520,3,)=0,0,(VLOOKUP($D499,$C$5:$AU$520,16,)/VLOOKUP($D499,$C$5:$AU$520,3,))*$E499)</f>
        <v>0</v>
      </c>
      <c r="S499" s="103">
        <f>IF(VLOOKUP($D499,$C$5:$AU$520,3,)=0,0,(VLOOKUP($D499,$C$5:$AU$520,17,)/VLOOKUP($D499,$C$5:$AU$520,3,))*$E499)</f>
        <v>0</v>
      </c>
      <c r="T499" s="103">
        <f>IF(VLOOKUP($D499,$C$5:$AU$520,3,)=0,0,(VLOOKUP($D499,$C$5:$AU$520,18,)/VLOOKUP($D499,$C$5:$AU$520,3,))*$E499)</f>
        <v>0</v>
      </c>
      <c r="U499" s="103">
        <f>IF(VLOOKUP($D499,$C$5:$AU$520,3,)=0,0,(VLOOKUP($D499,$C$5:$AU$520,19,)/VLOOKUP($D499,$C$5:$AU$520,3,))*$E499)</f>
        <v>0</v>
      </c>
      <c r="V499" s="103">
        <f>IF(VLOOKUP($D499,$C$5:$AU$520,3,)=0,0,(VLOOKUP($D499,$C$5:$AU$520,20,)/VLOOKUP($D499,$C$5:$AU$520,3,))*$E499)</f>
        <v>0</v>
      </c>
      <c r="W499" s="103">
        <f>IF(VLOOKUP($D499,$C$5:$AU$520,3,)=0,0,(VLOOKUP($D499,$C$5:$AU$520,21,)/VLOOKUP($D499,$C$5:$AU$520,3,))*$E499)</f>
        <v>0</v>
      </c>
      <c r="X499" s="103">
        <f>IF(VLOOKUP($D499,$C$5:$AU$520,3,)=0,0,(VLOOKUP($D499,$C$5:$AU$520,22,)/VLOOKUP($D499,$C$5:$AU$520,3,))*$E499)</f>
        <v>0</v>
      </c>
      <c r="Y499" s="103">
        <f>IF(VLOOKUP($D499,$C$5:$AU$520,3,)=0,0,(VLOOKUP($D499,$C$5:$AU$520,23,)/VLOOKUP($D499,$C$5:$AU$520,3,))*$E499)</f>
        <v>0</v>
      </c>
      <c r="Z499" s="103">
        <f>IF(VLOOKUP($D499,$C$5:$AU$520,3,)=0,0,(VLOOKUP($D499,$C$5:$AU$520,24,)/VLOOKUP($D499,$C$5:$AU$520,3,))*$E499)</f>
        <v>0</v>
      </c>
      <c r="AA499" s="103">
        <f>IF(VLOOKUP($D499,$C$5:$AU$520,3,)=0,0,(VLOOKUP($D499,$C$5:$AU$520,25,)/VLOOKUP($D499,$C$5:$AU$520,3,))*$E499)</f>
        <v>0</v>
      </c>
      <c r="AB499" s="103">
        <f>IF(VLOOKUP($D499,$C$5:$AU$520,3,)=0,0,(VLOOKUP($D499,$C$5:$AU$520,26,)/VLOOKUP($D499,$C$5:$AU$520,3,))*$E499)</f>
        <v>0</v>
      </c>
      <c r="AC499" s="103">
        <f>IF(VLOOKUP($D499,$C$5:$AU$520,3,)=0,0,(VLOOKUP($D499,$C$5:$AU$520,27,)/VLOOKUP($D499,$C$5:$AU$520,3,))*$E499)</f>
        <v>0</v>
      </c>
      <c r="AD499" s="103">
        <f>IF(VLOOKUP($D499,$C$5:$AU$520,3,)=0,0,(VLOOKUP($D499,$C$5:$AU$520,28,)/VLOOKUP($D499,$C$5:$AU$520,3,))*$E499)</f>
        <v>0</v>
      </c>
      <c r="AE499" s="103">
        <f>IF(VLOOKUP($D499,$C$5:$AU$520,3,)=0,0,(VLOOKUP($D499,$C$5:$AU$520,29,)/VLOOKUP($D499,$C$5:$AU$520,3,))*$E499)</f>
        <v>0</v>
      </c>
      <c r="AF499" s="103">
        <f>IF(VLOOKUP($D499,$C$5:$AU$520,3,)=0,0,(VLOOKUP($D499,$C$5:$AU$520,30,)/VLOOKUP($D499,$C$5:$AU$520,3,))*$E499)</f>
        <v>0</v>
      </c>
      <c r="AG499" s="103">
        <f>SUM(F499:AF499)</f>
        <v>0.99999999999999989</v>
      </c>
      <c r="AH499" s="31" t="str">
        <f t="shared" si="192"/>
        <v>ok</v>
      </c>
    </row>
    <row r="500" spans="1:41" x14ac:dyDescent="0.2">
      <c r="E500" s="49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31"/>
    </row>
    <row r="501" spans="1:41" x14ac:dyDescent="0.2">
      <c r="A501" s="13" t="s">
        <v>327</v>
      </c>
    </row>
    <row r="502" spans="1:41" x14ac:dyDescent="0.2">
      <c r="AJ502" s="92"/>
      <c r="AK502" s="192"/>
      <c r="AL502" s="92"/>
      <c r="AM502" s="92"/>
      <c r="AN502" s="92"/>
      <c r="AO502" s="92"/>
    </row>
    <row r="503" spans="1:41" x14ac:dyDescent="0.2">
      <c r="A503" s="14" t="s">
        <v>645</v>
      </c>
      <c r="E503" s="95">
        <f t="shared" ref="E503:R503" si="194">E123+E199+E237+E275</f>
        <v>22680439.375992071</v>
      </c>
      <c r="F503" s="95">
        <f t="shared" si="194"/>
        <v>17295543.069407567</v>
      </c>
      <c r="G503" s="95">
        <f t="shared" si="194"/>
        <v>0</v>
      </c>
      <c r="H503" s="95">
        <f t="shared" si="194"/>
        <v>1120996.97016194</v>
      </c>
      <c r="I503" s="95">
        <f t="shared" si="194"/>
        <v>0</v>
      </c>
      <c r="J503" s="95">
        <f t="shared" si="194"/>
        <v>1414220.3896876657</v>
      </c>
      <c r="K503" s="95">
        <f t="shared" si="194"/>
        <v>1215412.8000000003</v>
      </c>
      <c r="L503" s="95">
        <f t="shared" si="194"/>
        <v>1333107.6000000003</v>
      </c>
      <c r="M503" s="95">
        <f t="shared" si="194"/>
        <v>160600.26648200327</v>
      </c>
      <c r="N503" s="95">
        <f t="shared" si="194"/>
        <v>140558.28025289503</v>
      </c>
      <c r="O503" s="95">
        <f t="shared" si="194"/>
        <v>0</v>
      </c>
      <c r="P503" s="95">
        <f t="shared" si="194"/>
        <v>0</v>
      </c>
      <c r="Q503" s="95">
        <f t="shared" si="194"/>
        <v>0</v>
      </c>
      <c r="R503" s="95">
        <f t="shared" si="194"/>
        <v>0</v>
      </c>
      <c r="S503" s="95">
        <f t="shared" ref="S503:AF503" si="195">S123</f>
        <v>0</v>
      </c>
      <c r="T503" s="95">
        <f t="shared" si="195"/>
        <v>0</v>
      </c>
      <c r="U503" s="95">
        <f t="shared" si="195"/>
        <v>0</v>
      </c>
      <c r="V503" s="95">
        <f t="shared" si="195"/>
        <v>0</v>
      </c>
      <c r="W503" s="95">
        <f t="shared" si="195"/>
        <v>0</v>
      </c>
      <c r="X503" s="95">
        <f t="shared" si="195"/>
        <v>0</v>
      </c>
      <c r="Y503" s="95">
        <f t="shared" si="195"/>
        <v>0</v>
      </c>
      <c r="Z503" s="95">
        <f t="shared" si="195"/>
        <v>0</v>
      </c>
      <c r="AA503" s="95">
        <f t="shared" si="195"/>
        <v>0</v>
      </c>
      <c r="AB503" s="95">
        <f t="shared" si="195"/>
        <v>0</v>
      </c>
      <c r="AC503" s="95">
        <f t="shared" si="195"/>
        <v>0</v>
      </c>
      <c r="AD503" s="95">
        <f t="shared" si="195"/>
        <v>0</v>
      </c>
      <c r="AE503" s="95">
        <f t="shared" si="195"/>
        <v>0</v>
      </c>
      <c r="AF503" s="95">
        <f t="shared" si="195"/>
        <v>0</v>
      </c>
      <c r="AG503" s="95">
        <f>SUM(F503:AF503)</f>
        <v>22680439.375992075</v>
      </c>
      <c r="AH503" s="31" t="str">
        <f t="shared" ref="AH503:AH508" si="196">IF(ABS(E503-AG503)&lt;0.01,"ok","err")</f>
        <v>ok</v>
      </c>
      <c r="AJ503" s="79"/>
      <c r="AK503" s="79"/>
      <c r="AL503" s="79"/>
      <c r="AM503" s="79"/>
      <c r="AN503" s="79"/>
      <c r="AO503" s="79"/>
    </row>
    <row r="504" spans="1:41" x14ac:dyDescent="0.2">
      <c r="A504" s="14" t="s">
        <v>646</v>
      </c>
      <c r="E504" s="95">
        <f t="shared" ref="E504:R504" si="197">E124+E200+E238+E276</f>
        <v>59046070.624007918</v>
      </c>
      <c r="F504" s="95">
        <f t="shared" si="197"/>
        <v>38018962.220530681</v>
      </c>
      <c r="G504" s="95">
        <f t="shared" si="197"/>
        <v>218568.93696954826</v>
      </c>
      <c r="H504" s="95">
        <f t="shared" si="197"/>
        <v>3912647.7430811194</v>
      </c>
      <c r="I504" s="95">
        <f t="shared" si="197"/>
        <v>1525.5849202168206</v>
      </c>
      <c r="J504" s="95">
        <f t="shared" si="197"/>
        <v>4936019.1358620906</v>
      </c>
      <c r="K504" s="95">
        <f t="shared" si="197"/>
        <v>5205004.1999999993</v>
      </c>
      <c r="L504" s="95">
        <f t="shared" si="197"/>
        <v>3421287.9999999995</v>
      </c>
      <c r="M504" s="95">
        <f t="shared" si="197"/>
        <v>1494777.5944279442</v>
      </c>
      <c r="N504" s="95">
        <f t="shared" si="197"/>
        <v>654981.44964657887</v>
      </c>
      <c r="O504" s="95">
        <f t="shared" si="197"/>
        <v>1182295.7585697386</v>
      </c>
      <c r="P504" s="95">
        <f t="shared" si="197"/>
        <v>0</v>
      </c>
      <c r="Q504" s="95">
        <f t="shared" si="197"/>
        <v>0</v>
      </c>
      <c r="R504" s="95">
        <f t="shared" si="197"/>
        <v>0</v>
      </c>
      <c r="S504" s="95">
        <f t="shared" ref="S504:AF504" si="198">S124</f>
        <v>0</v>
      </c>
      <c r="T504" s="95">
        <f t="shared" si="198"/>
        <v>0</v>
      </c>
      <c r="U504" s="95">
        <f t="shared" si="198"/>
        <v>0</v>
      </c>
      <c r="V504" s="95">
        <f t="shared" si="198"/>
        <v>0</v>
      </c>
      <c r="W504" s="95">
        <f t="shared" si="198"/>
        <v>0</v>
      </c>
      <c r="X504" s="95">
        <f t="shared" si="198"/>
        <v>0</v>
      </c>
      <c r="Y504" s="95">
        <f t="shared" si="198"/>
        <v>0</v>
      </c>
      <c r="Z504" s="95">
        <f t="shared" si="198"/>
        <v>0</v>
      </c>
      <c r="AA504" s="95">
        <f t="shared" si="198"/>
        <v>0</v>
      </c>
      <c r="AB504" s="95">
        <f t="shared" si="198"/>
        <v>0</v>
      </c>
      <c r="AC504" s="95">
        <f t="shared" si="198"/>
        <v>0</v>
      </c>
      <c r="AD504" s="95">
        <f t="shared" si="198"/>
        <v>0</v>
      </c>
      <c r="AE504" s="95">
        <f t="shared" si="198"/>
        <v>0</v>
      </c>
      <c r="AF504" s="95">
        <f t="shared" si="198"/>
        <v>0</v>
      </c>
      <c r="AG504" s="95">
        <f>SUM(F504:AF504)</f>
        <v>59046070.624007918</v>
      </c>
      <c r="AH504" s="31" t="str">
        <f t="shared" si="196"/>
        <v>ok</v>
      </c>
      <c r="AJ504" s="79"/>
      <c r="AK504" s="79"/>
      <c r="AL504" s="79"/>
      <c r="AM504" s="79"/>
      <c r="AN504" s="79"/>
      <c r="AO504" s="79"/>
    </row>
    <row r="505" spans="1:41" x14ac:dyDescent="0.2">
      <c r="A505" s="14" t="s">
        <v>893</v>
      </c>
      <c r="E505" s="95">
        <f t="shared" ref="E505:R505" si="199">E128+E204+E242+E280</f>
        <v>0</v>
      </c>
      <c r="F505" s="95">
        <f t="shared" si="199"/>
        <v>0</v>
      </c>
      <c r="G505" s="95">
        <f t="shared" si="199"/>
        <v>0</v>
      </c>
      <c r="H505" s="95">
        <f t="shared" si="199"/>
        <v>0</v>
      </c>
      <c r="I505" s="95">
        <f t="shared" si="199"/>
        <v>0</v>
      </c>
      <c r="J505" s="95">
        <f t="shared" si="199"/>
        <v>0</v>
      </c>
      <c r="K505" s="95">
        <f t="shared" si="199"/>
        <v>0</v>
      </c>
      <c r="L505" s="95">
        <f t="shared" si="199"/>
        <v>0</v>
      </c>
      <c r="M505" s="95">
        <f t="shared" si="199"/>
        <v>0</v>
      </c>
      <c r="N505" s="95">
        <f t="shared" si="199"/>
        <v>0</v>
      </c>
      <c r="O505" s="95">
        <f t="shared" si="199"/>
        <v>0</v>
      </c>
      <c r="P505" s="95">
        <f t="shared" si="199"/>
        <v>0</v>
      </c>
      <c r="Q505" s="95">
        <f t="shared" si="199"/>
        <v>0</v>
      </c>
      <c r="R505" s="95">
        <f t="shared" si="199"/>
        <v>0</v>
      </c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>
        <f>SUM(F505:AF505)</f>
        <v>0</v>
      </c>
      <c r="AH505" s="31" t="str">
        <f t="shared" si="196"/>
        <v>ok</v>
      </c>
      <c r="AJ505" s="79"/>
      <c r="AK505" s="79"/>
      <c r="AL505" s="79"/>
      <c r="AM505" s="79"/>
      <c r="AN505" s="79"/>
      <c r="AO505" s="79"/>
    </row>
    <row r="506" spans="1:41" x14ac:dyDescent="0.2">
      <c r="A506" s="14" t="s">
        <v>647</v>
      </c>
      <c r="E506" s="95">
        <f t="shared" ref="E506:AG506" si="200">E131+E134+E139+E207+E210+E215+E245+E248+E253+E283+E286+E291</f>
        <v>16128999.888688592</v>
      </c>
      <c r="F506" s="95">
        <f t="shared" si="200"/>
        <v>13265599.559109205</v>
      </c>
      <c r="G506" s="95">
        <f t="shared" si="200"/>
        <v>0</v>
      </c>
      <c r="H506" s="95">
        <f t="shared" si="200"/>
        <v>306598.9899124364</v>
      </c>
      <c r="I506" s="95">
        <f t="shared" si="200"/>
        <v>0</v>
      </c>
      <c r="J506" s="95">
        <f t="shared" si="200"/>
        <v>708991.12496309285</v>
      </c>
      <c r="K506" s="95">
        <f t="shared" si="200"/>
        <v>508974.54984412511</v>
      </c>
      <c r="L506" s="95">
        <f t="shared" si="200"/>
        <v>397073.87921841932</v>
      </c>
      <c r="M506" s="95">
        <f t="shared" si="200"/>
        <v>618078.75272115436</v>
      </c>
      <c r="N506" s="95">
        <f t="shared" si="200"/>
        <v>177546.06124717579</v>
      </c>
      <c r="O506" s="95">
        <f t="shared" si="200"/>
        <v>146136.97167298416</v>
      </c>
      <c r="P506" s="95">
        <f t="shared" si="200"/>
        <v>0</v>
      </c>
      <c r="Q506" s="95">
        <f t="shared" si="200"/>
        <v>0</v>
      </c>
      <c r="R506" s="95">
        <f t="shared" si="200"/>
        <v>0</v>
      </c>
      <c r="S506" s="95">
        <f t="shared" si="200"/>
        <v>0</v>
      </c>
      <c r="T506" s="95">
        <f t="shared" si="200"/>
        <v>0</v>
      </c>
      <c r="U506" s="95">
        <f t="shared" si="200"/>
        <v>0</v>
      </c>
      <c r="V506" s="95">
        <f t="shared" si="200"/>
        <v>0</v>
      </c>
      <c r="W506" s="95">
        <f t="shared" si="200"/>
        <v>0</v>
      </c>
      <c r="X506" s="95">
        <f t="shared" si="200"/>
        <v>0</v>
      </c>
      <c r="Y506" s="95">
        <f t="shared" si="200"/>
        <v>0</v>
      </c>
      <c r="Z506" s="95">
        <f t="shared" si="200"/>
        <v>0</v>
      </c>
      <c r="AA506" s="95">
        <f t="shared" si="200"/>
        <v>0</v>
      </c>
      <c r="AB506" s="95">
        <f t="shared" si="200"/>
        <v>0</v>
      </c>
      <c r="AC506" s="95">
        <f t="shared" si="200"/>
        <v>0</v>
      </c>
      <c r="AD506" s="95">
        <f t="shared" si="200"/>
        <v>0</v>
      </c>
      <c r="AE506" s="95">
        <f t="shared" si="200"/>
        <v>0</v>
      </c>
      <c r="AF506" s="95">
        <f t="shared" si="200"/>
        <v>0</v>
      </c>
      <c r="AG506" s="95">
        <f t="shared" si="200"/>
        <v>16128999.888688594</v>
      </c>
      <c r="AH506" s="31" t="str">
        <f t="shared" si="196"/>
        <v>ok</v>
      </c>
      <c r="AJ506" s="79"/>
      <c r="AK506" s="79"/>
      <c r="AL506" s="79"/>
      <c r="AM506" s="79"/>
      <c r="AN506" s="79"/>
      <c r="AO506" s="79"/>
    </row>
    <row r="507" spans="1:41" x14ac:dyDescent="0.2">
      <c r="A507" s="14" t="s">
        <v>648</v>
      </c>
      <c r="E507" s="66">
        <f t="shared" ref="E507:AD507" si="201">E135+E140+E144+E147+E150+E153+E211+E216+E220+E223+E226+E229+E249+E254+E258+E261+E264+E267+E287+E292+E296+E299+E302+E305</f>
        <v>21367143.111311398</v>
      </c>
      <c r="F507" s="66">
        <f t="shared" si="201"/>
        <v>18554238.323399</v>
      </c>
      <c r="G507" s="66">
        <f t="shared" si="201"/>
        <v>20152.715851389148</v>
      </c>
      <c r="H507" s="66">
        <f t="shared" si="201"/>
        <v>1676602.9424360101</v>
      </c>
      <c r="I507" s="66">
        <f t="shared" si="201"/>
        <v>274.34496946907183</v>
      </c>
      <c r="J507" s="66">
        <f t="shared" si="201"/>
        <v>73073.897079145405</v>
      </c>
      <c r="K507" s="66">
        <f t="shared" si="201"/>
        <v>3532.7918452802724</v>
      </c>
      <c r="L507" s="66">
        <f t="shared" si="201"/>
        <v>2649.593883960204</v>
      </c>
      <c r="M507" s="66">
        <f t="shared" si="201"/>
        <v>418890.17378266511</v>
      </c>
      <c r="N507" s="66">
        <f t="shared" si="201"/>
        <v>10427.219477429255</v>
      </c>
      <c r="O507" s="66">
        <f t="shared" si="201"/>
        <v>607301.10858705512</v>
      </c>
      <c r="P507" s="66">
        <f t="shared" si="201"/>
        <v>0</v>
      </c>
      <c r="Q507" s="66">
        <f t="shared" si="201"/>
        <v>0</v>
      </c>
      <c r="R507" s="66">
        <f t="shared" si="201"/>
        <v>0</v>
      </c>
      <c r="S507" s="66">
        <f t="shared" si="201"/>
        <v>0</v>
      </c>
      <c r="T507" s="66">
        <f t="shared" si="201"/>
        <v>0</v>
      </c>
      <c r="U507" s="66">
        <f t="shared" si="201"/>
        <v>0</v>
      </c>
      <c r="V507" s="66">
        <f t="shared" si="201"/>
        <v>0</v>
      </c>
      <c r="W507" s="66">
        <f t="shared" si="201"/>
        <v>0</v>
      </c>
      <c r="X507" s="66">
        <f t="shared" si="201"/>
        <v>0</v>
      </c>
      <c r="Y507" s="66">
        <f t="shared" si="201"/>
        <v>0</v>
      </c>
      <c r="Z507" s="66">
        <f t="shared" si="201"/>
        <v>0</v>
      </c>
      <c r="AA507" s="66">
        <f t="shared" si="201"/>
        <v>0</v>
      </c>
      <c r="AB507" s="66">
        <f t="shared" si="201"/>
        <v>0</v>
      </c>
      <c r="AC507" s="66">
        <f t="shared" si="201"/>
        <v>0</v>
      </c>
      <c r="AD507" s="66">
        <f t="shared" si="201"/>
        <v>0</v>
      </c>
      <c r="AE507" s="66"/>
      <c r="AF507" s="66">
        <f>AF135+AF140+AF144+AF147+AF150+AF153+AF211+AF216+AF220+AF223+AF226+AF229+AF249+AF254+AF258+AF261+AF264+AF267+AF287+AF292+AF296+AF299+AF302+AF305</f>
        <v>0</v>
      </c>
      <c r="AG507" s="95">
        <f>SUM(F507:AF507)</f>
        <v>21367143.111311406</v>
      </c>
      <c r="AH507" s="31" t="str">
        <f t="shared" si="196"/>
        <v>ok</v>
      </c>
      <c r="AJ507" s="79"/>
      <c r="AK507" s="79"/>
      <c r="AL507" s="79"/>
      <c r="AM507" s="79"/>
      <c r="AN507" s="79"/>
      <c r="AO507" s="79"/>
    </row>
    <row r="508" spans="1:41" x14ac:dyDescent="0.2">
      <c r="A508" s="14" t="s">
        <v>0</v>
      </c>
      <c r="E508" s="107">
        <f>SUM(E503:E507)</f>
        <v>119222652.99999997</v>
      </c>
      <c r="F508" s="107">
        <f t="shared" ref="F508:R508" si="202">SUM(F503:F507)</f>
        <v>87134343.17244646</v>
      </c>
      <c r="G508" s="107">
        <f t="shared" si="202"/>
        <v>238721.65282093739</v>
      </c>
      <c r="H508" s="107">
        <f t="shared" si="202"/>
        <v>7016846.6455915067</v>
      </c>
      <c r="I508" s="107">
        <f t="shared" si="202"/>
        <v>1799.9298896858925</v>
      </c>
      <c r="J508" s="107">
        <f t="shared" si="202"/>
        <v>7132304.5475919945</v>
      </c>
      <c r="K508" s="107">
        <f t="shared" si="202"/>
        <v>6932924.341689406</v>
      </c>
      <c r="L508" s="107">
        <f t="shared" si="202"/>
        <v>5154119.0731023792</v>
      </c>
      <c r="M508" s="107">
        <f t="shared" si="202"/>
        <v>2692346.7874137671</v>
      </c>
      <c r="N508" s="107">
        <f t="shared" si="202"/>
        <v>983513.01062407903</v>
      </c>
      <c r="O508" s="107">
        <f t="shared" si="202"/>
        <v>1935733.8388297777</v>
      </c>
      <c r="P508" s="107">
        <f t="shared" si="202"/>
        <v>0</v>
      </c>
      <c r="Q508" s="107">
        <f t="shared" si="202"/>
        <v>0</v>
      </c>
      <c r="R508" s="107">
        <f t="shared" si="202"/>
        <v>0</v>
      </c>
      <c r="S508" s="107">
        <f t="shared" ref="S508:AG508" si="203">SUM(S503:S507)</f>
        <v>0</v>
      </c>
      <c r="T508" s="107">
        <f t="shared" si="203"/>
        <v>0</v>
      </c>
      <c r="U508" s="107">
        <f t="shared" si="203"/>
        <v>0</v>
      </c>
      <c r="V508" s="107">
        <f t="shared" si="203"/>
        <v>0</v>
      </c>
      <c r="W508" s="107">
        <f t="shared" si="203"/>
        <v>0</v>
      </c>
      <c r="X508" s="107">
        <f t="shared" si="203"/>
        <v>0</v>
      </c>
      <c r="Y508" s="107">
        <f t="shared" si="203"/>
        <v>0</v>
      </c>
      <c r="Z508" s="107">
        <f t="shared" si="203"/>
        <v>0</v>
      </c>
      <c r="AA508" s="107">
        <f t="shared" si="203"/>
        <v>0</v>
      </c>
      <c r="AB508" s="107">
        <f t="shared" si="203"/>
        <v>0</v>
      </c>
      <c r="AC508" s="107">
        <f t="shared" si="203"/>
        <v>0</v>
      </c>
      <c r="AD508" s="107">
        <f t="shared" si="203"/>
        <v>0</v>
      </c>
      <c r="AE508" s="107">
        <f t="shared" si="203"/>
        <v>0</v>
      </c>
      <c r="AF508" s="107">
        <f t="shared" si="203"/>
        <v>0</v>
      </c>
      <c r="AG508" s="107">
        <f t="shared" si="203"/>
        <v>119222653</v>
      </c>
      <c r="AH508" s="31" t="str">
        <f t="shared" si="196"/>
        <v>ok</v>
      </c>
      <c r="AJ508" s="79"/>
      <c r="AK508" s="79"/>
      <c r="AL508" s="79"/>
      <c r="AM508" s="79"/>
      <c r="AN508" s="79"/>
      <c r="AO508" s="79"/>
    </row>
    <row r="509" spans="1:41" x14ac:dyDescent="0.2">
      <c r="E509" s="26">
        <f>E506/(E506+E507)</f>
        <v>0.43015090615289675</v>
      </c>
      <c r="F509" s="26">
        <f t="shared" ref="F509:O509" si="204">F506/(F506+F507)</f>
        <v>0.41689714473377271</v>
      </c>
      <c r="G509" s="26">
        <f t="shared" si="204"/>
        <v>0</v>
      </c>
      <c r="H509" s="26">
        <f t="shared" si="204"/>
        <v>0.15459796852324129</v>
      </c>
      <c r="I509" s="26">
        <f t="shared" si="204"/>
        <v>0</v>
      </c>
      <c r="J509" s="26">
        <f t="shared" si="204"/>
        <v>0.90656288797020412</v>
      </c>
      <c r="K509" s="26">
        <f t="shared" si="204"/>
        <v>0.99310684636509805</v>
      </c>
      <c r="L509" s="26">
        <f t="shared" si="204"/>
        <v>0.99337143284732343</v>
      </c>
      <c r="M509" s="26">
        <f t="shared" si="204"/>
        <v>0.59604365851639418</v>
      </c>
      <c r="N509" s="26">
        <f t="shared" si="204"/>
        <v>0.9445281827436639</v>
      </c>
      <c r="O509" s="26">
        <f t="shared" si="204"/>
        <v>0.1939601614276609</v>
      </c>
    </row>
    <row r="510" spans="1:41" x14ac:dyDescent="0.2">
      <c r="A510" s="13" t="s">
        <v>696</v>
      </c>
      <c r="E510" s="95"/>
    </row>
    <row r="511" spans="1:41" x14ac:dyDescent="0.2">
      <c r="AJ511" s="92"/>
      <c r="AK511" s="192"/>
      <c r="AL511" s="92"/>
      <c r="AM511" s="92"/>
      <c r="AN511" s="92"/>
      <c r="AO511" s="92"/>
    </row>
    <row r="512" spans="1:41" x14ac:dyDescent="0.2">
      <c r="A512" s="14" t="s">
        <v>645</v>
      </c>
      <c r="D512" s="95"/>
      <c r="E512" s="95">
        <f>E503+E359*'Purchased Power'!$P$28</f>
        <v>16054245.175992072</v>
      </c>
      <c r="F512" s="95">
        <f>F503+F359*'Purchased Power'!$P$28</f>
        <v>12349843.292648904</v>
      </c>
      <c r="G512" s="95">
        <f>G503+G359*'Purchased Power'!$P$28</f>
        <v>0</v>
      </c>
      <c r="H512" s="95">
        <f>H503+H359*'Purchased Power'!$P$28</f>
        <v>800445.34348977753</v>
      </c>
      <c r="I512" s="95">
        <f>I503+I359*'Purchased Power'!$P$28</f>
        <v>0</v>
      </c>
      <c r="J512" s="95">
        <f>J503+J359*'Purchased Power'!$P$28</f>
        <v>1009820.8610057705</v>
      </c>
      <c r="K512" s="95">
        <f>K503+K359*'Purchased Power'!$P$28</f>
        <v>687644.9055976962</v>
      </c>
      <c r="L512" s="95">
        <f>L503+L359*'Purchased Power'!$P$28</f>
        <v>991449.19615156995</v>
      </c>
      <c r="M512" s="95">
        <f>M503+M359*'Purchased Power'!$P$28</f>
        <v>114676.25594935036</v>
      </c>
      <c r="N512" s="95">
        <f>N503+N359*'Purchased Power'!$P$28</f>
        <v>100365.32114900168</v>
      </c>
      <c r="O512" s="95">
        <f>O503+O359*'Purchased Power'!$P$28</f>
        <v>0</v>
      </c>
      <c r="P512" s="95">
        <f t="shared" ref="P512:R512" si="205">P503+(P$362+P$363)</f>
        <v>0</v>
      </c>
      <c r="Q512" s="95">
        <f t="shared" si="205"/>
        <v>0</v>
      </c>
      <c r="R512" s="95">
        <f t="shared" si="205"/>
        <v>0</v>
      </c>
      <c r="S512" s="95">
        <f t="shared" ref="S512:AF512" si="206">S503</f>
        <v>0</v>
      </c>
      <c r="T512" s="95">
        <f t="shared" si="206"/>
        <v>0</v>
      </c>
      <c r="U512" s="95">
        <f t="shared" si="206"/>
        <v>0</v>
      </c>
      <c r="V512" s="95">
        <f t="shared" si="206"/>
        <v>0</v>
      </c>
      <c r="W512" s="95">
        <f t="shared" si="206"/>
        <v>0</v>
      </c>
      <c r="X512" s="95">
        <f t="shared" si="206"/>
        <v>0</v>
      </c>
      <c r="Y512" s="95">
        <f t="shared" si="206"/>
        <v>0</v>
      </c>
      <c r="Z512" s="95">
        <f t="shared" si="206"/>
        <v>0</v>
      </c>
      <c r="AA512" s="95">
        <f t="shared" si="206"/>
        <v>0</v>
      </c>
      <c r="AB512" s="95">
        <f t="shared" si="206"/>
        <v>0</v>
      </c>
      <c r="AC512" s="95">
        <f t="shared" si="206"/>
        <v>0</v>
      </c>
      <c r="AD512" s="95">
        <f t="shared" si="206"/>
        <v>0</v>
      </c>
      <c r="AE512" s="95">
        <f t="shared" si="206"/>
        <v>0</v>
      </c>
      <c r="AF512" s="95">
        <f t="shared" si="206"/>
        <v>0</v>
      </c>
      <c r="AG512" s="174">
        <f t="shared" ref="AG512:AG513" si="207">SUM(F512:AF512)</f>
        <v>16054245.175992068</v>
      </c>
      <c r="AH512" s="31" t="str">
        <f t="shared" ref="AH512:AH513" si="208">IF(ABS(E512-AG512)&lt;0.01,"ok","err")</f>
        <v>ok</v>
      </c>
      <c r="AJ512" s="79"/>
      <c r="AK512" s="79"/>
      <c r="AL512" s="79"/>
      <c r="AM512" s="79"/>
      <c r="AN512" s="79"/>
      <c r="AO512" s="79"/>
    </row>
    <row r="513" spans="1:41" x14ac:dyDescent="0.2">
      <c r="A513" s="14" t="s">
        <v>646</v>
      </c>
      <c r="D513" s="95"/>
      <c r="E513" s="95">
        <f>E504+E358+E359*'Purchased Power'!$P$29</f>
        <v>44724646.824007921</v>
      </c>
      <c r="F513" s="95">
        <f>F504+F358+F359*'Purchased Power'!$P$29</f>
        <v>28461460.94086783</v>
      </c>
      <c r="G513" s="95">
        <f>G504+G358+G359*'Purchased Power'!$P$29</f>
        <v>184377.94848131525</v>
      </c>
      <c r="H513" s="95">
        <f>H504+H358+H359*'Purchased Power'!$P$29</f>
        <v>3071192.8576184022</v>
      </c>
      <c r="I513" s="95">
        <f>I504+I358+I359*'Purchased Power'!$P$29</f>
        <v>1286.9359284242566</v>
      </c>
      <c r="J513" s="95">
        <f>J504+J358+J359*'Purchased Power'!$P$29</f>
        <v>3894272.338083257</v>
      </c>
      <c r="K513" s="95">
        <f>K504+K358+K359*'Purchased Power'!$P$29</f>
        <v>3845157.5933797583</v>
      </c>
      <c r="L513" s="95">
        <f>L504+L358+L359*'Purchased Power'!$P$29</f>
        <v>2540925.3928192277</v>
      </c>
      <c r="M513" s="95">
        <f>M504+M358+M359*'Purchased Power'!$P$29</f>
        <v>1218024.9909564441</v>
      </c>
      <c r="N513" s="95">
        <f>N504+N358+N359*'Purchased Power'!$P$29</f>
        <v>520334.04213113629</v>
      </c>
      <c r="O513" s="95">
        <f>O504+O358+O359*'Purchased Power'!$P$29</f>
        <v>987613.78374212037</v>
      </c>
      <c r="P513" s="95">
        <f t="shared" ref="P513:R513" si="209">P504+(P$369+P$370)</f>
        <v>0</v>
      </c>
      <c r="Q513" s="95">
        <f t="shared" si="209"/>
        <v>0</v>
      </c>
      <c r="R513" s="95">
        <f t="shared" si="209"/>
        <v>0</v>
      </c>
      <c r="S513" s="95">
        <f t="shared" ref="S513:AF513" si="210">S504</f>
        <v>0</v>
      </c>
      <c r="T513" s="95">
        <f t="shared" si="210"/>
        <v>0</v>
      </c>
      <c r="U513" s="95">
        <f t="shared" si="210"/>
        <v>0</v>
      </c>
      <c r="V513" s="95">
        <f t="shared" si="210"/>
        <v>0</v>
      </c>
      <c r="W513" s="95">
        <f t="shared" si="210"/>
        <v>0</v>
      </c>
      <c r="X513" s="95">
        <f t="shared" si="210"/>
        <v>0</v>
      </c>
      <c r="Y513" s="95">
        <f t="shared" si="210"/>
        <v>0</v>
      </c>
      <c r="Z513" s="95">
        <f t="shared" si="210"/>
        <v>0</v>
      </c>
      <c r="AA513" s="95">
        <f t="shared" si="210"/>
        <v>0</v>
      </c>
      <c r="AB513" s="95">
        <f t="shared" si="210"/>
        <v>0</v>
      </c>
      <c r="AC513" s="95">
        <f t="shared" si="210"/>
        <v>0</v>
      </c>
      <c r="AD513" s="95">
        <f t="shared" si="210"/>
        <v>0</v>
      </c>
      <c r="AE513" s="95">
        <f t="shared" si="210"/>
        <v>0</v>
      </c>
      <c r="AF513" s="95">
        <f t="shared" si="210"/>
        <v>0</v>
      </c>
      <c r="AG513" s="95">
        <f t="shared" si="207"/>
        <v>44724646.824007906</v>
      </c>
      <c r="AH513" s="31" t="str">
        <f t="shared" si="208"/>
        <v>ok</v>
      </c>
      <c r="AJ513" s="79"/>
      <c r="AK513" s="79"/>
      <c r="AL513" s="79"/>
      <c r="AM513" s="79"/>
      <c r="AN513" s="79"/>
      <c r="AO513" s="79"/>
    </row>
    <row r="514" spans="1:41" x14ac:dyDescent="0.2">
      <c r="A514" s="14" t="s">
        <v>893</v>
      </c>
      <c r="D514" s="95"/>
      <c r="E514" s="95">
        <f t="shared" ref="E514:O514" si="211">E505</f>
        <v>0</v>
      </c>
      <c r="F514" s="95">
        <f t="shared" si="211"/>
        <v>0</v>
      </c>
      <c r="G514" s="95">
        <f t="shared" si="211"/>
        <v>0</v>
      </c>
      <c r="H514" s="95">
        <f t="shared" si="211"/>
        <v>0</v>
      </c>
      <c r="I514" s="95">
        <f t="shared" si="211"/>
        <v>0</v>
      </c>
      <c r="J514" s="95">
        <f t="shared" si="211"/>
        <v>0</v>
      </c>
      <c r="K514" s="95">
        <f t="shared" si="211"/>
        <v>0</v>
      </c>
      <c r="L514" s="95">
        <f t="shared" si="211"/>
        <v>0</v>
      </c>
      <c r="M514" s="95">
        <f t="shared" si="211"/>
        <v>0</v>
      </c>
      <c r="N514" s="95">
        <f t="shared" si="211"/>
        <v>0</v>
      </c>
      <c r="O514" s="95">
        <f t="shared" si="211"/>
        <v>0</v>
      </c>
      <c r="P514" s="95">
        <f t="shared" ref="P514:R514" si="212">P505+(P$361)</f>
        <v>0</v>
      </c>
      <c r="Q514" s="95">
        <f t="shared" si="212"/>
        <v>0</v>
      </c>
      <c r="R514" s="95">
        <f t="shared" si="212"/>
        <v>0</v>
      </c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>
        <f t="shared" ref="AG514:AG517" si="213">SUM(F514:AF514)</f>
        <v>0</v>
      </c>
      <c r="AH514" s="31" t="str">
        <f t="shared" ref="AH514:AH517" si="214">IF(ABS(E514-AG514)&lt;0.01,"ok","err")</f>
        <v>ok</v>
      </c>
      <c r="AJ514" s="79"/>
      <c r="AK514" s="79"/>
      <c r="AL514" s="79"/>
      <c r="AM514" s="79"/>
      <c r="AN514" s="79"/>
      <c r="AO514" s="79"/>
    </row>
    <row r="515" spans="1:41" x14ac:dyDescent="0.2">
      <c r="A515" s="14" t="s">
        <v>647</v>
      </c>
      <c r="D515" s="209"/>
      <c r="E515" s="95">
        <v>16309614.18611718</v>
      </c>
      <c r="F515" s="95">
        <f t="shared" ref="F515:O515" si="215">F506+(F361+F362+F363+F364+F365+F366+F367+F369+F370)*(F506/(F506+F507))</f>
        <v>13596806.059226869</v>
      </c>
      <c r="G515" s="95">
        <f t="shared" si="215"/>
        <v>0</v>
      </c>
      <c r="H515" s="95">
        <f t="shared" si="215"/>
        <v>315731.70437640743</v>
      </c>
      <c r="I515" s="95">
        <f t="shared" si="215"/>
        <v>0</v>
      </c>
      <c r="J515" s="95">
        <f t="shared" si="215"/>
        <v>560814.25912043499</v>
      </c>
      <c r="K515" s="95">
        <f t="shared" si="215"/>
        <v>505803.13698556437</v>
      </c>
      <c r="L515" s="95">
        <f t="shared" si="215"/>
        <v>395307.05066838866</v>
      </c>
      <c r="M515" s="95">
        <f t="shared" si="215"/>
        <v>631214.62655604468</v>
      </c>
      <c r="N515" s="95">
        <f t="shared" si="215"/>
        <v>151582.43138050474</v>
      </c>
      <c r="O515" s="95">
        <f t="shared" si="215"/>
        <v>152354.91780296766</v>
      </c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>
        <f t="shared" si="213"/>
        <v>16309614.18611718</v>
      </c>
      <c r="AH515" s="31" t="str">
        <f t="shared" si="214"/>
        <v>ok</v>
      </c>
      <c r="AJ515" s="79"/>
      <c r="AK515" s="79"/>
      <c r="AL515" s="79"/>
      <c r="AM515" s="79"/>
      <c r="AN515" s="79"/>
      <c r="AO515" s="79"/>
    </row>
    <row r="516" spans="1:41" x14ac:dyDescent="0.2">
      <c r="A516" s="14" t="s">
        <v>648</v>
      </c>
      <c r="D516" s="209"/>
      <c r="E516" s="95">
        <v>21898329.092423383</v>
      </c>
      <c r="F516" s="95">
        <f t="shared" ref="F516:O516" si="216">F507+(F361+F362+F363+F364+F365+F366+F367+F369+F370)*(F507/(F506+F507))</f>
        <v>19017487.972241458</v>
      </c>
      <c r="G516" s="95">
        <f t="shared" si="216"/>
        <v>20231.218657627502</v>
      </c>
      <c r="H516" s="95">
        <f t="shared" si="216"/>
        <v>1726544.1896237282</v>
      </c>
      <c r="I516" s="95">
        <f t="shared" si="216"/>
        <v>279.3000497851645</v>
      </c>
      <c r="J516" s="95">
        <f t="shared" si="216"/>
        <v>57801.6875085949</v>
      </c>
      <c r="K516" s="95">
        <f t="shared" si="216"/>
        <v>3510.7790717768203</v>
      </c>
      <c r="L516" s="95">
        <f t="shared" si="216"/>
        <v>2637.8041935142292</v>
      </c>
      <c r="M516" s="95">
        <f t="shared" si="216"/>
        <v>427792.74234574725</v>
      </c>
      <c r="N516" s="95">
        <f t="shared" si="216"/>
        <v>8902.384371830296</v>
      </c>
      <c r="O516" s="95">
        <f t="shared" si="216"/>
        <v>633141.01435931667</v>
      </c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>
        <f t="shared" si="213"/>
        <v>21898329.092423383</v>
      </c>
      <c r="AH516" s="31" t="str">
        <f t="shared" si="214"/>
        <v>ok</v>
      </c>
      <c r="AJ516" s="79"/>
      <c r="AK516" s="79"/>
      <c r="AL516" s="79"/>
      <c r="AM516" s="79"/>
      <c r="AN516" s="79"/>
      <c r="AO516" s="79"/>
    </row>
    <row r="517" spans="1:41" x14ac:dyDescent="0.2">
      <c r="A517" s="14" t="s">
        <v>0</v>
      </c>
      <c r="E517" s="107">
        <f>SUM(E512:E516)</f>
        <v>98986835.278540552</v>
      </c>
      <c r="F517" s="107">
        <f t="shared" ref="F517:AF517" si="217">SUM(F512:F516)</f>
        <v>73425598.26498507</v>
      </c>
      <c r="G517" s="107">
        <f t="shared" si="217"/>
        <v>204609.16713894275</v>
      </c>
      <c r="H517" s="107">
        <f t="shared" si="217"/>
        <v>5913914.0951083153</v>
      </c>
      <c r="I517" s="107">
        <f t="shared" si="217"/>
        <v>1566.2359782094211</v>
      </c>
      <c r="J517" s="107">
        <f t="shared" si="217"/>
        <v>5522709.1457180576</v>
      </c>
      <c r="K517" s="107">
        <f t="shared" si="217"/>
        <v>5042116.4150347961</v>
      </c>
      <c r="L517" s="107">
        <f t="shared" si="217"/>
        <v>3930319.4438327006</v>
      </c>
      <c r="M517" s="107">
        <f t="shared" si="217"/>
        <v>2391708.6158075863</v>
      </c>
      <c r="N517" s="107">
        <f t="shared" si="217"/>
        <v>781184.17903247301</v>
      </c>
      <c r="O517" s="107">
        <f t="shared" si="217"/>
        <v>1773109.7159044049</v>
      </c>
      <c r="P517" s="107">
        <f t="shared" si="217"/>
        <v>0</v>
      </c>
      <c r="Q517" s="107">
        <f t="shared" si="217"/>
        <v>0</v>
      </c>
      <c r="R517" s="107">
        <f t="shared" si="217"/>
        <v>0</v>
      </c>
      <c r="S517" s="95">
        <f t="shared" si="217"/>
        <v>0</v>
      </c>
      <c r="T517" s="95">
        <f t="shared" si="217"/>
        <v>0</v>
      </c>
      <c r="U517" s="95">
        <f t="shared" si="217"/>
        <v>0</v>
      </c>
      <c r="V517" s="95">
        <f t="shared" si="217"/>
        <v>0</v>
      </c>
      <c r="W517" s="95">
        <f t="shared" si="217"/>
        <v>0</v>
      </c>
      <c r="X517" s="95">
        <f t="shared" si="217"/>
        <v>0</v>
      </c>
      <c r="Y517" s="95">
        <f t="shared" si="217"/>
        <v>0</v>
      </c>
      <c r="Z517" s="95">
        <f t="shared" si="217"/>
        <v>0</v>
      </c>
      <c r="AA517" s="95">
        <f t="shared" si="217"/>
        <v>0</v>
      </c>
      <c r="AB517" s="95">
        <f t="shared" si="217"/>
        <v>0</v>
      </c>
      <c r="AC517" s="95">
        <f t="shared" si="217"/>
        <v>0</v>
      </c>
      <c r="AD517" s="95">
        <f t="shared" si="217"/>
        <v>0</v>
      </c>
      <c r="AE517" s="95">
        <f t="shared" si="217"/>
        <v>0</v>
      </c>
      <c r="AF517" s="95">
        <f t="shared" si="217"/>
        <v>0</v>
      </c>
      <c r="AG517" s="95">
        <f t="shared" si="213"/>
        <v>98986835.278540567</v>
      </c>
      <c r="AH517" s="31" t="str">
        <f t="shared" si="214"/>
        <v>ok</v>
      </c>
      <c r="AJ517" s="79"/>
      <c r="AK517" s="79"/>
      <c r="AL517" s="79"/>
      <c r="AM517" s="79"/>
      <c r="AN517" s="79"/>
      <c r="AO517" s="79"/>
    </row>
    <row r="518" spans="1:41" x14ac:dyDescent="0.2">
      <c r="D518" s="14" t="s">
        <v>1197</v>
      </c>
      <c r="E518" s="95">
        <f>E517-E508</f>
        <v>-20235817.721459419</v>
      </c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31"/>
      <c r="AJ518" s="79"/>
      <c r="AK518" s="79"/>
      <c r="AL518" s="79"/>
      <c r="AM518" s="79"/>
      <c r="AN518" s="79"/>
      <c r="AO518" s="79"/>
    </row>
    <row r="519" spans="1:41" x14ac:dyDescent="0.2">
      <c r="D519" s="14" t="s">
        <v>1156</v>
      </c>
      <c r="E519" s="95">
        <f>E518-E382</f>
        <v>0</v>
      </c>
    </row>
    <row r="520" spans="1:41" x14ac:dyDescent="0.2">
      <c r="A520" s="13" t="s">
        <v>76</v>
      </c>
      <c r="E520" s="95"/>
      <c r="F520" s="95"/>
      <c r="G520" s="95"/>
      <c r="H520" s="95"/>
      <c r="I520" s="95"/>
      <c r="J520" s="95"/>
      <c r="K520" s="95"/>
    </row>
    <row r="522" spans="1:41" x14ac:dyDescent="0.2">
      <c r="A522" s="14" t="s">
        <v>895</v>
      </c>
      <c r="E522" s="95">
        <f t="shared" ref="E522:R522" si="218">E85</f>
        <v>0</v>
      </c>
      <c r="F522" s="95">
        <f t="shared" si="218"/>
        <v>0</v>
      </c>
      <c r="G522" s="95">
        <f t="shared" si="218"/>
        <v>0</v>
      </c>
      <c r="H522" s="95">
        <f t="shared" si="218"/>
        <v>0</v>
      </c>
      <c r="I522" s="95">
        <f t="shared" si="218"/>
        <v>0</v>
      </c>
      <c r="J522" s="95">
        <f t="shared" si="218"/>
        <v>0</v>
      </c>
      <c r="K522" s="95">
        <f t="shared" si="218"/>
        <v>0</v>
      </c>
      <c r="L522" s="95">
        <f t="shared" si="218"/>
        <v>0</v>
      </c>
      <c r="M522" s="95">
        <f t="shared" si="218"/>
        <v>0</v>
      </c>
      <c r="N522" s="95">
        <f t="shared" si="218"/>
        <v>0</v>
      </c>
      <c r="O522" s="95">
        <f t="shared" si="218"/>
        <v>0</v>
      </c>
      <c r="P522" s="95">
        <f t="shared" si="218"/>
        <v>0</v>
      </c>
      <c r="Q522" s="95">
        <f t="shared" si="218"/>
        <v>0</v>
      </c>
      <c r="R522" s="95">
        <f t="shared" si="218"/>
        <v>0</v>
      </c>
      <c r="AG522" s="95">
        <f>SUM(F522:AF522)</f>
        <v>0</v>
      </c>
      <c r="AH522" s="31" t="str">
        <f>IF(ABS(E522-AG522)&lt;0.01,"ok","err")</f>
        <v>ok</v>
      </c>
    </row>
    <row r="523" spans="1:41" x14ac:dyDescent="0.2">
      <c r="A523" s="14" t="s">
        <v>896</v>
      </c>
      <c r="E523" s="95">
        <f t="shared" ref="E523:R523" si="219">E86</f>
        <v>0</v>
      </c>
      <c r="F523" s="95">
        <f t="shared" si="219"/>
        <v>0</v>
      </c>
      <c r="G523" s="95">
        <f t="shared" si="219"/>
        <v>0</v>
      </c>
      <c r="H523" s="95">
        <f t="shared" si="219"/>
        <v>0</v>
      </c>
      <c r="I523" s="95">
        <f t="shared" si="219"/>
        <v>0</v>
      </c>
      <c r="J523" s="95">
        <f t="shared" si="219"/>
        <v>0</v>
      </c>
      <c r="K523" s="95">
        <f t="shared" si="219"/>
        <v>0</v>
      </c>
      <c r="L523" s="95">
        <f t="shared" si="219"/>
        <v>0</v>
      </c>
      <c r="M523" s="95">
        <f t="shared" si="219"/>
        <v>0</v>
      </c>
      <c r="N523" s="95">
        <f t="shared" si="219"/>
        <v>0</v>
      </c>
      <c r="O523" s="95">
        <f t="shared" si="219"/>
        <v>0</v>
      </c>
      <c r="P523" s="95">
        <f t="shared" si="219"/>
        <v>0</v>
      </c>
      <c r="Q523" s="95">
        <f t="shared" si="219"/>
        <v>0</v>
      </c>
      <c r="R523" s="95">
        <f t="shared" si="219"/>
        <v>0</v>
      </c>
      <c r="AG523" s="95"/>
      <c r="AH523" s="31"/>
    </row>
    <row r="524" spans="1:41" x14ac:dyDescent="0.2">
      <c r="A524" s="14" t="s">
        <v>893</v>
      </c>
      <c r="E524" s="95">
        <f t="shared" ref="E524:R524" si="220">E90</f>
        <v>0</v>
      </c>
      <c r="F524" s="95">
        <f t="shared" si="220"/>
        <v>0</v>
      </c>
      <c r="G524" s="95">
        <f t="shared" si="220"/>
        <v>0</v>
      </c>
      <c r="H524" s="95">
        <f t="shared" si="220"/>
        <v>0</v>
      </c>
      <c r="I524" s="95">
        <f t="shared" si="220"/>
        <v>0</v>
      </c>
      <c r="J524" s="95">
        <f t="shared" si="220"/>
        <v>0</v>
      </c>
      <c r="K524" s="95">
        <f t="shared" si="220"/>
        <v>0</v>
      </c>
      <c r="L524" s="95">
        <f t="shared" si="220"/>
        <v>0</v>
      </c>
      <c r="M524" s="95">
        <f t="shared" si="220"/>
        <v>0</v>
      </c>
      <c r="N524" s="95">
        <f t="shared" si="220"/>
        <v>0</v>
      </c>
      <c r="O524" s="95">
        <f t="shared" si="220"/>
        <v>0</v>
      </c>
      <c r="P524" s="95">
        <f t="shared" si="220"/>
        <v>0</v>
      </c>
      <c r="Q524" s="95">
        <f t="shared" si="220"/>
        <v>0</v>
      </c>
      <c r="R524" s="95">
        <f t="shared" si="220"/>
        <v>0</v>
      </c>
      <c r="AG524" s="95">
        <f>SUM(F524:AF524)</f>
        <v>0</v>
      </c>
      <c r="AH524" s="31" t="str">
        <f>IF(ABS(E524-AG524)&lt;0.01,"ok","err")</f>
        <v>ok</v>
      </c>
    </row>
    <row r="525" spans="1:41" x14ac:dyDescent="0.2">
      <c r="A525" s="14" t="s">
        <v>647</v>
      </c>
      <c r="E525" s="95">
        <f t="shared" ref="E525:AF525" si="221">E93+E96+E101</f>
        <v>84260489.733004376</v>
      </c>
      <c r="F525" s="95">
        <f t="shared" si="221"/>
        <v>69244977.887524948</v>
      </c>
      <c r="G525" s="95">
        <f t="shared" si="221"/>
        <v>0</v>
      </c>
      <c r="H525" s="95">
        <f t="shared" si="221"/>
        <v>1623588.0684741831</v>
      </c>
      <c r="I525" s="95">
        <f t="shared" si="221"/>
        <v>0</v>
      </c>
      <c r="J525" s="95">
        <f t="shared" si="221"/>
        <v>3716595.4426984848</v>
      </c>
      <c r="K525" s="95">
        <f t="shared" si="221"/>
        <v>2694772.3818727424</v>
      </c>
      <c r="L525" s="95">
        <f t="shared" si="221"/>
        <v>2094438.5595295418</v>
      </c>
      <c r="M525" s="95">
        <f t="shared" si="221"/>
        <v>3205570.9300148934</v>
      </c>
      <c r="N525" s="95">
        <f t="shared" si="221"/>
        <v>923849.49392766028</v>
      </c>
      <c r="O525" s="95">
        <f t="shared" si="221"/>
        <v>756696.96896191826</v>
      </c>
      <c r="P525" s="95">
        <f t="shared" si="221"/>
        <v>0</v>
      </c>
      <c r="Q525" s="95">
        <f t="shared" si="221"/>
        <v>0</v>
      </c>
      <c r="R525" s="95">
        <f t="shared" si="221"/>
        <v>0</v>
      </c>
      <c r="S525" s="95">
        <f t="shared" si="221"/>
        <v>0</v>
      </c>
      <c r="T525" s="95">
        <f t="shared" si="221"/>
        <v>0</v>
      </c>
      <c r="U525" s="95">
        <f t="shared" si="221"/>
        <v>0</v>
      </c>
      <c r="V525" s="95">
        <f t="shared" si="221"/>
        <v>0</v>
      </c>
      <c r="W525" s="95">
        <f t="shared" si="221"/>
        <v>0</v>
      </c>
      <c r="X525" s="95">
        <f t="shared" si="221"/>
        <v>0</v>
      </c>
      <c r="Y525" s="95">
        <f t="shared" si="221"/>
        <v>0</v>
      </c>
      <c r="Z525" s="95">
        <f t="shared" si="221"/>
        <v>0</v>
      </c>
      <c r="AA525" s="95">
        <f t="shared" si="221"/>
        <v>0</v>
      </c>
      <c r="AB525" s="95">
        <f t="shared" si="221"/>
        <v>0</v>
      </c>
      <c r="AC525" s="95">
        <f t="shared" si="221"/>
        <v>0</v>
      </c>
      <c r="AD525" s="95">
        <f t="shared" si="221"/>
        <v>0</v>
      </c>
      <c r="AE525" s="95">
        <f t="shared" si="221"/>
        <v>0</v>
      </c>
      <c r="AF525" s="95">
        <f t="shared" si="221"/>
        <v>0</v>
      </c>
      <c r="AG525" s="95">
        <f>SUM(F525:AF525)</f>
        <v>84260489.733004376</v>
      </c>
      <c r="AH525" s="31" t="str">
        <f>IF(ABS(E525-AG525)&lt;0.01,"ok","err")</f>
        <v>ok</v>
      </c>
    </row>
    <row r="526" spans="1:41" x14ac:dyDescent="0.2">
      <c r="A526" s="14" t="s">
        <v>648</v>
      </c>
      <c r="E526" s="66">
        <f t="shared" ref="E526:AD526" si="222">E97+E102+E106+E109+E112+E115</f>
        <v>106313526.37199558</v>
      </c>
      <c r="F526" s="66">
        <f t="shared" si="222"/>
        <v>83961045.083133087</v>
      </c>
      <c r="G526" s="66">
        <f t="shared" si="222"/>
        <v>84456.434304683382</v>
      </c>
      <c r="H526" s="66">
        <f t="shared" si="222"/>
        <v>8342410.5196875762</v>
      </c>
      <c r="I526" s="66">
        <f t="shared" si="222"/>
        <v>1109.7989676717832</v>
      </c>
      <c r="J526" s="66">
        <f t="shared" si="222"/>
        <v>320947.80035953113</v>
      </c>
      <c r="K526" s="66">
        <f t="shared" si="222"/>
        <v>13987.51055496084</v>
      </c>
      <c r="L526" s="66">
        <f t="shared" si="222"/>
        <v>10490.632916220629</v>
      </c>
      <c r="M526" s="66">
        <f t="shared" si="222"/>
        <v>1870504.8518717941</v>
      </c>
      <c r="N526" s="66">
        <f t="shared" si="222"/>
        <v>50829.705576223307</v>
      </c>
      <c r="O526" s="66">
        <f t="shared" si="222"/>
        <v>11657744.034623863</v>
      </c>
      <c r="P526" s="66">
        <f t="shared" si="222"/>
        <v>0</v>
      </c>
      <c r="Q526" s="66">
        <f t="shared" si="222"/>
        <v>0</v>
      </c>
      <c r="R526" s="66">
        <f t="shared" si="222"/>
        <v>0</v>
      </c>
      <c r="S526" s="66">
        <f t="shared" si="222"/>
        <v>0</v>
      </c>
      <c r="T526" s="66">
        <f t="shared" si="222"/>
        <v>0</v>
      </c>
      <c r="U526" s="66">
        <f t="shared" si="222"/>
        <v>0</v>
      </c>
      <c r="V526" s="66">
        <f t="shared" si="222"/>
        <v>0</v>
      </c>
      <c r="W526" s="66">
        <f t="shared" si="222"/>
        <v>0</v>
      </c>
      <c r="X526" s="66">
        <f t="shared" si="222"/>
        <v>0</v>
      </c>
      <c r="Y526" s="66">
        <f t="shared" si="222"/>
        <v>0</v>
      </c>
      <c r="Z526" s="66">
        <f t="shared" si="222"/>
        <v>0</v>
      </c>
      <c r="AA526" s="66">
        <f t="shared" si="222"/>
        <v>0</v>
      </c>
      <c r="AB526" s="66">
        <f t="shared" si="222"/>
        <v>0</v>
      </c>
      <c r="AC526" s="66">
        <f t="shared" si="222"/>
        <v>0</v>
      </c>
      <c r="AD526" s="66">
        <f t="shared" si="222"/>
        <v>0</v>
      </c>
      <c r="AE526" s="66"/>
      <c r="AF526" s="66">
        <f>AF97+AF102+AF106+AF109+AF112+AF115</f>
        <v>0</v>
      </c>
      <c r="AG526" s="95">
        <f>SUM(F526:AF526)</f>
        <v>106313526.37199561</v>
      </c>
      <c r="AH526" s="31" t="str">
        <f>IF(ABS(E526-AG526)&lt;0.01,"ok","err")</f>
        <v>ok</v>
      </c>
    </row>
    <row r="527" spans="1:41" x14ac:dyDescent="0.2">
      <c r="A527" s="14" t="s">
        <v>0</v>
      </c>
      <c r="E527" s="107">
        <f>SUM(E522:E526)</f>
        <v>190574016.10499996</v>
      </c>
      <c r="F527" s="107">
        <f t="shared" ref="F527:R527" si="223">SUM(F522:F526)</f>
        <v>153206022.97065803</v>
      </c>
      <c r="G527" s="107">
        <f t="shared" si="223"/>
        <v>84456.434304683382</v>
      </c>
      <c r="H527" s="107">
        <f t="shared" si="223"/>
        <v>9965998.5881617591</v>
      </c>
      <c r="I527" s="107">
        <f t="shared" si="223"/>
        <v>1109.7989676717832</v>
      </c>
      <c r="J527" s="107">
        <f t="shared" si="223"/>
        <v>4037543.2430580161</v>
      </c>
      <c r="K527" s="107">
        <f t="shared" si="223"/>
        <v>2708759.8924277034</v>
      </c>
      <c r="L527" s="107">
        <f t="shared" si="223"/>
        <v>2104929.1924457625</v>
      </c>
      <c r="M527" s="107">
        <f t="shared" si="223"/>
        <v>5076075.7818866875</v>
      </c>
      <c r="N527" s="107">
        <f t="shared" si="223"/>
        <v>974679.1995038836</v>
      </c>
      <c r="O527" s="107">
        <f t="shared" si="223"/>
        <v>12414441.003585782</v>
      </c>
      <c r="P527" s="107">
        <f t="shared" si="223"/>
        <v>0</v>
      </c>
      <c r="Q527" s="107">
        <f t="shared" si="223"/>
        <v>0</v>
      </c>
      <c r="R527" s="107">
        <f t="shared" si="223"/>
        <v>0</v>
      </c>
      <c r="S527" s="173"/>
      <c r="T527" s="173"/>
      <c r="U527" s="173"/>
      <c r="V527" s="173"/>
      <c r="W527" s="173"/>
      <c r="X527" s="173"/>
      <c r="Y527" s="173"/>
      <c r="Z527" s="173"/>
      <c r="AA527" s="173"/>
      <c r="AB527" s="173"/>
      <c r="AC527" s="173"/>
      <c r="AD527" s="173"/>
      <c r="AE527" s="173"/>
      <c r="AF527" s="173"/>
      <c r="AG527" s="107">
        <f>SUM(F527:AF527)</f>
        <v>190574016.10499999</v>
      </c>
      <c r="AH527" s="31" t="str">
        <f>IF(ABS(E527-AG527)&lt;0.01,"ok","err")</f>
        <v>ok</v>
      </c>
    </row>
    <row r="530" spans="1:32" x14ac:dyDescent="0.2">
      <c r="A530" s="13" t="s">
        <v>761</v>
      </c>
      <c r="C530" s="170">
        <v>2.4461976122132811E-2</v>
      </c>
      <c r="R530" s="81"/>
    </row>
    <row r="531" spans="1:32" x14ac:dyDescent="0.2">
      <c r="A531" s="14" t="s">
        <v>895</v>
      </c>
      <c r="E531" s="95">
        <f>E512+(E522*$C$530)</f>
        <v>16054245.175992072</v>
      </c>
      <c r="F531" s="95">
        <f t="shared" ref="F531:R531" si="224">F512+(F522*$C$530)</f>
        <v>12349843.292648904</v>
      </c>
      <c r="G531" s="95">
        <f t="shared" si="224"/>
        <v>0</v>
      </c>
      <c r="H531" s="95">
        <f t="shared" si="224"/>
        <v>800445.34348977753</v>
      </c>
      <c r="I531" s="95">
        <f t="shared" si="224"/>
        <v>0</v>
      </c>
      <c r="J531" s="95">
        <f t="shared" si="224"/>
        <v>1009820.8610057705</v>
      </c>
      <c r="K531" s="95">
        <f t="shared" si="224"/>
        <v>687644.9055976962</v>
      </c>
      <c r="L531" s="95">
        <f t="shared" si="224"/>
        <v>991449.19615156995</v>
      </c>
      <c r="M531" s="95">
        <f t="shared" si="224"/>
        <v>114676.25594935036</v>
      </c>
      <c r="N531" s="95">
        <f t="shared" si="224"/>
        <v>100365.32114900168</v>
      </c>
      <c r="O531" s="95">
        <f t="shared" si="224"/>
        <v>0</v>
      </c>
      <c r="P531" s="95">
        <f t="shared" si="224"/>
        <v>0</v>
      </c>
      <c r="Q531" s="95">
        <f t="shared" si="224"/>
        <v>0</v>
      </c>
      <c r="R531" s="95">
        <f t="shared" si="224"/>
        <v>0</v>
      </c>
      <c r="S531" s="14">
        <f>S512</f>
        <v>0</v>
      </c>
    </row>
    <row r="532" spans="1:32" x14ac:dyDescent="0.2">
      <c r="A532" s="14" t="s">
        <v>896</v>
      </c>
      <c r="E532" s="95">
        <f>E513+(E523*$C$530)</f>
        <v>44724646.824007921</v>
      </c>
      <c r="F532" s="95">
        <f t="shared" ref="F532:R532" si="225">F513+(F523*$C$530)</f>
        <v>28461460.94086783</v>
      </c>
      <c r="G532" s="95">
        <f t="shared" si="225"/>
        <v>184377.94848131525</v>
      </c>
      <c r="H532" s="95">
        <f t="shared" si="225"/>
        <v>3071192.8576184022</v>
      </c>
      <c r="I532" s="95">
        <f t="shared" si="225"/>
        <v>1286.9359284242566</v>
      </c>
      <c r="J532" s="95">
        <f t="shared" si="225"/>
        <v>3894272.338083257</v>
      </c>
      <c r="K532" s="95">
        <f t="shared" si="225"/>
        <v>3845157.5933797583</v>
      </c>
      <c r="L532" s="95">
        <f t="shared" si="225"/>
        <v>2540925.3928192277</v>
      </c>
      <c r="M532" s="95">
        <f t="shared" si="225"/>
        <v>1218024.9909564441</v>
      </c>
      <c r="N532" s="95">
        <f t="shared" si="225"/>
        <v>520334.04213113629</v>
      </c>
      <c r="O532" s="95">
        <f t="shared" si="225"/>
        <v>987613.78374212037</v>
      </c>
      <c r="P532" s="95">
        <f t="shared" si="225"/>
        <v>0</v>
      </c>
      <c r="Q532" s="95">
        <f t="shared" si="225"/>
        <v>0</v>
      </c>
      <c r="R532" s="95">
        <f t="shared" si="225"/>
        <v>0</v>
      </c>
      <c r="S532" s="14">
        <f>S513</f>
        <v>0</v>
      </c>
    </row>
    <row r="533" spans="1:32" x14ac:dyDescent="0.2">
      <c r="A533" s="14" t="s">
        <v>893</v>
      </c>
      <c r="E533" s="95">
        <f>E514+(E524*$C$530)</f>
        <v>0</v>
      </c>
      <c r="F533" s="95">
        <f t="shared" ref="F533:R533" si="226">F514+(F524*$C$530)</f>
        <v>0</v>
      </c>
      <c r="G533" s="95">
        <f t="shared" si="226"/>
        <v>0</v>
      </c>
      <c r="H533" s="95">
        <f t="shared" si="226"/>
        <v>0</v>
      </c>
      <c r="I533" s="95">
        <f t="shared" si="226"/>
        <v>0</v>
      </c>
      <c r="J533" s="95">
        <f t="shared" si="226"/>
        <v>0</v>
      </c>
      <c r="K533" s="95">
        <f t="shared" si="226"/>
        <v>0</v>
      </c>
      <c r="L533" s="95">
        <f t="shared" si="226"/>
        <v>0</v>
      </c>
      <c r="M533" s="95">
        <f t="shared" si="226"/>
        <v>0</v>
      </c>
      <c r="N533" s="95">
        <f t="shared" si="226"/>
        <v>0</v>
      </c>
      <c r="O533" s="95">
        <f t="shared" si="226"/>
        <v>0</v>
      </c>
      <c r="P533" s="95">
        <f t="shared" si="226"/>
        <v>0</v>
      </c>
      <c r="Q533" s="95">
        <f t="shared" si="226"/>
        <v>0</v>
      </c>
      <c r="R533" s="95">
        <f t="shared" si="226"/>
        <v>0</v>
      </c>
    </row>
    <row r="534" spans="1:32" x14ac:dyDescent="0.2">
      <c r="A534" s="14" t="s">
        <v>647</v>
      </c>
      <c r="E534" s="95">
        <f>E515+(E525*$C$530)</f>
        <v>18370792.274005149</v>
      </c>
      <c r="F534" s="95">
        <f t="shared" ref="F534:R534" si="227">F515+(F525*$C$530)</f>
        <v>15290675.054889118</v>
      </c>
      <c r="G534" s="95">
        <f t="shared" si="227"/>
        <v>0</v>
      </c>
      <c r="H534" s="95">
        <f t="shared" si="227"/>
        <v>355447.87693960266</v>
      </c>
      <c r="I534" s="95">
        <f t="shared" si="227"/>
        <v>0</v>
      </c>
      <c r="J534" s="95">
        <f t="shared" si="227"/>
        <v>651729.52809535293</v>
      </c>
      <c r="K534" s="95">
        <f t="shared" si="227"/>
        <v>571722.59464551834</v>
      </c>
      <c r="L534" s="95">
        <f t="shared" si="227"/>
        <v>446541.15670087456</v>
      </c>
      <c r="M534" s="95">
        <f t="shared" si="227"/>
        <v>709629.22610387206</v>
      </c>
      <c r="N534" s="95">
        <f t="shared" si="227"/>
        <v>174181.61564140764</v>
      </c>
      <c r="O534" s="95">
        <f t="shared" si="227"/>
        <v>170865.22098940436</v>
      </c>
      <c r="P534" s="95">
        <f t="shared" si="227"/>
        <v>0</v>
      </c>
      <c r="Q534" s="95">
        <f t="shared" si="227"/>
        <v>0</v>
      </c>
      <c r="R534" s="95">
        <f t="shared" si="227"/>
        <v>0</v>
      </c>
      <c r="S534" s="14">
        <f>S515+(S526*$C$530)</f>
        <v>0</v>
      </c>
    </row>
    <row r="535" spans="1:32" x14ac:dyDescent="0.2">
      <c r="A535" s="14" t="s">
        <v>648</v>
      </c>
      <c r="E535" s="95">
        <f>E516+(E526*$C$530)</f>
        <v>24498968.035994876</v>
      </c>
      <c r="F535" s="95">
        <f t="shared" ref="F535:R535" si="228">F516+(F526*$C$530)</f>
        <v>21071341.052254375</v>
      </c>
      <c r="G535" s="95">
        <f t="shared" si="228"/>
        <v>22297.189936949144</v>
      </c>
      <c r="H535" s="95">
        <f t="shared" si="228"/>
        <v>1930616.0365573552</v>
      </c>
      <c r="I535" s="95">
        <f t="shared" si="228"/>
        <v>306.44792563271932</v>
      </c>
      <c r="J535" s="95">
        <f t="shared" si="228"/>
        <v>65652.704937440794</v>
      </c>
      <c r="K535" s="95">
        <f t="shared" si="228"/>
        <v>3852.9412209803531</v>
      </c>
      <c r="L535" s="95">
        <f t="shared" si="228"/>
        <v>2894.4258054168786</v>
      </c>
      <c r="M535" s="95">
        <f t="shared" si="228"/>
        <v>473548.98736856866</v>
      </c>
      <c r="N535" s="95">
        <f t="shared" si="228"/>
        <v>10145.779415930912</v>
      </c>
      <c r="O535" s="95">
        <f t="shared" si="228"/>
        <v>918312.47057222179</v>
      </c>
      <c r="P535" s="95">
        <f t="shared" si="228"/>
        <v>0</v>
      </c>
      <c r="Q535" s="95">
        <f t="shared" si="228"/>
        <v>0</v>
      </c>
      <c r="R535" s="95">
        <f t="shared" si="228"/>
        <v>0</v>
      </c>
      <c r="S535" s="14">
        <f>S516+(S527*$C$530)</f>
        <v>0</v>
      </c>
    </row>
    <row r="536" spans="1:32" x14ac:dyDescent="0.2">
      <c r="A536" s="14" t="s">
        <v>0</v>
      </c>
      <c r="C536" s="50"/>
      <c r="E536" s="107">
        <f>SUM(E531:E535)</f>
        <v>103648652.31000002</v>
      </c>
      <c r="F536" s="107">
        <f t="shared" ref="F536:R536" si="229">SUM(F531:F535)</f>
        <v>77173320.340660229</v>
      </c>
      <c r="G536" s="107">
        <f t="shared" si="229"/>
        <v>206675.1384182644</v>
      </c>
      <c r="H536" s="107">
        <f t="shared" si="229"/>
        <v>6157702.1146051371</v>
      </c>
      <c r="I536" s="107">
        <f t="shared" si="229"/>
        <v>1593.3838540569759</v>
      </c>
      <c r="J536" s="107">
        <f t="shared" si="229"/>
        <v>5621475.4321218217</v>
      </c>
      <c r="K536" s="107">
        <f t="shared" si="229"/>
        <v>5108378.0348439533</v>
      </c>
      <c r="L536" s="107">
        <f t="shared" si="229"/>
        <v>3981810.1714770892</v>
      </c>
      <c r="M536" s="107">
        <f t="shared" si="229"/>
        <v>2515879.4603782352</v>
      </c>
      <c r="N536" s="107">
        <f t="shared" si="229"/>
        <v>805026.75833747652</v>
      </c>
      <c r="O536" s="107">
        <f t="shared" si="229"/>
        <v>2076791.4753037465</v>
      </c>
      <c r="P536" s="107">
        <f t="shared" si="229"/>
        <v>0</v>
      </c>
      <c r="Q536" s="107">
        <f t="shared" si="229"/>
        <v>0</v>
      </c>
      <c r="R536" s="107">
        <f t="shared" si="229"/>
        <v>0</v>
      </c>
      <c r="S536" s="14">
        <f>SUM(S531:S535)</f>
        <v>0</v>
      </c>
    </row>
    <row r="537" spans="1:32" x14ac:dyDescent="0.2">
      <c r="D537" s="30" t="s">
        <v>1198</v>
      </c>
      <c r="E537" s="169">
        <v>103648652.31</v>
      </c>
    </row>
    <row r="538" spans="1:32" x14ac:dyDescent="0.2">
      <c r="D538" s="30" t="s">
        <v>1156</v>
      </c>
      <c r="E538" s="95">
        <f>E536-E537</f>
        <v>0</v>
      </c>
    </row>
    <row r="539" spans="1:32" x14ac:dyDescent="0.2">
      <c r="E539" s="95"/>
    </row>
    <row r="540" spans="1:32" x14ac:dyDescent="0.2">
      <c r="A540" s="13" t="s">
        <v>649</v>
      </c>
    </row>
    <row r="542" spans="1:32" x14ac:dyDescent="0.2">
      <c r="A542" s="14" t="s">
        <v>1013</v>
      </c>
      <c r="F542" s="103">
        <f>F512/F$421</f>
        <v>2.1406545126160623E-2</v>
      </c>
      <c r="G542" s="103">
        <f>G512/G$421</f>
        <v>0</v>
      </c>
      <c r="H542" s="103">
        <f>H512/H$421</f>
        <v>1.3481751703979493E-2</v>
      </c>
      <c r="I542" s="103">
        <f>I512/I$421</f>
        <v>0</v>
      </c>
      <c r="J542" s="48">
        <f>J512/J$436</f>
        <v>4.3361166450785813</v>
      </c>
      <c r="K542" s="48">
        <f>K512/K$436</f>
        <v>4.1983326552151912</v>
      </c>
      <c r="L542" s="48">
        <f>L512/L$436</f>
        <v>7.6986628267271042</v>
      </c>
      <c r="M542" s="103">
        <f>M512/M$421</f>
        <v>5.0557118998956806E-3</v>
      </c>
      <c r="N542" s="103">
        <f>N512/N$421</f>
        <v>1.0098109376064472E-2</v>
      </c>
      <c r="P542" s="103" t="e">
        <f>P512/P$421</f>
        <v>#DIV/0!</v>
      </c>
      <c r="Q542" s="103" t="e">
        <f>Q512/Q$421</f>
        <v>#DIV/0!</v>
      </c>
      <c r="R542" s="48" t="e">
        <f>R512/R$436</f>
        <v>#DIV/0!</v>
      </c>
      <c r="S542" s="48" t="e">
        <f>S512/S$421</f>
        <v>#DIV/0!</v>
      </c>
      <c r="T542" s="48">
        <f>T503/1251.6</f>
        <v>0</v>
      </c>
      <c r="U542" s="48" t="e">
        <f>U503/U424</f>
        <v>#DIV/0!</v>
      </c>
      <c r="V542" s="48" t="e">
        <f>V503/V424</f>
        <v>#DIV/0!</v>
      </c>
      <c r="W542" s="48" t="e">
        <f>W503/W424</f>
        <v>#DIV/0!</v>
      </c>
      <c r="X542" s="103" t="e">
        <f>X503/X421</f>
        <v>#DIV/0!</v>
      </c>
      <c r="Y542" s="48" t="e">
        <f>Y503/Y424</f>
        <v>#DIV/0!</v>
      </c>
      <c r="Z542" s="198">
        <f>Z503/3624.9</f>
        <v>0</v>
      </c>
      <c r="AA542" s="94">
        <f>AA503/9725.8</f>
        <v>0</v>
      </c>
      <c r="AB542" s="94">
        <f>AB503/12443</f>
        <v>0</v>
      </c>
      <c r="AC542" s="94">
        <f>AC503/9726</f>
        <v>0</v>
      </c>
      <c r="AD542" s="94">
        <f>AD503/10680</f>
        <v>0</v>
      </c>
      <c r="AE542" s="94"/>
      <c r="AF542" s="94"/>
    </row>
    <row r="543" spans="1:32" x14ac:dyDescent="0.2">
      <c r="A543" s="14" t="s">
        <v>897</v>
      </c>
      <c r="F543" s="103">
        <f>F513/F$421</f>
        <v>4.9333544851520569E-2</v>
      </c>
      <c r="G543" s="103">
        <f t="shared" ref="G543:N543" si="230">G513/G$421</f>
        <v>5.5591184813142812E-2</v>
      </c>
      <c r="H543" s="103">
        <f t="shared" si="230"/>
        <v>5.1727528779078123E-2</v>
      </c>
      <c r="I543" s="103">
        <f t="shared" si="230"/>
        <v>5.5591184813142833E-2</v>
      </c>
      <c r="J543" s="103">
        <f t="shared" si="230"/>
        <v>5.1991802826309282E-2</v>
      </c>
      <c r="K543" s="103">
        <f t="shared" si="230"/>
        <v>3.9324358038828888E-2</v>
      </c>
      <c r="L543" s="103">
        <f t="shared" si="230"/>
        <v>4.0138383911065445E-2</v>
      </c>
      <c r="M543" s="103">
        <f t="shared" si="230"/>
        <v>5.3698853264521035E-2</v>
      </c>
      <c r="N543" s="103">
        <f t="shared" si="230"/>
        <v>5.2352645409556565E-2</v>
      </c>
      <c r="P543" s="103" t="e">
        <f t="shared" ref="P543:S543" si="231">P513/P$421</f>
        <v>#DIV/0!</v>
      </c>
      <c r="Q543" s="103" t="e">
        <f t="shared" si="231"/>
        <v>#DIV/0!</v>
      </c>
      <c r="R543" s="103" t="e">
        <f t="shared" si="231"/>
        <v>#DIV/0!</v>
      </c>
      <c r="S543" s="48" t="e">
        <f t="shared" si="231"/>
        <v>#DIV/0!</v>
      </c>
      <c r="T543" s="48" t="e">
        <f>T504/T$421</f>
        <v>#DIV/0!</v>
      </c>
      <c r="U543" s="48" t="e">
        <f>U504/U$424</f>
        <v>#DIV/0!</v>
      </c>
      <c r="V543" s="48" t="e">
        <f>V504/V$424</f>
        <v>#DIV/0!</v>
      </c>
      <c r="W543" s="48" t="e">
        <f>W504/W$424</f>
        <v>#DIV/0!</v>
      </c>
      <c r="X543" s="103" t="e">
        <f>X504/X$421</f>
        <v>#DIV/0!</v>
      </c>
      <c r="Y543" s="48" t="e">
        <f>Y504/Y$424</f>
        <v>#DIV/0!</v>
      </c>
      <c r="Z543" s="14" t="e">
        <f>Z504/Z$421</f>
        <v>#DIV/0!</v>
      </c>
      <c r="AA543" s="14" t="e">
        <f>AA504/AA$421</f>
        <v>#DIV/0!</v>
      </c>
      <c r="AB543" s="14" t="e">
        <f>AB504/AB$421</f>
        <v>#DIV/0!</v>
      </c>
      <c r="AC543" s="14" t="e">
        <f>AC504/AC$421</f>
        <v>#DIV/0!</v>
      </c>
      <c r="AD543" s="14" t="e">
        <f>AD504/AD$421</f>
        <v>#DIV/0!</v>
      </c>
    </row>
    <row r="544" spans="1:32" x14ac:dyDescent="0.2">
      <c r="A544" s="14" t="s">
        <v>1014</v>
      </c>
      <c r="F544" s="103">
        <f>F514/F$421</f>
        <v>0</v>
      </c>
      <c r="G544" s="103">
        <f t="shared" ref="G544:I545" si="232">G514/G$421</f>
        <v>0</v>
      </c>
      <c r="H544" s="103">
        <f t="shared" si="232"/>
        <v>0</v>
      </c>
      <c r="I544" s="103">
        <f t="shared" si="232"/>
        <v>0</v>
      </c>
      <c r="J544" s="48">
        <f>J514/J$436</f>
        <v>0</v>
      </c>
      <c r="K544" s="48">
        <f>K514/K$436</f>
        <v>0</v>
      </c>
      <c r="L544" s="48">
        <f>L514/L$436</f>
        <v>0</v>
      </c>
      <c r="M544" s="103">
        <f>M514/M$421</f>
        <v>0</v>
      </c>
      <c r="N544" s="103">
        <f>N514/N$421</f>
        <v>0</v>
      </c>
      <c r="P544" s="103" t="e">
        <f t="shared" ref="P544:Q544" si="233">P514/P$421</f>
        <v>#DIV/0!</v>
      </c>
      <c r="Q544" s="103" t="e">
        <f t="shared" si="233"/>
        <v>#DIV/0!</v>
      </c>
      <c r="R544" s="48" t="e">
        <f>R514/R$436</f>
        <v>#DIV/0!</v>
      </c>
      <c r="S544" s="48"/>
      <c r="T544" s="48"/>
      <c r="U544" s="48"/>
      <c r="V544" s="48"/>
      <c r="W544" s="48"/>
      <c r="X544" s="103"/>
      <c r="Y544" s="48"/>
    </row>
    <row r="545" spans="1:32" x14ac:dyDescent="0.2">
      <c r="A545" s="14" t="s">
        <v>1015</v>
      </c>
      <c r="F545" s="103">
        <f>F515/F$421</f>
        <v>2.3567962409024614E-2</v>
      </c>
      <c r="G545" s="103">
        <f t="shared" si="232"/>
        <v>0</v>
      </c>
      <c r="H545" s="103">
        <f t="shared" si="232"/>
        <v>5.3178102391338872E-3</v>
      </c>
      <c r="I545" s="103">
        <f t="shared" si="232"/>
        <v>0</v>
      </c>
      <c r="J545" s="48">
        <f>J515/J$436</f>
        <v>2.4081063658632762</v>
      </c>
      <c r="K545" s="48">
        <f>K515/K$436</f>
        <v>3.0881197691285451</v>
      </c>
      <c r="L545" s="103">
        <f>L515/L$421</f>
        <v>6.2445698749438372E-3</v>
      </c>
      <c r="M545" s="103">
        <f>M515/M$421</f>
        <v>2.7828248074972847E-2</v>
      </c>
      <c r="N545" s="103">
        <f>N515/N$421</f>
        <v>1.5251243696990352E-2</v>
      </c>
      <c r="P545" s="103" t="e">
        <f>P515/P$421</f>
        <v>#DIV/0!</v>
      </c>
      <c r="Q545" s="103" t="e">
        <f>Q515/Q$421</f>
        <v>#DIV/0!</v>
      </c>
      <c r="R545" s="48" t="e">
        <f>R515/R$436</f>
        <v>#DIV/0!</v>
      </c>
      <c r="S545" s="48" t="e">
        <f>S515/S$421</f>
        <v>#DIV/0!</v>
      </c>
      <c r="T545" s="48">
        <f>T506/1251.6</f>
        <v>0</v>
      </c>
      <c r="U545" s="48" t="e">
        <f>U506/U424</f>
        <v>#DIV/0!</v>
      </c>
      <c r="V545" s="48" t="e">
        <f>V506/V424</f>
        <v>#DIV/0!</v>
      </c>
      <c r="W545" s="48" t="e">
        <f>W506/W424</f>
        <v>#DIV/0!</v>
      </c>
      <c r="X545" s="103" t="e">
        <f>X506/X421</f>
        <v>#DIV/0!</v>
      </c>
      <c r="Y545" s="48" t="e">
        <f>Y506/Y424</f>
        <v>#DIV/0!</v>
      </c>
      <c r="Z545" s="198">
        <f>Z506/12877</f>
        <v>0</v>
      </c>
      <c r="AA545" s="94">
        <f>AA506/11922</f>
        <v>0</v>
      </c>
      <c r="AB545" s="94">
        <f>AB506/14745</f>
        <v>0</v>
      </c>
      <c r="AC545" s="94">
        <f>AC506/10526</f>
        <v>0</v>
      </c>
      <c r="AD545" s="94">
        <f>AD506/11459</f>
        <v>0</v>
      </c>
      <c r="AE545" s="94"/>
      <c r="AF545" s="94"/>
    </row>
    <row r="546" spans="1:32" s="48" customFormat="1" x14ac:dyDescent="0.2">
      <c r="A546" s="48" t="s">
        <v>898</v>
      </c>
      <c r="F546" s="48">
        <f t="shared" ref="F546:S546" si="234">F516/F424</f>
        <v>32.929346611121716</v>
      </c>
      <c r="G546" s="48">
        <f t="shared" si="234"/>
        <v>4.6831524670434028</v>
      </c>
      <c r="H546" s="48">
        <f t="shared" si="234"/>
        <v>39.657850735568914</v>
      </c>
      <c r="I546" s="48">
        <f t="shared" si="234"/>
        <v>7.7583347162545699</v>
      </c>
      <c r="J546" s="48">
        <f>J516/J424</f>
        <v>31.277969431057848</v>
      </c>
      <c r="K546" s="48">
        <f t="shared" si="234"/>
        <v>36.570615331008547</v>
      </c>
      <c r="L546" s="48">
        <f t="shared" si="234"/>
        <v>36.636169354364291</v>
      </c>
      <c r="M546" s="48">
        <f t="shared" si="234"/>
        <v>35.828537884903454</v>
      </c>
      <c r="N546" s="48">
        <f t="shared" si="234"/>
        <v>32.255015839964841</v>
      </c>
      <c r="O546" s="14"/>
      <c r="P546" s="48" t="e">
        <f t="shared" si="234"/>
        <v>#DIV/0!</v>
      </c>
      <c r="Q546" s="48" t="e">
        <f t="shared" si="234"/>
        <v>#DIV/0!</v>
      </c>
      <c r="R546" s="48" t="e">
        <f t="shared" si="234"/>
        <v>#DIV/0!</v>
      </c>
      <c r="S546" s="48" t="e">
        <f t="shared" si="234"/>
        <v>#DIV/0!</v>
      </c>
      <c r="T546" s="48" t="e">
        <f t="shared" ref="T546:AD546" si="235">T507/T424</f>
        <v>#DIV/0!</v>
      </c>
      <c r="U546" s="48" t="e">
        <f t="shared" si="235"/>
        <v>#DIV/0!</v>
      </c>
      <c r="V546" s="48" t="e">
        <f t="shared" si="235"/>
        <v>#DIV/0!</v>
      </c>
      <c r="W546" s="48" t="e">
        <f t="shared" si="235"/>
        <v>#DIV/0!</v>
      </c>
      <c r="X546" s="48" t="e">
        <f t="shared" si="235"/>
        <v>#DIV/0!</v>
      </c>
      <c r="Y546" s="48" t="e">
        <f t="shared" si="235"/>
        <v>#DIV/0!</v>
      </c>
      <c r="Z546" s="48" t="e">
        <f t="shared" si="235"/>
        <v>#DIV/0!</v>
      </c>
      <c r="AA546" s="48" t="e">
        <f t="shared" si="235"/>
        <v>#DIV/0!</v>
      </c>
      <c r="AB546" s="48" t="e">
        <f t="shared" si="235"/>
        <v>#DIV/0!</v>
      </c>
      <c r="AC546" s="48" t="e">
        <f t="shared" si="235"/>
        <v>#DIV/0!</v>
      </c>
      <c r="AD546" s="48" t="e">
        <f t="shared" si="235"/>
        <v>#DIV/0!</v>
      </c>
    </row>
    <row r="549" spans="1:32" x14ac:dyDescent="0.2">
      <c r="A549" s="13" t="s">
        <v>650</v>
      </c>
    </row>
    <row r="550" spans="1:32" x14ac:dyDescent="0.2">
      <c r="A550" s="13"/>
    </row>
    <row r="551" spans="1:32" x14ac:dyDescent="0.2">
      <c r="A551" s="14" t="s">
        <v>1013</v>
      </c>
      <c r="F551" s="103">
        <f t="shared" ref="F551:I554" si="236">F522/F$421</f>
        <v>0</v>
      </c>
      <c r="G551" s="103">
        <f t="shared" si="236"/>
        <v>0</v>
      </c>
      <c r="H551" s="103">
        <f t="shared" si="236"/>
        <v>0</v>
      </c>
      <c r="I551" s="103">
        <f t="shared" si="236"/>
        <v>0</v>
      </c>
      <c r="J551" s="48">
        <f>J522/J$436</f>
        <v>0</v>
      </c>
      <c r="K551" s="48">
        <f>K522/K$436</f>
        <v>0</v>
      </c>
      <c r="L551" s="48">
        <f>L522/L$436</f>
        <v>0</v>
      </c>
      <c r="M551" s="103">
        <f t="shared" ref="M551:N554" si="237">M522/M$421</f>
        <v>0</v>
      </c>
      <c r="N551" s="103">
        <f t="shared" si="237"/>
        <v>0</v>
      </c>
      <c r="P551" s="103" t="e">
        <f t="shared" ref="P551:Q551" si="238">P522/P$421</f>
        <v>#DIV/0!</v>
      </c>
      <c r="Q551" s="103" t="e">
        <f t="shared" si="238"/>
        <v>#DIV/0!</v>
      </c>
      <c r="R551" s="48" t="e">
        <f>R522/R$436</f>
        <v>#DIV/0!</v>
      </c>
    </row>
    <row r="552" spans="1:32" x14ac:dyDescent="0.2">
      <c r="A552" s="14" t="s">
        <v>897</v>
      </c>
      <c r="F552" s="103">
        <f t="shared" si="236"/>
        <v>0</v>
      </c>
      <c r="G552" s="103">
        <f t="shared" si="236"/>
        <v>0</v>
      </c>
      <c r="H552" s="103">
        <f t="shared" si="236"/>
        <v>0</v>
      </c>
      <c r="I552" s="103">
        <f t="shared" si="236"/>
        <v>0</v>
      </c>
      <c r="J552" s="103">
        <f>J523/J$421</f>
        <v>0</v>
      </c>
      <c r="K552" s="103">
        <f>K523/K$421</f>
        <v>0</v>
      </c>
      <c r="L552" s="103">
        <f>L523/L$421</f>
        <v>0</v>
      </c>
      <c r="M552" s="103">
        <f t="shared" si="237"/>
        <v>0</v>
      </c>
      <c r="N552" s="103">
        <f t="shared" si="237"/>
        <v>0</v>
      </c>
      <c r="P552" s="103" t="e">
        <f t="shared" ref="P552:Q552" si="239">P523/P$421</f>
        <v>#DIV/0!</v>
      </c>
      <c r="Q552" s="103" t="e">
        <f t="shared" si="239"/>
        <v>#DIV/0!</v>
      </c>
      <c r="R552" s="103" t="e">
        <f>R523/R$421</f>
        <v>#DIV/0!</v>
      </c>
    </row>
    <row r="553" spans="1:32" x14ac:dyDescent="0.2">
      <c r="A553" s="14" t="s">
        <v>1014</v>
      </c>
      <c r="F553" s="103">
        <f t="shared" si="236"/>
        <v>0</v>
      </c>
      <c r="G553" s="103">
        <f t="shared" si="236"/>
        <v>0</v>
      </c>
      <c r="H553" s="103">
        <f t="shared" si="236"/>
        <v>0</v>
      </c>
      <c r="I553" s="103">
        <f t="shared" si="236"/>
        <v>0</v>
      </c>
      <c r="J553" s="48">
        <f t="shared" ref="J553" si="240">J524/J$436</f>
        <v>0</v>
      </c>
      <c r="K553" s="48">
        <f t="shared" ref="K553:K554" si="241">K524/K$436</f>
        <v>0</v>
      </c>
      <c r="L553" s="48">
        <f t="shared" ref="L553" si="242">L524/L$436</f>
        <v>0</v>
      </c>
      <c r="M553" s="103">
        <f t="shared" si="237"/>
        <v>0</v>
      </c>
      <c r="N553" s="103">
        <f t="shared" si="237"/>
        <v>0</v>
      </c>
      <c r="P553" s="103" t="e">
        <f t="shared" ref="P553:Q553" si="243">P524/P$421</f>
        <v>#DIV/0!</v>
      </c>
      <c r="Q553" s="103" t="e">
        <f t="shared" si="243"/>
        <v>#DIV/0!</v>
      </c>
      <c r="R553" s="48" t="e">
        <f>R524/R$436</f>
        <v>#DIV/0!</v>
      </c>
    </row>
    <row r="554" spans="1:32" x14ac:dyDescent="0.2">
      <c r="A554" s="14" t="s">
        <v>1015</v>
      </c>
      <c r="F554" s="103">
        <f t="shared" si="236"/>
        <v>0.12002546986095086</v>
      </c>
      <c r="G554" s="103">
        <f t="shared" si="236"/>
        <v>0</v>
      </c>
      <c r="H554" s="103">
        <f t="shared" si="236"/>
        <v>2.734579117330093E-2</v>
      </c>
      <c r="I554" s="103">
        <f t="shared" si="236"/>
        <v>0</v>
      </c>
      <c r="J554" s="48">
        <f t="shared" ref="J554" si="244">J525/J$436</f>
        <v>15.958861600519073</v>
      </c>
      <c r="K554" s="48">
        <f t="shared" si="241"/>
        <v>16.45260627555249</v>
      </c>
      <c r="L554" s="48">
        <f t="shared" ref="L554" si="245">L525/L$436</f>
        <v>16.263441781689536</v>
      </c>
      <c r="M554" s="103">
        <f t="shared" si="237"/>
        <v>0.14132344104427286</v>
      </c>
      <c r="N554" s="103">
        <f t="shared" si="237"/>
        <v>9.2951759929640984E-2</v>
      </c>
      <c r="P554" s="103" t="e">
        <f t="shared" ref="P554:Q554" si="246">P525/P$421</f>
        <v>#DIV/0!</v>
      </c>
      <c r="Q554" s="103" t="e">
        <f t="shared" si="246"/>
        <v>#DIV/0!</v>
      </c>
      <c r="R554" s="48" t="e">
        <f>R525/R$436</f>
        <v>#DIV/0!</v>
      </c>
      <c r="S554" s="48">
        <f>S525/5037.7</f>
        <v>0</v>
      </c>
      <c r="T554" s="48">
        <f>T525/1251.6</f>
        <v>0</v>
      </c>
      <c r="U554" s="48" t="e">
        <f>U525/U424</f>
        <v>#DIV/0!</v>
      </c>
      <c r="V554" s="48" t="e">
        <f>V525/V424</f>
        <v>#DIV/0!</v>
      </c>
      <c r="W554" s="48" t="e">
        <f>W525/W424</f>
        <v>#DIV/0!</v>
      </c>
      <c r="X554" s="48" t="e">
        <f>X525/X424</f>
        <v>#DIV/0!</v>
      </c>
      <c r="Y554" s="48" t="e">
        <f>Y525/Y424</f>
        <v>#DIV/0!</v>
      </c>
      <c r="Z554" s="199">
        <f>Z525/12877</f>
        <v>0</v>
      </c>
      <c r="AA554" s="94">
        <f>AA525/11922</f>
        <v>0</v>
      </c>
      <c r="AB554" s="94">
        <f>AB525/14745</f>
        <v>0</v>
      </c>
      <c r="AC554" s="94">
        <f>AC525/10526</f>
        <v>0</v>
      </c>
      <c r="AD554" s="94">
        <f>AD525/11459</f>
        <v>0</v>
      </c>
      <c r="AE554" s="94"/>
      <c r="AF554" s="94"/>
    </row>
    <row r="555" spans="1:32" x14ac:dyDescent="0.2">
      <c r="A555" s="14" t="s">
        <v>898</v>
      </c>
      <c r="F555" s="48">
        <f t="shared" ref="F555:N555" si="247">F526/F$424</f>
        <v>145.38104924320564</v>
      </c>
      <c r="G555" s="48">
        <f t="shared" si="247"/>
        <v>19.550100533491523</v>
      </c>
      <c r="H555" s="48">
        <f t="shared" si="247"/>
        <v>191.62096930557644</v>
      </c>
      <c r="I555" s="48">
        <f t="shared" si="247"/>
        <v>30.827749101993977</v>
      </c>
      <c r="J555" s="48">
        <f t="shared" si="247"/>
        <v>173.67305214260344</v>
      </c>
      <c r="K555" s="48">
        <f t="shared" si="247"/>
        <v>145.70323494750875</v>
      </c>
      <c r="L555" s="48">
        <f t="shared" si="247"/>
        <v>145.70323494750875</v>
      </c>
      <c r="M555" s="48">
        <f t="shared" si="247"/>
        <v>156.65869781170804</v>
      </c>
      <c r="N555" s="48">
        <f t="shared" si="247"/>
        <v>184.16559991385256</v>
      </c>
      <c r="P555" s="48" t="e">
        <f t="shared" ref="P555:Q555" si="248">P526/P$424</f>
        <v>#DIV/0!</v>
      </c>
      <c r="Q555" s="48" t="e">
        <f t="shared" si="248"/>
        <v>#DIV/0!</v>
      </c>
      <c r="R555" s="48" t="e">
        <f>R526/R$424</f>
        <v>#DIV/0!</v>
      </c>
      <c r="S555" s="48" t="e">
        <f t="shared" ref="S555:AD555" si="249">S526/S$424</f>
        <v>#DIV/0!</v>
      </c>
      <c r="T555" s="48" t="e">
        <f t="shared" si="249"/>
        <v>#DIV/0!</v>
      </c>
      <c r="U555" s="48" t="e">
        <f t="shared" si="249"/>
        <v>#DIV/0!</v>
      </c>
      <c r="V555" s="48" t="e">
        <f t="shared" si="249"/>
        <v>#DIV/0!</v>
      </c>
      <c r="W555" s="48" t="e">
        <f t="shared" si="249"/>
        <v>#DIV/0!</v>
      </c>
      <c r="X555" s="48" t="e">
        <f t="shared" si="249"/>
        <v>#DIV/0!</v>
      </c>
      <c r="Y555" s="48" t="e">
        <f t="shared" si="249"/>
        <v>#DIV/0!</v>
      </c>
      <c r="Z555" s="200" t="e">
        <f t="shared" si="249"/>
        <v>#DIV/0!</v>
      </c>
      <c r="AA555" s="200" t="e">
        <f t="shared" si="249"/>
        <v>#DIV/0!</v>
      </c>
      <c r="AB555" s="200" t="e">
        <f t="shared" si="249"/>
        <v>#DIV/0!</v>
      </c>
      <c r="AC555" s="200" t="e">
        <f t="shared" si="249"/>
        <v>#DIV/0!</v>
      </c>
      <c r="AD555" s="200" t="e">
        <f t="shared" si="249"/>
        <v>#DIV/0!</v>
      </c>
      <c r="AE555" s="200"/>
      <c r="AF555" s="200"/>
    </row>
    <row r="558" spans="1:32" x14ac:dyDescent="0.2">
      <c r="A558" s="29" t="s">
        <v>667</v>
      </c>
      <c r="B558" s="112"/>
      <c r="C558" s="14" t="s">
        <v>904</v>
      </c>
      <c r="F558" s="47">
        <f t="shared" ref="F558:N558" si="250">F394</f>
        <v>-3.8739576219041547E-2</v>
      </c>
      <c r="G558" s="47">
        <f t="shared" si="250"/>
        <v>0.17000897689410172</v>
      </c>
      <c r="H558" s="47">
        <f t="shared" si="250"/>
        <v>0.16102960414519593</v>
      </c>
      <c r="I558" s="47">
        <f t="shared" si="250"/>
        <v>-0.22836488994260026</v>
      </c>
      <c r="J558" s="47">
        <f t="shared" si="250"/>
        <v>0.16540951465855033</v>
      </c>
      <c r="K558" s="47">
        <f t="shared" si="250"/>
        <v>0.22904014392503502</v>
      </c>
      <c r="L558" s="47">
        <f t="shared" si="250"/>
        <v>0.20863619906196548</v>
      </c>
      <c r="M558" s="47">
        <f t="shared" si="250"/>
        <v>4.7472093087090654E-2</v>
      </c>
      <c r="N558" s="47">
        <f t="shared" si="250"/>
        <v>-2.8945094356486064E-2</v>
      </c>
      <c r="P558" s="47" t="e">
        <f>P394</f>
        <v>#DIV/0!</v>
      </c>
      <c r="Q558" s="47" t="e">
        <f>Q394</f>
        <v>#DIV/0!</v>
      </c>
      <c r="R558" s="47" t="e">
        <f>R394</f>
        <v>#DIV/0!</v>
      </c>
    </row>
    <row r="559" spans="1:32" x14ac:dyDescent="0.2">
      <c r="A559" s="13"/>
    </row>
    <row r="560" spans="1:32" x14ac:dyDescent="0.2">
      <c r="A560" s="13" t="s">
        <v>763</v>
      </c>
    </row>
    <row r="561" spans="1:37" x14ac:dyDescent="0.2">
      <c r="A561" s="14" t="s">
        <v>1016</v>
      </c>
      <c r="F561" s="108">
        <f t="shared" ref="F561:N561" si="251">F542</f>
        <v>2.1406545126160623E-2</v>
      </c>
      <c r="G561" s="108">
        <f t="shared" si="251"/>
        <v>0</v>
      </c>
      <c r="H561" s="108">
        <f t="shared" si="251"/>
        <v>1.3481751703979493E-2</v>
      </c>
      <c r="I561" s="108">
        <f t="shared" si="251"/>
        <v>0</v>
      </c>
      <c r="J561" s="48">
        <f t="shared" si="251"/>
        <v>4.3361166450785813</v>
      </c>
      <c r="K561" s="48">
        <f t="shared" si="251"/>
        <v>4.1983326552151912</v>
      </c>
      <c r="L561" s="48">
        <f t="shared" si="251"/>
        <v>7.6986628267271042</v>
      </c>
      <c r="M561" s="108">
        <f t="shared" si="251"/>
        <v>5.0557118998956806E-3</v>
      </c>
      <c r="N561" s="108">
        <f t="shared" si="251"/>
        <v>1.0098109376064472E-2</v>
      </c>
      <c r="P561" s="108" t="e">
        <f t="shared" ref="P561:S561" si="252">P542</f>
        <v>#DIV/0!</v>
      </c>
      <c r="Q561" s="108" t="e">
        <f t="shared" si="252"/>
        <v>#DIV/0!</v>
      </c>
      <c r="R561" s="48" t="e">
        <f>R542</f>
        <v>#DIV/0!</v>
      </c>
      <c r="S561" s="108" t="e">
        <f t="shared" si="252"/>
        <v>#DIV/0!</v>
      </c>
      <c r="T561" s="108" t="e">
        <f>#REF!</f>
        <v>#REF!</v>
      </c>
      <c r="U561" s="108" t="e">
        <f>#REF!</f>
        <v>#REF!</v>
      </c>
      <c r="V561" s="108" t="e">
        <f>#REF!</f>
        <v>#REF!</v>
      </c>
      <c r="W561" s="108" t="e">
        <f>#REF!</f>
        <v>#REF!</v>
      </c>
      <c r="X561" s="108" t="e">
        <f>#REF!</f>
        <v>#REF!</v>
      </c>
      <c r="Y561" s="108" t="e">
        <f>#REF!</f>
        <v>#REF!</v>
      </c>
      <c r="Z561" s="108" t="e">
        <f>#REF!</f>
        <v>#REF!</v>
      </c>
      <c r="AA561" s="108" t="e">
        <f>#REF!</f>
        <v>#REF!</v>
      </c>
      <c r="AB561" s="108" t="e">
        <f>#REF!</f>
        <v>#REF!</v>
      </c>
      <c r="AC561" s="108" t="e">
        <f>#REF!</f>
        <v>#REF!</v>
      </c>
      <c r="AD561" s="108" t="e">
        <f>#REF!</f>
        <v>#REF!</v>
      </c>
      <c r="AE561" s="108" t="e">
        <f>#REF!</f>
        <v>#REF!</v>
      </c>
      <c r="AF561" s="108" t="e">
        <f>#REF!</f>
        <v>#REF!</v>
      </c>
    </row>
    <row r="562" spans="1:37" x14ac:dyDescent="0.2">
      <c r="A562" s="14" t="s">
        <v>1017</v>
      </c>
      <c r="F562" s="108">
        <f>(F522*F394)/F$421</f>
        <v>0</v>
      </c>
      <c r="G562" s="108">
        <f>(G522*G394)/G$421</f>
        <v>0</v>
      </c>
      <c r="H562" s="108">
        <f>(H522*H394)/H$421</f>
        <v>0</v>
      </c>
      <c r="I562" s="108">
        <f>(I522*I394)/I$421</f>
        <v>0</v>
      </c>
      <c r="J562" s="48">
        <f>(J522*J394)/J$436</f>
        <v>0</v>
      </c>
      <c r="K562" s="48">
        <f>(K522*K394)/K$436</f>
        <v>0</v>
      </c>
      <c r="L562" s="48">
        <f>(L522*L394)/L$436</f>
        <v>0</v>
      </c>
      <c r="M562" s="108">
        <f>(M522*M394)/M$421</f>
        <v>0</v>
      </c>
      <c r="N562" s="108">
        <f>(N522*N394)/N$421</f>
        <v>0</v>
      </c>
      <c r="P562" s="108" t="e">
        <f>(P522*P394)/P$421</f>
        <v>#DIV/0!</v>
      </c>
      <c r="Q562" s="108" t="e">
        <f>(Q522*Q394)/Q$421</f>
        <v>#DIV/0!</v>
      </c>
      <c r="R562" s="48" t="e">
        <f>(R522*R394)/R$436</f>
        <v>#DIV/0!</v>
      </c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/>
      <c r="AE562" s="108"/>
      <c r="AF562" s="108"/>
    </row>
    <row r="563" spans="1:37" x14ac:dyDescent="0.2">
      <c r="A563" s="14" t="s">
        <v>899</v>
      </c>
      <c r="F563" s="108">
        <f t="shared" ref="F563:S563" si="253">F543</f>
        <v>4.9333544851520569E-2</v>
      </c>
      <c r="G563" s="108">
        <f t="shared" ref="G563:I563" si="254">G543</f>
        <v>5.5591184813142812E-2</v>
      </c>
      <c r="H563" s="108">
        <f t="shared" si="254"/>
        <v>5.1727528779078123E-2</v>
      </c>
      <c r="I563" s="108">
        <f t="shared" si="254"/>
        <v>5.5591184813142833E-2</v>
      </c>
      <c r="J563" s="108">
        <f t="shared" si="253"/>
        <v>5.1991802826309282E-2</v>
      </c>
      <c r="K563" s="108">
        <f t="shared" ref="K563:L563" si="255">K543</f>
        <v>3.9324358038828888E-2</v>
      </c>
      <c r="L563" s="108">
        <f t="shared" si="255"/>
        <v>4.0138383911065445E-2</v>
      </c>
      <c r="M563" s="108">
        <f t="shared" ref="M563:N563" si="256">M543</f>
        <v>5.3698853264521035E-2</v>
      </c>
      <c r="N563" s="108">
        <f t="shared" si="256"/>
        <v>5.2352645409556565E-2</v>
      </c>
      <c r="P563" s="108" t="e">
        <f t="shared" si="253"/>
        <v>#DIV/0!</v>
      </c>
      <c r="Q563" s="108" t="e">
        <f t="shared" si="253"/>
        <v>#DIV/0!</v>
      </c>
      <c r="R563" s="108" t="e">
        <f t="shared" si="253"/>
        <v>#DIV/0!</v>
      </c>
      <c r="S563" s="108" t="e">
        <f t="shared" si="253"/>
        <v>#DIV/0!</v>
      </c>
      <c r="T563" s="108" t="e">
        <f>#REF!</f>
        <v>#REF!</v>
      </c>
      <c r="U563" s="108" t="e">
        <f>#REF!</f>
        <v>#REF!</v>
      </c>
      <c r="V563" s="108" t="e">
        <f>#REF!</f>
        <v>#REF!</v>
      </c>
      <c r="W563" s="108" t="e">
        <f>#REF!</f>
        <v>#REF!</v>
      </c>
      <c r="X563" s="108" t="e">
        <f>#REF!</f>
        <v>#REF!</v>
      </c>
      <c r="Y563" s="108" t="e">
        <f>#REF!</f>
        <v>#REF!</v>
      </c>
      <c r="Z563" s="108" t="e">
        <f>#REF!</f>
        <v>#REF!</v>
      </c>
      <c r="AA563" s="108" t="e">
        <f>#REF!</f>
        <v>#REF!</v>
      </c>
      <c r="AB563" s="108" t="e">
        <f>#REF!</f>
        <v>#REF!</v>
      </c>
      <c r="AC563" s="108" t="e">
        <f>#REF!</f>
        <v>#REF!</v>
      </c>
      <c r="AD563" s="108" t="e">
        <f>#REF!</f>
        <v>#REF!</v>
      </c>
      <c r="AE563" s="108" t="e">
        <f>#REF!</f>
        <v>#REF!</v>
      </c>
      <c r="AF563" s="108" t="e">
        <f>#REF!</f>
        <v>#REF!</v>
      </c>
    </row>
    <row r="564" spans="1:37" x14ac:dyDescent="0.2">
      <c r="A564" s="14" t="s">
        <v>900</v>
      </c>
      <c r="F564" s="108">
        <f t="shared" ref="F564:R564" si="257">(F523*F394)/F$421</f>
        <v>0</v>
      </c>
      <c r="G564" s="108">
        <f t="shared" si="257"/>
        <v>0</v>
      </c>
      <c r="H564" s="108">
        <f t="shared" si="257"/>
        <v>0</v>
      </c>
      <c r="I564" s="108">
        <f t="shared" si="257"/>
        <v>0</v>
      </c>
      <c r="J564" s="108">
        <f t="shared" si="257"/>
        <v>0</v>
      </c>
      <c r="K564" s="108">
        <f t="shared" si="257"/>
        <v>0</v>
      </c>
      <c r="L564" s="108">
        <f t="shared" si="257"/>
        <v>0</v>
      </c>
      <c r="M564" s="108">
        <f t="shared" si="257"/>
        <v>0</v>
      </c>
      <c r="N564" s="108">
        <f t="shared" si="257"/>
        <v>0</v>
      </c>
      <c r="P564" s="108" t="e">
        <f t="shared" si="257"/>
        <v>#DIV/0!</v>
      </c>
      <c r="Q564" s="108" t="e">
        <f t="shared" si="257"/>
        <v>#DIV/0!</v>
      </c>
      <c r="R564" s="108" t="e">
        <f t="shared" si="257"/>
        <v>#DIV/0!</v>
      </c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  <c r="AC564" s="108"/>
      <c r="AD564" s="108"/>
      <c r="AE564" s="108"/>
      <c r="AF564" s="108"/>
    </row>
    <row r="565" spans="1:37" x14ac:dyDescent="0.2">
      <c r="F565" s="108"/>
      <c r="G565" s="108"/>
      <c r="H565" s="108"/>
      <c r="I565" s="108"/>
      <c r="J565" s="108"/>
      <c r="K565" s="108"/>
      <c r="L565" s="108"/>
      <c r="M565" s="108"/>
      <c r="N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/>
      <c r="AE565" s="108"/>
      <c r="AF565" s="108"/>
    </row>
    <row r="566" spans="1:37" x14ac:dyDescent="0.2">
      <c r="A566" s="13" t="s">
        <v>893</v>
      </c>
      <c r="F566" s="108"/>
      <c r="G566" s="108"/>
      <c r="H566" s="108"/>
      <c r="I566" s="108"/>
      <c r="J566" s="108"/>
      <c r="K566" s="108"/>
      <c r="L566" s="108"/>
      <c r="M566" s="108"/>
      <c r="N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  <c r="AC566" s="108"/>
      <c r="AD566" s="108"/>
      <c r="AE566" s="108"/>
      <c r="AF566" s="108"/>
    </row>
    <row r="567" spans="1:37" x14ac:dyDescent="0.2">
      <c r="A567" s="14" t="s">
        <v>1018</v>
      </c>
      <c r="F567" s="108">
        <f t="shared" ref="F567:R567" si="258">F544</f>
        <v>0</v>
      </c>
      <c r="G567" s="108">
        <f t="shared" si="258"/>
        <v>0</v>
      </c>
      <c r="H567" s="48">
        <f t="shared" si="258"/>
        <v>0</v>
      </c>
      <c r="I567" s="48">
        <f t="shared" si="258"/>
        <v>0</v>
      </c>
      <c r="J567" s="48">
        <f t="shared" si="258"/>
        <v>0</v>
      </c>
      <c r="K567" s="48">
        <f t="shared" si="258"/>
        <v>0</v>
      </c>
      <c r="L567" s="108">
        <f t="shared" si="258"/>
        <v>0</v>
      </c>
      <c r="M567" s="48">
        <f t="shared" si="258"/>
        <v>0</v>
      </c>
      <c r="N567" s="108">
        <f t="shared" si="258"/>
        <v>0</v>
      </c>
      <c r="P567" s="108" t="e">
        <f t="shared" si="258"/>
        <v>#DIV/0!</v>
      </c>
      <c r="Q567" s="108" t="e">
        <f t="shared" si="258"/>
        <v>#DIV/0!</v>
      </c>
      <c r="R567" s="48" t="e">
        <f t="shared" si="258"/>
        <v>#DIV/0!</v>
      </c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  <c r="AC567" s="108"/>
      <c r="AD567" s="108"/>
      <c r="AE567" s="108"/>
      <c r="AF567" s="108"/>
    </row>
    <row r="568" spans="1:37" s="75" customFormat="1" ht="15" x14ac:dyDescent="0.2">
      <c r="A568" s="75" t="s">
        <v>1019</v>
      </c>
      <c r="E568" s="117"/>
      <c r="F568" s="113">
        <f>(F524*F394)/F$421</f>
        <v>0</v>
      </c>
      <c r="G568" s="113">
        <f>(G524*G394)/G$421</f>
        <v>0</v>
      </c>
      <c r="H568" s="171">
        <f>(H524*H394)/H$436</f>
        <v>0</v>
      </c>
      <c r="I568" s="171">
        <f>(I524*I394)/I$436</f>
        <v>0</v>
      </c>
      <c r="J568" s="171">
        <f>(J524*J394)/J$436</f>
        <v>0</v>
      </c>
      <c r="K568" s="171">
        <f>(K524*K394)/K$436</f>
        <v>0</v>
      </c>
      <c r="L568" s="113">
        <f>(L524*L394)/L$421</f>
        <v>0</v>
      </c>
      <c r="M568" s="171">
        <f>(M524*M394)/M$436</f>
        <v>0</v>
      </c>
      <c r="N568" s="113">
        <f>(N524*N394)/N$421</f>
        <v>0</v>
      </c>
      <c r="O568" s="14"/>
      <c r="P568" s="113" t="e">
        <f>(P524*P394)/P$421</f>
        <v>#DIV/0!</v>
      </c>
      <c r="Q568" s="113" t="e">
        <f>(Q524*Q394)/Q$421</f>
        <v>#DIV/0!</v>
      </c>
      <c r="R568" s="171" t="e">
        <f>(R524*R394)/R$436</f>
        <v>#DIV/0!</v>
      </c>
      <c r="AK568" s="82"/>
    </row>
    <row r="569" spans="1:37" x14ac:dyDescent="0.2">
      <c r="B569" s="14" t="s">
        <v>1020</v>
      </c>
      <c r="F569" s="114">
        <f>F568+F567</f>
        <v>0</v>
      </c>
      <c r="G569" s="114">
        <f t="shared" ref="G569:R569" si="259">G568+G567</f>
        <v>0</v>
      </c>
      <c r="H569" s="48">
        <f t="shared" si="259"/>
        <v>0</v>
      </c>
      <c r="I569" s="48">
        <f t="shared" si="259"/>
        <v>0</v>
      </c>
      <c r="J569" s="48">
        <f t="shared" si="259"/>
        <v>0</v>
      </c>
      <c r="K569" s="48">
        <f t="shared" si="259"/>
        <v>0</v>
      </c>
      <c r="L569" s="114">
        <f t="shared" si="259"/>
        <v>0</v>
      </c>
      <c r="M569" s="48">
        <f t="shared" si="259"/>
        <v>0</v>
      </c>
      <c r="N569" s="114">
        <f t="shared" si="259"/>
        <v>0</v>
      </c>
      <c r="P569" s="114" t="e">
        <f t="shared" si="259"/>
        <v>#DIV/0!</v>
      </c>
      <c r="Q569" s="114" t="e">
        <f t="shared" si="259"/>
        <v>#DIV/0!</v>
      </c>
      <c r="R569" s="48" t="e">
        <f t="shared" si="259"/>
        <v>#DIV/0!</v>
      </c>
    </row>
    <row r="570" spans="1:37" x14ac:dyDescent="0.2">
      <c r="P570" s="48"/>
    </row>
    <row r="571" spans="1:37" x14ac:dyDescent="0.2">
      <c r="A571" s="13" t="s">
        <v>668</v>
      </c>
      <c r="P571" s="48"/>
    </row>
    <row r="572" spans="1:37" x14ac:dyDescent="0.2">
      <c r="A572" s="14" t="s">
        <v>1021</v>
      </c>
      <c r="F572" s="108">
        <f t="shared" ref="F572:S572" si="260">F545</f>
        <v>2.3567962409024614E-2</v>
      </c>
      <c r="G572" s="108">
        <f t="shared" ref="G572:I572" si="261">G545</f>
        <v>0</v>
      </c>
      <c r="H572" s="108">
        <f t="shared" si="261"/>
        <v>5.3178102391338872E-3</v>
      </c>
      <c r="I572" s="108">
        <f t="shared" si="261"/>
        <v>0</v>
      </c>
      <c r="J572" s="48">
        <f t="shared" si="260"/>
        <v>2.4081063658632762</v>
      </c>
      <c r="K572" s="48">
        <f t="shared" ref="K572:L572" si="262">K545</f>
        <v>3.0881197691285451</v>
      </c>
      <c r="L572" s="48">
        <f t="shared" si="262"/>
        <v>6.2445698749438372E-3</v>
      </c>
      <c r="M572" s="108">
        <f t="shared" ref="M572:N572" si="263">M545</f>
        <v>2.7828248074972847E-2</v>
      </c>
      <c r="N572" s="108">
        <f t="shared" si="263"/>
        <v>1.5251243696990352E-2</v>
      </c>
      <c r="P572" s="108" t="e">
        <f t="shared" si="260"/>
        <v>#DIV/0!</v>
      </c>
      <c r="Q572" s="108" t="e">
        <f t="shared" si="260"/>
        <v>#DIV/0!</v>
      </c>
      <c r="R572" s="48" t="e">
        <f t="shared" si="260"/>
        <v>#DIV/0!</v>
      </c>
      <c r="S572" s="108" t="e">
        <f t="shared" si="260"/>
        <v>#DIV/0!</v>
      </c>
      <c r="T572" s="108" t="e">
        <f>#REF!</f>
        <v>#REF!</v>
      </c>
      <c r="U572" s="108" t="e">
        <f>#REF!</f>
        <v>#REF!</v>
      </c>
      <c r="V572" s="108" t="e">
        <f>#REF!</f>
        <v>#REF!</v>
      </c>
      <c r="W572" s="108" t="e">
        <f>#REF!</f>
        <v>#REF!</v>
      </c>
      <c r="X572" s="108" t="e">
        <f>#REF!</f>
        <v>#REF!</v>
      </c>
      <c r="Y572" s="108" t="e">
        <f>#REF!</f>
        <v>#REF!</v>
      </c>
      <c r="Z572" s="108" t="e">
        <f>#REF!</f>
        <v>#REF!</v>
      </c>
      <c r="AA572" s="108" t="e">
        <f>#REF!</f>
        <v>#REF!</v>
      </c>
      <c r="AB572" s="108" t="e">
        <f>#REF!</f>
        <v>#REF!</v>
      </c>
      <c r="AC572" s="108" t="e">
        <f>#REF!</f>
        <v>#REF!</v>
      </c>
      <c r="AD572" s="108" t="e">
        <f>#REF!</f>
        <v>#REF!</v>
      </c>
      <c r="AE572" s="108" t="e">
        <f>#REF!</f>
        <v>#REF!</v>
      </c>
      <c r="AF572" s="108" t="e">
        <f>#REF!</f>
        <v>#REF!</v>
      </c>
    </row>
    <row r="573" spans="1:37" ht="15" x14ac:dyDescent="0.35">
      <c r="A573" s="75" t="s">
        <v>1022</v>
      </c>
      <c r="E573" s="108"/>
      <c r="F573" s="115">
        <f>(F525*F394)/F$421</f>
        <v>-4.6497358379045802E-3</v>
      </c>
      <c r="G573" s="115">
        <f>(G525*G394)/G$421</f>
        <v>0</v>
      </c>
      <c r="H573" s="115">
        <f>(H525*H394)/H$421</f>
        <v>4.4034819276738421E-3</v>
      </c>
      <c r="I573" s="115">
        <f>(I525*I394)/I$421</f>
        <v>0</v>
      </c>
      <c r="J573" s="116">
        <f>(J525*J394)/J$436</f>
        <v>2.6397475518448354</v>
      </c>
      <c r="K573" s="116">
        <f>(K525*K394)/K$436</f>
        <v>3.7683073092944772</v>
      </c>
      <c r="L573" s="116">
        <f>(L525*L394)/L$436</f>
        <v>3.3931426769972646</v>
      </c>
      <c r="M573" s="115">
        <f>(M525*M394)/M$421</f>
        <v>6.7089195486416883E-3</v>
      </c>
      <c r="N573" s="115">
        <f>(N525*N394)/N$421</f>
        <v>-2.6904974617648989E-3</v>
      </c>
      <c r="P573" s="115" t="e">
        <f>(P525*P394)/P$421</f>
        <v>#DIV/0!</v>
      </c>
      <c r="Q573" s="115" t="e">
        <f>(Q525*Q394)/Q$421</f>
        <v>#DIV/0!</v>
      </c>
      <c r="R573" s="116" t="e">
        <f>(R525*R394)/R$436</f>
        <v>#DIV/0!</v>
      </c>
      <c r="S573" s="115" t="e">
        <f>(S525*S394)/S$421</f>
        <v>#DIV/0!</v>
      </c>
      <c r="T573" s="115" t="e">
        <f>(#REF!*T330)/1026.4</f>
        <v>#REF!</v>
      </c>
      <c r="U573" s="115" t="e">
        <f>(#REF!*U330)/11504</f>
        <v>#REF!</v>
      </c>
      <c r="V573" s="115" t="e">
        <f>(#REF!*V330)/7284</f>
        <v>#REF!</v>
      </c>
      <c r="W573" s="115" t="e">
        <f>(#REF!*W330)/320.47</f>
        <v>#REF!</v>
      </c>
      <c r="X573" s="115" t="e">
        <f>(#REF!*X330)/26669</f>
        <v>#REF!</v>
      </c>
      <c r="Y573" s="115" t="e">
        <f>(#REF!*Y330)/68503</f>
        <v>#REF!</v>
      </c>
      <c r="Z573" s="115" t="e">
        <f>(#REF!*Z330)/Z$421</f>
        <v>#REF!</v>
      </c>
      <c r="AA573" s="115" t="e">
        <f>(#REF!*AA330)/17492.7</f>
        <v>#REF!</v>
      </c>
      <c r="AB573" s="115" t="e">
        <f>(#REF!*AB330)/10846</f>
        <v>#REF!</v>
      </c>
      <c r="AC573" s="115" t="e">
        <f>(#REF!*AC330)/12274</f>
        <v>#REF!</v>
      </c>
      <c r="AD573" s="115" t="e">
        <f>(#REF!*AD330)/10405</f>
        <v>#REF!</v>
      </c>
      <c r="AE573" s="115" t="e">
        <f>(#REF!*AE330)/12044</f>
        <v>#REF!</v>
      </c>
      <c r="AF573" s="115" t="e">
        <f>(#REF!*#REF!)/AF$434/12</f>
        <v>#REF!</v>
      </c>
    </row>
    <row r="574" spans="1:37" x14ac:dyDescent="0.2">
      <c r="B574" s="14" t="s">
        <v>1023</v>
      </c>
      <c r="F574" s="108">
        <f>F572+F573</f>
        <v>1.8918226571120033E-2</v>
      </c>
      <c r="G574" s="108">
        <f>G572+G573</f>
        <v>0</v>
      </c>
      <c r="H574" s="108">
        <f>H572+H573</f>
        <v>9.7212921668077303E-3</v>
      </c>
      <c r="I574" s="108">
        <f>I572+I573</f>
        <v>0</v>
      </c>
      <c r="J574" s="48">
        <f t="shared" ref="J574:AF574" si="264">J572+J573</f>
        <v>5.0478539177081121</v>
      </c>
      <c r="K574" s="48">
        <f t="shared" ref="K574:L574" si="265">K572+K573</f>
        <v>6.8564270784230228</v>
      </c>
      <c r="L574" s="48">
        <f t="shared" si="265"/>
        <v>3.3993872468722084</v>
      </c>
      <c r="M574" s="108">
        <f>M572+M573</f>
        <v>3.4537167623614536E-2</v>
      </c>
      <c r="N574" s="108">
        <f>N572+N573</f>
        <v>1.2560746235225453E-2</v>
      </c>
      <c r="P574" s="108" t="e">
        <f t="shared" si="264"/>
        <v>#DIV/0!</v>
      </c>
      <c r="Q574" s="108" t="e">
        <f t="shared" si="264"/>
        <v>#DIV/0!</v>
      </c>
      <c r="R574" s="48" t="e">
        <f t="shared" si="264"/>
        <v>#DIV/0!</v>
      </c>
      <c r="S574" s="108" t="e">
        <f t="shared" si="264"/>
        <v>#DIV/0!</v>
      </c>
      <c r="T574" s="108" t="e">
        <f t="shared" si="264"/>
        <v>#REF!</v>
      </c>
      <c r="U574" s="108" t="e">
        <f t="shared" si="264"/>
        <v>#REF!</v>
      </c>
      <c r="V574" s="108" t="e">
        <f t="shared" si="264"/>
        <v>#REF!</v>
      </c>
      <c r="W574" s="108" t="e">
        <f t="shared" si="264"/>
        <v>#REF!</v>
      </c>
      <c r="X574" s="108" t="e">
        <f t="shared" si="264"/>
        <v>#REF!</v>
      </c>
      <c r="Y574" s="108" t="e">
        <f t="shared" si="264"/>
        <v>#REF!</v>
      </c>
      <c r="Z574" s="108" t="e">
        <f t="shared" si="264"/>
        <v>#REF!</v>
      </c>
      <c r="AA574" s="108" t="e">
        <f t="shared" si="264"/>
        <v>#REF!</v>
      </c>
      <c r="AB574" s="108" t="e">
        <f t="shared" si="264"/>
        <v>#REF!</v>
      </c>
      <c r="AC574" s="108" t="e">
        <f t="shared" si="264"/>
        <v>#REF!</v>
      </c>
      <c r="AD574" s="108" t="e">
        <f t="shared" si="264"/>
        <v>#REF!</v>
      </c>
      <c r="AE574" s="108" t="e">
        <f t="shared" si="264"/>
        <v>#REF!</v>
      </c>
      <c r="AF574" s="108" t="e">
        <f t="shared" si="264"/>
        <v>#REF!</v>
      </c>
    </row>
    <row r="576" spans="1:37" x14ac:dyDescent="0.2">
      <c r="A576" s="13" t="s">
        <v>669</v>
      </c>
    </row>
    <row r="577" spans="1:32" x14ac:dyDescent="0.2">
      <c r="A577" s="14" t="s">
        <v>670</v>
      </c>
      <c r="F577" s="81">
        <f t="shared" ref="F577:S577" si="266">F546</f>
        <v>32.929346611121716</v>
      </c>
      <c r="G577" s="81">
        <f t="shared" ref="G577:N577" si="267">G546</f>
        <v>4.6831524670434028</v>
      </c>
      <c r="H577" s="81">
        <f t="shared" si="267"/>
        <v>39.657850735568914</v>
      </c>
      <c r="I577" s="81">
        <f t="shared" si="267"/>
        <v>7.7583347162545699</v>
      </c>
      <c r="J577" s="81">
        <f t="shared" si="267"/>
        <v>31.277969431057848</v>
      </c>
      <c r="K577" s="81">
        <f t="shared" si="267"/>
        <v>36.570615331008547</v>
      </c>
      <c r="L577" s="81">
        <f t="shared" si="267"/>
        <v>36.636169354364291</v>
      </c>
      <c r="M577" s="81">
        <f t="shared" si="267"/>
        <v>35.828537884903454</v>
      </c>
      <c r="N577" s="81">
        <f t="shared" si="267"/>
        <v>32.255015839964841</v>
      </c>
      <c r="P577" s="81" t="e">
        <f t="shared" si="266"/>
        <v>#DIV/0!</v>
      </c>
      <c r="Q577" s="81" t="e">
        <f t="shared" si="266"/>
        <v>#DIV/0!</v>
      </c>
      <c r="R577" s="81" t="e">
        <f t="shared" si="266"/>
        <v>#DIV/0!</v>
      </c>
      <c r="S577" s="81" t="e">
        <f t="shared" si="266"/>
        <v>#DIV/0!</v>
      </c>
      <c r="T577" s="81" t="e">
        <f>#REF!</f>
        <v>#REF!</v>
      </c>
      <c r="U577" s="81" t="e">
        <f>#REF!</f>
        <v>#REF!</v>
      </c>
      <c r="V577" s="81" t="e">
        <f>#REF!</f>
        <v>#REF!</v>
      </c>
      <c r="W577" s="81" t="e">
        <f>#REF!</f>
        <v>#REF!</v>
      </c>
      <c r="X577" s="81" t="e">
        <f>#REF!</f>
        <v>#REF!</v>
      </c>
      <c r="Y577" s="81" t="e">
        <f>#REF!</f>
        <v>#REF!</v>
      </c>
      <c r="Z577" s="81" t="e">
        <f>#REF!</f>
        <v>#REF!</v>
      </c>
      <c r="AA577" s="81" t="e">
        <f>#REF!</f>
        <v>#REF!</v>
      </c>
      <c r="AB577" s="81" t="e">
        <f>#REF!</f>
        <v>#REF!</v>
      </c>
      <c r="AC577" s="81" t="e">
        <f>#REF!</f>
        <v>#REF!</v>
      </c>
      <c r="AD577" s="81" t="e">
        <f>#REF!</f>
        <v>#REF!</v>
      </c>
      <c r="AE577" s="81" t="e">
        <f>#REF!</f>
        <v>#REF!</v>
      </c>
      <c r="AF577" s="81" t="e">
        <f>#REF!</f>
        <v>#REF!</v>
      </c>
    </row>
    <row r="578" spans="1:32" ht="15" x14ac:dyDescent="0.35">
      <c r="A578" s="14" t="s">
        <v>671</v>
      </c>
      <c r="E578" s="81"/>
      <c r="F578" s="116">
        <f t="shared" ref="F578:S578" si="268">(F526*F394)/F424</f>
        <v>-5.6320002379613969</v>
      </c>
      <c r="G578" s="116">
        <f t="shared" si="268"/>
        <v>3.3236925898757264</v>
      </c>
      <c r="H578" s="116">
        <f t="shared" si="268"/>
        <v>30.856648833195713</v>
      </c>
      <c r="I578" s="116">
        <f t="shared" si="268"/>
        <v>-7.0399755308549494</v>
      </c>
      <c r="J578" s="116">
        <f t="shared" si="268"/>
        <v>28.727175264177138</v>
      </c>
      <c r="K578" s="116">
        <f t="shared" si="268"/>
        <v>33.371889902720596</v>
      </c>
      <c r="L578" s="116">
        <f t="shared" si="268"/>
        <v>30.398969130480761</v>
      </c>
      <c r="M578" s="116">
        <f t="shared" si="268"/>
        <v>7.4369162854198088</v>
      </c>
      <c r="N578" s="116">
        <f t="shared" si="268"/>
        <v>-5.3306906667253244</v>
      </c>
      <c r="P578" s="116" t="e">
        <f t="shared" si="268"/>
        <v>#DIV/0!</v>
      </c>
      <c r="Q578" s="116" t="e">
        <f t="shared" si="268"/>
        <v>#DIV/0!</v>
      </c>
      <c r="R578" s="116" t="e">
        <f t="shared" si="268"/>
        <v>#DIV/0!</v>
      </c>
      <c r="S578" s="116" t="e">
        <f t="shared" si="268"/>
        <v>#DIV/0!</v>
      </c>
      <c r="T578" s="116" t="e">
        <f>(#REF!*T330)/T424</f>
        <v>#REF!</v>
      </c>
      <c r="U578" s="116" t="e">
        <f>(#REF!*U330)/U424</f>
        <v>#REF!</v>
      </c>
      <c r="V578" s="116" t="e">
        <f>(#REF!*V330)/V424</f>
        <v>#REF!</v>
      </c>
      <c r="W578" s="116" t="e">
        <f>(#REF!*W330)/W424</f>
        <v>#REF!</v>
      </c>
      <c r="X578" s="116" t="e">
        <f>(#REF!*X330)/X424</f>
        <v>#REF!</v>
      </c>
      <c r="Y578" s="116" t="e">
        <f>(#REF!*Y330)/Y424</f>
        <v>#REF!</v>
      </c>
      <c r="Z578" s="116" t="e">
        <f>(#REF!*Z330)/Z424</f>
        <v>#REF!</v>
      </c>
      <c r="AA578" s="116" t="e">
        <f>(#REF!*AA330)/AA424</f>
        <v>#REF!</v>
      </c>
      <c r="AB578" s="116" t="e">
        <f>(#REF!*AB330)/AB424</f>
        <v>#REF!</v>
      </c>
      <c r="AC578" s="116" t="e">
        <f>(#REF!*AC330)/AC424</f>
        <v>#REF!</v>
      </c>
      <c r="AD578" s="116" t="e">
        <f>(#REF!*AD330)/AD424</f>
        <v>#REF!</v>
      </c>
      <c r="AE578" s="116" t="e">
        <f>(#REF!*AE330)/AE424</f>
        <v>#REF!</v>
      </c>
      <c r="AF578" s="116" t="e">
        <f>(#REF!*#REF!)/#REF!</f>
        <v>#REF!</v>
      </c>
    </row>
    <row r="579" spans="1:32" x14ac:dyDescent="0.2">
      <c r="B579" s="14" t="s">
        <v>672</v>
      </c>
      <c r="F579" s="81">
        <f t="shared" ref="F579:N579" si="269">F577+F578</f>
        <v>27.29734637316032</v>
      </c>
      <c r="G579" s="81">
        <f t="shared" si="269"/>
        <v>8.0068450569191292</v>
      </c>
      <c r="H579" s="81">
        <f t="shared" si="269"/>
        <v>70.51449956876462</v>
      </c>
      <c r="I579" s="81">
        <f t="shared" si="269"/>
        <v>0.71835918539962051</v>
      </c>
      <c r="J579" s="81">
        <f t="shared" si="269"/>
        <v>60.005144695234989</v>
      </c>
      <c r="K579" s="81">
        <f t="shared" si="269"/>
        <v>69.94250523372915</v>
      </c>
      <c r="L579" s="81">
        <f t="shared" si="269"/>
        <v>67.035138484845049</v>
      </c>
      <c r="M579" s="81">
        <f t="shared" si="269"/>
        <v>43.265454170323267</v>
      </c>
      <c r="N579" s="81">
        <f t="shared" si="269"/>
        <v>26.924325173239517</v>
      </c>
      <c r="P579" s="81" t="e">
        <f t="shared" ref="P579:AF579" si="270">P577+P578</f>
        <v>#DIV/0!</v>
      </c>
      <c r="Q579" s="81" t="e">
        <f t="shared" si="270"/>
        <v>#DIV/0!</v>
      </c>
      <c r="R579" s="81" t="e">
        <f t="shared" si="270"/>
        <v>#DIV/0!</v>
      </c>
      <c r="S579" s="81" t="e">
        <f t="shared" si="270"/>
        <v>#DIV/0!</v>
      </c>
      <c r="T579" s="81" t="e">
        <f t="shared" si="270"/>
        <v>#REF!</v>
      </c>
      <c r="U579" s="81" t="e">
        <f t="shared" si="270"/>
        <v>#REF!</v>
      </c>
      <c r="V579" s="81" t="e">
        <f t="shared" si="270"/>
        <v>#REF!</v>
      </c>
      <c r="W579" s="81" t="e">
        <f t="shared" si="270"/>
        <v>#REF!</v>
      </c>
      <c r="X579" s="81" t="e">
        <f t="shared" si="270"/>
        <v>#REF!</v>
      </c>
      <c r="Y579" s="81" t="e">
        <f t="shared" si="270"/>
        <v>#REF!</v>
      </c>
      <c r="Z579" s="81" t="e">
        <f t="shared" si="270"/>
        <v>#REF!</v>
      </c>
      <c r="AA579" s="81" t="e">
        <f t="shared" si="270"/>
        <v>#REF!</v>
      </c>
      <c r="AB579" s="81" t="e">
        <f t="shared" si="270"/>
        <v>#REF!</v>
      </c>
      <c r="AC579" s="81" t="e">
        <f t="shared" si="270"/>
        <v>#REF!</v>
      </c>
      <c r="AD579" s="81" t="e">
        <f t="shared" si="270"/>
        <v>#REF!</v>
      </c>
      <c r="AE579" s="81" t="e">
        <f t="shared" si="270"/>
        <v>#REF!</v>
      </c>
      <c r="AF579" s="81" t="e">
        <f t="shared" si="270"/>
        <v>#REF!</v>
      </c>
    </row>
    <row r="583" spans="1:32" x14ac:dyDescent="0.2">
      <c r="A583" s="29" t="s">
        <v>673</v>
      </c>
      <c r="B583" s="112"/>
      <c r="C583" s="201">
        <f>E394</f>
        <v>-6.9461419536397213E-3</v>
      </c>
      <c r="F583" s="47">
        <f t="shared" ref="F583:N583" si="271">$C$583</f>
        <v>-6.9461419536397213E-3</v>
      </c>
      <c r="G583" s="47">
        <f t="shared" si="271"/>
        <v>-6.9461419536397213E-3</v>
      </c>
      <c r="H583" s="47">
        <f t="shared" si="271"/>
        <v>-6.9461419536397213E-3</v>
      </c>
      <c r="I583" s="47">
        <f t="shared" si="271"/>
        <v>-6.9461419536397213E-3</v>
      </c>
      <c r="J583" s="47">
        <f t="shared" si="271"/>
        <v>-6.9461419536397213E-3</v>
      </c>
      <c r="K583" s="47">
        <f t="shared" si="271"/>
        <v>-6.9461419536397213E-3</v>
      </c>
      <c r="L583" s="47">
        <f t="shared" si="271"/>
        <v>-6.9461419536397213E-3</v>
      </c>
      <c r="M583" s="47">
        <f t="shared" si="271"/>
        <v>-6.9461419536397213E-3</v>
      </c>
      <c r="N583" s="47">
        <f t="shared" si="271"/>
        <v>-6.9461419536397213E-3</v>
      </c>
      <c r="P583" s="47">
        <f>$C$583</f>
        <v>-6.9461419536397213E-3</v>
      </c>
      <c r="Q583" s="47">
        <f>$C$583</f>
        <v>-6.9461419536397213E-3</v>
      </c>
      <c r="R583" s="47">
        <f>$C$583</f>
        <v>-6.9461419536397213E-3</v>
      </c>
    </row>
    <row r="584" spans="1:32" x14ac:dyDescent="0.2">
      <c r="A584" s="13"/>
    </row>
    <row r="585" spans="1:32" x14ac:dyDescent="0.2">
      <c r="A585" s="13" t="s">
        <v>763</v>
      </c>
    </row>
    <row r="586" spans="1:32" x14ac:dyDescent="0.2">
      <c r="A586" s="14" t="s">
        <v>1016</v>
      </c>
      <c r="F586" s="108">
        <f t="shared" ref="F586:N586" si="272">F561</f>
        <v>2.1406545126160623E-2</v>
      </c>
      <c r="G586" s="108">
        <f t="shared" si="272"/>
        <v>0</v>
      </c>
      <c r="H586" s="108">
        <f t="shared" si="272"/>
        <v>1.3481751703979493E-2</v>
      </c>
      <c r="I586" s="108">
        <f t="shared" si="272"/>
        <v>0</v>
      </c>
      <c r="J586" s="48">
        <f t="shared" si="272"/>
        <v>4.3361166450785813</v>
      </c>
      <c r="K586" s="48">
        <f t="shared" si="272"/>
        <v>4.1983326552151912</v>
      </c>
      <c r="L586" s="48">
        <f t="shared" si="272"/>
        <v>7.6986628267271042</v>
      </c>
      <c r="M586" s="108">
        <f t="shared" si="272"/>
        <v>5.0557118998956806E-3</v>
      </c>
      <c r="N586" s="108">
        <f t="shared" si="272"/>
        <v>1.0098109376064472E-2</v>
      </c>
      <c r="P586" s="108" t="e">
        <f t="shared" ref="P586:Q586" si="273">P561</f>
        <v>#DIV/0!</v>
      </c>
      <c r="Q586" s="108" t="e">
        <f t="shared" si="273"/>
        <v>#DIV/0!</v>
      </c>
      <c r="R586" s="48" t="e">
        <f>R561</f>
        <v>#DIV/0!</v>
      </c>
      <c r="S586" s="108" t="e">
        <f t="shared" ref="S586:AE586" si="274">S542</f>
        <v>#DIV/0!</v>
      </c>
      <c r="T586" s="108">
        <f t="shared" si="274"/>
        <v>0</v>
      </c>
      <c r="U586" s="108" t="e">
        <f t="shared" si="274"/>
        <v>#DIV/0!</v>
      </c>
      <c r="V586" s="108" t="e">
        <f t="shared" si="274"/>
        <v>#DIV/0!</v>
      </c>
      <c r="W586" s="108" t="e">
        <f t="shared" si="274"/>
        <v>#DIV/0!</v>
      </c>
      <c r="X586" s="108" t="e">
        <f t="shared" si="274"/>
        <v>#DIV/0!</v>
      </c>
      <c r="Y586" s="108" t="e">
        <f t="shared" si="274"/>
        <v>#DIV/0!</v>
      </c>
      <c r="Z586" s="108">
        <f t="shared" si="274"/>
        <v>0</v>
      </c>
      <c r="AA586" s="108">
        <f t="shared" si="274"/>
        <v>0</v>
      </c>
      <c r="AB586" s="108">
        <f t="shared" si="274"/>
        <v>0</v>
      </c>
      <c r="AC586" s="108">
        <f t="shared" si="274"/>
        <v>0</v>
      </c>
      <c r="AD586" s="108">
        <f t="shared" si="274"/>
        <v>0</v>
      </c>
      <c r="AE586" s="108">
        <f t="shared" si="274"/>
        <v>0</v>
      </c>
      <c r="AF586" s="108" t="e">
        <f>#REF!</f>
        <v>#REF!</v>
      </c>
    </row>
    <row r="587" spans="1:32" x14ac:dyDescent="0.2">
      <c r="A587" s="14" t="s">
        <v>1017</v>
      </c>
      <c r="E587" s="118"/>
      <c r="F587" s="108">
        <f>(F522*$E$394)/F$421</f>
        <v>0</v>
      </c>
      <c r="G587" s="108">
        <f>(G522*$E$394)/G$421</f>
        <v>0</v>
      </c>
      <c r="H587" s="108">
        <f>(H522*$E$394)/H$421</f>
        <v>0</v>
      </c>
      <c r="I587" s="108">
        <f>(I522*$E$394)/I$421</f>
        <v>0</v>
      </c>
      <c r="J587" s="48">
        <f>(J522*$E$394)/J$436</f>
        <v>0</v>
      </c>
      <c r="K587" s="48">
        <f>(K522*$E$394)/K$436</f>
        <v>0</v>
      </c>
      <c r="L587" s="48">
        <f>(L522*$E$394)/L$436</f>
        <v>0</v>
      </c>
      <c r="M587" s="108">
        <f>(M522*$E$394)/M$421</f>
        <v>0</v>
      </c>
      <c r="N587" s="108">
        <f>(N522*$E$394)/N$421</f>
        <v>0</v>
      </c>
      <c r="P587" s="108" t="e">
        <f>(P522*$E$394)/P$421</f>
        <v>#DIV/0!</v>
      </c>
      <c r="Q587" s="108" t="e">
        <f>(Q522*$E$394)/Q$421</f>
        <v>#DIV/0!</v>
      </c>
      <c r="R587" s="48" t="e">
        <f>(R522*$E$394)/R$436</f>
        <v>#DIV/0!</v>
      </c>
      <c r="S587" s="108" t="e">
        <f t="shared" ref="S587:AE587" si="275">S543</f>
        <v>#DIV/0!</v>
      </c>
      <c r="T587" s="108" t="e">
        <f t="shared" si="275"/>
        <v>#DIV/0!</v>
      </c>
      <c r="U587" s="108" t="e">
        <f t="shared" si="275"/>
        <v>#DIV/0!</v>
      </c>
      <c r="V587" s="108" t="e">
        <f t="shared" si="275"/>
        <v>#DIV/0!</v>
      </c>
      <c r="W587" s="108" t="e">
        <f t="shared" si="275"/>
        <v>#DIV/0!</v>
      </c>
      <c r="X587" s="108" t="e">
        <f t="shared" si="275"/>
        <v>#DIV/0!</v>
      </c>
      <c r="Y587" s="108" t="e">
        <f t="shared" si="275"/>
        <v>#DIV/0!</v>
      </c>
      <c r="Z587" s="108" t="e">
        <f t="shared" si="275"/>
        <v>#DIV/0!</v>
      </c>
      <c r="AA587" s="108" t="e">
        <f t="shared" si="275"/>
        <v>#DIV/0!</v>
      </c>
      <c r="AB587" s="108" t="e">
        <f t="shared" si="275"/>
        <v>#DIV/0!</v>
      </c>
      <c r="AC587" s="108" t="e">
        <f t="shared" si="275"/>
        <v>#DIV/0!</v>
      </c>
      <c r="AD587" s="108" t="e">
        <f t="shared" si="275"/>
        <v>#DIV/0!</v>
      </c>
      <c r="AE587" s="108">
        <f t="shared" si="275"/>
        <v>0</v>
      </c>
      <c r="AF587" s="108" t="e">
        <f>#REF!</f>
        <v>#REF!</v>
      </c>
    </row>
    <row r="588" spans="1:32" x14ac:dyDescent="0.2">
      <c r="A588" s="14" t="s">
        <v>899</v>
      </c>
      <c r="F588" s="108">
        <f t="shared" ref="F588:N588" si="276">F563</f>
        <v>4.9333544851520569E-2</v>
      </c>
      <c r="G588" s="108">
        <f t="shared" si="276"/>
        <v>5.5591184813142812E-2</v>
      </c>
      <c r="H588" s="108">
        <f t="shared" si="276"/>
        <v>5.1727528779078123E-2</v>
      </c>
      <c r="I588" s="108">
        <f t="shared" si="276"/>
        <v>5.5591184813142833E-2</v>
      </c>
      <c r="J588" s="108">
        <f t="shared" si="276"/>
        <v>5.1991802826309282E-2</v>
      </c>
      <c r="K588" s="108">
        <f t="shared" si="276"/>
        <v>3.9324358038828888E-2</v>
      </c>
      <c r="L588" s="108">
        <f t="shared" si="276"/>
        <v>4.0138383911065445E-2</v>
      </c>
      <c r="M588" s="108">
        <f t="shared" si="276"/>
        <v>5.3698853264521035E-2</v>
      </c>
      <c r="N588" s="108">
        <f t="shared" si="276"/>
        <v>5.2352645409556565E-2</v>
      </c>
      <c r="P588" s="108" t="e">
        <f t="shared" ref="P588:Q588" si="277">P563</f>
        <v>#DIV/0!</v>
      </c>
      <c r="Q588" s="108" t="e">
        <f t="shared" si="277"/>
        <v>#DIV/0!</v>
      </c>
      <c r="R588" s="108" t="e">
        <f>R563</f>
        <v>#DIV/0!</v>
      </c>
      <c r="S588" s="108">
        <f>S568</f>
        <v>0</v>
      </c>
      <c r="T588" s="108" t="e">
        <f>#REF!</f>
        <v>#REF!</v>
      </c>
      <c r="U588" s="108" t="e">
        <f>#REF!</f>
        <v>#REF!</v>
      </c>
      <c r="V588" s="108" t="e">
        <f>#REF!</f>
        <v>#REF!</v>
      </c>
      <c r="W588" s="108" t="e">
        <f>#REF!</f>
        <v>#REF!</v>
      </c>
      <c r="X588" s="108" t="e">
        <f>#REF!</f>
        <v>#REF!</v>
      </c>
      <c r="Y588" s="108" t="e">
        <f>#REF!</f>
        <v>#REF!</v>
      </c>
      <c r="Z588" s="108" t="e">
        <f>#REF!</f>
        <v>#REF!</v>
      </c>
      <c r="AA588" s="108" t="e">
        <f>#REF!</f>
        <v>#REF!</v>
      </c>
      <c r="AB588" s="108" t="e">
        <f>#REF!</f>
        <v>#REF!</v>
      </c>
      <c r="AC588" s="108" t="e">
        <f>#REF!</f>
        <v>#REF!</v>
      </c>
      <c r="AD588" s="108" t="e">
        <f>#REF!</f>
        <v>#REF!</v>
      </c>
      <c r="AE588" s="108" t="e">
        <f>#REF!</f>
        <v>#REF!</v>
      </c>
      <c r="AF588" s="108" t="e">
        <f>#REF!</f>
        <v>#REF!</v>
      </c>
    </row>
    <row r="589" spans="1:32" x14ac:dyDescent="0.2">
      <c r="A589" s="14" t="s">
        <v>900</v>
      </c>
      <c r="D589" s="108"/>
      <c r="F589" s="108">
        <f t="shared" ref="F589:R589" si="278">(F523*$E$394)/F$421</f>
        <v>0</v>
      </c>
      <c r="G589" s="108">
        <f t="shared" ref="G589:I589" si="279">(G523*$E$394)/G$421</f>
        <v>0</v>
      </c>
      <c r="H589" s="108">
        <f t="shared" si="279"/>
        <v>0</v>
      </c>
      <c r="I589" s="108">
        <f t="shared" si="279"/>
        <v>0</v>
      </c>
      <c r="J589" s="49">
        <f t="shared" si="278"/>
        <v>0</v>
      </c>
      <c r="K589" s="49">
        <f t="shared" ref="K589:L589" si="280">(K523*$E$394)/K$421</f>
        <v>0</v>
      </c>
      <c r="L589" s="49">
        <f t="shared" si="280"/>
        <v>0</v>
      </c>
      <c r="M589" s="108">
        <f t="shared" ref="M589:N589" si="281">(M523*$E$394)/M$421</f>
        <v>0</v>
      </c>
      <c r="N589" s="108">
        <f t="shared" si="281"/>
        <v>0</v>
      </c>
      <c r="P589" s="108" t="e">
        <f t="shared" si="278"/>
        <v>#DIV/0!</v>
      </c>
      <c r="Q589" s="108" t="e">
        <f t="shared" si="278"/>
        <v>#DIV/0!</v>
      </c>
      <c r="R589" s="49" t="e">
        <f t="shared" si="278"/>
        <v>#DIV/0!</v>
      </c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  <c r="AC589" s="108"/>
      <c r="AD589" s="108"/>
      <c r="AE589" s="108"/>
      <c r="AF589" s="108"/>
    </row>
    <row r="590" spans="1:32" x14ac:dyDescent="0.2">
      <c r="F590" s="108"/>
      <c r="G590" s="108"/>
      <c r="H590" s="108"/>
      <c r="I590" s="108"/>
      <c r="J590" s="108"/>
      <c r="K590" s="108"/>
      <c r="L590" s="108"/>
      <c r="M590" s="108"/>
      <c r="N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  <c r="AC590" s="108"/>
      <c r="AD590" s="108"/>
      <c r="AE590" s="108"/>
      <c r="AF590" s="108"/>
    </row>
    <row r="591" spans="1:32" x14ac:dyDescent="0.2">
      <c r="A591" s="13" t="s">
        <v>893</v>
      </c>
      <c r="F591" s="108"/>
      <c r="G591" s="108"/>
      <c r="H591" s="108"/>
      <c r="I591" s="108"/>
      <c r="J591" s="108"/>
      <c r="K591" s="108"/>
      <c r="L591" s="108"/>
      <c r="M591" s="108"/>
      <c r="N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/>
      <c r="AE591" s="108"/>
      <c r="AF591" s="108"/>
    </row>
    <row r="592" spans="1:32" x14ac:dyDescent="0.2">
      <c r="A592" s="14" t="s">
        <v>1018</v>
      </c>
      <c r="F592" s="108">
        <f t="shared" ref="F592:N592" si="282">F567</f>
        <v>0</v>
      </c>
      <c r="G592" s="108">
        <f t="shared" si="282"/>
        <v>0</v>
      </c>
      <c r="H592" s="108">
        <f t="shared" si="282"/>
        <v>0</v>
      </c>
      <c r="I592" s="108">
        <f t="shared" si="282"/>
        <v>0</v>
      </c>
      <c r="J592" s="48">
        <f t="shared" si="282"/>
        <v>0</v>
      </c>
      <c r="K592" s="48">
        <f t="shared" si="282"/>
        <v>0</v>
      </c>
      <c r="L592" s="48">
        <f t="shared" si="282"/>
        <v>0</v>
      </c>
      <c r="M592" s="108">
        <f t="shared" si="282"/>
        <v>0</v>
      </c>
      <c r="N592" s="108">
        <f t="shared" si="282"/>
        <v>0</v>
      </c>
      <c r="P592" s="108" t="e">
        <f t="shared" ref="P592:Q592" si="283">P567</f>
        <v>#DIV/0!</v>
      </c>
      <c r="Q592" s="108" t="e">
        <f t="shared" si="283"/>
        <v>#DIV/0!</v>
      </c>
      <c r="R592" s="48" t="e">
        <f>R567</f>
        <v>#DIV/0!</v>
      </c>
      <c r="S592" s="108"/>
      <c r="T592" s="108"/>
      <c r="U592" s="108"/>
      <c r="V592" s="108"/>
      <c r="W592" s="108"/>
      <c r="X592" s="108"/>
      <c r="Y592" s="108"/>
      <c r="Z592" s="108"/>
      <c r="AA592" s="108"/>
      <c r="AB592" s="108"/>
      <c r="AC592" s="108"/>
      <c r="AD592" s="108"/>
      <c r="AE592" s="108"/>
      <c r="AF592" s="108"/>
    </row>
    <row r="593" spans="1:37" s="75" customFormat="1" ht="15" x14ac:dyDescent="0.35">
      <c r="A593" s="75" t="s">
        <v>1019</v>
      </c>
      <c r="D593" s="117"/>
      <c r="F593" s="115">
        <f>(F524*$E$394)/F$421</f>
        <v>0</v>
      </c>
      <c r="G593" s="115">
        <f>(G524*$E$394)/G$421</f>
        <v>0</v>
      </c>
      <c r="H593" s="115">
        <f>(H524*$E$394)/H$421</f>
        <v>0</v>
      </c>
      <c r="I593" s="115">
        <f>(I524*$E$394)/I$421</f>
        <v>0</v>
      </c>
      <c r="J593" s="116">
        <f>(J524*$E$394)/J$436</f>
        <v>0</v>
      </c>
      <c r="K593" s="116">
        <f>(K524*$E$394)/K$436</f>
        <v>0</v>
      </c>
      <c r="L593" s="116">
        <f>(L524*$E$394)/L$436</f>
        <v>0</v>
      </c>
      <c r="M593" s="115">
        <f>(M524*$E$394)/M$421</f>
        <v>0</v>
      </c>
      <c r="N593" s="115">
        <f>(N524*$E$394)/N$421</f>
        <v>0</v>
      </c>
      <c r="O593" s="14"/>
      <c r="P593" s="115" t="e">
        <f>(P524*$E$394)/P$421</f>
        <v>#DIV/0!</v>
      </c>
      <c r="Q593" s="115" t="e">
        <f>(Q524*$E$394)/Q$421</f>
        <v>#DIV/0!</v>
      </c>
      <c r="R593" s="116" t="e">
        <f>(R524*$E$394)/R$436</f>
        <v>#DIV/0!</v>
      </c>
      <c r="AK593" s="82"/>
    </row>
    <row r="594" spans="1:37" x14ac:dyDescent="0.2">
      <c r="B594" s="14" t="s">
        <v>1020</v>
      </c>
      <c r="F594" s="108">
        <f>F592+F593</f>
        <v>0</v>
      </c>
      <c r="G594" s="108">
        <f>G592+G593</f>
        <v>0</v>
      </c>
      <c r="H594" s="108">
        <f>H592+H593</f>
        <v>0</v>
      </c>
      <c r="I594" s="108">
        <f>I592+I593</f>
        <v>0</v>
      </c>
      <c r="J594" s="48">
        <f t="shared" ref="J594:R594" si="284">J592+J593</f>
        <v>0</v>
      </c>
      <c r="K594" s="48">
        <f t="shared" ref="K594:L594" si="285">K592+K593</f>
        <v>0</v>
      </c>
      <c r="L594" s="48">
        <f t="shared" si="285"/>
        <v>0</v>
      </c>
      <c r="M594" s="108">
        <f>M592+M593</f>
        <v>0</v>
      </c>
      <c r="N594" s="108">
        <f>N592+N593</f>
        <v>0</v>
      </c>
      <c r="P594" s="108" t="e">
        <f t="shared" si="284"/>
        <v>#DIV/0!</v>
      </c>
      <c r="Q594" s="108" t="e">
        <f t="shared" si="284"/>
        <v>#DIV/0!</v>
      </c>
      <c r="R594" s="48" t="e">
        <f t="shared" si="284"/>
        <v>#DIV/0!</v>
      </c>
    </row>
    <row r="595" spans="1:37" x14ac:dyDescent="0.2">
      <c r="P595" s="48"/>
    </row>
    <row r="596" spans="1:37" x14ac:dyDescent="0.2">
      <c r="A596" s="13" t="s">
        <v>668</v>
      </c>
      <c r="P596" s="48"/>
    </row>
    <row r="597" spans="1:37" x14ac:dyDescent="0.2">
      <c r="A597" s="14" t="s">
        <v>1021</v>
      </c>
      <c r="F597" s="108">
        <f t="shared" ref="F597:S597" si="286">F545</f>
        <v>2.3567962409024614E-2</v>
      </c>
      <c r="G597" s="108">
        <f t="shared" ref="G597:I597" si="287">G545</f>
        <v>0</v>
      </c>
      <c r="H597" s="108">
        <f t="shared" si="287"/>
        <v>5.3178102391338872E-3</v>
      </c>
      <c r="I597" s="108">
        <f t="shared" si="287"/>
        <v>0</v>
      </c>
      <c r="J597" s="48">
        <f t="shared" si="286"/>
        <v>2.4081063658632762</v>
      </c>
      <c r="K597" s="48">
        <f t="shared" ref="K597:L597" si="288">K545</f>
        <v>3.0881197691285451</v>
      </c>
      <c r="L597" s="48">
        <f t="shared" si="288"/>
        <v>6.2445698749438372E-3</v>
      </c>
      <c r="M597" s="108">
        <f t="shared" ref="M597:N597" si="289">M545</f>
        <v>2.7828248074972847E-2</v>
      </c>
      <c r="N597" s="108">
        <f t="shared" si="289"/>
        <v>1.5251243696990352E-2</v>
      </c>
      <c r="P597" s="108" t="e">
        <f t="shared" si="286"/>
        <v>#DIV/0!</v>
      </c>
      <c r="Q597" s="108" t="e">
        <f t="shared" si="286"/>
        <v>#DIV/0!</v>
      </c>
      <c r="R597" s="48" t="e">
        <f t="shared" si="286"/>
        <v>#DIV/0!</v>
      </c>
      <c r="S597" s="108" t="e">
        <f t="shared" si="286"/>
        <v>#DIV/0!</v>
      </c>
      <c r="T597" s="108" t="e">
        <f>#REF!</f>
        <v>#REF!</v>
      </c>
      <c r="U597" s="108" t="e">
        <f>#REF!</f>
        <v>#REF!</v>
      </c>
      <c r="V597" s="108" t="e">
        <f>#REF!</f>
        <v>#REF!</v>
      </c>
      <c r="W597" s="108" t="e">
        <f>#REF!</f>
        <v>#REF!</v>
      </c>
      <c r="X597" s="108" t="e">
        <f>#REF!</f>
        <v>#REF!</v>
      </c>
      <c r="Y597" s="108" t="e">
        <f>#REF!</f>
        <v>#REF!</v>
      </c>
      <c r="Z597" s="108" t="e">
        <f>#REF!</f>
        <v>#REF!</v>
      </c>
      <c r="AA597" s="108" t="e">
        <f>#REF!</f>
        <v>#REF!</v>
      </c>
      <c r="AB597" s="108" t="e">
        <f>#REF!</f>
        <v>#REF!</v>
      </c>
      <c r="AC597" s="108" t="e">
        <f>#REF!</f>
        <v>#REF!</v>
      </c>
      <c r="AD597" s="108" t="e">
        <f>#REF!</f>
        <v>#REF!</v>
      </c>
      <c r="AE597" s="108" t="e">
        <f>#REF!</f>
        <v>#REF!</v>
      </c>
      <c r="AF597" s="108" t="e">
        <f>#REF!</f>
        <v>#REF!</v>
      </c>
    </row>
    <row r="598" spans="1:37" ht="15" x14ac:dyDescent="0.35">
      <c r="A598" s="75" t="s">
        <v>1022</v>
      </c>
      <c r="D598" s="118"/>
      <c r="F598" s="115">
        <f>(F525*$E$394)/F421</f>
        <v>-8.3371395170647072E-4</v>
      </c>
      <c r="G598" s="115">
        <f>(G525*$E$394)/G421</f>
        <v>0</v>
      </c>
      <c r="H598" s="115">
        <f>(H525*$E$394)/H421</f>
        <v>-1.8994774732433638E-4</v>
      </c>
      <c r="I598" s="115">
        <f>(I525*$E$394)/I421</f>
        <v>0</v>
      </c>
      <c r="J598" s="116">
        <f>(J525*$E$394)/J436</f>
        <v>-0.11085251809569548</v>
      </c>
      <c r="K598" s="116">
        <f>(K525*$E$394)/K436</f>
        <v>-0.11428213869733131</v>
      </c>
      <c r="L598" s="116">
        <f>(L525*$E$394)/L436</f>
        <v>-0.11296817527037081</v>
      </c>
      <c r="M598" s="115">
        <f>(M525*$E$394)/M421</f>
        <v>-9.8165268287035332E-4</v>
      </c>
      <c r="N598" s="115">
        <f>(N525*$E$394)/N421</f>
        <v>-6.4565611931192686E-4</v>
      </c>
      <c r="P598" s="115" t="e">
        <f>(P525*$E$394)/P421</f>
        <v>#DIV/0!</v>
      </c>
      <c r="Q598" s="115" t="e">
        <f>(Q525*$E$394)/Q421</f>
        <v>#DIV/0!</v>
      </c>
      <c r="R598" s="116" t="e">
        <f>(R525*$E$394)/R436</f>
        <v>#DIV/0!</v>
      </c>
      <c r="S598" s="115" t="e">
        <f>(S525*$E$394)/S421</f>
        <v>#DIV/0!</v>
      </c>
      <c r="T598" s="115" t="e">
        <f>(#REF!*$E$330)/1026.4</f>
        <v>#REF!</v>
      </c>
      <c r="U598" s="115" t="e">
        <f>(#REF!*$E$330)/11504</f>
        <v>#REF!</v>
      </c>
      <c r="V598" s="115" t="e">
        <f>(#REF!*$E$330)/7284</f>
        <v>#REF!</v>
      </c>
      <c r="W598" s="115" t="e">
        <f>(#REF!*$E$330)/320.47</f>
        <v>#REF!</v>
      </c>
      <c r="X598" s="115" t="e">
        <f>(#REF!*$E$330)/26669</f>
        <v>#REF!</v>
      </c>
      <c r="Y598" s="115" t="e">
        <f>(#REF!*$E$330)/68503</f>
        <v>#REF!</v>
      </c>
      <c r="Z598" s="115" t="e">
        <f>(#REF!*$E$330)/Z421</f>
        <v>#REF!</v>
      </c>
      <c r="AA598" s="115" t="e">
        <f>(#REF!*$E$330)/17492.7</f>
        <v>#REF!</v>
      </c>
      <c r="AB598" s="115" t="e">
        <f>(#REF!*$E$330)/10846</f>
        <v>#REF!</v>
      </c>
      <c r="AC598" s="115" t="e">
        <f>(#REF!*$E$330)/12274</f>
        <v>#REF!</v>
      </c>
      <c r="AD598" s="115" t="e">
        <f>(#REF!*$E$330)/10405</f>
        <v>#REF!</v>
      </c>
      <c r="AE598" s="115" t="e">
        <f>(#REF!*$E$330)/120444</f>
        <v>#REF!</v>
      </c>
      <c r="AF598" s="115" t="e">
        <f>(#REF!*$E$330)/AF501/12</f>
        <v>#REF!</v>
      </c>
    </row>
    <row r="599" spans="1:37" x14ac:dyDescent="0.2">
      <c r="B599" s="14" t="s">
        <v>1023</v>
      </c>
      <c r="F599" s="108">
        <f t="shared" ref="F599:AF599" si="290">F597+F598</f>
        <v>2.2734248457318144E-2</v>
      </c>
      <c r="G599" s="108">
        <f t="shared" ref="G599:I599" si="291">G597+G598</f>
        <v>0</v>
      </c>
      <c r="H599" s="108">
        <f t="shared" si="291"/>
        <v>5.1278624918095509E-3</v>
      </c>
      <c r="I599" s="108">
        <f t="shared" si="291"/>
        <v>0</v>
      </c>
      <c r="J599" s="48">
        <f t="shared" si="290"/>
        <v>2.2972538477675806</v>
      </c>
      <c r="K599" s="48">
        <f t="shared" ref="K599:L599" si="292">K597+K598</f>
        <v>2.973837630431214</v>
      </c>
      <c r="L599" s="48">
        <f t="shared" si="292"/>
        <v>-0.10672360539542698</v>
      </c>
      <c r="M599" s="108">
        <f t="shared" ref="M599:N599" si="293">M597+M598</f>
        <v>2.6846595392102494E-2</v>
      </c>
      <c r="N599" s="108">
        <f t="shared" si="293"/>
        <v>1.4605587577678426E-2</v>
      </c>
      <c r="P599" s="108" t="e">
        <f t="shared" si="290"/>
        <v>#DIV/0!</v>
      </c>
      <c r="Q599" s="108" t="e">
        <f t="shared" si="290"/>
        <v>#DIV/0!</v>
      </c>
      <c r="R599" s="48" t="e">
        <f t="shared" si="290"/>
        <v>#DIV/0!</v>
      </c>
      <c r="S599" s="108" t="e">
        <f t="shared" si="290"/>
        <v>#DIV/0!</v>
      </c>
      <c r="T599" s="108" t="e">
        <f t="shared" si="290"/>
        <v>#REF!</v>
      </c>
      <c r="U599" s="108" t="e">
        <f t="shared" si="290"/>
        <v>#REF!</v>
      </c>
      <c r="V599" s="108" t="e">
        <f t="shared" si="290"/>
        <v>#REF!</v>
      </c>
      <c r="W599" s="108" t="e">
        <f t="shared" si="290"/>
        <v>#REF!</v>
      </c>
      <c r="X599" s="108" t="e">
        <f t="shared" si="290"/>
        <v>#REF!</v>
      </c>
      <c r="Y599" s="108" t="e">
        <f t="shared" si="290"/>
        <v>#REF!</v>
      </c>
      <c r="Z599" s="108" t="e">
        <f t="shared" si="290"/>
        <v>#REF!</v>
      </c>
      <c r="AA599" s="108" t="e">
        <f t="shared" si="290"/>
        <v>#REF!</v>
      </c>
      <c r="AB599" s="108" t="e">
        <f t="shared" si="290"/>
        <v>#REF!</v>
      </c>
      <c r="AC599" s="108" t="e">
        <f t="shared" si="290"/>
        <v>#REF!</v>
      </c>
      <c r="AD599" s="108" t="e">
        <f t="shared" si="290"/>
        <v>#REF!</v>
      </c>
      <c r="AE599" s="108" t="e">
        <f t="shared" si="290"/>
        <v>#REF!</v>
      </c>
      <c r="AF599" s="108" t="e">
        <f t="shared" si="290"/>
        <v>#REF!</v>
      </c>
    </row>
    <row r="601" spans="1:37" x14ac:dyDescent="0.2">
      <c r="A601" s="13" t="s">
        <v>669</v>
      </c>
    </row>
    <row r="602" spans="1:37" x14ac:dyDescent="0.2">
      <c r="A602" s="14" t="s">
        <v>670</v>
      </c>
      <c r="F602" s="81">
        <f t="shared" ref="F602:S602" si="294">F546</f>
        <v>32.929346611121716</v>
      </c>
      <c r="G602" s="81">
        <f t="shared" ref="G602:I602" si="295">G546</f>
        <v>4.6831524670434028</v>
      </c>
      <c r="H602" s="81">
        <f t="shared" si="295"/>
        <v>39.657850735568914</v>
      </c>
      <c r="I602" s="81">
        <f t="shared" si="295"/>
        <v>7.7583347162545699</v>
      </c>
      <c r="J602" s="81">
        <f>J546</f>
        <v>31.277969431057848</v>
      </c>
      <c r="K602" s="81">
        <f t="shared" ref="K602:L602" si="296">K546</f>
        <v>36.570615331008547</v>
      </c>
      <c r="L602" s="81">
        <f t="shared" si="296"/>
        <v>36.636169354364291</v>
      </c>
      <c r="M602" s="81">
        <f t="shared" ref="M602:N602" si="297">M546</f>
        <v>35.828537884903454</v>
      </c>
      <c r="N602" s="81">
        <f t="shared" si="297"/>
        <v>32.255015839964841</v>
      </c>
      <c r="P602" s="81" t="e">
        <f t="shared" si="294"/>
        <v>#DIV/0!</v>
      </c>
      <c r="Q602" s="81" t="e">
        <f t="shared" si="294"/>
        <v>#DIV/0!</v>
      </c>
      <c r="R602" s="81" t="e">
        <f t="shared" si="294"/>
        <v>#DIV/0!</v>
      </c>
      <c r="S602" s="81" t="e">
        <f t="shared" si="294"/>
        <v>#DIV/0!</v>
      </c>
      <c r="T602" s="81" t="e">
        <f>#REF!</f>
        <v>#REF!</v>
      </c>
      <c r="U602" s="81" t="e">
        <f>#REF!</f>
        <v>#REF!</v>
      </c>
      <c r="V602" s="81" t="e">
        <f>#REF!</f>
        <v>#REF!</v>
      </c>
      <c r="W602" s="81" t="e">
        <f>#REF!</f>
        <v>#REF!</v>
      </c>
      <c r="X602" s="81" t="e">
        <f>#REF!</f>
        <v>#REF!</v>
      </c>
      <c r="Y602" s="81" t="e">
        <f>#REF!</f>
        <v>#REF!</v>
      </c>
      <c r="Z602" s="81" t="e">
        <f>#REF!</f>
        <v>#REF!</v>
      </c>
      <c r="AA602" s="81" t="e">
        <f>#REF!</f>
        <v>#REF!</v>
      </c>
      <c r="AB602" s="81" t="e">
        <f>#REF!</f>
        <v>#REF!</v>
      </c>
      <c r="AC602" s="81" t="e">
        <f>#REF!</f>
        <v>#REF!</v>
      </c>
      <c r="AD602" s="81" t="e">
        <f>#REF!</f>
        <v>#REF!</v>
      </c>
      <c r="AE602" s="81" t="e">
        <f>#REF!</f>
        <v>#REF!</v>
      </c>
      <c r="AF602" s="81" t="e">
        <f>#REF!</f>
        <v>#REF!</v>
      </c>
    </row>
    <row r="603" spans="1:37" ht="15" x14ac:dyDescent="0.35">
      <c r="A603" s="14" t="s">
        <v>671</v>
      </c>
      <c r="D603" s="81"/>
      <c r="F603" s="116">
        <f t="shared" ref="F603:AF603" si="298">(F526*$E$394)/F424</f>
        <v>-1.0098374054123929</v>
      </c>
      <c r="G603" s="116">
        <f t="shared" si="298"/>
        <v>-0.13579777351355979</v>
      </c>
      <c r="H603" s="116">
        <f t="shared" si="298"/>
        <v>-1.3310264540905739</v>
      </c>
      <c r="I603" s="116">
        <f t="shared" si="298"/>
        <v>-0.21413392137363962</v>
      </c>
      <c r="J603" s="116">
        <f t="shared" si="298"/>
        <v>-1.2063576737043966</v>
      </c>
      <c r="K603" s="116">
        <f t="shared" si="298"/>
        <v>-1.0120753530499156</v>
      </c>
      <c r="L603" s="116">
        <f t="shared" si="298"/>
        <v>-1.0120753530499156</v>
      </c>
      <c r="M603" s="116">
        <f t="shared" si="298"/>
        <v>-1.0881735532724726</v>
      </c>
      <c r="N603" s="116">
        <f t="shared" si="298"/>
        <v>-1.2792403999788391</v>
      </c>
      <c r="P603" s="116" t="e">
        <f t="shared" si="298"/>
        <v>#DIV/0!</v>
      </c>
      <c r="Q603" s="116" t="e">
        <f t="shared" si="298"/>
        <v>#DIV/0!</v>
      </c>
      <c r="R603" s="116" t="e">
        <f t="shared" si="298"/>
        <v>#DIV/0!</v>
      </c>
      <c r="S603" s="116" t="e">
        <f t="shared" si="298"/>
        <v>#DIV/0!</v>
      </c>
      <c r="T603" s="116" t="e">
        <f t="shared" si="298"/>
        <v>#DIV/0!</v>
      </c>
      <c r="U603" s="116" t="e">
        <f t="shared" si="298"/>
        <v>#DIV/0!</v>
      </c>
      <c r="V603" s="116" t="e">
        <f t="shared" si="298"/>
        <v>#DIV/0!</v>
      </c>
      <c r="W603" s="116" t="e">
        <f t="shared" si="298"/>
        <v>#DIV/0!</v>
      </c>
      <c r="X603" s="116" t="e">
        <f t="shared" si="298"/>
        <v>#DIV/0!</v>
      </c>
      <c r="Y603" s="116" t="e">
        <f t="shared" si="298"/>
        <v>#DIV/0!</v>
      </c>
      <c r="Z603" s="116" t="e">
        <f t="shared" si="298"/>
        <v>#DIV/0!</v>
      </c>
      <c r="AA603" s="116" t="e">
        <f t="shared" si="298"/>
        <v>#DIV/0!</v>
      </c>
      <c r="AB603" s="116" t="e">
        <f t="shared" si="298"/>
        <v>#DIV/0!</v>
      </c>
      <c r="AC603" s="116" t="e">
        <f t="shared" si="298"/>
        <v>#DIV/0!</v>
      </c>
      <c r="AD603" s="116" t="e">
        <f t="shared" si="298"/>
        <v>#DIV/0!</v>
      </c>
      <c r="AE603" s="116" t="e">
        <f t="shared" si="298"/>
        <v>#DIV/0!</v>
      </c>
      <c r="AF603" s="116" t="e">
        <f t="shared" si="298"/>
        <v>#DIV/0!</v>
      </c>
    </row>
    <row r="604" spans="1:37" x14ac:dyDescent="0.2">
      <c r="B604" s="14" t="s">
        <v>672</v>
      </c>
      <c r="F604" s="81">
        <f t="shared" ref="F604:AF604" si="299">F602+F603</f>
        <v>31.919509205709321</v>
      </c>
      <c r="G604" s="81">
        <f t="shared" ref="G604:I604" si="300">G602+G603</f>
        <v>4.5473546935298428</v>
      </c>
      <c r="H604" s="81">
        <f t="shared" si="300"/>
        <v>38.326824281478338</v>
      </c>
      <c r="I604" s="81">
        <f t="shared" si="300"/>
        <v>7.54420079488093</v>
      </c>
      <c r="J604" s="81">
        <f t="shared" si="299"/>
        <v>30.071611757353452</v>
      </c>
      <c r="K604" s="81">
        <f t="shared" ref="K604:L604" si="301">K602+K603</f>
        <v>35.558539977958631</v>
      </c>
      <c r="L604" s="81">
        <f t="shared" si="301"/>
        <v>35.624094001314376</v>
      </c>
      <c r="M604" s="81">
        <f t="shared" ref="M604:N604" si="302">M602+M603</f>
        <v>34.740364331630985</v>
      </c>
      <c r="N604" s="81">
        <f t="shared" si="302"/>
        <v>30.975775439986002</v>
      </c>
      <c r="P604" s="81" t="e">
        <f t="shared" si="299"/>
        <v>#DIV/0!</v>
      </c>
      <c r="Q604" s="81" t="e">
        <f t="shared" si="299"/>
        <v>#DIV/0!</v>
      </c>
      <c r="R604" s="81" t="e">
        <f t="shared" si="299"/>
        <v>#DIV/0!</v>
      </c>
      <c r="S604" s="81" t="e">
        <f t="shared" si="299"/>
        <v>#DIV/0!</v>
      </c>
      <c r="T604" s="81" t="e">
        <f t="shared" si="299"/>
        <v>#REF!</v>
      </c>
      <c r="U604" s="81" t="e">
        <f t="shared" si="299"/>
        <v>#REF!</v>
      </c>
      <c r="V604" s="81" t="e">
        <f t="shared" si="299"/>
        <v>#REF!</v>
      </c>
      <c r="W604" s="81" t="e">
        <f t="shared" si="299"/>
        <v>#REF!</v>
      </c>
      <c r="X604" s="81" t="e">
        <f t="shared" si="299"/>
        <v>#REF!</v>
      </c>
      <c r="Y604" s="81" t="e">
        <f t="shared" si="299"/>
        <v>#REF!</v>
      </c>
      <c r="Z604" s="81" t="e">
        <f t="shared" si="299"/>
        <v>#REF!</v>
      </c>
      <c r="AA604" s="81" t="e">
        <f t="shared" si="299"/>
        <v>#REF!</v>
      </c>
      <c r="AB604" s="81" t="e">
        <f t="shared" si="299"/>
        <v>#REF!</v>
      </c>
      <c r="AC604" s="81" t="e">
        <f t="shared" si="299"/>
        <v>#REF!</v>
      </c>
      <c r="AD604" s="81" t="e">
        <f t="shared" si="299"/>
        <v>#REF!</v>
      </c>
      <c r="AE604" s="81" t="e">
        <f t="shared" si="299"/>
        <v>#REF!</v>
      </c>
      <c r="AF604" s="81" t="e">
        <f t="shared" si="299"/>
        <v>#REF!</v>
      </c>
    </row>
    <row r="609" spans="1:37" x14ac:dyDescent="0.2">
      <c r="A609" s="29" t="s">
        <v>697</v>
      </c>
      <c r="C609" s="201">
        <f>C530</f>
        <v>2.4461976122132811E-2</v>
      </c>
      <c r="F609" s="67">
        <f t="shared" ref="F609:N609" si="303">$C$530</f>
        <v>2.4461976122132811E-2</v>
      </c>
      <c r="G609" s="67">
        <f t="shared" si="303"/>
        <v>2.4461976122132811E-2</v>
      </c>
      <c r="H609" s="67">
        <f t="shared" si="303"/>
        <v>2.4461976122132811E-2</v>
      </c>
      <c r="I609" s="67">
        <f t="shared" si="303"/>
        <v>2.4461976122132811E-2</v>
      </c>
      <c r="J609" s="67">
        <f t="shared" si="303"/>
        <v>2.4461976122132811E-2</v>
      </c>
      <c r="K609" s="67">
        <f t="shared" si="303"/>
        <v>2.4461976122132811E-2</v>
      </c>
      <c r="L609" s="67">
        <f t="shared" si="303"/>
        <v>2.4461976122132811E-2</v>
      </c>
      <c r="M609" s="67">
        <f t="shared" si="303"/>
        <v>2.4461976122132811E-2</v>
      </c>
      <c r="N609" s="67">
        <f t="shared" si="303"/>
        <v>2.4461976122132811E-2</v>
      </c>
      <c r="P609" s="67">
        <f>$C$530</f>
        <v>2.4461976122132811E-2</v>
      </c>
      <c r="Q609" s="67">
        <f>$C$530</f>
        <v>2.4461976122132811E-2</v>
      </c>
      <c r="R609" s="67">
        <f>$C$530</f>
        <v>2.4461976122132811E-2</v>
      </c>
      <c r="S609" s="67">
        <f>$C$530</f>
        <v>2.4461976122132811E-2</v>
      </c>
      <c r="T609" s="67">
        <v>0.2</v>
      </c>
      <c r="U609" s="67">
        <v>0.2</v>
      </c>
      <c r="V609" s="67">
        <v>0.08</v>
      </c>
      <c r="W609" s="67">
        <v>0.08</v>
      </c>
      <c r="X609" s="67">
        <v>0.2</v>
      </c>
      <c r="Y609" s="67">
        <v>0.08</v>
      </c>
      <c r="Z609" s="67">
        <v>0.08</v>
      </c>
      <c r="AA609" s="67">
        <v>0.08</v>
      </c>
      <c r="AB609" s="67">
        <v>0.08</v>
      </c>
      <c r="AC609" s="67">
        <v>0.08</v>
      </c>
      <c r="AD609" s="67">
        <v>0.08</v>
      </c>
      <c r="AE609" s="67">
        <v>0.08</v>
      </c>
      <c r="AF609" s="67">
        <v>0.08</v>
      </c>
    </row>
    <row r="610" spans="1:37" x14ac:dyDescent="0.2">
      <c r="A610" s="13"/>
    </row>
    <row r="611" spans="1:37" x14ac:dyDescent="0.2">
      <c r="A611" s="13" t="s">
        <v>763</v>
      </c>
    </row>
    <row r="612" spans="1:37" x14ac:dyDescent="0.2">
      <c r="A612" s="14" t="s">
        <v>1016</v>
      </c>
      <c r="F612" s="108">
        <f t="shared" ref="F612:N612" si="304">F561</f>
        <v>2.1406545126160623E-2</v>
      </c>
      <c r="G612" s="108">
        <f t="shared" si="304"/>
        <v>0</v>
      </c>
      <c r="H612" s="108">
        <f t="shared" si="304"/>
        <v>1.3481751703979493E-2</v>
      </c>
      <c r="I612" s="108">
        <f t="shared" si="304"/>
        <v>0</v>
      </c>
      <c r="J612" s="48">
        <f t="shared" si="304"/>
        <v>4.3361166450785813</v>
      </c>
      <c r="K612" s="48">
        <f t="shared" si="304"/>
        <v>4.1983326552151912</v>
      </c>
      <c r="L612" s="48">
        <f t="shared" si="304"/>
        <v>7.6986628267271042</v>
      </c>
      <c r="M612" s="108">
        <f t="shared" si="304"/>
        <v>5.0557118998956806E-3</v>
      </c>
      <c r="N612" s="108">
        <f t="shared" si="304"/>
        <v>1.0098109376064472E-2</v>
      </c>
      <c r="P612" s="108" t="e">
        <f t="shared" ref="P612:Q612" si="305">P561</f>
        <v>#DIV/0!</v>
      </c>
      <c r="Q612" s="108" t="e">
        <f t="shared" si="305"/>
        <v>#DIV/0!</v>
      </c>
      <c r="R612" s="48" t="e">
        <f>R561</f>
        <v>#DIV/0!</v>
      </c>
      <c r="S612" s="108" t="e">
        <f t="shared" ref="S612:AF612" si="306">S586</f>
        <v>#DIV/0!</v>
      </c>
      <c r="T612" s="108">
        <f t="shared" si="306"/>
        <v>0</v>
      </c>
      <c r="U612" s="108" t="e">
        <f t="shared" si="306"/>
        <v>#DIV/0!</v>
      </c>
      <c r="V612" s="108" t="e">
        <f t="shared" si="306"/>
        <v>#DIV/0!</v>
      </c>
      <c r="W612" s="108" t="e">
        <f t="shared" si="306"/>
        <v>#DIV/0!</v>
      </c>
      <c r="X612" s="108" t="e">
        <f t="shared" si="306"/>
        <v>#DIV/0!</v>
      </c>
      <c r="Y612" s="108" t="e">
        <f t="shared" si="306"/>
        <v>#DIV/0!</v>
      </c>
      <c r="Z612" s="108">
        <f t="shared" si="306"/>
        <v>0</v>
      </c>
      <c r="AA612" s="108">
        <f t="shared" si="306"/>
        <v>0</v>
      </c>
      <c r="AB612" s="108">
        <f t="shared" si="306"/>
        <v>0</v>
      </c>
      <c r="AC612" s="108">
        <f t="shared" si="306"/>
        <v>0</v>
      </c>
      <c r="AD612" s="108">
        <f t="shared" si="306"/>
        <v>0</v>
      </c>
      <c r="AE612" s="108">
        <f t="shared" si="306"/>
        <v>0</v>
      </c>
      <c r="AF612" s="108" t="e">
        <f t="shared" si="306"/>
        <v>#REF!</v>
      </c>
    </row>
    <row r="613" spans="1:37" x14ac:dyDescent="0.2">
      <c r="A613" s="14" t="s">
        <v>1017</v>
      </c>
      <c r="D613" s="108"/>
      <c r="F613" s="108">
        <f>(F522*$C$530)/F$421</f>
        <v>0</v>
      </c>
      <c r="G613" s="108">
        <f>(G522*$C$530)/G$421</f>
        <v>0</v>
      </c>
      <c r="H613" s="108">
        <f>(H522*$C$530)/H$421</f>
        <v>0</v>
      </c>
      <c r="I613" s="108">
        <f>(I522*$C$530)/I$421</f>
        <v>0</v>
      </c>
      <c r="J613" s="48">
        <f>(J522*$C$530)/J$436</f>
        <v>0</v>
      </c>
      <c r="K613" s="48">
        <f>(K522*$C$530)/K$436</f>
        <v>0</v>
      </c>
      <c r="L613" s="48">
        <f>(L522*$C$530)/L$436</f>
        <v>0</v>
      </c>
      <c r="M613" s="108">
        <f>(M522*$C$530)/M$421</f>
        <v>0</v>
      </c>
      <c r="N613" s="108">
        <f>(N522*$C$530)/N$421</f>
        <v>0</v>
      </c>
      <c r="P613" s="108" t="e">
        <f>(P522*$C$530)/P$421</f>
        <v>#DIV/0!</v>
      </c>
      <c r="Q613" s="108" t="e">
        <f>(Q522*$C$530)/Q$421</f>
        <v>#DIV/0!</v>
      </c>
      <c r="R613" s="48" t="e">
        <f>(R522*$C$530)/R$436</f>
        <v>#DIV/0!</v>
      </c>
      <c r="S613" s="108" t="e">
        <f t="shared" ref="S613:AF613" si="307">S587</f>
        <v>#DIV/0!</v>
      </c>
      <c r="T613" s="108" t="e">
        <f t="shared" si="307"/>
        <v>#DIV/0!</v>
      </c>
      <c r="U613" s="108" t="e">
        <f t="shared" si="307"/>
        <v>#DIV/0!</v>
      </c>
      <c r="V613" s="108" t="e">
        <f t="shared" si="307"/>
        <v>#DIV/0!</v>
      </c>
      <c r="W613" s="108" t="e">
        <f t="shared" si="307"/>
        <v>#DIV/0!</v>
      </c>
      <c r="X613" s="108" t="e">
        <f t="shared" si="307"/>
        <v>#DIV/0!</v>
      </c>
      <c r="Y613" s="108" t="e">
        <f t="shared" si="307"/>
        <v>#DIV/0!</v>
      </c>
      <c r="Z613" s="108" t="e">
        <f t="shared" si="307"/>
        <v>#DIV/0!</v>
      </c>
      <c r="AA613" s="108" t="e">
        <f t="shared" si="307"/>
        <v>#DIV/0!</v>
      </c>
      <c r="AB613" s="108" t="e">
        <f t="shared" si="307"/>
        <v>#DIV/0!</v>
      </c>
      <c r="AC613" s="108" t="e">
        <f t="shared" si="307"/>
        <v>#DIV/0!</v>
      </c>
      <c r="AD613" s="108" t="e">
        <f t="shared" si="307"/>
        <v>#DIV/0!</v>
      </c>
      <c r="AE613" s="108">
        <f t="shared" si="307"/>
        <v>0</v>
      </c>
      <c r="AF613" s="108" t="e">
        <f t="shared" si="307"/>
        <v>#REF!</v>
      </c>
    </row>
    <row r="614" spans="1:37" x14ac:dyDescent="0.2">
      <c r="A614" s="14" t="s">
        <v>899</v>
      </c>
      <c r="F614" s="108">
        <f t="shared" ref="F614:N614" si="308">F563</f>
        <v>4.9333544851520569E-2</v>
      </c>
      <c r="G614" s="108">
        <f t="shared" si="308"/>
        <v>5.5591184813142812E-2</v>
      </c>
      <c r="H614" s="108">
        <f t="shared" si="308"/>
        <v>5.1727528779078123E-2</v>
      </c>
      <c r="I614" s="108">
        <f t="shared" si="308"/>
        <v>5.5591184813142833E-2</v>
      </c>
      <c r="J614" s="108">
        <f t="shared" si="308"/>
        <v>5.1991802826309282E-2</v>
      </c>
      <c r="K614" s="108">
        <f t="shared" si="308"/>
        <v>3.9324358038828888E-2</v>
      </c>
      <c r="L614" s="108">
        <f t="shared" si="308"/>
        <v>4.0138383911065445E-2</v>
      </c>
      <c r="M614" s="108">
        <f t="shared" si="308"/>
        <v>5.3698853264521035E-2</v>
      </c>
      <c r="N614" s="108">
        <f t="shared" si="308"/>
        <v>5.2352645409556565E-2</v>
      </c>
      <c r="P614" s="108" t="e">
        <f t="shared" ref="P614:Q614" si="309">P563</f>
        <v>#DIV/0!</v>
      </c>
      <c r="Q614" s="108" t="e">
        <f t="shared" si="309"/>
        <v>#DIV/0!</v>
      </c>
      <c r="R614" s="108" t="e">
        <f>R563</f>
        <v>#DIV/0!</v>
      </c>
      <c r="S614" s="108">
        <f>S594</f>
        <v>0</v>
      </c>
      <c r="T614" s="108" t="e">
        <f>#REF!</f>
        <v>#REF!</v>
      </c>
      <c r="U614" s="108" t="e">
        <f>#REF!</f>
        <v>#REF!</v>
      </c>
      <c r="V614" s="108" t="e">
        <f>#REF!</f>
        <v>#REF!</v>
      </c>
      <c r="W614" s="108" t="e">
        <f>#REF!</f>
        <v>#REF!</v>
      </c>
      <c r="X614" s="108" t="e">
        <f>#REF!</f>
        <v>#REF!</v>
      </c>
      <c r="Y614" s="108" t="e">
        <f>#REF!</f>
        <v>#REF!</v>
      </c>
      <c r="Z614" s="108" t="e">
        <f>#REF!</f>
        <v>#REF!</v>
      </c>
      <c r="AA614" s="108" t="e">
        <f>#REF!</f>
        <v>#REF!</v>
      </c>
      <c r="AB614" s="108" t="e">
        <f>#REF!</f>
        <v>#REF!</v>
      </c>
      <c r="AC614" s="108" t="e">
        <f>#REF!</f>
        <v>#REF!</v>
      </c>
      <c r="AD614" s="108" t="e">
        <f>#REF!</f>
        <v>#REF!</v>
      </c>
      <c r="AE614" s="108" t="e">
        <f>#REF!</f>
        <v>#REF!</v>
      </c>
      <c r="AF614" s="108" t="e">
        <f>#REF!</f>
        <v>#REF!</v>
      </c>
    </row>
    <row r="615" spans="1:37" x14ac:dyDescent="0.2">
      <c r="A615" s="14" t="s">
        <v>900</v>
      </c>
      <c r="D615" s="108"/>
      <c r="F615" s="108">
        <f t="shared" ref="F615:R615" si="310">(F523*$C$530)/F$421</f>
        <v>0</v>
      </c>
      <c r="G615" s="108">
        <f t="shared" si="310"/>
        <v>0</v>
      </c>
      <c r="H615" s="108">
        <f t="shared" si="310"/>
        <v>0</v>
      </c>
      <c r="I615" s="108">
        <f t="shared" si="310"/>
        <v>0</v>
      </c>
      <c r="J615" s="108">
        <f t="shared" si="310"/>
        <v>0</v>
      </c>
      <c r="K615" s="108">
        <f t="shared" si="310"/>
        <v>0</v>
      </c>
      <c r="L615" s="108">
        <f t="shared" si="310"/>
        <v>0</v>
      </c>
      <c r="M615" s="108">
        <f t="shared" si="310"/>
        <v>0</v>
      </c>
      <c r="N615" s="108">
        <f t="shared" si="310"/>
        <v>0</v>
      </c>
      <c r="P615" s="108" t="e">
        <f t="shared" si="310"/>
        <v>#DIV/0!</v>
      </c>
      <c r="Q615" s="108" t="e">
        <f t="shared" si="310"/>
        <v>#DIV/0!</v>
      </c>
      <c r="R615" s="108" t="e">
        <f t="shared" si="310"/>
        <v>#DIV/0!</v>
      </c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</row>
    <row r="616" spans="1:37" x14ac:dyDescent="0.2"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</row>
    <row r="617" spans="1:37" x14ac:dyDescent="0.2">
      <c r="A617" s="13" t="s">
        <v>893</v>
      </c>
      <c r="F617" s="108"/>
      <c r="G617" s="108"/>
      <c r="H617" s="108"/>
      <c r="I617" s="108"/>
      <c r="J617" s="108"/>
      <c r="K617" s="108"/>
      <c r="L617" s="108"/>
      <c r="M617" s="108"/>
      <c r="N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</row>
    <row r="618" spans="1:37" x14ac:dyDescent="0.2">
      <c r="A618" s="14" t="s">
        <v>1018</v>
      </c>
      <c r="F618" s="108">
        <f t="shared" ref="F618:N618" si="311">F567</f>
        <v>0</v>
      </c>
      <c r="G618" s="108">
        <f t="shared" si="311"/>
        <v>0</v>
      </c>
      <c r="H618" s="108">
        <f t="shared" si="311"/>
        <v>0</v>
      </c>
      <c r="I618" s="108">
        <f t="shared" si="311"/>
        <v>0</v>
      </c>
      <c r="J618" s="48">
        <f t="shared" si="311"/>
        <v>0</v>
      </c>
      <c r="K618" s="48">
        <f t="shared" si="311"/>
        <v>0</v>
      </c>
      <c r="L618" s="48">
        <f t="shared" si="311"/>
        <v>0</v>
      </c>
      <c r="M618" s="108">
        <f t="shared" si="311"/>
        <v>0</v>
      </c>
      <c r="N618" s="108">
        <f t="shared" si="311"/>
        <v>0</v>
      </c>
      <c r="P618" s="108" t="e">
        <f t="shared" ref="P618:Q618" si="312">P567</f>
        <v>#DIV/0!</v>
      </c>
      <c r="Q618" s="108" t="e">
        <f t="shared" si="312"/>
        <v>#DIV/0!</v>
      </c>
      <c r="R618" s="48" t="e">
        <f>R567</f>
        <v>#DIV/0!</v>
      </c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  <c r="AC618" s="108"/>
      <c r="AD618" s="108"/>
      <c r="AE618" s="108"/>
      <c r="AF618" s="108"/>
    </row>
    <row r="619" spans="1:37" s="75" customFormat="1" ht="15" x14ac:dyDescent="0.35">
      <c r="A619" s="75" t="s">
        <v>1019</v>
      </c>
      <c r="D619" s="108"/>
      <c r="F619" s="115">
        <f>(F524*$C$530)/F$421</f>
        <v>0</v>
      </c>
      <c r="G619" s="115">
        <f>(G524*$C$530)/G$421</f>
        <v>0</v>
      </c>
      <c r="H619" s="115">
        <f>(H524*$C$530)/H$421</f>
        <v>0</v>
      </c>
      <c r="I619" s="115">
        <f>(I524*$C$530)/I$421</f>
        <v>0</v>
      </c>
      <c r="J619" s="116">
        <f>(J524*$C$530)/J$436</f>
        <v>0</v>
      </c>
      <c r="K619" s="116">
        <f>(K524*$C$530)/K$436</f>
        <v>0</v>
      </c>
      <c r="L619" s="116">
        <f>(L524*$C$530)/L$436</f>
        <v>0</v>
      </c>
      <c r="M619" s="115">
        <f>(M524*$C$530)/M$421</f>
        <v>0</v>
      </c>
      <c r="N619" s="115">
        <f>(N524*$C$530)/N$421</f>
        <v>0</v>
      </c>
      <c r="O619" s="14"/>
      <c r="P619" s="115" t="e">
        <f>(P524*$C$530)/P$421</f>
        <v>#DIV/0!</v>
      </c>
      <c r="Q619" s="115" t="e">
        <f>(Q524*$C$530)/Q$421</f>
        <v>#DIV/0!</v>
      </c>
      <c r="R619" s="116" t="e">
        <f>(R524*$C$530)/R$436</f>
        <v>#DIV/0!</v>
      </c>
      <c r="AK619" s="82"/>
    </row>
    <row r="620" spans="1:37" x14ac:dyDescent="0.2">
      <c r="B620" s="14" t="s">
        <v>1020</v>
      </c>
      <c r="F620" s="108">
        <f>F618+F619</f>
        <v>0</v>
      </c>
      <c r="G620" s="108">
        <f>G618+G619</f>
        <v>0</v>
      </c>
      <c r="H620" s="108">
        <f>H618+H619</f>
        <v>0</v>
      </c>
      <c r="I620" s="108">
        <f>I618+I619</f>
        <v>0</v>
      </c>
      <c r="J620" s="48">
        <f t="shared" ref="J620:R620" si="313">J618+J619</f>
        <v>0</v>
      </c>
      <c r="K620" s="48">
        <f t="shared" ref="K620:L620" si="314">K618+K619</f>
        <v>0</v>
      </c>
      <c r="L620" s="48">
        <f t="shared" si="314"/>
        <v>0</v>
      </c>
      <c r="M620" s="108">
        <f>M618+M619</f>
        <v>0</v>
      </c>
      <c r="N620" s="108">
        <f>N618+N619</f>
        <v>0</v>
      </c>
      <c r="P620" s="108" t="e">
        <f t="shared" si="313"/>
        <v>#DIV/0!</v>
      </c>
      <c r="Q620" s="108" t="e">
        <f t="shared" si="313"/>
        <v>#DIV/0!</v>
      </c>
      <c r="R620" s="48" t="e">
        <f t="shared" si="313"/>
        <v>#DIV/0!</v>
      </c>
    </row>
    <row r="621" spans="1:37" x14ac:dyDescent="0.2">
      <c r="F621" s="108"/>
      <c r="G621" s="108"/>
      <c r="H621" s="108"/>
      <c r="I621" s="108"/>
      <c r="J621" s="108"/>
      <c r="K621" s="108"/>
      <c r="L621" s="108"/>
      <c r="M621" s="108"/>
      <c r="N621" s="108"/>
      <c r="P621" s="108"/>
      <c r="Q621" s="108"/>
      <c r="R621" s="108"/>
    </row>
    <row r="622" spans="1:37" x14ac:dyDescent="0.2">
      <c r="A622" s="13" t="s">
        <v>668</v>
      </c>
      <c r="P622" s="48"/>
    </row>
    <row r="623" spans="1:37" x14ac:dyDescent="0.2">
      <c r="A623" s="14" t="s">
        <v>1021</v>
      </c>
      <c r="F623" s="108">
        <f>F572</f>
        <v>2.3567962409024614E-2</v>
      </c>
      <c r="G623" s="108">
        <f>G572</f>
        <v>0</v>
      </c>
      <c r="H623" s="108">
        <f>H572</f>
        <v>5.3178102391338872E-3</v>
      </c>
      <c r="I623" s="108">
        <f>I572</f>
        <v>0</v>
      </c>
      <c r="J623" s="48">
        <f t="shared" ref="J623:AE623" si="315">J597</f>
        <v>2.4081063658632762</v>
      </c>
      <c r="K623" s="48">
        <f t="shared" ref="K623:L623" si="316">K597</f>
        <v>3.0881197691285451</v>
      </c>
      <c r="L623" s="48">
        <f t="shared" si="316"/>
        <v>6.2445698749438372E-3</v>
      </c>
      <c r="M623" s="108">
        <f>M572</f>
        <v>2.7828248074972847E-2</v>
      </c>
      <c r="N623" s="108">
        <f>N572</f>
        <v>1.5251243696990352E-2</v>
      </c>
      <c r="P623" s="108" t="e">
        <f t="shared" si="315"/>
        <v>#DIV/0!</v>
      </c>
      <c r="Q623" s="108" t="e">
        <f t="shared" si="315"/>
        <v>#DIV/0!</v>
      </c>
      <c r="R623" s="48" t="e">
        <f t="shared" si="315"/>
        <v>#DIV/0!</v>
      </c>
      <c r="S623" s="108" t="e">
        <f t="shared" si="315"/>
        <v>#DIV/0!</v>
      </c>
      <c r="T623" s="108" t="e">
        <f t="shared" si="315"/>
        <v>#REF!</v>
      </c>
      <c r="U623" s="108" t="e">
        <f t="shared" si="315"/>
        <v>#REF!</v>
      </c>
      <c r="V623" s="108" t="e">
        <f t="shared" si="315"/>
        <v>#REF!</v>
      </c>
      <c r="W623" s="108" t="e">
        <f t="shared" si="315"/>
        <v>#REF!</v>
      </c>
      <c r="X623" s="108" t="e">
        <f t="shared" si="315"/>
        <v>#REF!</v>
      </c>
      <c r="Y623" s="108" t="e">
        <f t="shared" si="315"/>
        <v>#REF!</v>
      </c>
      <c r="Z623" s="108" t="e">
        <f t="shared" si="315"/>
        <v>#REF!</v>
      </c>
      <c r="AA623" s="108" t="e">
        <f t="shared" si="315"/>
        <v>#REF!</v>
      </c>
      <c r="AB623" s="108" t="e">
        <f t="shared" si="315"/>
        <v>#REF!</v>
      </c>
      <c r="AC623" s="108" t="e">
        <f t="shared" si="315"/>
        <v>#REF!</v>
      </c>
      <c r="AD623" s="108" t="e">
        <f t="shared" si="315"/>
        <v>#REF!</v>
      </c>
      <c r="AE623" s="108" t="e">
        <f t="shared" si="315"/>
        <v>#REF!</v>
      </c>
      <c r="AF623" s="108">
        <f>AF545</f>
        <v>0</v>
      </c>
    </row>
    <row r="624" spans="1:37" ht="15" x14ac:dyDescent="0.35">
      <c r="A624" s="75" t="s">
        <v>1022</v>
      </c>
      <c r="D624" s="108"/>
      <c r="F624" s="115">
        <f>(F525*F609)/F421</f>
        <v>2.9360601777863511E-3</v>
      </c>
      <c r="G624" s="115">
        <f>(G525*G609)/G421</f>
        <v>0</v>
      </c>
      <c r="H624" s="115">
        <f>(H525*H609)/H421</f>
        <v>6.6893209072211766E-4</v>
      </c>
      <c r="I624" s="115">
        <f>(I525*I609)/I421</f>
        <v>0</v>
      </c>
      <c r="J624" s="116">
        <f>(J525*J609)/J436</f>
        <v>0.39038529140831973</v>
      </c>
      <c r="K624" s="116">
        <f>(K525*K609)/K436</f>
        <v>0.40246326185941744</v>
      </c>
      <c r="L624" s="116">
        <f>(L525*L609)/L436</f>
        <v>0.39783592452738653</v>
      </c>
      <c r="M624" s="115">
        <f>(M525*M609)/M421</f>
        <v>3.4570506403226462E-3</v>
      </c>
      <c r="N624" s="115">
        <f>(N525*N609)/N421</f>
        <v>2.2737837319090994E-3</v>
      </c>
      <c r="P624" s="115" t="e">
        <f>(P525*P609)/P421</f>
        <v>#DIV/0!</v>
      </c>
      <c r="Q624" s="115" t="e">
        <f>(Q525*Q609)/Q421</f>
        <v>#DIV/0!</v>
      </c>
      <c r="R624" s="116" t="e">
        <f>(R525*R609)/R436</f>
        <v>#DIV/0!</v>
      </c>
      <c r="S624" s="115" t="e">
        <f t="shared" ref="S624:AF624" si="317">(S525*S609)/S421</f>
        <v>#DIV/0!</v>
      </c>
      <c r="T624" s="115" t="e">
        <f t="shared" si="317"/>
        <v>#DIV/0!</v>
      </c>
      <c r="U624" s="115" t="e">
        <f t="shared" si="317"/>
        <v>#DIV/0!</v>
      </c>
      <c r="V624" s="115" t="e">
        <f t="shared" si="317"/>
        <v>#DIV/0!</v>
      </c>
      <c r="W624" s="115" t="e">
        <f t="shared" si="317"/>
        <v>#DIV/0!</v>
      </c>
      <c r="X624" s="115" t="e">
        <f t="shared" si="317"/>
        <v>#DIV/0!</v>
      </c>
      <c r="Y624" s="115" t="e">
        <f t="shared" si="317"/>
        <v>#DIV/0!</v>
      </c>
      <c r="Z624" s="115" t="e">
        <f t="shared" si="317"/>
        <v>#DIV/0!</v>
      </c>
      <c r="AA624" s="115" t="e">
        <f t="shared" si="317"/>
        <v>#DIV/0!</v>
      </c>
      <c r="AB624" s="115" t="e">
        <f t="shared" si="317"/>
        <v>#DIV/0!</v>
      </c>
      <c r="AC624" s="115" t="e">
        <f t="shared" si="317"/>
        <v>#DIV/0!</v>
      </c>
      <c r="AD624" s="115" t="e">
        <f t="shared" si="317"/>
        <v>#DIV/0!</v>
      </c>
      <c r="AE624" s="115" t="e">
        <f t="shared" si="317"/>
        <v>#DIV/0!</v>
      </c>
      <c r="AF624" s="115" t="e">
        <f t="shared" si="317"/>
        <v>#DIV/0!</v>
      </c>
    </row>
    <row r="625" spans="1:32" x14ac:dyDescent="0.2">
      <c r="B625" s="14" t="s">
        <v>1023</v>
      </c>
      <c r="F625" s="108">
        <f t="shared" ref="F625:AF625" si="318">F623+F624</f>
        <v>2.6504022586810966E-2</v>
      </c>
      <c r="G625" s="108">
        <f t="shared" ref="G625:I625" si="319">G623+G624</f>
        <v>0</v>
      </c>
      <c r="H625" s="108">
        <f t="shared" si="319"/>
        <v>5.9867423298560051E-3</v>
      </c>
      <c r="I625" s="108">
        <f t="shared" si="319"/>
        <v>0</v>
      </c>
      <c r="J625" s="48">
        <f>J623+J624</f>
        <v>2.7984916572715961</v>
      </c>
      <c r="K625" s="48">
        <f>K623+K624</f>
        <v>3.4905830309879624</v>
      </c>
      <c r="L625" s="48">
        <f>L623+L624</f>
        <v>0.40408049440233035</v>
      </c>
      <c r="M625" s="108">
        <f t="shared" ref="M625:N625" si="320">M623+M624</f>
        <v>3.1285298715295493E-2</v>
      </c>
      <c r="N625" s="108">
        <f t="shared" si="320"/>
        <v>1.7525027428899453E-2</v>
      </c>
      <c r="P625" s="48" t="e">
        <f t="shared" si="318"/>
        <v>#DIV/0!</v>
      </c>
      <c r="Q625" s="108" t="e">
        <f t="shared" si="318"/>
        <v>#DIV/0!</v>
      </c>
      <c r="R625" s="48" t="e">
        <f>R623+R624</f>
        <v>#DIV/0!</v>
      </c>
      <c r="S625" s="108" t="e">
        <f t="shared" si="318"/>
        <v>#DIV/0!</v>
      </c>
      <c r="T625" s="108" t="e">
        <f t="shared" si="318"/>
        <v>#REF!</v>
      </c>
      <c r="U625" s="108" t="e">
        <f t="shared" si="318"/>
        <v>#REF!</v>
      </c>
      <c r="V625" s="108" t="e">
        <f t="shared" si="318"/>
        <v>#REF!</v>
      </c>
      <c r="W625" s="108" t="e">
        <f t="shared" si="318"/>
        <v>#REF!</v>
      </c>
      <c r="X625" s="108" t="e">
        <f t="shared" si="318"/>
        <v>#REF!</v>
      </c>
      <c r="Y625" s="108" t="e">
        <f t="shared" si="318"/>
        <v>#REF!</v>
      </c>
      <c r="Z625" s="108" t="e">
        <f t="shared" si="318"/>
        <v>#REF!</v>
      </c>
      <c r="AA625" s="108" t="e">
        <f t="shared" si="318"/>
        <v>#REF!</v>
      </c>
      <c r="AB625" s="108" t="e">
        <f t="shared" si="318"/>
        <v>#REF!</v>
      </c>
      <c r="AC625" s="108" t="e">
        <f t="shared" si="318"/>
        <v>#REF!</v>
      </c>
      <c r="AD625" s="108" t="e">
        <f t="shared" si="318"/>
        <v>#REF!</v>
      </c>
      <c r="AE625" s="108" t="e">
        <f t="shared" si="318"/>
        <v>#REF!</v>
      </c>
      <c r="AF625" s="108" t="e">
        <f t="shared" si="318"/>
        <v>#DIV/0!</v>
      </c>
    </row>
    <row r="627" spans="1:32" x14ac:dyDescent="0.2">
      <c r="A627" s="13" t="s">
        <v>669</v>
      </c>
    </row>
    <row r="628" spans="1:32" x14ac:dyDescent="0.2">
      <c r="A628" s="14" t="s">
        <v>670</v>
      </c>
      <c r="F628" s="81">
        <f t="shared" ref="F628:AE628" si="321">F602</f>
        <v>32.929346611121716</v>
      </c>
      <c r="G628" s="81">
        <f t="shared" ref="G628:I628" si="322">G602</f>
        <v>4.6831524670434028</v>
      </c>
      <c r="H628" s="81">
        <f t="shared" si="322"/>
        <v>39.657850735568914</v>
      </c>
      <c r="I628" s="81">
        <f t="shared" si="322"/>
        <v>7.7583347162545699</v>
      </c>
      <c r="J628" s="81">
        <f t="shared" si="321"/>
        <v>31.277969431057848</v>
      </c>
      <c r="K628" s="81">
        <f t="shared" ref="K628:L628" si="323">K602</f>
        <v>36.570615331008547</v>
      </c>
      <c r="L628" s="81">
        <f t="shared" si="323"/>
        <v>36.636169354364291</v>
      </c>
      <c r="M628" s="81">
        <f t="shared" ref="M628:N628" si="324">M602</f>
        <v>35.828537884903454</v>
      </c>
      <c r="N628" s="81">
        <f t="shared" si="324"/>
        <v>32.255015839964841</v>
      </c>
      <c r="P628" s="81" t="e">
        <f t="shared" si="321"/>
        <v>#DIV/0!</v>
      </c>
      <c r="Q628" s="81" t="e">
        <f t="shared" si="321"/>
        <v>#DIV/0!</v>
      </c>
      <c r="R628" s="81" t="e">
        <f t="shared" si="321"/>
        <v>#DIV/0!</v>
      </c>
      <c r="S628" s="81" t="e">
        <f t="shared" si="321"/>
        <v>#DIV/0!</v>
      </c>
      <c r="T628" s="81" t="e">
        <f t="shared" si="321"/>
        <v>#REF!</v>
      </c>
      <c r="U628" s="81" t="e">
        <f t="shared" si="321"/>
        <v>#REF!</v>
      </c>
      <c r="V628" s="81" t="e">
        <f t="shared" si="321"/>
        <v>#REF!</v>
      </c>
      <c r="W628" s="81" t="e">
        <f t="shared" si="321"/>
        <v>#REF!</v>
      </c>
      <c r="X628" s="81" t="e">
        <f t="shared" si="321"/>
        <v>#REF!</v>
      </c>
      <c r="Y628" s="81" t="e">
        <f t="shared" si="321"/>
        <v>#REF!</v>
      </c>
      <c r="Z628" s="81" t="e">
        <f t="shared" si="321"/>
        <v>#REF!</v>
      </c>
      <c r="AA628" s="81" t="e">
        <f t="shared" si="321"/>
        <v>#REF!</v>
      </c>
      <c r="AB628" s="81" t="e">
        <f t="shared" si="321"/>
        <v>#REF!</v>
      </c>
      <c r="AC628" s="81" t="e">
        <f t="shared" si="321"/>
        <v>#REF!</v>
      </c>
      <c r="AD628" s="81" t="e">
        <f t="shared" si="321"/>
        <v>#REF!</v>
      </c>
      <c r="AE628" s="81" t="e">
        <f t="shared" si="321"/>
        <v>#REF!</v>
      </c>
      <c r="AF628" s="81">
        <f>AF546</f>
        <v>0</v>
      </c>
    </row>
    <row r="629" spans="1:32" ht="15" x14ac:dyDescent="0.35">
      <c r="A629" s="14" t="s">
        <v>671</v>
      </c>
      <c r="D629" s="48"/>
      <c r="F629" s="116">
        <f t="shared" ref="F629:AF629" si="325">(F526*F$609)/F424</f>
        <v>3.5563077551979103</v>
      </c>
      <c r="G629" s="116">
        <f t="shared" si="325"/>
        <v>0.47823409243556553</v>
      </c>
      <c r="H629" s="116">
        <f t="shared" si="325"/>
        <v>4.6874275756529551</v>
      </c>
      <c r="I629" s="116">
        <f t="shared" si="325"/>
        <v>0.75410766243207794</v>
      </c>
      <c r="J629" s="116">
        <f t="shared" si="325"/>
        <v>4.2483860545702914</v>
      </c>
      <c r="K629" s="116">
        <f t="shared" si="325"/>
        <v>3.5641890542034655</v>
      </c>
      <c r="L629" s="116">
        <f t="shared" si="325"/>
        <v>3.5641890542034655</v>
      </c>
      <c r="M629" s="116">
        <f t="shared" si="325"/>
        <v>3.8321813251944223</v>
      </c>
      <c r="N629" s="116">
        <f t="shared" si="325"/>
        <v>4.5050545076109252</v>
      </c>
      <c r="P629" s="116" t="e">
        <f t="shared" si="325"/>
        <v>#DIV/0!</v>
      </c>
      <c r="Q629" s="116" t="e">
        <f t="shared" si="325"/>
        <v>#DIV/0!</v>
      </c>
      <c r="R629" s="116" t="e">
        <f t="shared" si="325"/>
        <v>#DIV/0!</v>
      </c>
      <c r="S629" s="116" t="e">
        <f t="shared" si="325"/>
        <v>#DIV/0!</v>
      </c>
      <c r="T629" s="116" t="e">
        <f t="shared" si="325"/>
        <v>#DIV/0!</v>
      </c>
      <c r="U629" s="116" t="e">
        <f t="shared" si="325"/>
        <v>#DIV/0!</v>
      </c>
      <c r="V629" s="116" t="e">
        <f t="shared" si="325"/>
        <v>#DIV/0!</v>
      </c>
      <c r="W629" s="116" t="e">
        <f t="shared" si="325"/>
        <v>#DIV/0!</v>
      </c>
      <c r="X629" s="116" t="e">
        <f t="shared" si="325"/>
        <v>#DIV/0!</v>
      </c>
      <c r="Y629" s="116" t="e">
        <f t="shared" si="325"/>
        <v>#DIV/0!</v>
      </c>
      <c r="Z629" s="116" t="e">
        <f t="shared" si="325"/>
        <v>#DIV/0!</v>
      </c>
      <c r="AA629" s="116" t="e">
        <f t="shared" si="325"/>
        <v>#DIV/0!</v>
      </c>
      <c r="AB629" s="116" t="e">
        <f t="shared" si="325"/>
        <v>#DIV/0!</v>
      </c>
      <c r="AC629" s="116" t="e">
        <f t="shared" si="325"/>
        <v>#DIV/0!</v>
      </c>
      <c r="AD629" s="116" t="e">
        <f t="shared" si="325"/>
        <v>#DIV/0!</v>
      </c>
      <c r="AE629" s="116" t="e">
        <f t="shared" si="325"/>
        <v>#DIV/0!</v>
      </c>
      <c r="AF629" s="116" t="e">
        <f t="shared" si="325"/>
        <v>#DIV/0!</v>
      </c>
    </row>
    <row r="630" spans="1:32" x14ac:dyDescent="0.2">
      <c r="B630" s="14" t="s">
        <v>672</v>
      </c>
      <c r="F630" s="81">
        <f t="shared" ref="F630:AF630" si="326">F628+F629</f>
        <v>36.485654366319629</v>
      </c>
      <c r="G630" s="81">
        <f t="shared" ref="G630:I630" si="327">G628+G629</f>
        <v>5.1613865594789683</v>
      </c>
      <c r="H630" s="81">
        <f t="shared" si="327"/>
        <v>44.345278311221868</v>
      </c>
      <c r="I630" s="81">
        <f t="shared" si="327"/>
        <v>8.5124423786866483</v>
      </c>
      <c r="J630" s="81">
        <f t="shared" si="326"/>
        <v>35.526355485628137</v>
      </c>
      <c r="K630" s="81">
        <f t="shared" ref="K630:L630" si="328">K628+K629</f>
        <v>40.134804385212014</v>
      </c>
      <c r="L630" s="81">
        <f t="shared" si="328"/>
        <v>40.200358408567759</v>
      </c>
      <c r="M630" s="81">
        <f t="shared" ref="M630:N630" si="329">M628+M629</f>
        <v>39.660719210097874</v>
      </c>
      <c r="N630" s="81">
        <f t="shared" si="329"/>
        <v>36.760070347575763</v>
      </c>
      <c r="P630" s="81" t="e">
        <f t="shared" si="326"/>
        <v>#DIV/0!</v>
      </c>
      <c r="Q630" s="81" t="e">
        <f t="shared" si="326"/>
        <v>#DIV/0!</v>
      </c>
      <c r="R630" s="81" t="e">
        <f t="shared" si="326"/>
        <v>#DIV/0!</v>
      </c>
      <c r="S630" s="81" t="e">
        <f t="shared" si="326"/>
        <v>#DIV/0!</v>
      </c>
      <c r="T630" s="81" t="e">
        <f t="shared" si="326"/>
        <v>#REF!</v>
      </c>
      <c r="U630" s="81" t="e">
        <f t="shared" si="326"/>
        <v>#REF!</v>
      </c>
      <c r="V630" s="81" t="e">
        <f t="shared" si="326"/>
        <v>#REF!</v>
      </c>
      <c r="W630" s="81" t="e">
        <f t="shared" si="326"/>
        <v>#REF!</v>
      </c>
      <c r="X630" s="81" t="e">
        <f t="shared" si="326"/>
        <v>#REF!</v>
      </c>
      <c r="Y630" s="81" t="e">
        <f t="shared" si="326"/>
        <v>#REF!</v>
      </c>
      <c r="Z630" s="81" t="e">
        <f t="shared" si="326"/>
        <v>#REF!</v>
      </c>
      <c r="AA630" s="81" t="e">
        <f t="shared" si="326"/>
        <v>#REF!</v>
      </c>
      <c r="AB630" s="81" t="e">
        <f t="shared" si="326"/>
        <v>#REF!</v>
      </c>
      <c r="AC630" s="81" t="e">
        <f t="shared" si="326"/>
        <v>#REF!</v>
      </c>
      <c r="AD630" s="81" t="e">
        <f t="shared" si="326"/>
        <v>#REF!</v>
      </c>
      <c r="AE630" s="81" t="e">
        <f t="shared" si="326"/>
        <v>#REF!</v>
      </c>
      <c r="AF630" s="81" t="e">
        <f t="shared" si="326"/>
        <v>#DIV/0!</v>
      </c>
    </row>
    <row r="631" spans="1:32" x14ac:dyDescent="0.2">
      <c r="F631" s="81"/>
      <c r="G631" s="81"/>
      <c r="H631" s="81"/>
      <c r="I631" s="81"/>
      <c r="J631" s="81"/>
      <c r="K631" s="81"/>
      <c r="L631" s="81"/>
      <c r="M631" s="81"/>
      <c r="N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</row>
    <row r="634" spans="1:32" x14ac:dyDescent="0.2">
      <c r="A634" s="29" t="s">
        <v>877</v>
      </c>
      <c r="F634" s="119"/>
      <c r="K634" s="119"/>
      <c r="Q634" s="81"/>
      <c r="R634" s="81"/>
      <c r="S634" s="95"/>
    </row>
    <row r="636" spans="1:32" x14ac:dyDescent="0.2">
      <c r="A636" s="13" t="s">
        <v>878</v>
      </c>
      <c r="E636" s="47">
        <f t="shared" ref="E636:N636" si="330">E330</f>
        <v>9.7751893887448372E-4</v>
      </c>
      <c r="F636" s="47">
        <f t="shared" si="330"/>
        <v>-3.1546856715119122E-2</v>
      </c>
      <c r="G636" s="47">
        <f t="shared" si="330"/>
        <v>0.20336586213314453</v>
      </c>
      <c r="H636" s="47">
        <f t="shared" si="330"/>
        <v>0.16907035013060626</v>
      </c>
      <c r="I636" s="47">
        <f t="shared" si="330"/>
        <v>-0.20667548183710477</v>
      </c>
      <c r="J636" s="47">
        <f t="shared" si="330"/>
        <v>0.19322367690881423</v>
      </c>
      <c r="K636" s="47">
        <f t="shared" si="330"/>
        <v>0.2518798473862161</v>
      </c>
      <c r="L636" s="47">
        <f t="shared" si="330"/>
        <v>0.22780218860496232</v>
      </c>
      <c r="M636" s="47">
        <f t="shared" si="330"/>
        <v>5.648097828923427E-2</v>
      </c>
      <c r="N636" s="47">
        <f t="shared" si="330"/>
        <v>-1.1290357903363905E-2</v>
      </c>
      <c r="P636" s="120" t="e">
        <f>P394</f>
        <v>#DIV/0!</v>
      </c>
      <c r="Q636" s="120" t="e">
        <f>Q394</f>
        <v>#DIV/0!</v>
      </c>
      <c r="R636" s="120" t="e">
        <f>R394</f>
        <v>#DIV/0!</v>
      </c>
      <c r="S636" s="120">
        <f>S315</f>
        <v>0</v>
      </c>
    </row>
    <row r="637" spans="1:32" x14ac:dyDescent="0.2">
      <c r="F637" s="120"/>
      <c r="G637" s="120"/>
      <c r="H637" s="120"/>
      <c r="I637" s="120"/>
      <c r="J637" s="120"/>
      <c r="K637" s="120"/>
      <c r="L637" s="120"/>
      <c r="M637" s="120"/>
      <c r="N637" s="120"/>
      <c r="S637" s="76"/>
    </row>
    <row r="638" spans="1:32" x14ac:dyDescent="0.2">
      <c r="B638" s="14" t="s">
        <v>879</v>
      </c>
      <c r="F638" s="121">
        <f t="shared" ref="F638:R638" si="331">F579</f>
        <v>27.29734637316032</v>
      </c>
      <c r="G638" s="121">
        <f t="shared" ref="G638:I638" si="332">G579</f>
        <v>8.0068450569191292</v>
      </c>
      <c r="H638" s="121">
        <f t="shared" si="332"/>
        <v>70.51449956876462</v>
      </c>
      <c r="I638" s="121">
        <f t="shared" si="332"/>
        <v>0.71835918539962051</v>
      </c>
      <c r="J638" s="121">
        <f t="shared" ref="J638" si="333">J579</f>
        <v>60.005144695234989</v>
      </c>
      <c r="K638" s="121">
        <f t="shared" ref="K638:L638" si="334">K579</f>
        <v>69.94250523372915</v>
      </c>
      <c r="L638" s="121">
        <f t="shared" si="334"/>
        <v>67.035138484845049</v>
      </c>
      <c r="M638" s="121">
        <f t="shared" ref="M638:N638" si="335">M579</f>
        <v>43.265454170323267</v>
      </c>
      <c r="N638" s="121">
        <f t="shared" si="335"/>
        <v>26.924325173239517</v>
      </c>
      <c r="P638" s="121" t="e">
        <f t="shared" si="331"/>
        <v>#DIV/0!</v>
      </c>
      <c r="Q638" s="121" t="e">
        <f t="shared" si="331"/>
        <v>#DIV/0!</v>
      </c>
      <c r="R638" s="121" t="e">
        <f t="shared" si="331"/>
        <v>#DIV/0!</v>
      </c>
      <c r="S638" s="121">
        <f>S580</f>
        <v>0</v>
      </c>
    </row>
    <row r="639" spans="1:32" x14ac:dyDescent="0.2">
      <c r="B639" s="14" t="s">
        <v>762</v>
      </c>
      <c r="F639" s="122">
        <f>F561+F562+F563+F564+F569+F574</f>
        <v>8.9658316548801228E-2</v>
      </c>
      <c r="G639" s="122">
        <f>G561+G562+G563+G564+G569+G574</f>
        <v>5.5591184813142812E-2</v>
      </c>
      <c r="H639" s="122">
        <f>H561+H562+H563+H564+H569+H574</f>
        <v>7.4930572649865343E-2</v>
      </c>
      <c r="I639" s="122">
        <f>I561+I562+I563+I564+I569+I574</f>
        <v>5.5591184813142833E-2</v>
      </c>
      <c r="J639" s="122">
        <f>+J563+J564</f>
        <v>5.1991802826309282E-2</v>
      </c>
      <c r="K639" s="122">
        <f>+K563+K564</f>
        <v>3.9324358038828888E-2</v>
      </c>
      <c r="L639" s="122">
        <f>+L563+L564</f>
        <v>4.0138383911065445E-2</v>
      </c>
      <c r="M639" s="122">
        <f>M561+M562+M563+M564+M569+M574</f>
        <v>9.3291732788031254E-2</v>
      </c>
      <c r="N639" s="122">
        <f>N561+N562+N563+N564+N569+N574</f>
        <v>7.5011501020846486E-2</v>
      </c>
      <c r="P639" s="122" t="e">
        <f>P561+P562+P563+P564+P569+P574</f>
        <v>#DIV/0!</v>
      </c>
      <c r="Q639" s="122" t="e">
        <f>Q561+Q562+Q563+Q564+Q569+Q574</f>
        <v>#DIV/0!</v>
      </c>
      <c r="R639" s="122" t="e">
        <f>R563+R564</f>
        <v>#DIV/0!</v>
      </c>
      <c r="S639" s="122" t="e">
        <f>S563+S568+S573+S574</f>
        <v>#DIV/0!</v>
      </c>
    </row>
    <row r="640" spans="1:32" x14ac:dyDescent="0.2">
      <c r="B640" s="14" t="s">
        <v>880</v>
      </c>
      <c r="F640" s="121">
        <v>0</v>
      </c>
      <c r="G640" s="121">
        <v>0</v>
      </c>
      <c r="H640" s="121">
        <v>0</v>
      </c>
      <c r="I640" s="121">
        <v>0</v>
      </c>
      <c r="J640" s="121">
        <f>J561+J562+J569+J574</f>
        <v>9.3839705627866934</v>
      </c>
      <c r="K640" s="121">
        <f>K561+K562+K569+K574</f>
        <v>11.054759733638214</v>
      </c>
      <c r="L640" s="121">
        <f>L561+L562+L569+L574</f>
        <v>11.098050073599312</v>
      </c>
      <c r="M640" s="121">
        <v>0</v>
      </c>
      <c r="N640" s="121">
        <v>0</v>
      </c>
      <c r="P640" s="121">
        <v>0</v>
      </c>
      <c r="Q640" s="121">
        <v>0</v>
      </c>
      <c r="R640" s="121" t="e">
        <f>R561+R562+R569+R574</f>
        <v>#DIV/0!</v>
      </c>
      <c r="S640" s="121">
        <v>0</v>
      </c>
    </row>
    <row r="641" spans="1:37" x14ac:dyDescent="0.2">
      <c r="F641" s="30"/>
      <c r="G641" s="30"/>
      <c r="H641" s="30"/>
      <c r="I641" s="30"/>
      <c r="J641" s="30"/>
      <c r="K641" s="30"/>
      <c r="L641" s="30"/>
      <c r="M641" s="30"/>
      <c r="N641" s="30"/>
    </row>
    <row r="642" spans="1:37" x14ac:dyDescent="0.2">
      <c r="A642" s="13" t="s">
        <v>881</v>
      </c>
      <c r="E642" s="47">
        <f>E394</f>
        <v>-6.9461419536397213E-3</v>
      </c>
      <c r="F642" s="120">
        <f>$E642</f>
        <v>-6.9461419536397213E-3</v>
      </c>
      <c r="G642" s="120">
        <f>$E642</f>
        <v>-6.9461419536397213E-3</v>
      </c>
      <c r="H642" s="120">
        <f>$E642</f>
        <v>-6.9461419536397213E-3</v>
      </c>
      <c r="I642" s="120">
        <f>$E642</f>
        <v>-6.9461419536397213E-3</v>
      </c>
      <c r="J642" s="120">
        <f t="shared" ref="J642:L642" si="336">$E642</f>
        <v>-6.9461419536397213E-3</v>
      </c>
      <c r="K642" s="120">
        <f t="shared" si="336"/>
        <v>-6.9461419536397213E-3</v>
      </c>
      <c r="L642" s="120">
        <f t="shared" si="336"/>
        <v>-6.9461419536397213E-3</v>
      </c>
      <c r="M642" s="120">
        <f>$E642</f>
        <v>-6.9461419536397213E-3</v>
      </c>
      <c r="N642" s="120">
        <f>$E642</f>
        <v>-6.9461419536397213E-3</v>
      </c>
      <c r="P642" s="120">
        <f t="shared" ref="P642:R642" si="337">O642</f>
        <v>0</v>
      </c>
      <c r="Q642" s="120">
        <f t="shared" si="337"/>
        <v>0</v>
      </c>
      <c r="R642" s="120">
        <f t="shared" si="337"/>
        <v>0</v>
      </c>
      <c r="S642" s="120">
        <f>$E$392</f>
        <v>190574016.10499999</v>
      </c>
    </row>
    <row r="643" spans="1:37" x14ac:dyDescent="0.2">
      <c r="F643" s="120"/>
      <c r="G643" s="120"/>
      <c r="H643" s="120"/>
      <c r="I643" s="120"/>
      <c r="J643" s="120"/>
      <c r="K643" s="120"/>
      <c r="L643" s="120"/>
      <c r="M643" s="120"/>
      <c r="N643" s="120"/>
      <c r="P643" s="120"/>
      <c r="Q643" s="120"/>
      <c r="R643" s="120"/>
      <c r="S643" s="120"/>
    </row>
    <row r="644" spans="1:37" x14ac:dyDescent="0.2">
      <c r="B644" s="14" t="s">
        <v>879</v>
      </c>
      <c r="F644" s="121">
        <f>F604</f>
        <v>31.919509205709321</v>
      </c>
      <c r="G644" s="121">
        <f>G604</f>
        <v>4.5473546935298428</v>
      </c>
      <c r="H644" s="121">
        <f>H604</f>
        <v>38.326824281478338</v>
      </c>
      <c r="I644" s="121">
        <f>I604</f>
        <v>7.54420079488093</v>
      </c>
      <c r="J644" s="121">
        <f t="shared" ref="J644" si="338">J604</f>
        <v>30.071611757353452</v>
      </c>
      <c r="K644" s="121">
        <f t="shared" ref="K644:L644" si="339">K604</f>
        <v>35.558539977958631</v>
      </c>
      <c r="L644" s="121">
        <f t="shared" si="339"/>
        <v>35.624094001314376</v>
      </c>
      <c r="M644" s="121">
        <f>M604</f>
        <v>34.740364331630985</v>
      </c>
      <c r="N644" s="121">
        <f>N604</f>
        <v>30.975775439986002</v>
      </c>
      <c r="P644" s="121" t="e">
        <f t="shared" ref="P644:S644" si="340">P604</f>
        <v>#DIV/0!</v>
      </c>
      <c r="Q644" s="121" t="e">
        <f t="shared" si="340"/>
        <v>#DIV/0!</v>
      </c>
      <c r="R644" s="121" t="e">
        <f t="shared" si="340"/>
        <v>#DIV/0!</v>
      </c>
      <c r="S644" s="121" t="e">
        <f t="shared" si="340"/>
        <v>#DIV/0!</v>
      </c>
    </row>
    <row r="645" spans="1:37" x14ac:dyDescent="0.2">
      <c r="B645" s="14" t="s">
        <v>762</v>
      </c>
      <c r="F645" s="122">
        <f>F586+F587+F588+F589+F594+F599</f>
        <v>9.3474338434999332E-2</v>
      </c>
      <c r="G645" s="122">
        <f>G586+G587+G588+G589+G594+G599</f>
        <v>5.5591184813142812E-2</v>
      </c>
      <c r="H645" s="122">
        <f>H586+H587+H588+H589+H594+H599</f>
        <v>7.0337142974867164E-2</v>
      </c>
      <c r="I645" s="122">
        <f>I586+I587+I588+I589+I594+I599</f>
        <v>5.5591184813142833E-2</v>
      </c>
      <c r="J645" s="122">
        <f>+J588+J589</f>
        <v>5.1991802826309282E-2</v>
      </c>
      <c r="K645" s="122">
        <f>+K588+K589</f>
        <v>3.9324358038828888E-2</v>
      </c>
      <c r="L645" s="122">
        <f>+L588+L589</f>
        <v>4.0138383911065445E-2</v>
      </c>
      <c r="M645" s="122">
        <f>M586+M587+M588+M589+M594+M599</f>
        <v>8.5601160556519215E-2</v>
      </c>
      <c r="N645" s="122">
        <f>N586+N587+N588+N589+N594+N599</f>
        <v>7.705634236329946E-2</v>
      </c>
      <c r="P645" s="122" t="e">
        <f>P586+P587+P588+P589+P594+P599</f>
        <v>#DIV/0!</v>
      </c>
      <c r="Q645" s="122" t="e">
        <f>Q586+Q587+Q588+Q589+Q594+Q599</f>
        <v>#DIV/0!</v>
      </c>
      <c r="R645" s="122" t="e">
        <f>R588+R589</f>
        <v>#DIV/0!</v>
      </c>
      <c r="S645" s="122" t="e">
        <f>S586+S587+S597+S598</f>
        <v>#DIV/0!</v>
      </c>
    </row>
    <row r="646" spans="1:37" x14ac:dyDescent="0.2">
      <c r="B646" s="14" t="s">
        <v>880</v>
      </c>
      <c r="F646" s="121">
        <v>0</v>
      </c>
      <c r="G646" s="121">
        <v>0</v>
      </c>
      <c r="H646" s="121">
        <v>0</v>
      </c>
      <c r="I646" s="121">
        <v>0</v>
      </c>
      <c r="J646" s="121">
        <f>J586+J587+J594+J599</f>
        <v>6.6333704928461614</v>
      </c>
      <c r="K646" s="121">
        <f>K586+K587+K594+K599</f>
        <v>7.1721702856464056</v>
      </c>
      <c r="L646" s="121">
        <f>L586+L587+L594+L599</f>
        <v>7.5919392213316774</v>
      </c>
      <c r="M646" s="121">
        <v>0</v>
      </c>
      <c r="N646" s="121">
        <v>0</v>
      </c>
      <c r="P646" s="121">
        <v>0</v>
      </c>
      <c r="Q646" s="121">
        <v>0</v>
      </c>
      <c r="R646" s="121" t="e">
        <f>R586+R587+R594+R599</f>
        <v>#DIV/0!</v>
      </c>
      <c r="S646" s="121">
        <v>0</v>
      </c>
      <c r="AF646" s="14" t="s">
        <v>953</v>
      </c>
    </row>
    <row r="647" spans="1:37" x14ac:dyDescent="0.2">
      <c r="F647" s="30"/>
      <c r="G647" s="30"/>
      <c r="H647" s="30"/>
      <c r="I647" s="30"/>
      <c r="J647" s="30"/>
      <c r="K647" s="30"/>
      <c r="L647" s="30"/>
      <c r="M647" s="30"/>
      <c r="N647" s="30"/>
      <c r="P647" s="30"/>
      <c r="Q647" s="30"/>
      <c r="R647" s="30"/>
      <c r="S647" s="30"/>
    </row>
    <row r="648" spans="1:37" x14ac:dyDescent="0.2">
      <c r="A648" s="13" t="s">
        <v>882</v>
      </c>
      <c r="E648" s="47">
        <f>C530</f>
        <v>2.4461976122132811E-2</v>
      </c>
      <c r="F648" s="120">
        <f>E$648</f>
        <v>2.4461976122132811E-2</v>
      </c>
      <c r="G648" s="120">
        <f>F$648</f>
        <v>2.4461976122132811E-2</v>
      </c>
      <c r="H648" s="120">
        <f>G$648</f>
        <v>2.4461976122132811E-2</v>
      </c>
      <c r="I648" s="120">
        <f>H$648</f>
        <v>2.4461976122132811E-2</v>
      </c>
      <c r="J648" s="120">
        <f t="shared" ref="J648" si="341">I$648</f>
        <v>2.4461976122132811E-2</v>
      </c>
      <c r="K648" s="120">
        <f t="shared" ref="K648:L648" si="342">J$648</f>
        <v>2.4461976122132811E-2</v>
      </c>
      <c r="L648" s="120">
        <f t="shared" si="342"/>
        <v>2.4461976122132811E-2</v>
      </c>
      <c r="M648" s="120">
        <f>L$648</f>
        <v>2.4461976122132811E-2</v>
      </c>
      <c r="N648" s="120">
        <f>M$648</f>
        <v>2.4461976122132811E-2</v>
      </c>
      <c r="P648" s="120">
        <f t="shared" ref="P648:R648" si="343">O648</f>
        <v>0</v>
      </c>
      <c r="Q648" s="120">
        <f t="shared" si="343"/>
        <v>0</v>
      </c>
      <c r="R648" s="120">
        <f t="shared" si="343"/>
        <v>0</v>
      </c>
      <c r="S648" s="120">
        <f>$C$579</f>
        <v>0</v>
      </c>
    </row>
    <row r="649" spans="1:37" x14ac:dyDescent="0.2">
      <c r="A649" s="13"/>
      <c r="F649" s="120"/>
      <c r="G649" s="120"/>
      <c r="H649" s="120"/>
      <c r="I649" s="120"/>
      <c r="J649" s="120"/>
      <c r="K649" s="120"/>
      <c r="L649" s="120"/>
      <c r="M649" s="120"/>
      <c r="N649" s="120"/>
      <c r="P649" s="120"/>
      <c r="Q649" s="120"/>
      <c r="R649" s="120"/>
      <c r="S649" s="120"/>
    </row>
    <row r="650" spans="1:37" x14ac:dyDescent="0.2">
      <c r="B650" s="14" t="s">
        <v>879</v>
      </c>
      <c r="F650" s="121">
        <f>F630</f>
        <v>36.485654366319629</v>
      </c>
      <c r="G650" s="121">
        <f>G630</f>
        <v>5.1613865594789683</v>
      </c>
      <c r="H650" s="121">
        <f>H630</f>
        <v>44.345278311221868</v>
      </c>
      <c r="I650" s="121">
        <f>I630</f>
        <v>8.5124423786866483</v>
      </c>
      <c r="J650" s="121">
        <f t="shared" ref="J650" si="344">J630</f>
        <v>35.526355485628137</v>
      </c>
      <c r="K650" s="121">
        <f t="shared" ref="K650:L650" si="345">K630</f>
        <v>40.134804385212014</v>
      </c>
      <c r="L650" s="121">
        <f t="shared" si="345"/>
        <v>40.200358408567759</v>
      </c>
      <c r="M650" s="121">
        <f>M630</f>
        <v>39.660719210097874</v>
      </c>
      <c r="N650" s="121">
        <f>N630</f>
        <v>36.760070347575763</v>
      </c>
      <c r="P650" s="121" t="e">
        <f t="shared" ref="P650:R650" si="346">P630</f>
        <v>#DIV/0!</v>
      </c>
      <c r="Q650" s="121" t="e">
        <f t="shared" si="346"/>
        <v>#DIV/0!</v>
      </c>
      <c r="R650" s="121" t="e">
        <f t="shared" si="346"/>
        <v>#DIV/0!</v>
      </c>
      <c r="S650" s="121" t="e">
        <f>S630</f>
        <v>#DIV/0!</v>
      </c>
    </row>
    <row r="651" spans="1:37" x14ac:dyDescent="0.2">
      <c r="B651" s="14" t="s">
        <v>762</v>
      </c>
      <c r="F651" s="122">
        <f>F612+F613+F614+F615+F620+F625</f>
        <v>9.7244112564492155E-2</v>
      </c>
      <c r="G651" s="122">
        <f>G612+G613+G614+G615+G620+G625</f>
        <v>5.5591184813142812E-2</v>
      </c>
      <c r="H651" s="122">
        <f>H612+H613+H614+H615+H620+H625</f>
        <v>7.1196022812913623E-2</v>
      </c>
      <c r="I651" s="122">
        <f>I612+I613+I614+I615+I620+I625</f>
        <v>5.5591184813142833E-2</v>
      </c>
      <c r="J651" s="122">
        <f>+J614+J615</f>
        <v>5.1991802826309282E-2</v>
      </c>
      <c r="K651" s="122">
        <f>+K614+K615</f>
        <v>3.9324358038828888E-2</v>
      </c>
      <c r="L651" s="122">
        <f>+L614+L615</f>
        <v>4.0138383911065445E-2</v>
      </c>
      <c r="M651" s="122">
        <f>M612+M613+M614+M615+M620+M625</f>
        <v>9.0039863879712217E-2</v>
      </c>
      <c r="N651" s="122">
        <f>N612+N613+N614+N615+N620+N625</f>
        <v>7.9975782214520494E-2</v>
      </c>
      <c r="P651" s="122" t="e">
        <f t="shared" ref="P651:Q651" si="347">P612+P613+P614+P615+P620+P625</f>
        <v>#DIV/0!</v>
      </c>
      <c r="Q651" s="122" t="e">
        <f t="shared" si="347"/>
        <v>#DIV/0!</v>
      </c>
      <c r="R651" s="122" t="e">
        <f>R614+R615</f>
        <v>#DIV/0!</v>
      </c>
      <c r="S651" s="122" t="e">
        <f>S612+S613+S623+S624</f>
        <v>#DIV/0!</v>
      </c>
    </row>
    <row r="652" spans="1:37" x14ac:dyDescent="0.2">
      <c r="B652" s="14" t="s">
        <v>880</v>
      </c>
      <c r="F652" s="121">
        <v>0</v>
      </c>
      <c r="G652" s="121">
        <v>0</v>
      </c>
      <c r="H652" s="121">
        <v>0</v>
      </c>
      <c r="I652" s="121">
        <v>0</v>
      </c>
      <c r="J652" s="121">
        <f>J612+J613+J620+J625</f>
        <v>7.134608302350177</v>
      </c>
      <c r="K652" s="121">
        <f>K612+K613+K620+K625</f>
        <v>7.6889156862031536</v>
      </c>
      <c r="L652" s="121">
        <f>L612+L613+L620+L625</f>
        <v>8.1027433211294344</v>
      </c>
      <c r="M652" s="121">
        <v>0</v>
      </c>
      <c r="N652" s="121">
        <v>0</v>
      </c>
      <c r="P652" s="121">
        <v>0</v>
      </c>
      <c r="Q652" s="121">
        <v>0</v>
      </c>
      <c r="R652" s="121" t="e">
        <f>R612+R613+R620+R625</f>
        <v>#DIV/0!</v>
      </c>
      <c r="S652" s="121">
        <v>0</v>
      </c>
    </row>
    <row r="653" spans="1:37" x14ac:dyDescent="0.2">
      <c r="B653" s="30"/>
      <c r="G653" s="30"/>
      <c r="H653" s="30"/>
      <c r="I653" s="122"/>
      <c r="J653" s="30"/>
      <c r="K653" s="30"/>
      <c r="L653" s="30"/>
    </row>
    <row r="654" spans="1:37" hidden="1" x14ac:dyDescent="0.2">
      <c r="B654" s="29" t="s">
        <v>1205</v>
      </c>
      <c r="AJ654" s="50"/>
      <c r="AK654" s="14"/>
    </row>
    <row r="655" spans="1:37" hidden="1" x14ac:dyDescent="0.2">
      <c r="B655" s="14" t="s">
        <v>645</v>
      </c>
      <c r="F655" s="95">
        <f t="shared" ref="F655:N655" si="348">F531</f>
        <v>12349843.292648904</v>
      </c>
      <c r="G655" s="95">
        <f t="shared" si="348"/>
        <v>0</v>
      </c>
      <c r="H655" s="95">
        <f t="shared" si="348"/>
        <v>800445.34348977753</v>
      </c>
      <c r="I655" s="95">
        <f t="shared" si="348"/>
        <v>0</v>
      </c>
      <c r="J655" s="95">
        <f t="shared" si="348"/>
        <v>1009820.8610057705</v>
      </c>
      <c r="K655" s="95">
        <f t="shared" si="348"/>
        <v>687644.9055976962</v>
      </c>
      <c r="L655" s="95">
        <f t="shared" si="348"/>
        <v>991449.19615156995</v>
      </c>
      <c r="M655" s="95">
        <f t="shared" si="348"/>
        <v>114676.25594935036</v>
      </c>
      <c r="N655" s="95">
        <f t="shared" si="348"/>
        <v>100365.32114900168</v>
      </c>
      <c r="AJ655" s="50"/>
      <c r="AK655" s="14"/>
    </row>
    <row r="656" spans="1:37" hidden="1" x14ac:dyDescent="0.2">
      <c r="B656" s="14" t="s">
        <v>646</v>
      </c>
      <c r="F656" s="95">
        <f t="shared" ref="F656:N656" si="349">F532</f>
        <v>28461460.94086783</v>
      </c>
      <c r="G656" s="95">
        <f t="shared" si="349"/>
        <v>184377.94848131525</v>
      </c>
      <c r="H656" s="95">
        <f t="shared" si="349"/>
        <v>3071192.8576184022</v>
      </c>
      <c r="I656" s="95">
        <f t="shared" si="349"/>
        <v>1286.9359284242566</v>
      </c>
      <c r="J656" s="95">
        <f t="shared" si="349"/>
        <v>3894272.338083257</v>
      </c>
      <c r="K656" s="95">
        <f t="shared" si="349"/>
        <v>3845157.5933797583</v>
      </c>
      <c r="L656" s="95">
        <f t="shared" si="349"/>
        <v>2540925.3928192277</v>
      </c>
      <c r="M656" s="95">
        <f t="shared" si="349"/>
        <v>1218024.9909564441</v>
      </c>
      <c r="N656" s="95">
        <f t="shared" si="349"/>
        <v>520334.04213113629</v>
      </c>
      <c r="AJ656" s="50"/>
      <c r="AK656" s="14"/>
    </row>
    <row r="657" spans="2:37" hidden="1" x14ac:dyDescent="0.2">
      <c r="B657" s="14" t="s">
        <v>893</v>
      </c>
      <c r="F657" s="95">
        <f t="shared" ref="F657:N657" si="350">F533</f>
        <v>0</v>
      </c>
      <c r="G657" s="95">
        <f t="shared" si="350"/>
        <v>0</v>
      </c>
      <c r="H657" s="95">
        <f t="shared" si="350"/>
        <v>0</v>
      </c>
      <c r="I657" s="95">
        <f t="shared" si="350"/>
        <v>0</v>
      </c>
      <c r="J657" s="95">
        <f t="shared" si="350"/>
        <v>0</v>
      </c>
      <c r="K657" s="95">
        <f t="shared" si="350"/>
        <v>0</v>
      </c>
      <c r="L657" s="95">
        <f t="shared" si="350"/>
        <v>0</v>
      </c>
      <c r="M657" s="95">
        <f t="shared" si="350"/>
        <v>0</v>
      </c>
      <c r="N657" s="95">
        <f t="shared" si="350"/>
        <v>0</v>
      </c>
      <c r="AJ657" s="50"/>
      <c r="AK657" s="14"/>
    </row>
    <row r="658" spans="2:37" hidden="1" x14ac:dyDescent="0.2">
      <c r="B658" s="14" t="s">
        <v>647</v>
      </c>
      <c r="F658" s="95">
        <f t="shared" ref="F658:N658" si="351">F534</f>
        <v>15290675.054889118</v>
      </c>
      <c r="G658" s="95">
        <f t="shared" si="351"/>
        <v>0</v>
      </c>
      <c r="H658" s="95">
        <f t="shared" si="351"/>
        <v>355447.87693960266</v>
      </c>
      <c r="I658" s="95">
        <f t="shared" si="351"/>
        <v>0</v>
      </c>
      <c r="J658" s="95">
        <f t="shared" si="351"/>
        <v>651729.52809535293</v>
      </c>
      <c r="K658" s="95">
        <f t="shared" si="351"/>
        <v>571722.59464551834</v>
      </c>
      <c r="L658" s="95">
        <f t="shared" si="351"/>
        <v>446541.15670087456</v>
      </c>
      <c r="M658" s="95">
        <f t="shared" si="351"/>
        <v>709629.22610387206</v>
      </c>
      <c r="N658" s="95">
        <f t="shared" si="351"/>
        <v>174181.61564140764</v>
      </c>
      <c r="AJ658" s="50"/>
      <c r="AK658" s="14"/>
    </row>
    <row r="659" spans="2:37" hidden="1" x14ac:dyDescent="0.2">
      <c r="B659" s="14" t="s">
        <v>648</v>
      </c>
      <c r="F659" s="95">
        <f t="shared" ref="F659:N659" si="352">F535</f>
        <v>21071341.052254375</v>
      </c>
      <c r="G659" s="95">
        <f t="shared" si="352"/>
        <v>22297.189936949144</v>
      </c>
      <c r="H659" s="95">
        <f t="shared" si="352"/>
        <v>1930616.0365573552</v>
      </c>
      <c r="I659" s="95">
        <f t="shared" si="352"/>
        <v>306.44792563271932</v>
      </c>
      <c r="J659" s="95">
        <f t="shared" si="352"/>
        <v>65652.704937440794</v>
      </c>
      <c r="K659" s="95">
        <f t="shared" si="352"/>
        <v>3852.9412209803531</v>
      </c>
      <c r="L659" s="95">
        <f t="shared" si="352"/>
        <v>2894.4258054168786</v>
      </c>
      <c r="M659" s="95">
        <f t="shared" si="352"/>
        <v>473548.98736856866</v>
      </c>
      <c r="N659" s="95">
        <f t="shared" si="352"/>
        <v>10145.779415930912</v>
      </c>
      <c r="AJ659" s="50"/>
      <c r="AK659" s="14"/>
    </row>
    <row r="660" spans="2:37" hidden="1" x14ac:dyDescent="0.2">
      <c r="B660" s="14" t="s">
        <v>0</v>
      </c>
      <c r="F660" s="95">
        <f t="shared" ref="F660:N660" si="353">F536</f>
        <v>77173320.340660229</v>
      </c>
      <c r="G660" s="95">
        <f t="shared" si="353"/>
        <v>206675.1384182644</v>
      </c>
      <c r="H660" s="95">
        <f t="shared" si="353"/>
        <v>6157702.1146051371</v>
      </c>
      <c r="I660" s="95">
        <f t="shared" si="353"/>
        <v>1593.3838540569759</v>
      </c>
      <c r="J660" s="95">
        <f t="shared" si="353"/>
        <v>5621475.4321218217</v>
      </c>
      <c r="K660" s="95">
        <f t="shared" si="353"/>
        <v>5108378.0348439533</v>
      </c>
      <c r="L660" s="95">
        <f t="shared" si="353"/>
        <v>3981810.1714770892</v>
      </c>
      <c r="M660" s="95">
        <f t="shared" si="353"/>
        <v>2515879.4603782352</v>
      </c>
      <c r="N660" s="95">
        <f t="shared" si="353"/>
        <v>805026.75833747652</v>
      </c>
      <c r="AJ660" s="50"/>
      <c r="AK660" s="14"/>
    </row>
    <row r="661" spans="2:37" hidden="1" x14ac:dyDescent="0.2">
      <c r="F661" s="95"/>
      <c r="G661" s="95"/>
      <c r="H661" s="95"/>
      <c r="I661" s="95"/>
      <c r="J661" s="95"/>
      <c r="K661" s="95"/>
      <c r="L661" s="95"/>
      <c r="AJ661" s="50"/>
      <c r="AK661" s="14"/>
    </row>
    <row r="662" spans="2:37" hidden="1" x14ac:dyDescent="0.2">
      <c r="B662" s="29" t="s">
        <v>1206</v>
      </c>
      <c r="F662" s="95"/>
      <c r="G662" s="95"/>
      <c r="H662" s="95"/>
      <c r="I662" s="95"/>
      <c r="J662" s="95"/>
      <c r="K662" s="95"/>
      <c r="L662" s="95"/>
      <c r="AJ662" s="50"/>
      <c r="AK662" s="14"/>
    </row>
    <row r="663" spans="2:37" hidden="1" x14ac:dyDescent="0.2">
      <c r="B663" s="14" t="s">
        <v>582</v>
      </c>
      <c r="F663" s="37">
        <f t="shared" ref="F663:N663" si="354">F424</f>
        <v>577524</v>
      </c>
      <c r="G663" s="37">
        <f t="shared" si="354"/>
        <v>4320</v>
      </c>
      <c r="H663" s="37">
        <f t="shared" si="354"/>
        <v>43536</v>
      </c>
      <c r="I663" s="37">
        <f t="shared" si="354"/>
        <v>36</v>
      </c>
      <c r="J663" s="37">
        <f t="shared" si="354"/>
        <v>1848</v>
      </c>
      <c r="K663" s="37">
        <f t="shared" si="354"/>
        <v>96</v>
      </c>
      <c r="L663" s="37">
        <f t="shared" si="354"/>
        <v>72</v>
      </c>
      <c r="M663" s="37">
        <f t="shared" si="354"/>
        <v>11940</v>
      </c>
      <c r="N663" s="37">
        <f t="shared" si="354"/>
        <v>276</v>
      </c>
      <c r="AJ663" s="50"/>
      <c r="AK663" s="14"/>
    </row>
    <row r="664" spans="2:37" hidden="1" x14ac:dyDescent="0.2">
      <c r="B664" s="14" t="s">
        <v>11</v>
      </c>
      <c r="F664" s="37">
        <f t="shared" ref="F664:N664" si="355">F421</f>
        <v>576919032</v>
      </c>
      <c r="G664" s="37">
        <f t="shared" si="355"/>
        <v>3316676</v>
      </c>
      <c r="H664" s="37">
        <f t="shared" si="355"/>
        <v>59372503</v>
      </c>
      <c r="I664" s="37">
        <f t="shared" si="355"/>
        <v>23150</v>
      </c>
      <c r="J664" s="37">
        <f t="shared" si="355"/>
        <v>74901660</v>
      </c>
      <c r="K664" s="37">
        <f t="shared" si="355"/>
        <v>97780556</v>
      </c>
      <c r="L664" s="37">
        <f t="shared" si="355"/>
        <v>63304128</v>
      </c>
      <c r="M664" s="37">
        <f t="shared" si="355"/>
        <v>22682514</v>
      </c>
      <c r="N664" s="37">
        <f t="shared" si="355"/>
        <v>9939021</v>
      </c>
      <c r="AJ664" s="50"/>
      <c r="AK664" s="14"/>
    </row>
    <row r="665" spans="2:37" hidden="1" x14ac:dyDescent="0.2">
      <c r="B665" s="14" t="s">
        <v>10</v>
      </c>
      <c r="F665" s="37">
        <f t="shared" ref="F665:N665" si="356">F436</f>
        <v>4394897.2592557035</v>
      </c>
      <c r="G665" s="37">
        <f t="shared" si="356"/>
        <v>24766.099163679814</v>
      </c>
      <c r="H665" s="37">
        <f t="shared" si="356"/>
        <v>98627.12</v>
      </c>
      <c r="I665" s="37">
        <f t="shared" si="356"/>
        <v>135.28517999064985</v>
      </c>
      <c r="J665" s="37">
        <f t="shared" si="356"/>
        <v>232886</v>
      </c>
      <c r="K665" s="37">
        <f t="shared" si="356"/>
        <v>163790</v>
      </c>
      <c r="L665" s="37">
        <f t="shared" si="356"/>
        <v>128782</v>
      </c>
      <c r="M665" s="37">
        <f t="shared" si="356"/>
        <v>207408.08811230585</v>
      </c>
      <c r="N665" s="37">
        <f t="shared" si="356"/>
        <v>59192.855194906377</v>
      </c>
      <c r="AJ665" s="50"/>
      <c r="AK665" s="14"/>
    </row>
    <row r="666" spans="2:37" hidden="1" x14ac:dyDescent="0.2">
      <c r="F666" s="37"/>
      <c r="G666" s="37"/>
      <c r="H666" s="37"/>
      <c r="I666" s="37"/>
      <c r="J666" s="37"/>
      <c r="K666" s="37"/>
      <c r="L666" s="37"/>
      <c r="AJ666" s="50"/>
      <c r="AK666" s="14"/>
    </row>
    <row r="667" spans="2:37" hidden="1" x14ac:dyDescent="0.2">
      <c r="B667" s="29" t="s">
        <v>1207</v>
      </c>
      <c r="AJ667" s="50"/>
      <c r="AK667" s="14"/>
    </row>
    <row r="668" spans="2:37" hidden="1" x14ac:dyDescent="0.2">
      <c r="B668" s="14" t="s">
        <v>1208</v>
      </c>
      <c r="F668" s="26">
        <f>F659/F663</f>
        <v>36.485654366319622</v>
      </c>
      <c r="G668" s="26">
        <f t="shared" ref="G668:N668" si="357">G659/G663</f>
        <v>5.1613865594789683</v>
      </c>
      <c r="H668" s="26">
        <f t="shared" si="357"/>
        <v>44.345278311221868</v>
      </c>
      <c r="I668" s="26">
        <f t="shared" si="357"/>
        <v>8.5124423786866483</v>
      </c>
      <c r="J668" s="26">
        <f t="shared" si="357"/>
        <v>35.526355485628137</v>
      </c>
      <c r="K668" s="26">
        <f t="shared" si="357"/>
        <v>40.134804385212014</v>
      </c>
      <c r="L668" s="26">
        <f t="shared" si="357"/>
        <v>40.200358408567759</v>
      </c>
      <c r="M668" s="26">
        <f t="shared" si="357"/>
        <v>39.660719210097881</v>
      </c>
      <c r="N668" s="26">
        <f t="shared" si="357"/>
        <v>36.76007034757577</v>
      </c>
      <c r="AJ668" s="50"/>
      <c r="AK668" s="14"/>
    </row>
    <row r="669" spans="2:37" hidden="1" x14ac:dyDescent="0.2">
      <c r="B669" s="14" t="s">
        <v>940</v>
      </c>
      <c r="F669" s="41">
        <f>(F655+F656+F657+F658)/F664</f>
        <v>9.7244112564492169E-2</v>
      </c>
      <c r="G669" s="41">
        <f t="shared" ref="G669:N669" si="358">(G655+G656+G657+G658)/G664</f>
        <v>5.5591184813142812E-2</v>
      </c>
      <c r="H669" s="41">
        <f t="shared" si="358"/>
        <v>7.1196022812913623E-2</v>
      </c>
      <c r="I669" s="41">
        <f t="shared" si="358"/>
        <v>5.5591184813142833E-2</v>
      </c>
      <c r="J669" s="41">
        <f t="shared" si="358"/>
        <v>7.4174894484105983E-2</v>
      </c>
      <c r="K669" s="41">
        <f t="shared" si="358"/>
        <v>5.2203886973428267E-2</v>
      </c>
      <c r="L669" s="41">
        <f t="shared" si="358"/>
        <v>6.2853969739093032E-2</v>
      </c>
      <c r="M669" s="41">
        <f t="shared" si="358"/>
        <v>9.0039863879712204E-2</v>
      </c>
      <c r="N669" s="41">
        <f t="shared" si="358"/>
        <v>7.9975782214520494E-2</v>
      </c>
      <c r="AJ669" s="50"/>
      <c r="AK669" s="14"/>
    </row>
    <row r="670" spans="2:37" hidden="1" x14ac:dyDescent="0.2">
      <c r="F670" s="40"/>
      <c r="G670" s="40"/>
      <c r="H670" s="40"/>
      <c r="I670" s="40"/>
      <c r="J670" s="40"/>
      <c r="K670" s="40"/>
      <c r="L670" s="40"/>
      <c r="M670" s="40"/>
      <c r="N670" s="40"/>
      <c r="AJ670" s="50"/>
      <c r="AK670" s="14"/>
    </row>
    <row r="671" spans="2:37" hidden="1" x14ac:dyDescent="0.2">
      <c r="B671" s="29" t="s">
        <v>1209</v>
      </c>
      <c r="AJ671" s="50"/>
      <c r="AK671" s="14"/>
    </row>
    <row r="672" spans="2:37" hidden="1" x14ac:dyDescent="0.2">
      <c r="B672" s="14" t="s">
        <v>1208</v>
      </c>
      <c r="F672" s="26">
        <f>F659/F663</f>
        <v>36.485654366319622</v>
      </c>
      <c r="G672" s="26">
        <f t="shared" ref="G672:N672" si="359">G659/G663</f>
        <v>5.1613865594789683</v>
      </c>
      <c r="H672" s="26">
        <f t="shared" si="359"/>
        <v>44.345278311221868</v>
      </c>
      <c r="I672" s="26">
        <f t="shared" si="359"/>
        <v>8.5124423786866483</v>
      </c>
      <c r="J672" s="26">
        <f t="shared" si="359"/>
        <v>35.526355485628137</v>
      </c>
      <c r="K672" s="26">
        <f t="shared" si="359"/>
        <v>40.134804385212014</v>
      </c>
      <c r="L672" s="26">
        <f t="shared" si="359"/>
        <v>40.200358408567759</v>
      </c>
      <c r="M672" s="26">
        <f t="shared" si="359"/>
        <v>39.660719210097881</v>
      </c>
      <c r="N672" s="26">
        <f t="shared" si="359"/>
        <v>36.76007034757577</v>
      </c>
      <c r="AJ672" s="50"/>
      <c r="AK672" s="14"/>
    </row>
    <row r="673" spans="2:37" hidden="1" x14ac:dyDescent="0.2">
      <c r="B673" s="14" t="s">
        <v>940</v>
      </c>
      <c r="F673" s="41">
        <f>F656/F664</f>
        <v>4.9333544851520569E-2</v>
      </c>
      <c r="G673" s="41">
        <f t="shared" ref="G673:N673" si="360">G656/G664</f>
        <v>5.5591184813142812E-2</v>
      </c>
      <c r="H673" s="41">
        <f t="shared" si="360"/>
        <v>5.1727528779078123E-2</v>
      </c>
      <c r="I673" s="41">
        <f t="shared" si="360"/>
        <v>5.5591184813142833E-2</v>
      </c>
      <c r="J673" s="41">
        <f t="shared" si="360"/>
        <v>5.1991802826309282E-2</v>
      </c>
      <c r="K673" s="41">
        <f t="shared" si="360"/>
        <v>3.9324358038828888E-2</v>
      </c>
      <c r="L673" s="41">
        <f t="shared" si="360"/>
        <v>4.0138383911065445E-2</v>
      </c>
      <c r="M673" s="41">
        <f t="shared" si="360"/>
        <v>5.3698853264521035E-2</v>
      </c>
      <c r="N673" s="41">
        <f t="shared" si="360"/>
        <v>5.2352645409556565E-2</v>
      </c>
      <c r="AJ673" s="50"/>
      <c r="AK673" s="14"/>
    </row>
    <row r="674" spans="2:37" hidden="1" x14ac:dyDescent="0.2">
      <c r="B674" s="14" t="s">
        <v>939</v>
      </c>
      <c r="F674" s="26">
        <f>(F655+F657+F658)/F665</f>
        <v>6.2892296945797259</v>
      </c>
      <c r="G674" s="26">
        <f t="shared" ref="G674:N674" si="361">(G655+G657+G658)/G665</f>
        <v>0</v>
      </c>
      <c r="H674" s="26">
        <f t="shared" si="361"/>
        <v>11.719831425974725</v>
      </c>
      <c r="I674" s="26">
        <f t="shared" si="361"/>
        <v>0</v>
      </c>
      <c r="J674" s="26">
        <f t="shared" si="361"/>
        <v>7.1346083023501778</v>
      </c>
      <c r="K674" s="26">
        <f t="shared" si="361"/>
        <v>7.6889156862031527</v>
      </c>
      <c r="L674" s="26">
        <f t="shared" si="361"/>
        <v>11.16608185035521</v>
      </c>
      <c r="M674" s="26">
        <f t="shared" si="361"/>
        <v>3.9743169591673944</v>
      </c>
      <c r="N674" s="26">
        <f t="shared" si="361"/>
        <v>4.6381769537286059</v>
      </c>
      <c r="AJ674" s="50"/>
      <c r="AK674" s="14"/>
    </row>
    <row r="675" spans="2:37" hidden="1" x14ac:dyDescent="0.2">
      <c r="AJ675" s="50"/>
      <c r="AK675" s="14"/>
    </row>
    <row r="676" spans="2:37" hidden="1" x14ac:dyDescent="0.2">
      <c r="AJ676" s="50"/>
      <c r="AK676" s="14"/>
    </row>
    <row r="677" spans="2:37" hidden="1" x14ac:dyDescent="0.2">
      <c r="AJ677" s="50"/>
      <c r="AK677" s="14"/>
    </row>
    <row r="678" spans="2:37" hidden="1" x14ac:dyDescent="0.2">
      <c r="B678" s="14" t="s">
        <v>1210</v>
      </c>
      <c r="E678" s="210">
        <f t="shared" ref="E678:N678" si="362">E124/E421</f>
        <v>6.3752262928390771E-2</v>
      </c>
      <c r="F678" s="210">
        <f t="shared" si="362"/>
        <v>6.5899996553642357E-2</v>
      </c>
      <c r="G678" s="210">
        <f t="shared" si="362"/>
        <v>6.5899996553642343E-2</v>
      </c>
      <c r="H678" s="210">
        <f t="shared" si="362"/>
        <v>6.5899996553642343E-2</v>
      </c>
      <c r="I678" s="210">
        <f t="shared" si="362"/>
        <v>6.5899996553642357E-2</v>
      </c>
      <c r="J678" s="210">
        <f t="shared" si="362"/>
        <v>6.5899996553642343E-2</v>
      </c>
      <c r="K678" s="210">
        <f t="shared" si="362"/>
        <v>5.3231484999942111E-2</v>
      </c>
      <c r="L678" s="210">
        <f t="shared" si="362"/>
        <v>5.4045259102218413E-2</v>
      </c>
      <c r="M678" s="210">
        <f t="shared" si="362"/>
        <v>6.5899996553642343E-2</v>
      </c>
      <c r="N678" s="210">
        <f t="shared" si="362"/>
        <v>6.5899996553642343E-2</v>
      </c>
      <c r="AJ678" s="50"/>
      <c r="AK678" s="14"/>
    </row>
  </sheetData>
  <phoneticPr fontId="0" type="noConversion"/>
  <conditionalFormatting sqref="E512:O516">
    <cfRule type="cellIs" dxfId="3" priority="3" operator="lessThan">
      <formula>0</formula>
    </cfRule>
  </conditionalFormatting>
  <conditionalFormatting sqref="AH1">
    <cfRule type="cellIs" dxfId="2" priority="50" operator="equal">
      <formula>"err"</formula>
    </cfRule>
  </conditionalFormatting>
  <conditionalFormatting sqref="AH4:AH631">
    <cfRule type="containsText" dxfId="1" priority="1" operator="containsText" text="err">
      <formula>NOT(ISERROR(SEARCH("err",AH4)))</formula>
    </cfRule>
    <cfRule type="cellIs" dxfId="0" priority="2" operator="equal">
      <formula>"""err"""</formula>
    </cfRule>
  </conditionalFormatting>
  <printOptions horizontalCentered="1"/>
  <pageMargins left="0.25" right="0.25" top="1.25" bottom="0.5" header="0.5" footer="0.2"/>
  <pageSetup scale="60" pageOrder="overThenDown" orientation="landscape" r:id="rId1"/>
  <headerFooter alignWithMargins="0">
    <oddHeader>&amp;C&amp;"Times New Roman,Bold"JACKSON ENERGY COOPERATIVE
Cost of Service Study
Class Allocation
12 Months Ended December 31, 2023</oddHeader>
    <oddFooter>&amp;RExhibit JW-5
Page &amp;P of &amp;N</oddFooter>
  </headerFooter>
  <rowBreaks count="18" manualBreakCount="18">
    <brk id="42" max="14" man="1"/>
    <brk id="80" max="14" man="1"/>
    <brk id="118" max="14" man="1"/>
    <brk id="156" max="14" man="1"/>
    <brk id="194" max="14" man="1"/>
    <brk id="232" max="14" man="1"/>
    <brk id="270" max="14" man="1"/>
    <brk id="308" max="14" man="1"/>
    <brk id="332" max="14" man="1"/>
    <brk id="396" max="14" man="1"/>
    <brk id="436" max="14" man="1"/>
    <brk id="480" max="14" man="1"/>
    <brk id="499" max="14" man="1"/>
    <brk id="538" max="14" man="1"/>
    <brk id="556" max="14" man="1"/>
    <brk id="581" max="14" man="1"/>
    <brk id="607" max="14" man="1"/>
    <brk id="632" max="14" man="1"/>
  </rowBreaks>
  <colBreaks count="3" manualBreakCount="3">
    <brk id="15" max="651" man="1"/>
    <brk id="19" max="568" man="1"/>
    <brk id="25" max="568" man="1"/>
  </colBreaks>
  <ignoredErrors>
    <ignoredError sqref="F444 G444:M444 F451 F458 G451:O451 F465:O465 F472:O472 F479:O479 F498:O498 F491:J491 F587:N587 F613:N613 J552:L552 J543:L543 L568:M568 F414:O414 H458:O458 K491:M491 N491:O491 L54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210"/>
  <sheetViews>
    <sheetView view="pageBreakPreview" zoomScale="85" zoomScaleNormal="75" zoomScaleSheetLayoutView="85" workbookViewId="0">
      <selection activeCell="G29" sqref="G29"/>
    </sheetView>
  </sheetViews>
  <sheetFormatPr defaultColWidth="9.140625" defaultRowHeight="12.75" x14ac:dyDescent="0.2"/>
  <cols>
    <col min="1" max="1" width="36" style="14" customWidth="1"/>
    <col min="2" max="2" width="10.28515625" style="31" customWidth="1"/>
    <col min="3" max="3" width="12.5703125" style="14" bestFit="1" customWidth="1"/>
    <col min="4" max="4" width="13.42578125" style="14" bestFit="1" customWidth="1"/>
    <col min="5" max="5" width="15.5703125" style="14" customWidth="1"/>
    <col min="6" max="6" width="12.5703125" style="14" bestFit="1" customWidth="1"/>
    <col min="7" max="7" width="13.140625" style="14" bestFit="1" customWidth="1"/>
    <col min="8" max="8" width="14.5703125" style="14" bestFit="1" customWidth="1"/>
    <col min="9" max="11" width="12.5703125" style="14" bestFit="1" customWidth="1"/>
    <col min="12" max="12" width="16.85546875" style="14" customWidth="1"/>
    <col min="13" max="14" width="12.5703125" style="14" bestFit="1" customWidth="1"/>
    <col min="15" max="15" width="14.28515625" style="14" bestFit="1" customWidth="1"/>
    <col min="16" max="16" width="17.85546875" style="14" customWidth="1"/>
    <col min="17" max="17" width="17.28515625" style="14" customWidth="1"/>
    <col min="18" max="20" width="15" style="14" bestFit="1" customWidth="1"/>
    <col min="21" max="21" width="9.140625" style="14"/>
    <col min="22" max="22" width="11.85546875" style="14" bestFit="1" customWidth="1"/>
    <col min="23" max="25" width="9.140625" style="14"/>
    <col min="26" max="26" width="15.28515625" style="14" bestFit="1" customWidth="1"/>
    <col min="27" max="16384" width="9.140625" style="14"/>
  </cols>
  <sheetData>
    <row r="1" spans="1:27" x14ac:dyDescent="0.2">
      <c r="A1" s="13" t="s">
        <v>1024</v>
      </c>
    </row>
    <row r="2" spans="1:27" x14ac:dyDescent="0.2">
      <c r="A2" s="14" t="s">
        <v>677</v>
      </c>
    </row>
    <row r="3" spans="1:27" x14ac:dyDescent="0.2">
      <c r="C3" s="123"/>
      <c r="D3" s="30"/>
      <c r="E3" s="30"/>
      <c r="F3" s="24" t="s">
        <v>723</v>
      </c>
      <c r="G3" s="24" t="s">
        <v>685</v>
      </c>
      <c r="H3" s="30"/>
      <c r="I3" s="30"/>
      <c r="J3" s="30"/>
      <c r="K3" s="30"/>
      <c r="M3" s="123"/>
      <c r="N3" s="30"/>
      <c r="O3" s="30"/>
      <c r="Q3" s="24"/>
      <c r="R3" s="24"/>
    </row>
    <row r="4" spans="1:27" x14ac:dyDescent="0.2">
      <c r="A4" s="31"/>
      <c r="C4" s="30"/>
      <c r="D4" s="30"/>
      <c r="E4" s="30"/>
      <c r="F4" s="24" t="s">
        <v>684</v>
      </c>
      <c r="G4" s="24" t="s">
        <v>684</v>
      </c>
      <c r="H4" s="24" t="s">
        <v>693</v>
      </c>
      <c r="I4" s="24" t="s">
        <v>685</v>
      </c>
      <c r="J4" s="24" t="s">
        <v>687</v>
      </c>
      <c r="K4" s="24" t="s">
        <v>688</v>
      </c>
      <c r="M4" s="30"/>
      <c r="N4" s="30"/>
      <c r="O4" s="30"/>
      <c r="P4" s="31"/>
      <c r="Q4" s="24"/>
      <c r="R4" s="24"/>
      <c r="T4" s="31"/>
    </row>
    <row r="5" spans="1:27" s="24" customFormat="1" x14ac:dyDescent="0.2">
      <c r="B5" s="16"/>
      <c r="C5" s="24" t="s">
        <v>580</v>
      </c>
      <c r="F5" s="24" t="s">
        <v>724</v>
      </c>
      <c r="G5" s="24" t="s">
        <v>12</v>
      </c>
      <c r="H5" s="24" t="s">
        <v>694</v>
      </c>
      <c r="I5" s="24" t="s">
        <v>644</v>
      </c>
      <c r="J5" s="24" t="s">
        <v>644</v>
      </c>
      <c r="K5" s="24" t="s">
        <v>644</v>
      </c>
      <c r="L5" s="14"/>
      <c r="M5" s="24" t="str">
        <f>C5</f>
        <v>Average</v>
      </c>
      <c r="P5" s="30" t="s">
        <v>905</v>
      </c>
      <c r="Q5" s="24" t="s">
        <v>905</v>
      </c>
    </row>
    <row r="6" spans="1:27" s="24" customFormat="1" x14ac:dyDescent="0.2">
      <c r="A6" s="226" t="s">
        <v>861</v>
      </c>
      <c r="B6" s="21" t="s">
        <v>870</v>
      </c>
      <c r="C6" s="23" t="s">
        <v>582</v>
      </c>
      <c r="D6" s="23" t="s">
        <v>946</v>
      </c>
      <c r="E6" s="23" t="s">
        <v>348</v>
      </c>
      <c r="F6" s="23" t="s">
        <v>10</v>
      </c>
      <c r="G6" s="23" t="s">
        <v>683</v>
      </c>
      <c r="H6" s="23" t="s">
        <v>695</v>
      </c>
      <c r="I6" s="23" t="s">
        <v>686</v>
      </c>
      <c r="J6" s="23" t="s">
        <v>686</v>
      </c>
      <c r="K6" s="23" t="s">
        <v>686</v>
      </c>
      <c r="L6" s="226" t="s">
        <v>861</v>
      </c>
      <c r="M6" s="23" t="str">
        <f t="shared" ref="M6:M26" si="0">C6</f>
        <v>Customers</v>
      </c>
      <c r="N6" s="23" t="str">
        <f t="shared" ref="N6:O14" si="1">D6</f>
        <v>kWh</v>
      </c>
      <c r="O6" s="23" t="str">
        <f t="shared" si="1"/>
        <v>Revenue</v>
      </c>
      <c r="P6" s="23" t="s">
        <v>864</v>
      </c>
      <c r="Q6" s="23" t="s">
        <v>906</v>
      </c>
    </row>
    <row r="7" spans="1:27" x14ac:dyDescent="0.2">
      <c r="A7" s="31"/>
      <c r="C7" s="50"/>
      <c r="D7" s="50"/>
      <c r="E7" s="50"/>
      <c r="G7" s="50"/>
      <c r="H7" s="50"/>
      <c r="I7" s="50"/>
      <c r="J7" s="50"/>
      <c r="K7" s="50"/>
      <c r="L7" s="31"/>
      <c r="M7" s="50"/>
      <c r="N7" s="50"/>
      <c r="O7" s="50"/>
      <c r="P7" s="50"/>
      <c r="Q7" s="50"/>
    </row>
    <row r="8" spans="1:27" x14ac:dyDescent="0.2">
      <c r="A8" s="124" t="str">
        <f>'Summary of Returns'!B10</f>
        <v>Residential Service</v>
      </c>
      <c r="B8" s="227">
        <f>'Summary of Returns'!C10</f>
        <v>10</v>
      </c>
      <c r="C8" s="125">
        <f>O37</f>
        <v>48127</v>
      </c>
      <c r="D8" s="125">
        <f>O38</f>
        <v>576919032</v>
      </c>
      <c r="E8" s="127">
        <v>79408476.789999992</v>
      </c>
      <c r="F8" s="37">
        <f>O45</f>
        <v>4394897.2592557035</v>
      </c>
      <c r="G8" s="37">
        <f>P45</f>
        <v>482803.97252090805</v>
      </c>
      <c r="H8" s="126">
        <f>Q41</f>
        <v>214700.40269426547</v>
      </c>
      <c r="I8" s="125">
        <f>R43</f>
        <v>1675231.7412679305</v>
      </c>
      <c r="J8" s="125">
        <f>S43</f>
        <v>351248.60999743076</v>
      </c>
      <c r="K8" s="125">
        <f>T43</f>
        <v>1323983.1312704997</v>
      </c>
      <c r="L8" s="124" t="str">
        <f>A8</f>
        <v>Residential Service</v>
      </c>
      <c r="M8" s="125">
        <f t="shared" si="0"/>
        <v>48127</v>
      </c>
      <c r="N8" s="125">
        <f t="shared" si="1"/>
        <v>576919032</v>
      </c>
      <c r="O8" s="127">
        <f t="shared" si="1"/>
        <v>79408476.789999992</v>
      </c>
      <c r="P8" s="67">
        <f t="shared" ref="P8:P23" si="2">D8/$D$25</f>
        <v>0.62290163304282808</v>
      </c>
      <c r="Q8" s="67">
        <f t="shared" ref="Q8:Q23" si="3">E8/$E$25</f>
        <v>0.68484146961168679</v>
      </c>
      <c r="R8" s="128"/>
      <c r="W8" s="24"/>
      <c r="X8" s="24"/>
      <c r="Y8" s="24"/>
      <c r="Z8" s="24"/>
      <c r="AA8" s="24"/>
    </row>
    <row r="9" spans="1:27" x14ac:dyDescent="0.2">
      <c r="A9" s="124" t="str">
        <f>'Summary of Returns'!B11</f>
        <v>Residential Off Peak ETS</v>
      </c>
      <c r="B9" s="227">
        <f>'Summary of Returns'!C11</f>
        <v>11</v>
      </c>
      <c r="C9" s="125">
        <f>O47</f>
        <v>360</v>
      </c>
      <c r="D9" s="125">
        <f>O48</f>
        <v>3316676</v>
      </c>
      <c r="E9" s="127">
        <v>253733.41</v>
      </c>
      <c r="F9" s="37">
        <f>O55</f>
        <v>24766.099163679814</v>
      </c>
      <c r="G9" s="37">
        <f>P55</f>
        <v>5236.1111111111113</v>
      </c>
      <c r="H9" s="126">
        <f>Q51</f>
        <v>2297.2827364357381</v>
      </c>
      <c r="I9" s="125">
        <f>R53</f>
        <v>0</v>
      </c>
      <c r="J9" s="125">
        <f>S53</f>
        <v>0</v>
      </c>
      <c r="K9" s="125">
        <f>T53</f>
        <v>0</v>
      </c>
      <c r="L9" s="124" t="str">
        <f t="shared" ref="L9:L17" si="4">A9</f>
        <v>Residential Off Peak ETS</v>
      </c>
      <c r="M9" s="125">
        <f t="shared" si="0"/>
        <v>360</v>
      </c>
      <c r="N9" s="125">
        <f t="shared" si="1"/>
        <v>3316676</v>
      </c>
      <c r="O9" s="127">
        <f t="shared" si="1"/>
        <v>253733.41</v>
      </c>
      <c r="P9" s="67">
        <f t="shared" si="2"/>
        <v>3.5810274615345936E-3</v>
      </c>
      <c r="Q9" s="67">
        <f t="shared" si="3"/>
        <v>2.1882696711778182E-3</v>
      </c>
      <c r="R9" s="128"/>
      <c r="W9" s="24"/>
      <c r="X9" s="24"/>
      <c r="Y9" s="24"/>
      <c r="Z9" s="24"/>
      <c r="AA9" s="24"/>
    </row>
    <row r="10" spans="1:27" x14ac:dyDescent="0.2">
      <c r="A10" s="124" t="str">
        <f>'Summary of Returns'!B12</f>
        <v>Commercial Service &lt; 50 KW</v>
      </c>
      <c r="B10" s="227">
        <f>'Summary of Returns'!C12</f>
        <v>20</v>
      </c>
      <c r="C10" s="125">
        <f>O57</f>
        <v>3628</v>
      </c>
      <c r="D10" s="125">
        <f>O58</f>
        <v>59372503</v>
      </c>
      <c r="E10" s="127">
        <v>8211160.2300000014</v>
      </c>
      <c r="F10" s="37">
        <f>O65</f>
        <v>98627.12</v>
      </c>
      <c r="G10" s="37">
        <f>P65</f>
        <v>8626.7209999999995</v>
      </c>
      <c r="H10" s="126">
        <f>Q61</f>
        <v>13787.983630952383</v>
      </c>
      <c r="I10" s="125">
        <f>R63</f>
        <v>108578.82280679299</v>
      </c>
      <c r="J10" s="125">
        <f>S63</f>
        <v>29381.774001536105</v>
      </c>
      <c r="K10" s="125">
        <f>T63</f>
        <v>79197.048805256883</v>
      </c>
      <c r="L10" s="124" t="str">
        <f t="shared" si="4"/>
        <v>Commercial Service &lt; 50 KW</v>
      </c>
      <c r="M10" s="125">
        <f t="shared" si="0"/>
        <v>3628</v>
      </c>
      <c r="N10" s="125">
        <f t="shared" si="1"/>
        <v>59372503</v>
      </c>
      <c r="O10" s="127">
        <f t="shared" si="1"/>
        <v>8211160.2300000014</v>
      </c>
      <c r="P10" s="67">
        <f t="shared" si="2"/>
        <v>6.4104713183634768E-2</v>
      </c>
      <c r="Q10" s="67">
        <f t="shared" si="3"/>
        <v>7.0815399897437556E-2</v>
      </c>
      <c r="R10" s="128"/>
      <c r="W10" s="24"/>
      <c r="X10" s="24"/>
      <c r="Y10" s="24"/>
      <c r="Z10" s="24"/>
      <c r="AA10" s="24"/>
    </row>
    <row r="11" spans="1:27" x14ac:dyDescent="0.2">
      <c r="A11" s="124" t="str">
        <f>'Summary of Returns'!B13</f>
        <v>Commercial Off Peak ETS</v>
      </c>
      <c r="B11" s="227">
        <f>'Summary of Returns'!C13</f>
        <v>22</v>
      </c>
      <c r="C11" s="125">
        <f>O67</f>
        <v>3</v>
      </c>
      <c r="D11" s="125">
        <f>O68</f>
        <v>23150</v>
      </c>
      <c r="E11" s="127">
        <v>1552.53</v>
      </c>
      <c r="F11" s="37">
        <f>O75</f>
        <v>135.28517999064985</v>
      </c>
      <c r="G11" s="37">
        <f>P75</f>
        <v>41.304347826086953</v>
      </c>
      <c r="H11" s="126">
        <f>Q71</f>
        <v>15.833333333333334</v>
      </c>
      <c r="I11" s="125">
        <f>R73</f>
        <v>0</v>
      </c>
      <c r="J11" s="125">
        <f>S73</f>
        <v>0</v>
      </c>
      <c r="K11" s="125">
        <f>T73</f>
        <v>0</v>
      </c>
      <c r="L11" s="124" t="str">
        <f t="shared" si="4"/>
        <v>Commercial Off Peak ETS</v>
      </c>
      <c r="M11" s="125">
        <f t="shared" si="0"/>
        <v>3</v>
      </c>
      <c r="N11" s="125">
        <f t="shared" si="1"/>
        <v>23150</v>
      </c>
      <c r="O11" s="127">
        <f t="shared" si="1"/>
        <v>1552.53</v>
      </c>
      <c r="P11" s="67">
        <f t="shared" si="2"/>
        <v>2.4995141441167555E-5</v>
      </c>
      <c r="Q11" s="67">
        <f t="shared" si="3"/>
        <v>1.3389463817924875E-5</v>
      </c>
      <c r="R11" s="128"/>
      <c r="W11" s="24"/>
      <c r="X11" s="24"/>
      <c r="Y11" s="24"/>
      <c r="Z11" s="24"/>
      <c r="AA11" s="24"/>
    </row>
    <row r="12" spans="1:27" x14ac:dyDescent="0.2">
      <c r="A12" s="124" t="str">
        <f>'Summary of Returns'!B14</f>
        <v>Large Power Loads 50 KW and Over</v>
      </c>
      <c r="B12" s="227">
        <f>'Summary of Returns'!C14</f>
        <v>40</v>
      </c>
      <c r="C12" s="125">
        <f>O77</f>
        <v>154</v>
      </c>
      <c r="D12" s="125">
        <f>O78</f>
        <v>74901660</v>
      </c>
      <c r="E12" s="127">
        <v>7903197.2500000009</v>
      </c>
      <c r="F12" s="37">
        <f>O85</f>
        <v>232886</v>
      </c>
      <c r="G12" s="37">
        <f>P85</f>
        <v>20208</v>
      </c>
      <c r="H12" s="126">
        <f>Q81</f>
        <v>17219.273313492064</v>
      </c>
      <c r="I12" s="125">
        <f>R83</f>
        <v>136980.19636883429</v>
      </c>
      <c r="J12" s="125">
        <f>S83</f>
        <v>37461.963453661039</v>
      </c>
      <c r="K12" s="125">
        <f>T83</f>
        <v>99518.232915173256</v>
      </c>
      <c r="L12" s="124" t="str">
        <f t="shared" si="4"/>
        <v>Large Power Loads 50 KW and Over</v>
      </c>
      <c r="M12" s="125">
        <f t="shared" si="0"/>
        <v>154</v>
      </c>
      <c r="N12" s="125">
        <f t="shared" si="1"/>
        <v>74901660</v>
      </c>
      <c r="O12" s="127">
        <f t="shared" si="1"/>
        <v>7903197.2500000009</v>
      </c>
      <c r="P12" s="67">
        <f t="shared" si="2"/>
        <v>8.0871601981781518E-2</v>
      </c>
      <c r="Q12" s="67">
        <f t="shared" si="3"/>
        <v>6.8159438867396047E-2</v>
      </c>
      <c r="R12" s="128"/>
      <c r="W12" s="24"/>
      <c r="X12" s="24"/>
      <c r="Y12" s="24"/>
      <c r="Z12" s="24"/>
      <c r="AA12" s="24"/>
    </row>
    <row r="13" spans="1:27" x14ac:dyDescent="0.2">
      <c r="A13" s="124" t="str">
        <f>'Summary of Returns'!B15</f>
        <v>Large Power Rate 500 KW and Over</v>
      </c>
      <c r="B13" s="227">
        <f>'Summary of Returns'!C15</f>
        <v>46</v>
      </c>
      <c r="C13" s="125">
        <f>O87</f>
        <v>8</v>
      </c>
      <c r="D13" s="125">
        <f>O88</f>
        <v>97780556</v>
      </c>
      <c r="E13" s="127">
        <v>7615206.3700000001</v>
      </c>
      <c r="F13" s="37">
        <f>O95</f>
        <v>163790</v>
      </c>
      <c r="G13" s="37">
        <f>P95</f>
        <v>23993</v>
      </c>
      <c r="H13" s="126">
        <f>Q91</f>
        <v>24529.834229390683</v>
      </c>
      <c r="I13" s="125">
        <f>R93</f>
        <v>178768.13568015018</v>
      </c>
      <c r="J13" s="125">
        <f>S93</f>
        <v>46745.549539170512</v>
      </c>
      <c r="K13" s="125">
        <f>T93</f>
        <v>132022.58614097966</v>
      </c>
      <c r="L13" s="124" t="str">
        <f t="shared" si="4"/>
        <v>Large Power Rate 500 KW and Over</v>
      </c>
      <c r="M13" s="125">
        <f t="shared" si="0"/>
        <v>8</v>
      </c>
      <c r="N13" s="125">
        <f t="shared" si="1"/>
        <v>97780556</v>
      </c>
      <c r="O13" s="127">
        <f t="shared" si="1"/>
        <v>7615206.3700000001</v>
      </c>
      <c r="P13" s="67">
        <f t="shared" si="2"/>
        <v>0.10557403142185766</v>
      </c>
      <c r="Q13" s="67">
        <f t="shared" si="3"/>
        <v>6.5675722953595764E-2</v>
      </c>
      <c r="R13" s="128"/>
      <c r="W13" s="24"/>
      <c r="X13" s="24"/>
      <c r="Y13" s="24"/>
      <c r="Z13" s="24"/>
      <c r="AA13" s="24"/>
    </row>
    <row r="14" spans="1:27" x14ac:dyDescent="0.2">
      <c r="A14" s="124" t="str">
        <f>'Summary of Returns'!B16</f>
        <v>Large Power Rate 500 kW and Over</v>
      </c>
      <c r="B14" s="227">
        <f>'Summary of Returns'!C16</f>
        <v>47</v>
      </c>
      <c r="C14" s="125">
        <f>O97</f>
        <v>6</v>
      </c>
      <c r="D14" s="125">
        <f>O98</f>
        <v>63304128</v>
      </c>
      <c r="E14" s="127">
        <v>5633626.5499999998</v>
      </c>
      <c r="F14" s="37">
        <f>O105</f>
        <v>128782</v>
      </c>
      <c r="G14" s="37">
        <f>P105</f>
        <v>11569</v>
      </c>
      <c r="H14" s="126">
        <f>Q101</f>
        <v>13764.543650793652</v>
      </c>
      <c r="I14" s="125">
        <f>R103</f>
        <v>115728.21413210446</v>
      </c>
      <c r="J14" s="125">
        <f>S103</f>
        <v>32298.746031746035</v>
      </c>
      <c r="K14" s="125">
        <f>T103</f>
        <v>83429.468100358426</v>
      </c>
      <c r="L14" s="124" t="str">
        <f t="shared" si="4"/>
        <v>Large Power Rate 500 kW and Over</v>
      </c>
      <c r="M14" s="125">
        <f t="shared" si="0"/>
        <v>6</v>
      </c>
      <c r="N14" s="125">
        <f t="shared" si="1"/>
        <v>63304128</v>
      </c>
      <c r="O14" s="127">
        <f t="shared" si="1"/>
        <v>5633626.5499999998</v>
      </c>
      <c r="P14" s="67">
        <f t="shared" si="2"/>
        <v>6.8349703376664156E-2</v>
      </c>
      <c r="Q14" s="67">
        <f t="shared" si="3"/>
        <v>4.8586010482841516E-2</v>
      </c>
      <c r="R14" s="128"/>
      <c r="W14" s="24"/>
      <c r="X14" s="24"/>
      <c r="Y14" s="24"/>
      <c r="Z14" s="24"/>
      <c r="AA14" s="24"/>
    </row>
    <row r="15" spans="1:27" x14ac:dyDescent="0.2">
      <c r="A15" s="124" t="str">
        <f>'Summary of Returns'!B17</f>
        <v>Schools, Churches, Halls &amp; Parks</v>
      </c>
      <c r="B15" s="227">
        <f>'Summary of Returns'!C17</f>
        <v>50</v>
      </c>
      <c r="C15" s="125">
        <f>O107</f>
        <v>995</v>
      </c>
      <c r="D15" s="125">
        <f>O108</f>
        <v>22682514</v>
      </c>
      <c r="E15" s="127">
        <v>2919243.53</v>
      </c>
      <c r="F15" s="37">
        <f>O115</f>
        <v>207408.08811230585</v>
      </c>
      <c r="G15" s="37">
        <f>P115</f>
        <v>21087.5</v>
      </c>
      <c r="H15" s="126">
        <f>Q111</f>
        <v>7907.8125</v>
      </c>
      <c r="I15" s="125">
        <f>R113</f>
        <v>15555.606608422941</v>
      </c>
      <c r="J15" s="125">
        <f>S113</f>
        <v>4123.1559139784949</v>
      </c>
      <c r="K15" s="125">
        <f>T113</f>
        <v>11432.450694444446</v>
      </c>
      <c r="L15" s="124" t="str">
        <f t="shared" si="4"/>
        <v>Schools, Churches, Halls &amp; Parks</v>
      </c>
      <c r="M15" s="125">
        <f t="shared" si="0"/>
        <v>995</v>
      </c>
      <c r="N15" s="125">
        <f t="shared" ref="N15:N25" si="5">D15</f>
        <v>22682514</v>
      </c>
      <c r="O15" s="127">
        <f t="shared" ref="O15:O25" si="6">E15</f>
        <v>2919243.53</v>
      </c>
      <c r="P15" s="67">
        <f t="shared" ref="P15:P17" si="7">D15/$D$25</f>
        <v>2.4490395061393659E-2</v>
      </c>
      <c r="Q15" s="67">
        <f t="shared" ref="Q15:Q17" si="8">E15/$E$25</f>
        <v>2.5176393126475037E-2</v>
      </c>
      <c r="R15" s="128"/>
      <c r="W15" s="24"/>
      <c r="X15" s="24"/>
      <c r="Y15" s="24"/>
      <c r="Z15" s="24"/>
      <c r="AA15" s="24"/>
    </row>
    <row r="16" spans="1:27" x14ac:dyDescent="0.2">
      <c r="A16" s="124" t="str">
        <f>'Summary of Returns'!B18</f>
        <v>All Electric Schools AES</v>
      </c>
      <c r="B16" s="227">
        <f>'Summary of Returns'!C18</f>
        <v>52</v>
      </c>
      <c r="C16" s="125">
        <f>O117</f>
        <v>23</v>
      </c>
      <c r="D16" s="125">
        <f>O118</f>
        <v>9939021</v>
      </c>
      <c r="E16" s="127">
        <v>969766.56</v>
      </c>
      <c r="F16" s="37">
        <f>O125</f>
        <v>59192.855194906377</v>
      </c>
      <c r="G16" s="37">
        <f>P125</f>
        <v>5652.2557269752215</v>
      </c>
      <c r="H16" s="126">
        <f>Q121</f>
        <v>3714.3394777265748</v>
      </c>
      <c r="I16" s="125">
        <f>R123</f>
        <v>13614.356694828472</v>
      </c>
      <c r="J16" s="125">
        <f>S123</f>
        <v>3419.7314708141321</v>
      </c>
      <c r="K16" s="125">
        <f>T123</f>
        <v>10194.62522401434</v>
      </c>
      <c r="L16" s="124" t="str">
        <f t="shared" si="4"/>
        <v>All Electric Schools AES</v>
      </c>
      <c r="M16" s="125">
        <f t="shared" si="0"/>
        <v>23</v>
      </c>
      <c r="N16" s="125">
        <f t="shared" si="5"/>
        <v>9939021</v>
      </c>
      <c r="O16" s="127">
        <f t="shared" si="6"/>
        <v>969766.56</v>
      </c>
      <c r="P16" s="67">
        <f t="shared" si="7"/>
        <v>1.0731198085604085E-2</v>
      </c>
      <c r="Q16" s="67">
        <f t="shared" si="8"/>
        <v>8.3635448377509438E-3</v>
      </c>
      <c r="R16" s="128"/>
      <c r="W16" s="24"/>
      <c r="X16" s="24"/>
      <c r="Y16" s="24"/>
      <c r="Z16" s="24"/>
      <c r="AA16" s="24"/>
    </row>
    <row r="17" spans="1:27" x14ac:dyDescent="0.2">
      <c r="A17" s="124" t="str">
        <f>'Summary of Returns'!B19</f>
        <v>Outdoor Lighting</v>
      </c>
      <c r="B17" s="227" t="str">
        <f>'Summary of Returns'!C19</f>
        <v>OL</v>
      </c>
      <c r="C17" s="125">
        <f>O127</f>
        <v>0</v>
      </c>
      <c r="D17" s="125">
        <f>O128</f>
        <v>17940756</v>
      </c>
      <c r="E17" s="127">
        <v>3035655.2399999998</v>
      </c>
      <c r="F17" s="37">
        <f>O135</f>
        <v>49194.309286994358</v>
      </c>
      <c r="G17" s="37">
        <f>P135</f>
        <v>4449.5922619047615</v>
      </c>
      <c r="H17" s="126">
        <f>Q131</f>
        <v>0</v>
      </c>
      <c r="I17" s="125">
        <f>R133</f>
        <v>0</v>
      </c>
      <c r="J17" s="125">
        <f>S133</f>
        <v>0</v>
      </c>
      <c r="K17" s="125">
        <f>T133</f>
        <v>0</v>
      </c>
      <c r="L17" s="124" t="str">
        <f t="shared" si="4"/>
        <v>Outdoor Lighting</v>
      </c>
      <c r="M17" s="125">
        <f t="shared" si="0"/>
        <v>0</v>
      </c>
      <c r="N17" s="125">
        <f t="shared" si="5"/>
        <v>17940756</v>
      </c>
      <c r="O17" s="127">
        <f t="shared" si="6"/>
        <v>3035655.2399999998</v>
      </c>
      <c r="P17" s="67">
        <f t="shared" si="7"/>
        <v>1.9370701243260277E-2</v>
      </c>
      <c r="Q17" s="67">
        <f t="shared" si="8"/>
        <v>2.6180361087820559E-2</v>
      </c>
      <c r="R17" s="128"/>
      <c r="W17" s="24"/>
      <c r="X17" s="24"/>
      <c r="Y17" s="24"/>
      <c r="Z17" s="24"/>
      <c r="AA17" s="24"/>
    </row>
    <row r="18" spans="1:27" hidden="1" x14ac:dyDescent="0.2">
      <c r="A18" s="124">
        <f>'Summary of Returns'!B20</f>
        <v>0</v>
      </c>
      <c r="B18" s="227">
        <f>'Summary of Returns'!C20</f>
        <v>0</v>
      </c>
      <c r="C18" s="125">
        <v>0</v>
      </c>
      <c r="D18" s="125">
        <f>O138</f>
        <v>0</v>
      </c>
      <c r="E18" s="125">
        <v>0</v>
      </c>
      <c r="F18" s="37">
        <f>O145</f>
        <v>0</v>
      </c>
      <c r="G18" s="37">
        <f>P145</f>
        <v>0</v>
      </c>
      <c r="H18" s="125">
        <f>Q141</f>
        <v>0</v>
      </c>
      <c r="I18" s="125">
        <f>R143</f>
        <v>0</v>
      </c>
      <c r="J18" s="125">
        <f>S143</f>
        <v>0</v>
      </c>
      <c r="K18" s="125">
        <f>T143</f>
        <v>0</v>
      </c>
      <c r="L18" s="124" t="e">
        <f>'Summary of Returns'!#REF!</f>
        <v>#REF!</v>
      </c>
      <c r="M18" s="125">
        <f t="shared" si="0"/>
        <v>0</v>
      </c>
      <c r="N18" s="125">
        <f t="shared" si="5"/>
        <v>0</v>
      </c>
      <c r="O18" s="127">
        <f t="shared" si="6"/>
        <v>0</v>
      </c>
      <c r="P18" s="125">
        <f t="shared" si="2"/>
        <v>0</v>
      </c>
      <c r="Q18" s="125">
        <f t="shared" si="3"/>
        <v>0</v>
      </c>
      <c r="R18" s="128"/>
      <c r="W18" s="24"/>
      <c r="X18" s="24"/>
      <c r="Y18" s="24"/>
      <c r="Z18" s="24"/>
      <c r="AA18" s="24"/>
    </row>
    <row r="19" spans="1:27" hidden="1" x14ac:dyDescent="0.2">
      <c r="A19" s="124">
        <f>'Summary of Returns'!B21</f>
        <v>0</v>
      </c>
      <c r="B19" s="227">
        <f>'Summary of Returns'!C21</f>
        <v>0</v>
      </c>
      <c r="C19" s="125">
        <v>0</v>
      </c>
      <c r="D19" s="125">
        <f>O148</f>
        <v>0</v>
      </c>
      <c r="E19" s="125">
        <v>0</v>
      </c>
      <c r="F19" s="37">
        <f>O155</f>
        <v>0</v>
      </c>
      <c r="G19" s="37">
        <f>P155</f>
        <v>0</v>
      </c>
      <c r="H19" s="37">
        <f>Q151</f>
        <v>0</v>
      </c>
      <c r="I19" s="125">
        <f>R153</f>
        <v>0</v>
      </c>
      <c r="J19" s="125">
        <f>S153</f>
        <v>0</v>
      </c>
      <c r="K19" s="125">
        <f>T153</f>
        <v>0</v>
      </c>
      <c r="L19" s="124" t="e">
        <f>'Summary of Returns'!#REF!</f>
        <v>#REF!</v>
      </c>
      <c r="M19" s="125">
        <f t="shared" si="0"/>
        <v>0</v>
      </c>
      <c r="N19" s="125">
        <f t="shared" si="5"/>
        <v>0</v>
      </c>
      <c r="O19" s="127">
        <f t="shared" si="6"/>
        <v>0</v>
      </c>
      <c r="P19" s="125">
        <f t="shared" si="2"/>
        <v>0</v>
      </c>
      <c r="Q19" s="125">
        <f t="shared" si="3"/>
        <v>0</v>
      </c>
      <c r="R19" s="128"/>
      <c r="W19" s="24"/>
      <c r="X19" s="24"/>
      <c r="Y19" s="24"/>
      <c r="Z19" s="24"/>
      <c r="AA19" s="24"/>
    </row>
    <row r="20" spans="1:27" hidden="1" x14ac:dyDescent="0.2">
      <c r="A20" s="124">
        <f>'Summary of Returns'!B22</f>
        <v>0</v>
      </c>
      <c r="B20" s="227">
        <f>'Summary of Returns'!C22</f>
        <v>0</v>
      </c>
      <c r="C20" s="125">
        <v>0</v>
      </c>
      <c r="D20" s="125">
        <f>O158</f>
        <v>0</v>
      </c>
      <c r="E20" s="125">
        <v>0</v>
      </c>
      <c r="F20" s="37">
        <f>O165</f>
        <v>0</v>
      </c>
      <c r="G20" s="37">
        <f>P165</f>
        <v>0</v>
      </c>
      <c r="H20" s="126">
        <f>Q161</f>
        <v>0</v>
      </c>
      <c r="I20" s="125">
        <f>R163</f>
        <v>0</v>
      </c>
      <c r="J20" s="125">
        <f>S163</f>
        <v>0</v>
      </c>
      <c r="K20" s="125">
        <f>T163</f>
        <v>0</v>
      </c>
      <c r="L20" s="124" t="e">
        <f>'Summary of Returns'!#REF!</f>
        <v>#REF!</v>
      </c>
      <c r="M20" s="125">
        <f t="shared" si="0"/>
        <v>0</v>
      </c>
      <c r="N20" s="125">
        <f t="shared" si="5"/>
        <v>0</v>
      </c>
      <c r="O20" s="127">
        <f t="shared" si="6"/>
        <v>0</v>
      </c>
      <c r="P20" s="125">
        <f t="shared" si="2"/>
        <v>0</v>
      </c>
      <c r="Q20" s="125">
        <f t="shared" si="3"/>
        <v>0</v>
      </c>
      <c r="R20" s="128"/>
      <c r="W20" s="24"/>
      <c r="X20" s="24"/>
      <c r="Y20" s="24"/>
      <c r="Z20" s="24"/>
      <c r="AA20" s="24"/>
    </row>
    <row r="21" spans="1:27" hidden="1" x14ac:dyDescent="0.2">
      <c r="A21" s="124">
        <f>'Summary of Returns'!B23</f>
        <v>0</v>
      </c>
      <c r="B21" s="227">
        <f>'Summary of Returns'!C23</f>
        <v>0</v>
      </c>
      <c r="C21" s="125">
        <v>0</v>
      </c>
      <c r="D21" s="125">
        <f>O168</f>
        <v>0</v>
      </c>
      <c r="E21" s="125"/>
      <c r="F21" s="37">
        <f>O175</f>
        <v>0</v>
      </c>
      <c r="G21" s="37">
        <f>P175</f>
        <v>0</v>
      </c>
      <c r="H21" s="126">
        <f>Q171</f>
        <v>0</v>
      </c>
      <c r="I21" s="125">
        <f>R173</f>
        <v>0</v>
      </c>
      <c r="J21" s="125">
        <f>S173</f>
        <v>0</v>
      </c>
      <c r="K21" s="125">
        <f>T173</f>
        <v>0</v>
      </c>
      <c r="L21" s="124" t="e">
        <f>'Summary of Returns'!#REF!</f>
        <v>#REF!</v>
      </c>
      <c r="M21" s="125">
        <f t="shared" si="0"/>
        <v>0</v>
      </c>
      <c r="N21" s="125">
        <f t="shared" si="5"/>
        <v>0</v>
      </c>
      <c r="O21" s="125">
        <f t="shared" si="6"/>
        <v>0</v>
      </c>
      <c r="P21" s="125">
        <f t="shared" si="2"/>
        <v>0</v>
      </c>
      <c r="Q21" s="125">
        <f t="shared" si="3"/>
        <v>0</v>
      </c>
      <c r="R21" s="128"/>
      <c r="W21" s="24"/>
      <c r="X21" s="24"/>
      <c r="Y21" s="24"/>
      <c r="Z21" s="24"/>
      <c r="AA21" s="24"/>
    </row>
    <row r="22" spans="1:27" hidden="1" x14ac:dyDescent="0.2">
      <c r="A22" s="124">
        <f>'Summary of Returns'!B24</f>
        <v>0</v>
      </c>
      <c r="B22" s="227">
        <f>'Summary of Returns'!C24</f>
        <v>0</v>
      </c>
      <c r="C22" s="125">
        <v>0</v>
      </c>
      <c r="D22" s="125">
        <f>O178</f>
        <v>0</v>
      </c>
      <c r="E22" s="125"/>
      <c r="F22" s="37">
        <f>O185</f>
        <v>0</v>
      </c>
      <c r="G22" s="37">
        <f>P185</f>
        <v>0</v>
      </c>
      <c r="H22" s="126">
        <f>Q181</f>
        <v>0</v>
      </c>
      <c r="I22" s="125">
        <f>R183</f>
        <v>0</v>
      </c>
      <c r="J22" s="125">
        <f>S183</f>
        <v>0</v>
      </c>
      <c r="K22" s="125">
        <f>T183</f>
        <v>0</v>
      </c>
      <c r="L22" s="124" t="e">
        <f>'Summary of Returns'!#REF!</f>
        <v>#REF!</v>
      </c>
      <c r="M22" s="125">
        <f t="shared" si="0"/>
        <v>0</v>
      </c>
      <c r="N22" s="125">
        <f t="shared" si="5"/>
        <v>0</v>
      </c>
      <c r="O22" s="125">
        <f t="shared" si="6"/>
        <v>0</v>
      </c>
      <c r="P22" s="125">
        <f t="shared" si="2"/>
        <v>0</v>
      </c>
      <c r="Q22" s="125">
        <f t="shared" si="3"/>
        <v>0</v>
      </c>
      <c r="R22" s="128"/>
      <c r="W22" s="24"/>
      <c r="X22" s="24"/>
      <c r="Y22" s="24"/>
      <c r="Z22" s="24"/>
      <c r="AA22" s="24"/>
    </row>
    <row r="23" spans="1:27" hidden="1" x14ac:dyDescent="0.2">
      <c r="A23" s="124">
        <f>'Summary of Returns'!B25</f>
        <v>0</v>
      </c>
      <c r="B23" s="227">
        <f>'Summary of Returns'!C25</f>
        <v>0</v>
      </c>
      <c r="C23" s="125">
        <v>0</v>
      </c>
      <c r="D23" s="125">
        <f>O188</f>
        <v>0</v>
      </c>
      <c r="E23" s="125"/>
      <c r="F23" s="37">
        <f>O195</f>
        <v>0</v>
      </c>
      <c r="G23" s="37">
        <f>P195</f>
        <v>0</v>
      </c>
      <c r="H23" s="126">
        <f>Q191</f>
        <v>0</v>
      </c>
      <c r="I23" s="125">
        <f>R193</f>
        <v>0</v>
      </c>
      <c r="J23" s="125">
        <f>S193</f>
        <v>0</v>
      </c>
      <c r="K23" s="125">
        <f>T193</f>
        <v>0</v>
      </c>
      <c r="L23" s="124" t="e">
        <f>'Summary of Returns'!#REF!</f>
        <v>#REF!</v>
      </c>
      <c r="M23" s="125">
        <f t="shared" si="0"/>
        <v>0</v>
      </c>
      <c r="N23" s="125">
        <f t="shared" si="5"/>
        <v>0</v>
      </c>
      <c r="O23" s="125">
        <f t="shared" si="6"/>
        <v>0</v>
      </c>
      <c r="P23" s="125">
        <f t="shared" si="2"/>
        <v>0</v>
      </c>
      <c r="Q23" s="125">
        <f t="shared" si="3"/>
        <v>0</v>
      </c>
      <c r="R23" s="128"/>
      <c r="W23" s="24"/>
      <c r="X23" s="24"/>
      <c r="Y23" s="24"/>
      <c r="Z23" s="24"/>
      <c r="AA23" s="24"/>
    </row>
    <row r="24" spans="1:27" x14ac:dyDescent="0.2">
      <c r="A24" s="34"/>
      <c r="C24" s="125"/>
      <c r="D24" s="125"/>
      <c r="E24" s="125"/>
      <c r="F24" s="37"/>
      <c r="G24" s="37"/>
      <c r="H24" s="37"/>
      <c r="I24" s="37"/>
      <c r="J24" s="37"/>
      <c r="K24" s="37"/>
      <c r="L24" s="34"/>
      <c r="M24" s="125"/>
      <c r="N24" s="125"/>
      <c r="O24" s="125"/>
      <c r="P24" s="125"/>
      <c r="Q24" s="67"/>
      <c r="R24" s="128"/>
    </row>
    <row r="25" spans="1:27" x14ac:dyDescent="0.2">
      <c r="A25" s="28" t="s">
        <v>0</v>
      </c>
      <c r="B25" s="228"/>
      <c r="C25" s="129">
        <f t="shared" ref="C25:K25" si="9">SUM(C8:C24)</f>
        <v>53304</v>
      </c>
      <c r="D25" s="129">
        <f t="shared" si="9"/>
        <v>926179996</v>
      </c>
      <c r="E25" s="130">
        <f t="shared" si="9"/>
        <v>115951618.45999999</v>
      </c>
      <c r="F25" s="229">
        <f t="shared" si="9"/>
        <v>5359679.0161935799</v>
      </c>
      <c r="G25" s="229">
        <f t="shared" si="9"/>
        <v>583667.45696872531</v>
      </c>
      <c r="H25" s="229">
        <f t="shared" si="9"/>
        <v>297937.30556638993</v>
      </c>
      <c r="I25" s="229">
        <f t="shared" si="9"/>
        <v>2244457.0735590635</v>
      </c>
      <c r="J25" s="229">
        <f t="shared" si="9"/>
        <v>504679.53040833719</v>
      </c>
      <c r="K25" s="229">
        <f t="shared" si="9"/>
        <v>1739777.5431507267</v>
      </c>
      <c r="L25" s="28" t="s">
        <v>0</v>
      </c>
      <c r="M25" s="129">
        <f t="shared" si="0"/>
        <v>53304</v>
      </c>
      <c r="N25" s="129">
        <f t="shared" si="5"/>
        <v>926179996</v>
      </c>
      <c r="O25" s="130">
        <f t="shared" si="6"/>
        <v>115951618.45999999</v>
      </c>
      <c r="P25" s="131">
        <f>D25/$D$25</f>
        <v>1</v>
      </c>
      <c r="Q25" s="131">
        <f>E25/$E$25</f>
        <v>1</v>
      </c>
      <c r="R25" s="128"/>
      <c r="W25" s="24"/>
      <c r="X25" s="24"/>
      <c r="Y25" s="24"/>
      <c r="Z25" s="24"/>
      <c r="AA25" s="24"/>
    </row>
    <row r="26" spans="1:27" x14ac:dyDescent="0.2">
      <c r="A26" s="34" t="s">
        <v>1114</v>
      </c>
      <c r="C26" s="125">
        <f>C25-C17-C9-C11</f>
        <v>52941</v>
      </c>
      <c r="D26" s="125"/>
      <c r="E26" s="127"/>
      <c r="F26" s="37"/>
      <c r="G26" s="37"/>
      <c r="H26" s="37"/>
      <c r="I26" s="37"/>
      <c r="J26" s="37"/>
      <c r="K26" s="37"/>
      <c r="L26" s="50"/>
      <c r="M26" s="125">
        <f t="shared" si="0"/>
        <v>52941</v>
      </c>
      <c r="N26" s="125"/>
      <c r="O26" s="127"/>
      <c r="P26" s="50"/>
      <c r="Q26" s="128"/>
      <c r="R26" s="128"/>
    </row>
    <row r="27" spans="1:27" x14ac:dyDescent="0.2">
      <c r="C27" s="125"/>
      <c r="D27" s="125"/>
      <c r="E27" s="127"/>
      <c r="F27" s="37"/>
      <c r="G27" s="37"/>
      <c r="H27" s="37"/>
      <c r="I27" s="37"/>
      <c r="J27" s="37"/>
      <c r="K27" s="37"/>
      <c r="L27" s="50"/>
      <c r="M27" s="125"/>
      <c r="N27" s="125"/>
      <c r="O27" s="127"/>
      <c r="Q27" s="37"/>
    </row>
    <row r="28" spans="1:27" x14ac:dyDescent="0.2">
      <c r="A28" s="14" t="s">
        <v>1155</v>
      </c>
      <c r="B28" s="31">
        <v>2023</v>
      </c>
      <c r="C28" s="125">
        <v>52941</v>
      </c>
      <c r="D28" s="125">
        <v>926179996</v>
      </c>
      <c r="E28" s="125">
        <v>115951618</v>
      </c>
      <c r="F28" s="37"/>
      <c r="G28" s="37"/>
      <c r="H28" s="37"/>
      <c r="I28" s="37"/>
      <c r="J28" s="37"/>
      <c r="K28" s="37"/>
      <c r="L28" s="50"/>
      <c r="M28" s="125"/>
      <c r="N28" s="125"/>
      <c r="O28" s="127"/>
      <c r="Q28" s="37"/>
    </row>
    <row r="29" spans="1:27" x14ac:dyDescent="0.2">
      <c r="A29" s="14" t="s">
        <v>1156</v>
      </c>
      <c r="C29" s="125">
        <f>C28-C25</f>
        <v>-363</v>
      </c>
      <c r="D29" s="125">
        <f>D28-D25</f>
        <v>0</v>
      </c>
      <c r="E29" s="125">
        <f>E28-E25</f>
        <v>-0.45999999344348907</v>
      </c>
      <c r="F29" s="37"/>
      <c r="G29" s="37"/>
      <c r="H29" s="37"/>
      <c r="I29" s="37"/>
      <c r="J29" s="37"/>
      <c r="K29" s="37"/>
      <c r="L29" s="50"/>
      <c r="M29" s="125"/>
      <c r="N29" s="125"/>
      <c r="O29" s="125"/>
      <c r="Q29" s="37"/>
    </row>
    <row r="30" spans="1:27" x14ac:dyDescent="0.2">
      <c r="A30" s="14" t="s">
        <v>1156</v>
      </c>
      <c r="C30" s="203">
        <f>C29/C28</f>
        <v>-6.8566895222984077E-3</v>
      </c>
      <c r="D30" s="203">
        <f>D29/D28</f>
        <v>0</v>
      </c>
      <c r="E30" s="203">
        <f>E29/E28</f>
        <v>-3.9671718375114788E-9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7"/>
    </row>
    <row r="31" spans="1:27" x14ac:dyDescent="0.2"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U31" s="124"/>
      <c r="W31" s="124"/>
    </row>
    <row r="32" spans="1:27" x14ac:dyDescent="0.2">
      <c r="A32" s="13" t="str">
        <f>A1</f>
        <v>JACKSON ENERGY COOPERATIVE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U32" s="124"/>
      <c r="W32" s="124"/>
    </row>
    <row r="33" spans="1:23" x14ac:dyDescent="0.2">
      <c r="A33" s="14" t="s">
        <v>677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132"/>
      <c r="P33" s="132"/>
      <c r="Q33" s="132"/>
      <c r="U33" s="124"/>
      <c r="W33" s="124"/>
    </row>
    <row r="34" spans="1:23" ht="30.75" customHeight="1" x14ac:dyDescent="0.2">
      <c r="C34" s="50">
        <f>C204</f>
        <v>4175.6399650349922</v>
      </c>
      <c r="D34" s="50">
        <f t="shared" ref="D34:N34" si="10">D204</f>
        <v>5072.1009989568556</v>
      </c>
      <c r="E34" s="50">
        <f t="shared" si="10"/>
        <v>5081.0163834047853</v>
      </c>
      <c r="F34" s="50">
        <f t="shared" si="10"/>
        <v>4079.1302580077609</v>
      </c>
      <c r="G34" s="50">
        <f t="shared" si="10"/>
        <v>3612.4497897195979</v>
      </c>
      <c r="H34" s="50">
        <f t="shared" si="10"/>
        <v>3592.7811960409163</v>
      </c>
      <c r="I34" s="50">
        <f t="shared" si="10"/>
        <v>3365.0238102777221</v>
      </c>
      <c r="J34" s="50">
        <f t="shared" si="10"/>
        <v>3800.6645853442897</v>
      </c>
      <c r="K34" s="50">
        <f t="shared" si="10"/>
        <v>4428.6296454907279</v>
      </c>
      <c r="L34" s="50">
        <f t="shared" si="10"/>
        <v>3294.8008968414506</v>
      </c>
      <c r="M34" s="50">
        <f t="shared" si="10"/>
        <v>4885.8005094838445</v>
      </c>
      <c r="N34" s="50">
        <f t="shared" si="10"/>
        <v>3730.8884023329592</v>
      </c>
      <c r="O34" s="50"/>
      <c r="P34" s="50"/>
      <c r="Q34" s="133" t="s">
        <v>693</v>
      </c>
    </row>
    <row r="35" spans="1:23" s="230" customFormat="1" ht="15" x14ac:dyDescent="0.35">
      <c r="A35" s="134" t="s">
        <v>869</v>
      </c>
      <c r="B35" s="135" t="s">
        <v>870</v>
      </c>
      <c r="C35" s="136" t="s">
        <v>1115</v>
      </c>
      <c r="D35" s="136" t="s">
        <v>1116</v>
      </c>
      <c r="E35" s="136" t="s">
        <v>1117</v>
      </c>
      <c r="F35" s="136" t="s">
        <v>1118</v>
      </c>
      <c r="G35" s="136" t="s">
        <v>1119</v>
      </c>
      <c r="H35" s="136" t="s">
        <v>1120</v>
      </c>
      <c r="I35" s="136" t="s">
        <v>1121</v>
      </c>
      <c r="J35" s="136" t="s">
        <v>1122</v>
      </c>
      <c r="K35" s="136" t="s">
        <v>1123</v>
      </c>
      <c r="L35" s="136" t="s">
        <v>1124</v>
      </c>
      <c r="M35" s="136" t="s">
        <v>1125</v>
      </c>
      <c r="N35" s="136" t="s">
        <v>1126</v>
      </c>
      <c r="O35" s="137" t="s">
        <v>0</v>
      </c>
      <c r="P35" s="137" t="s">
        <v>683</v>
      </c>
      <c r="Q35" s="137" t="s">
        <v>695</v>
      </c>
      <c r="R35" s="137" t="s">
        <v>689</v>
      </c>
      <c r="S35" s="137" t="s">
        <v>689</v>
      </c>
      <c r="T35" s="137" t="s">
        <v>689</v>
      </c>
    </row>
    <row r="36" spans="1:23" x14ac:dyDescent="0.2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37"/>
    </row>
    <row r="37" spans="1:23" x14ac:dyDescent="0.2">
      <c r="A37" s="15" t="str">
        <f>A8</f>
        <v>Residential Service</v>
      </c>
      <c r="B37" s="16">
        <f>B8</f>
        <v>10</v>
      </c>
      <c r="C37" s="50">
        <v>48052</v>
      </c>
      <c r="D37" s="50">
        <v>47960</v>
      </c>
      <c r="E37" s="50">
        <v>48022</v>
      </c>
      <c r="F37" s="50">
        <v>47907</v>
      </c>
      <c r="G37" s="50">
        <v>48065</v>
      </c>
      <c r="H37" s="50">
        <v>48088</v>
      </c>
      <c r="I37" s="50">
        <v>48142</v>
      </c>
      <c r="J37" s="50">
        <v>48172</v>
      </c>
      <c r="K37" s="50">
        <v>48233</v>
      </c>
      <c r="L37" s="50">
        <v>48250</v>
      </c>
      <c r="M37" s="50">
        <v>48352</v>
      </c>
      <c r="N37" s="50">
        <v>48283</v>
      </c>
      <c r="O37" s="50">
        <f>ROUND(SUM(C37:N37)/12,0)</f>
        <v>48127</v>
      </c>
      <c r="P37" s="50"/>
      <c r="Q37" s="37"/>
    </row>
    <row r="38" spans="1:23" x14ac:dyDescent="0.2">
      <c r="A38" s="14" t="s">
        <v>679</v>
      </c>
      <c r="C38" s="50">
        <v>63390035</v>
      </c>
      <c r="D38" s="50">
        <v>51356678</v>
      </c>
      <c r="E38" s="50">
        <v>53038886</v>
      </c>
      <c r="F38" s="50">
        <v>37601004</v>
      </c>
      <c r="G38" s="50">
        <v>37350746</v>
      </c>
      <c r="H38" s="50">
        <v>39715602</v>
      </c>
      <c r="I38" s="50">
        <v>52818541</v>
      </c>
      <c r="J38" s="50">
        <v>49033515</v>
      </c>
      <c r="K38" s="50">
        <v>38404697</v>
      </c>
      <c r="L38" s="50">
        <v>37320212</v>
      </c>
      <c r="M38" s="50">
        <v>52232008</v>
      </c>
      <c r="N38" s="50">
        <v>64657108</v>
      </c>
      <c r="O38" s="50">
        <f>SUM(C38:N38)</f>
        <v>576919032</v>
      </c>
      <c r="P38" s="132"/>
      <c r="Q38" s="132"/>
      <c r="U38" s="124"/>
      <c r="W38" s="124"/>
    </row>
    <row r="39" spans="1:23" x14ac:dyDescent="0.2">
      <c r="A39" s="14" t="s">
        <v>680</v>
      </c>
      <c r="C39" s="50">
        <f>C38/744</f>
        <v>85201.659946236556</v>
      </c>
      <c r="D39" s="48">
        <f>D38/720</f>
        <v>71328.719444444447</v>
      </c>
      <c r="E39" s="50">
        <f t="shared" ref="E39:N39" si="11">E38/744</f>
        <v>71288.825268817207</v>
      </c>
      <c r="F39" s="50">
        <f>F38/720</f>
        <v>52223.616666666669</v>
      </c>
      <c r="G39" s="50">
        <f t="shared" si="11"/>
        <v>50202.615591397851</v>
      </c>
      <c r="H39" s="48">
        <f>H38/744</f>
        <v>53381.18548387097</v>
      </c>
      <c r="I39" s="48">
        <f>I38/672</f>
        <v>78599.019345238092</v>
      </c>
      <c r="J39" s="50">
        <f t="shared" si="11"/>
        <v>65905.262096774197</v>
      </c>
      <c r="K39" s="50">
        <f>K38/720</f>
        <v>53339.856944444444</v>
      </c>
      <c r="L39" s="50">
        <f t="shared" si="11"/>
        <v>50161.575268817207</v>
      </c>
      <c r="M39" s="50">
        <f>M38/720</f>
        <v>72544.455555555556</v>
      </c>
      <c r="N39" s="50">
        <f t="shared" si="11"/>
        <v>86904.715053763444</v>
      </c>
      <c r="O39" s="50">
        <f>O38/8760</f>
        <v>65858.336986301365</v>
      </c>
      <c r="P39" s="50"/>
      <c r="Q39" s="50"/>
    </row>
    <row r="40" spans="1:23" x14ac:dyDescent="0.2">
      <c r="A40" s="14" t="s">
        <v>756</v>
      </c>
      <c r="B40" s="31" t="s">
        <v>1143</v>
      </c>
      <c r="C40" s="67">
        <v>0.41026730626213653</v>
      </c>
      <c r="D40" s="67">
        <v>0.34455853722525875</v>
      </c>
      <c r="E40" s="67">
        <v>0.33203861927698791</v>
      </c>
      <c r="F40" s="67">
        <v>0.43615565408169044</v>
      </c>
      <c r="G40" s="67">
        <v>0.48071961107103811</v>
      </c>
      <c r="H40" s="67">
        <v>0.48361997545006158</v>
      </c>
      <c r="I40" s="67">
        <v>0.5825043458493494</v>
      </c>
      <c r="J40" s="67">
        <v>0.4546290083889068</v>
      </c>
      <c r="K40" s="67">
        <v>0.39883715384461488</v>
      </c>
      <c r="L40" s="67">
        <v>0.53227270670677651</v>
      </c>
      <c r="M40" s="67">
        <v>0.35869169536183337</v>
      </c>
      <c r="N40" s="67">
        <v>0.46396435255369683</v>
      </c>
      <c r="O40" s="67"/>
      <c r="Q40" s="37"/>
    </row>
    <row r="41" spans="1:23" x14ac:dyDescent="0.2">
      <c r="A41" s="14" t="s">
        <v>757</v>
      </c>
      <c r="C41" s="50">
        <f>C39/C40</f>
        <v>207673.53051475598</v>
      </c>
      <c r="D41" s="50">
        <f t="shared" ref="D41:N41" si="12">D39/D40</f>
        <v>207014.80804642651</v>
      </c>
      <c r="E41" s="50">
        <f t="shared" si="12"/>
        <v>214700.40269426547</v>
      </c>
      <c r="F41" s="50">
        <f t="shared" si="12"/>
        <v>119736.19091702836</v>
      </c>
      <c r="G41" s="50">
        <f t="shared" si="12"/>
        <v>104432.21877207581</v>
      </c>
      <c r="H41" s="50">
        <f t="shared" si="12"/>
        <v>110378.37184908234</v>
      </c>
      <c r="I41" s="50">
        <f t="shared" si="12"/>
        <v>134932.93209792775</v>
      </c>
      <c r="J41" s="50">
        <f t="shared" si="12"/>
        <v>144964.92938346852</v>
      </c>
      <c r="K41" s="50">
        <f t="shared" si="12"/>
        <v>133738.43542476339</v>
      </c>
      <c r="L41" s="50">
        <f t="shared" si="12"/>
        <v>94240.367083955512</v>
      </c>
      <c r="M41" s="50">
        <f t="shared" si="12"/>
        <v>202247.37983514144</v>
      </c>
      <c r="N41" s="50">
        <f t="shared" si="12"/>
        <v>187309.03478992073</v>
      </c>
      <c r="O41" s="50">
        <f>SUM(C41:N41)</f>
        <v>1861368.601408812</v>
      </c>
      <c r="Q41" s="37">
        <f>MAX(C41:N41)</f>
        <v>214700.40269426547</v>
      </c>
    </row>
    <row r="42" spans="1:23" x14ac:dyDescent="0.2">
      <c r="A42" s="14" t="s">
        <v>681</v>
      </c>
      <c r="B42" s="31" t="s">
        <v>1143</v>
      </c>
      <c r="C42" s="67">
        <v>0.9</v>
      </c>
      <c r="D42" s="67">
        <v>0.9</v>
      </c>
      <c r="E42" s="67">
        <v>0.9</v>
      </c>
      <c r="F42" s="67">
        <v>0.9</v>
      </c>
      <c r="G42" s="67">
        <v>0.9</v>
      </c>
      <c r="H42" s="67">
        <v>0.9</v>
      </c>
      <c r="I42" s="67">
        <v>0.9</v>
      </c>
      <c r="J42" s="67">
        <v>0.9</v>
      </c>
      <c r="K42" s="67">
        <v>0.9</v>
      </c>
      <c r="L42" s="67">
        <v>0.9</v>
      </c>
      <c r="M42" s="67">
        <v>0.9</v>
      </c>
      <c r="N42" s="67">
        <v>0.9</v>
      </c>
      <c r="O42" s="67"/>
      <c r="P42" s="50"/>
      <c r="Q42" s="37"/>
    </row>
    <row r="43" spans="1:23" x14ac:dyDescent="0.2">
      <c r="A43" s="14" t="s">
        <v>682</v>
      </c>
      <c r="C43" s="50">
        <f>C41*C42</f>
        <v>186906.17746328039</v>
      </c>
      <c r="D43" s="50">
        <f t="shared" ref="D43:N43" si="13">D41*D42</f>
        <v>186313.32724178387</v>
      </c>
      <c r="E43" s="50">
        <f t="shared" si="13"/>
        <v>193230.36242483894</v>
      </c>
      <c r="F43" s="50">
        <f t="shared" si="13"/>
        <v>107762.57182532553</v>
      </c>
      <c r="G43" s="50">
        <f t="shared" si="13"/>
        <v>93988.996894868236</v>
      </c>
      <c r="H43" s="50">
        <f t="shared" si="13"/>
        <v>99340.534664174105</v>
      </c>
      <c r="I43" s="50">
        <f t="shared" si="13"/>
        <v>121439.63888813498</v>
      </c>
      <c r="J43" s="50">
        <f t="shared" si="13"/>
        <v>130468.43644512167</v>
      </c>
      <c r="K43" s="50">
        <f t="shared" si="13"/>
        <v>120364.59188228706</v>
      </c>
      <c r="L43" s="50">
        <f t="shared" si="13"/>
        <v>84816.330375559963</v>
      </c>
      <c r="M43" s="50">
        <f t="shared" si="13"/>
        <v>182022.6418516273</v>
      </c>
      <c r="N43" s="50">
        <f t="shared" si="13"/>
        <v>168578.13131092867</v>
      </c>
      <c r="O43" s="50">
        <f>SUM(C43:N43)</f>
        <v>1675231.7412679305</v>
      </c>
      <c r="P43" s="50"/>
      <c r="Q43" s="37"/>
      <c r="R43" s="37">
        <f>O43</f>
        <v>1675231.7412679305</v>
      </c>
      <c r="S43" s="37">
        <f>H43+I43+J43</f>
        <v>351248.60999743076</v>
      </c>
      <c r="T43" s="37">
        <f>R43-S43</f>
        <v>1323983.1312704997</v>
      </c>
    </row>
    <row r="44" spans="1:23" x14ac:dyDescent="0.2">
      <c r="A44" s="14" t="s">
        <v>758</v>
      </c>
      <c r="C44" s="67">
        <v>0.18</v>
      </c>
      <c r="D44" s="67">
        <v>0.18</v>
      </c>
      <c r="E44" s="67">
        <v>0.18</v>
      </c>
      <c r="F44" s="67">
        <v>0.18</v>
      </c>
      <c r="G44" s="67">
        <v>0.18</v>
      </c>
      <c r="H44" s="67">
        <v>0.18</v>
      </c>
      <c r="I44" s="67">
        <v>0.18</v>
      </c>
      <c r="J44" s="67">
        <v>0.18</v>
      </c>
      <c r="K44" s="67">
        <v>0.18</v>
      </c>
      <c r="L44" s="67">
        <v>0.18</v>
      </c>
      <c r="M44" s="67">
        <v>0.18</v>
      </c>
      <c r="N44" s="67">
        <v>0.18</v>
      </c>
      <c r="O44" s="67"/>
      <c r="P44" s="132"/>
      <c r="Q44" s="132"/>
      <c r="U44" s="124"/>
      <c r="W44" s="124"/>
    </row>
    <row r="45" spans="1:23" x14ac:dyDescent="0.2">
      <c r="A45" s="14" t="s">
        <v>759</v>
      </c>
      <c r="C45" s="50">
        <f>C39/C44</f>
        <v>473342.55525686976</v>
      </c>
      <c r="D45" s="50">
        <f t="shared" ref="D45:N45" si="14">D39/D44</f>
        <v>396270.66358024697</v>
      </c>
      <c r="E45" s="50">
        <f t="shared" si="14"/>
        <v>396049.0292712067</v>
      </c>
      <c r="F45" s="50">
        <f t="shared" si="14"/>
        <v>290131.20370370371</v>
      </c>
      <c r="G45" s="50">
        <f t="shared" si="14"/>
        <v>278903.41995221027</v>
      </c>
      <c r="H45" s="50">
        <f t="shared" si="14"/>
        <v>296562.14157706097</v>
      </c>
      <c r="I45" s="50">
        <f t="shared" si="14"/>
        <v>436661.21858465608</v>
      </c>
      <c r="J45" s="50">
        <f t="shared" si="14"/>
        <v>366140.34498207888</v>
      </c>
      <c r="K45" s="50">
        <f t="shared" si="14"/>
        <v>296332.53858024691</v>
      </c>
      <c r="L45" s="50">
        <f t="shared" si="14"/>
        <v>278675.41816009558</v>
      </c>
      <c r="M45" s="50">
        <f t="shared" si="14"/>
        <v>403024.75308641978</v>
      </c>
      <c r="N45" s="50">
        <f t="shared" si="14"/>
        <v>482803.97252090805</v>
      </c>
      <c r="O45" s="50">
        <f>SUM(C45:N45)</f>
        <v>4394897.2592557035</v>
      </c>
      <c r="P45" s="50">
        <f>MAX(C45:N45)</f>
        <v>482803.97252090805</v>
      </c>
      <c r="Q45" s="50"/>
    </row>
    <row r="46" spans="1:23" x14ac:dyDescent="0.2"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1:23" x14ac:dyDescent="0.2">
      <c r="A47" s="15" t="str">
        <f>A9</f>
        <v>Residential Off Peak ETS</v>
      </c>
      <c r="B47" s="16">
        <f>B9</f>
        <v>11</v>
      </c>
      <c r="C47" s="50">
        <v>538</v>
      </c>
      <c r="D47" s="50">
        <v>529</v>
      </c>
      <c r="E47" s="50">
        <v>527</v>
      </c>
      <c r="F47" s="50">
        <v>493</v>
      </c>
      <c r="G47" s="50">
        <v>413</v>
      </c>
      <c r="H47" s="50">
        <v>157</v>
      </c>
      <c r="I47" s="50">
        <v>122</v>
      </c>
      <c r="J47" s="50">
        <v>102</v>
      </c>
      <c r="K47" s="50">
        <v>115</v>
      </c>
      <c r="L47" s="50">
        <v>378</v>
      </c>
      <c r="M47" s="50">
        <v>461</v>
      </c>
      <c r="N47" s="50">
        <v>483</v>
      </c>
      <c r="O47" s="50">
        <f>ROUND(SUM(C47:N47)/12,0)</f>
        <v>360</v>
      </c>
      <c r="P47" s="50"/>
      <c r="Q47" s="37"/>
    </row>
    <row r="48" spans="1:23" x14ac:dyDescent="0.2">
      <c r="A48" s="14" t="s">
        <v>679</v>
      </c>
      <c r="C48" s="50">
        <v>701220</v>
      </c>
      <c r="D48" s="50">
        <v>543312</v>
      </c>
      <c r="E48" s="50">
        <v>544857</v>
      </c>
      <c r="F48" s="50">
        <v>249404</v>
      </c>
      <c r="G48" s="50">
        <v>88300</v>
      </c>
      <c r="H48" s="50">
        <v>13223</v>
      </c>
      <c r="I48" s="50">
        <v>8459</v>
      </c>
      <c r="J48" s="50">
        <v>3563</v>
      </c>
      <c r="K48" s="50">
        <v>5410</v>
      </c>
      <c r="L48" s="50">
        <v>137833</v>
      </c>
      <c r="M48" s="50">
        <v>420834</v>
      </c>
      <c r="N48" s="50">
        <v>600261</v>
      </c>
      <c r="O48" s="50">
        <f>SUM(C48:N48)</f>
        <v>3316676</v>
      </c>
      <c r="P48" s="132"/>
      <c r="Q48" s="132"/>
      <c r="U48" s="124"/>
      <c r="W48" s="124"/>
    </row>
    <row r="49" spans="1:23" x14ac:dyDescent="0.2">
      <c r="A49" s="14" t="s">
        <v>680</v>
      </c>
      <c r="C49" s="50">
        <f>C48/744</f>
        <v>942.5</v>
      </c>
      <c r="D49" s="50">
        <f t="shared" ref="D49:N49" si="15">D48/744</f>
        <v>730.25806451612902</v>
      </c>
      <c r="E49" s="50">
        <f t="shared" si="15"/>
        <v>732.33467741935488</v>
      </c>
      <c r="F49" s="50">
        <f t="shared" si="15"/>
        <v>335.22043010752691</v>
      </c>
      <c r="G49" s="50">
        <f t="shared" si="15"/>
        <v>118.68279569892474</v>
      </c>
      <c r="H49" s="50">
        <f t="shared" si="15"/>
        <v>17.772849462365592</v>
      </c>
      <c r="I49" s="50">
        <f t="shared" si="15"/>
        <v>11.369623655913978</v>
      </c>
      <c r="J49" s="50">
        <f t="shared" si="15"/>
        <v>4.788978494623656</v>
      </c>
      <c r="K49" s="50">
        <f t="shared" si="15"/>
        <v>7.271505376344086</v>
      </c>
      <c r="L49" s="50">
        <f t="shared" si="15"/>
        <v>185.25940860215053</v>
      </c>
      <c r="M49" s="50">
        <f t="shared" si="15"/>
        <v>565.63709677419354</v>
      </c>
      <c r="N49" s="50">
        <f t="shared" si="15"/>
        <v>806.80241935483866</v>
      </c>
      <c r="O49" s="50">
        <f>O48/8760</f>
        <v>378.61598173515983</v>
      </c>
      <c r="P49" s="50"/>
      <c r="Q49" s="50"/>
    </row>
    <row r="50" spans="1:23" x14ac:dyDescent="0.2">
      <c r="A50" s="14" t="s">
        <v>756</v>
      </c>
      <c r="C50" s="67">
        <f>C40</f>
        <v>0.41026730626213653</v>
      </c>
      <c r="D50" s="67">
        <f>D40</f>
        <v>0.34455853722525875</v>
      </c>
      <c r="E50" s="67">
        <f t="shared" ref="E50:N50" si="16">E40</f>
        <v>0.33203861927698791</v>
      </c>
      <c r="F50" s="67">
        <f t="shared" si="16"/>
        <v>0.43615565408169044</v>
      </c>
      <c r="G50" s="67">
        <f t="shared" si="16"/>
        <v>0.48071961107103811</v>
      </c>
      <c r="H50" s="67">
        <f t="shared" si="16"/>
        <v>0.48361997545006158</v>
      </c>
      <c r="I50" s="67">
        <f t="shared" si="16"/>
        <v>0.5825043458493494</v>
      </c>
      <c r="J50" s="67">
        <f t="shared" si="16"/>
        <v>0.4546290083889068</v>
      </c>
      <c r="K50" s="67">
        <f t="shared" si="16"/>
        <v>0.39883715384461488</v>
      </c>
      <c r="L50" s="67">
        <f t="shared" si="16"/>
        <v>0.53227270670677651</v>
      </c>
      <c r="M50" s="67">
        <f t="shared" si="16"/>
        <v>0.35869169536183337</v>
      </c>
      <c r="N50" s="67">
        <f t="shared" si="16"/>
        <v>0.46396435255369683</v>
      </c>
      <c r="O50" s="67"/>
      <c r="Q50" s="37"/>
    </row>
    <row r="51" spans="1:23" x14ac:dyDescent="0.2">
      <c r="A51" s="14" t="s">
        <v>757</v>
      </c>
      <c r="C51" s="50">
        <f>C49/C50</f>
        <v>2297.2827364357381</v>
      </c>
      <c r="D51" s="50">
        <f t="shared" ref="D51:N51" si="17">D49/D50</f>
        <v>2119.4020336774161</v>
      </c>
      <c r="E51" s="50">
        <f t="shared" si="17"/>
        <v>2205.5707827421074</v>
      </c>
      <c r="F51" s="50">
        <f t="shared" si="17"/>
        <v>768.5798108322615</v>
      </c>
      <c r="G51" s="50">
        <f t="shared" si="17"/>
        <v>246.88569587269541</v>
      </c>
      <c r="H51" s="50">
        <f t="shared" si="17"/>
        <v>36.749618222088536</v>
      </c>
      <c r="I51" s="50">
        <f t="shared" si="17"/>
        <v>19.518521598900577</v>
      </c>
      <c r="J51" s="50">
        <f t="shared" si="17"/>
        <v>10.53381637831386</v>
      </c>
      <c r="K51" s="50">
        <f t="shared" si="17"/>
        <v>18.231765286282808</v>
      </c>
      <c r="L51" s="50">
        <f t="shared" si="17"/>
        <v>348.05355650934774</v>
      </c>
      <c r="M51" s="50">
        <f t="shared" si="17"/>
        <v>1576.9450591924137</v>
      </c>
      <c r="N51" s="50">
        <f t="shared" si="17"/>
        <v>1738.9319134414825</v>
      </c>
      <c r="O51" s="50">
        <f>SUM(C51:N51)</f>
        <v>11386.685310189047</v>
      </c>
      <c r="Q51" s="37">
        <f>MAX(C51:N51)</f>
        <v>2297.2827364357381</v>
      </c>
    </row>
    <row r="52" spans="1:23" x14ac:dyDescent="0.2">
      <c r="A52" s="14" t="s">
        <v>681</v>
      </c>
      <c r="C52" s="67">
        <v>0</v>
      </c>
      <c r="D52" s="67">
        <f>C52</f>
        <v>0</v>
      </c>
      <c r="E52" s="67">
        <f t="shared" ref="E52:N52" si="18">D52</f>
        <v>0</v>
      </c>
      <c r="F52" s="67">
        <f t="shared" si="18"/>
        <v>0</v>
      </c>
      <c r="G52" s="67">
        <f t="shared" si="18"/>
        <v>0</v>
      </c>
      <c r="H52" s="67">
        <f t="shared" si="18"/>
        <v>0</v>
      </c>
      <c r="I52" s="67">
        <f t="shared" si="18"/>
        <v>0</v>
      </c>
      <c r="J52" s="67">
        <f t="shared" si="18"/>
        <v>0</v>
      </c>
      <c r="K52" s="67">
        <f t="shared" si="18"/>
        <v>0</v>
      </c>
      <c r="L52" s="67">
        <f t="shared" si="18"/>
        <v>0</v>
      </c>
      <c r="M52" s="67">
        <f t="shared" si="18"/>
        <v>0</v>
      </c>
      <c r="N52" s="67">
        <f t="shared" si="18"/>
        <v>0</v>
      </c>
      <c r="O52" s="67"/>
      <c r="P52" s="50"/>
      <c r="Q52" s="37"/>
    </row>
    <row r="53" spans="1:23" x14ac:dyDescent="0.2">
      <c r="A53" s="14" t="s">
        <v>682</v>
      </c>
      <c r="C53" s="50">
        <f>C51*C52</f>
        <v>0</v>
      </c>
      <c r="D53" s="50">
        <f t="shared" ref="D53:N53" si="19">D51*D52</f>
        <v>0</v>
      </c>
      <c r="E53" s="50">
        <f t="shared" si="19"/>
        <v>0</v>
      </c>
      <c r="F53" s="50">
        <f t="shared" si="19"/>
        <v>0</v>
      </c>
      <c r="G53" s="50">
        <f t="shared" si="19"/>
        <v>0</v>
      </c>
      <c r="H53" s="50">
        <f t="shared" si="19"/>
        <v>0</v>
      </c>
      <c r="I53" s="50">
        <f t="shared" si="19"/>
        <v>0</v>
      </c>
      <c r="J53" s="50">
        <f t="shared" si="19"/>
        <v>0</v>
      </c>
      <c r="K53" s="50">
        <f t="shared" si="19"/>
        <v>0</v>
      </c>
      <c r="L53" s="50">
        <f t="shared" si="19"/>
        <v>0</v>
      </c>
      <c r="M53" s="50">
        <f t="shared" si="19"/>
        <v>0</v>
      </c>
      <c r="N53" s="50">
        <f t="shared" si="19"/>
        <v>0</v>
      </c>
      <c r="O53" s="50">
        <f>SUM(C53:N53)</f>
        <v>0</v>
      </c>
      <c r="P53" s="50"/>
      <c r="Q53" s="37"/>
      <c r="R53" s="37">
        <f>O53</f>
        <v>0</v>
      </c>
      <c r="S53" s="37">
        <f>H53+I53+J53</f>
        <v>0</v>
      </c>
      <c r="T53" s="37">
        <f>R53-S53</f>
        <v>0</v>
      </c>
    </row>
    <row r="54" spans="1:23" x14ac:dyDescent="0.2">
      <c r="A54" s="14" t="s">
        <v>758</v>
      </c>
      <c r="C54" s="67">
        <v>0.18</v>
      </c>
      <c r="D54" s="67">
        <f>C54</f>
        <v>0.18</v>
      </c>
      <c r="E54" s="67">
        <f t="shared" ref="E54:N54" si="20">D54</f>
        <v>0.18</v>
      </c>
      <c r="F54" s="67">
        <f t="shared" si="20"/>
        <v>0.18</v>
      </c>
      <c r="G54" s="67">
        <f t="shared" si="20"/>
        <v>0.18</v>
      </c>
      <c r="H54" s="67">
        <f t="shared" si="20"/>
        <v>0.18</v>
      </c>
      <c r="I54" s="67">
        <f t="shared" si="20"/>
        <v>0.18</v>
      </c>
      <c r="J54" s="67">
        <f t="shared" si="20"/>
        <v>0.18</v>
      </c>
      <c r="K54" s="67">
        <f t="shared" si="20"/>
        <v>0.18</v>
      </c>
      <c r="L54" s="67">
        <f t="shared" si="20"/>
        <v>0.18</v>
      </c>
      <c r="M54" s="67">
        <f t="shared" si="20"/>
        <v>0.18</v>
      </c>
      <c r="N54" s="67">
        <f t="shared" si="20"/>
        <v>0.18</v>
      </c>
      <c r="O54" s="67"/>
      <c r="P54" s="132"/>
      <c r="Q54" s="132"/>
      <c r="U54" s="124"/>
      <c r="W54" s="124"/>
    </row>
    <row r="55" spans="1:23" x14ac:dyDescent="0.2">
      <c r="A55" s="14" t="s">
        <v>759</v>
      </c>
      <c r="C55" s="50">
        <f>C49/C54</f>
        <v>5236.1111111111113</v>
      </c>
      <c r="D55" s="50">
        <f t="shared" ref="D55:N55" si="21">D49/D54</f>
        <v>4056.989247311828</v>
      </c>
      <c r="E55" s="50">
        <f t="shared" si="21"/>
        <v>4068.5259856630828</v>
      </c>
      <c r="F55" s="50">
        <f t="shared" si="21"/>
        <v>1862.3357228195939</v>
      </c>
      <c r="G55" s="50">
        <f t="shared" si="21"/>
        <v>659.34886499402637</v>
      </c>
      <c r="H55" s="50">
        <f t="shared" si="21"/>
        <v>98.738052568697739</v>
      </c>
      <c r="I55" s="50">
        <f t="shared" si="21"/>
        <v>63.16457586618877</v>
      </c>
      <c r="J55" s="50">
        <f t="shared" si="21"/>
        <v>26.605436081242534</v>
      </c>
      <c r="K55" s="50">
        <f t="shared" si="21"/>
        <v>40.397252090800478</v>
      </c>
      <c r="L55" s="50">
        <f t="shared" si="21"/>
        <v>1029.218936678614</v>
      </c>
      <c r="M55" s="50">
        <f t="shared" si="21"/>
        <v>3142.4283154121863</v>
      </c>
      <c r="N55" s="50">
        <f t="shared" si="21"/>
        <v>4482.235663082437</v>
      </c>
      <c r="O55" s="50">
        <f>SUM(C55:N55)</f>
        <v>24766.099163679814</v>
      </c>
      <c r="P55" s="50">
        <f>MAX(C55:N55)</f>
        <v>5236.1111111111113</v>
      </c>
      <c r="Q55" s="50"/>
    </row>
    <row r="56" spans="1:23" x14ac:dyDescent="0.2"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U56" s="124"/>
      <c r="W56" s="124"/>
    </row>
    <row r="57" spans="1:23" x14ac:dyDescent="0.2">
      <c r="A57" s="15" t="str">
        <f>A10</f>
        <v>Commercial Service &lt; 50 KW</v>
      </c>
      <c r="B57" s="16">
        <f>B10</f>
        <v>20</v>
      </c>
      <c r="C57" s="50">
        <v>3636</v>
      </c>
      <c r="D57" s="50">
        <v>3617</v>
      </c>
      <c r="E57" s="50">
        <v>3615</v>
      </c>
      <c r="F57" s="50">
        <v>3593</v>
      </c>
      <c r="G57" s="50">
        <v>3604</v>
      </c>
      <c r="H57" s="50">
        <v>3616</v>
      </c>
      <c r="I57" s="50">
        <v>3635</v>
      </c>
      <c r="J57" s="50">
        <v>3657</v>
      </c>
      <c r="K57" s="50">
        <v>3643</v>
      </c>
      <c r="L57" s="50">
        <v>3644</v>
      </c>
      <c r="M57" s="50">
        <v>3650</v>
      </c>
      <c r="N57" s="50">
        <v>3629</v>
      </c>
      <c r="O57" s="50">
        <f>ROUND(SUM(C57:N57)/12,0)</f>
        <v>3628</v>
      </c>
      <c r="P57" s="50"/>
      <c r="Q57" s="37"/>
    </row>
    <row r="58" spans="1:23" x14ac:dyDescent="0.2">
      <c r="A58" s="14" t="s">
        <v>679</v>
      </c>
      <c r="C58" s="50">
        <v>5441417</v>
      </c>
      <c r="D58" s="50">
        <v>4665368</v>
      </c>
      <c r="E58" s="50">
        <v>4975707</v>
      </c>
      <c r="F58" s="50">
        <v>4322395</v>
      </c>
      <c r="G58" s="50">
        <v>4595055</v>
      </c>
      <c r="H58" s="50">
        <v>4786444</v>
      </c>
      <c r="I58" s="50">
        <v>5559315</v>
      </c>
      <c r="J58" s="50">
        <v>5453630</v>
      </c>
      <c r="K58" s="50">
        <v>4793837</v>
      </c>
      <c r="L58" s="50">
        <v>4537306</v>
      </c>
      <c r="M58" s="50">
        <v>4783577</v>
      </c>
      <c r="N58" s="50">
        <v>5458452</v>
      </c>
      <c r="O58" s="50">
        <f>SUM(C58:N58)</f>
        <v>59372503</v>
      </c>
      <c r="P58" s="132"/>
      <c r="Q58" s="132"/>
      <c r="U58" s="124"/>
      <c r="W58" s="124"/>
    </row>
    <row r="59" spans="1:23" x14ac:dyDescent="0.2">
      <c r="A59" s="14" t="s">
        <v>680</v>
      </c>
      <c r="C59" s="50">
        <f>C58/744</f>
        <v>7313.7325268817203</v>
      </c>
      <c r="D59" s="48">
        <f>D58/720</f>
        <v>6479.6777777777779</v>
      </c>
      <c r="E59" s="50">
        <f t="shared" ref="E59:N59" si="22">E58/744</f>
        <v>6687.7782258064517</v>
      </c>
      <c r="F59" s="50">
        <f>F58/720</f>
        <v>6003.3263888888887</v>
      </c>
      <c r="G59" s="50">
        <f t="shared" si="22"/>
        <v>6176.1491935483873</v>
      </c>
      <c r="H59" s="48">
        <f>H58/744</f>
        <v>6433.3924731182797</v>
      </c>
      <c r="I59" s="48">
        <f>I58/672</f>
        <v>8272.7901785714294</v>
      </c>
      <c r="J59" s="50">
        <f t="shared" si="22"/>
        <v>7330.1478494623652</v>
      </c>
      <c r="K59" s="50">
        <f>K58/720</f>
        <v>6658.1069444444447</v>
      </c>
      <c r="L59" s="50">
        <f t="shared" si="22"/>
        <v>6098.5295698924729</v>
      </c>
      <c r="M59" s="50">
        <f>M58/720</f>
        <v>6643.8569444444447</v>
      </c>
      <c r="N59" s="50">
        <f t="shared" si="22"/>
        <v>7336.6290322580644</v>
      </c>
      <c r="O59" s="50">
        <f>O58/8760</f>
        <v>6777.68299086758</v>
      </c>
      <c r="P59" s="50"/>
      <c r="Q59" s="50"/>
    </row>
    <row r="60" spans="1:23" x14ac:dyDescent="0.2">
      <c r="A60" s="14" t="s">
        <v>756</v>
      </c>
      <c r="C60" s="67">
        <v>0.6</v>
      </c>
      <c r="D60" s="67">
        <f>C60</f>
        <v>0.6</v>
      </c>
      <c r="E60" s="67">
        <f t="shared" ref="E60:N60" si="23">D60</f>
        <v>0.6</v>
      </c>
      <c r="F60" s="67">
        <f t="shared" si="23"/>
        <v>0.6</v>
      </c>
      <c r="G60" s="67">
        <f t="shared" si="23"/>
        <v>0.6</v>
      </c>
      <c r="H60" s="67">
        <f t="shared" si="23"/>
        <v>0.6</v>
      </c>
      <c r="I60" s="67">
        <f t="shared" si="23"/>
        <v>0.6</v>
      </c>
      <c r="J60" s="67">
        <f t="shared" si="23"/>
        <v>0.6</v>
      </c>
      <c r="K60" s="67">
        <f t="shared" si="23"/>
        <v>0.6</v>
      </c>
      <c r="L60" s="67">
        <f t="shared" si="23"/>
        <v>0.6</v>
      </c>
      <c r="M60" s="67">
        <f t="shared" si="23"/>
        <v>0.6</v>
      </c>
      <c r="N60" s="67">
        <f t="shared" si="23"/>
        <v>0.6</v>
      </c>
      <c r="O60" s="67"/>
      <c r="Q60" s="37"/>
    </row>
    <row r="61" spans="1:23" x14ac:dyDescent="0.2">
      <c r="A61" s="14" t="s">
        <v>757</v>
      </c>
      <c r="C61" s="50">
        <f>C59/C60</f>
        <v>12189.554211469534</v>
      </c>
      <c r="D61" s="50">
        <f t="shared" ref="D61:N61" si="24">D59/D60</f>
        <v>10799.462962962964</v>
      </c>
      <c r="E61" s="50">
        <f t="shared" si="24"/>
        <v>11146.297043010753</v>
      </c>
      <c r="F61" s="50">
        <f t="shared" si="24"/>
        <v>10005.543981481482</v>
      </c>
      <c r="G61" s="50">
        <f t="shared" si="24"/>
        <v>10293.581989247312</v>
      </c>
      <c r="H61" s="50">
        <f t="shared" si="24"/>
        <v>10722.320788530467</v>
      </c>
      <c r="I61" s="50">
        <f t="shared" si="24"/>
        <v>13787.983630952383</v>
      </c>
      <c r="J61" s="50">
        <f t="shared" si="24"/>
        <v>12216.913082437275</v>
      </c>
      <c r="K61" s="50">
        <f t="shared" si="24"/>
        <v>11096.844907407409</v>
      </c>
      <c r="L61" s="50">
        <f t="shared" si="24"/>
        <v>10164.215949820789</v>
      </c>
      <c r="M61" s="50">
        <f t="shared" si="24"/>
        <v>11073.094907407409</v>
      </c>
      <c r="N61" s="50">
        <f t="shared" si="24"/>
        <v>12227.715053763441</v>
      </c>
      <c r="O61" s="50">
        <f>SUM(C61:N61)</f>
        <v>135723.52850849123</v>
      </c>
      <c r="Q61" s="37">
        <f>MAX(C61:N61)</f>
        <v>13787.983630952383</v>
      </c>
    </row>
    <row r="62" spans="1:23" x14ac:dyDescent="0.2">
      <c r="A62" s="14" t="s">
        <v>681</v>
      </c>
      <c r="C62" s="67">
        <v>0.8</v>
      </c>
      <c r="D62" s="67">
        <f>C62</f>
        <v>0.8</v>
      </c>
      <c r="E62" s="67">
        <f t="shared" ref="E62:N62" si="25">D62</f>
        <v>0.8</v>
      </c>
      <c r="F62" s="67">
        <f t="shared" si="25"/>
        <v>0.8</v>
      </c>
      <c r="G62" s="67">
        <f t="shared" si="25"/>
        <v>0.8</v>
      </c>
      <c r="H62" s="67">
        <f t="shared" si="25"/>
        <v>0.8</v>
      </c>
      <c r="I62" s="67">
        <f t="shared" si="25"/>
        <v>0.8</v>
      </c>
      <c r="J62" s="67">
        <f t="shared" si="25"/>
        <v>0.8</v>
      </c>
      <c r="K62" s="67">
        <f t="shared" si="25"/>
        <v>0.8</v>
      </c>
      <c r="L62" s="67">
        <f t="shared" si="25"/>
        <v>0.8</v>
      </c>
      <c r="M62" s="67">
        <f t="shared" si="25"/>
        <v>0.8</v>
      </c>
      <c r="N62" s="67">
        <f t="shared" si="25"/>
        <v>0.8</v>
      </c>
      <c r="O62" s="67"/>
      <c r="P62" s="50"/>
      <c r="Q62" s="37"/>
    </row>
    <row r="63" spans="1:23" x14ac:dyDescent="0.2">
      <c r="A63" s="14" t="s">
        <v>682</v>
      </c>
      <c r="C63" s="50">
        <f>C61*C62</f>
        <v>9751.6433691756283</v>
      </c>
      <c r="D63" s="50">
        <f t="shared" ref="D63:N63" si="26">D61*D62</f>
        <v>8639.5703703703712</v>
      </c>
      <c r="E63" s="50">
        <f t="shared" si="26"/>
        <v>8917.0376344086017</v>
      </c>
      <c r="F63" s="50">
        <f t="shared" si="26"/>
        <v>8004.4351851851861</v>
      </c>
      <c r="G63" s="50">
        <f t="shared" si="26"/>
        <v>8234.8655913978491</v>
      </c>
      <c r="H63" s="50">
        <f t="shared" si="26"/>
        <v>8577.8566308243735</v>
      </c>
      <c r="I63" s="50">
        <f t="shared" si="26"/>
        <v>11030.386904761908</v>
      </c>
      <c r="J63" s="50">
        <f t="shared" si="26"/>
        <v>9773.5304659498197</v>
      </c>
      <c r="K63" s="50">
        <f t="shared" si="26"/>
        <v>8877.4759259259281</v>
      </c>
      <c r="L63" s="50">
        <f t="shared" si="26"/>
        <v>8131.372759856632</v>
      </c>
      <c r="M63" s="50">
        <f t="shared" si="26"/>
        <v>8858.4759259259281</v>
      </c>
      <c r="N63" s="50">
        <f t="shared" si="26"/>
        <v>9782.1720430107525</v>
      </c>
      <c r="O63" s="50">
        <f>SUM(C63:N63)</f>
        <v>108578.82280679299</v>
      </c>
      <c r="P63" s="50"/>
      <c r="Q63" s="37"/>
      <c r="R63" s="37">
        <f>O63</f>
        <v>108578.82280679299</v>
      </c>
      <c r="S63" s="37">
        <f>H63+I63+J63</f>
        <v>29381.774001536105</v>
      </c>
      <c r="T63" s="37">
        <f>R63-S63</f>
        <v>79197.048805256883</v>
      </c>
    </row>
    <row r="64" spans="1:23" x14ac:dyDescent="0.2">
      <c r="A64" s="14" t="s">
        <v>758</v>
      </c>
      <c r="C64" s="67">
        <v>0.23</v>
      </c>
      <c r="D64" s="67">
        <f>C64</f>
        <v>0.23</v>
      </c>
      <c r="E64" s="67">
        <f t="shared" ref="E64:N64" si="27">D64</f>
        <v>0.23</v>
      </c>
      <c r="F64" s="67">
        <f t="shared" si="27"/>
        <v>0.23</v>
      </c>
      <c r="G64" s="67">
        <f t="shared" si="27"/>
        <v>0.23</v>
      </c>
      <c r="H64" s="67">
        <f t="shared" si="27"/>
        <v>0.23</v>
      </c>
      <c r="I64" s="67">
        <f t="shared" si="27"/>
        <v>0.23</v>
      </c>
      <c r="J64" s="67">
        <f t="shared" si="27"/>
        <v>0.23</v>
      </c>
      <c r="K64" s="67">
        <f t="shared" si="27"/>
        <v>0.23</v>
      </c>
      <c r="L64" s="67">
        <f t="shared" si="27"/>
        <v>0.23</v>
      </c>
      <c r="M64" s="67">
        <f t="shared" si="27"/>
        <v>0.23</v>
      </c>
      <c r="N64" s="67">
        <f t="shared" si="27"/>
        <v>0.23</v>
      </c>
      <c r="O64" s="67"/>
      <c r="P64" s="132"/>
      <c r="Q64" s="132"/>
      <c r="U64" s="124"/>
      <c r="W64" s="124"/>
    </row>
    <row r="65" spans="1:23" x14ac:dyDescent="0.2">
      <c r="A65" s="14" t="s">
        <v>759</v>
      </c>
      <c r="C65" s="50">
        <v>8360.4979999999996</v>
      </c>
      <c r="D65" s="50">
        <v>8626.7209999999995</v>
      </c>
      <c r="E65" s="50">
        <v>8226.9629999999997</v>
      </c>
      <c r="F65" s="50">
        <v>8225.4809999999998</v>
      </c>
      <c r="G65" s="50">
        <v>8284.375</v>
      </c>
      <c r="H65" s="50">
        <v>7839.1180000000004</v>
      </c>
      <c r="I65" s="50">
        <v>8098.1090000000004</v>
      </c>
      <c r="J65" s="50">
        <v>8254.09</v>
      </c>
      <c r="K65" s="50">
        <v>8078.2439999999997</v>
      </c>
      <c r="L65" s="50">
        <v>8013.2060000000001</v>
      </c>
      <c r="M65" s="50">
        <v>8171.4719999999998</v>
      </c>
      <c r="N65" s="50">
        <v>8448.8430000000008</v>
      </c>
      <c r="O65" s="50">
        <f>SUM(C65:N65)</f>
        <v>98627.12</v>
      </c>
      <c r="P65" s="50">
        <f>MAX(C65:N65)</f>
        <v>8626.7209999999995</v>
      </c>
      <c r="Q65" s="50"/>
    </row>
    <row r="66" spans="1:23" x14ac:dyDescent="0.2"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37"/>
    </row>
    <row r="67" spans="1:23" x14ac:dyDescent="0.2">
      <c r="A67" s="15" t="str">
        <f>A11</f>
        <v>Commercial Off Peak ETS</v>
      </c>
      <c r="B67" s="16">
        <f>B11</f>
        <v>22</v>
      </c>
      <c r="C67" s="50">
        <v>5</v>
      </c>
      <c r="D67" s="50">
        <v>6</v>
      </c>
      <c r="E67" s="50">
        <v>5</v>
      </c>
      <c r="F67" s="50">
        <v>3</v>
      </c>
      <c r="G67" s="50">
        <v>3</v>
      </c>
      <c r="H67" s="50">
        <v>2</v>
      </c>
      <c r="I67" s="50">
        <v>1</v>
      </c>
      <c r="J67" s="50">
        <v>1</v>
      </c>
      <c r="K67" s="50">
        <v>1</v>
      </c>
      <c r="L67" s="50">
        <v>2</v>
      </c>
      <c r="M67" s="50">
        <v>3</v>
      </c>
      <c r="N67" s="50">
        <v>3</v>
      </c>
      <c r="O67" s="50">
        <f>ROUND(SUM(C67:N67)/12,0)</f>
        <v>3</v>
      </c>
      <c r="P67" s="50"/>
      <c r="Q67" s="37"/>
    </row>
    <row r="68" spans="1:23" x14ac:dyDescent="0.2">
      <c r="A68" s="14" t="s">
        <v>679</v>
      </c>
      <c r="C68" s="50">
        <v>7068</v>
      </c>
      <c r="D68" s="50">
        <v>4044</v>
      </c>
      <c r="E68" s="50">
        <v>4400</v>
      </c>
      <c r="F68" s="50">
        <v>694</v>
      </c>
      <c r="G68" s="50">
        <v>206</v>
      </c>
      <c r="H68" s="50">
        <v>231</v>
      </c>
      <c r="I68" s="50">
        <v>564</v>
      </c>
      <c r="J68" s="50">
        <v>1</v>
      </c>
      <c r="K68" s="50">
        <v>1</v>
      </c>
      <c r="L68" s="50">
        <v>409</v>
      </c>
      <c r="M68" s="50">
        <v>1675</v>
      </c>
      <c r="N68" s="50">
        <v>3857</v>
      </c>
      <c r="O68" s="50">
        <f>SUM(C68:N68)</f>
        <v>23150</v>
      </c>
      <c r="P68" s="132"/>
      <c r="Q68" s="132"/>
      <c r="U68" s="124"/>
      <c r="W68" s="124"/>
    </row>
    <row r="69" spans="1:23" x14ac:dyDescent="0.2">
      <c r="A69" s="14" t="s">
        <v>680</v>
      </c>
      <c r="C69" s="50">
        <f>C68/744</f>
        <v>9.5</v>
      </c>
      <c r="D69" s="50">
        <f t="shared" ref="D69:N69" si="28">D68/744</f>
        <v>5.435483870967742</v>
      </c>
      <c r="E69" s="50">
        <f t="shared" si="28"/>
        <v>5.913978494623656</v>
      </c>
      <c r="F69" s="50">
        <f t="shared" si="28"/>
        <v>0.93279569892473113</v>
      </c>
      <c r="G69" s="50">
        <f t="shared" si="28"/>
        <v>0.2768817204301075</v>
      </c>
      <c r="H69" s="50">
        <f t="shared" si="28"/>
        <v>0.31048387096774194</v>
      </c>
      <c r="I69" s="50">
        <f t="shared" si="28"/>
        <v>0.75806451612903225</v>
      </c>
      <c r="J69" s="50">
        <f t="shared" si="28"/>
        <v>1.3440860215053765E-3</v>
      </c>
      <c r="K69" s="50">
        <f t="shared" si="28"/>
        <v>1.3440860215053765E-3</v>
      </c>
      <c r="L69" s="50">
        <f t="shared" si="28"/>
        <v>0.54973118279569888</v>
      </c>
      <c r="M69" s="50">
        <f t="shared" si="28"/>
        <v>2.2513440860215055</v>
      </c>
      <c r="N69" s="50">
        <f t="shared" si="28"/>
        <v>5.184139784946237</v>
      </c>
      <c r="O69" s="50">
        <f>O68/8760</f>
        <v>2.6426940639269407</v>
      </c>
      <c r="P69" s="50"/>
      <c r="Q69" s="50"/>
    </row>
    <row r="70" spans="1:23" x14ac:dyDescent="0.2">
      <c r="A70" s="14" t="s">
        <v>756</v>
      </c>
      <c r="C70" s="67">
        <f>C60</f>
        <v>0.6</v>
      </c>
      <c r="D70" s="67">
        <f>D60</f>
        <v>0.6</v>
      </c>
      <c r="E70" s="67">
        <f t="shared" ref="E70:N70" si="29">E60</f>
        <v>0.6</v>
      </c>
      <c r="F70" s="67">
        <f t="shared" si="29"/>
        <v>0.6</v>
      </c>
      <c r="G70" s="67">
        <f t="shared" si="29"/>
        <v>0.6</v>
      </c>
      <c r="H70" s="67">
        <f t="shared" si="29"/>
        <v>0.6</v>
      </c>
      <c r="I70" s="67">
        <f t="shared" si="29"/>
        <v>0.6</v>
      </c>
      <c r="J70" s="67">
        <f t="shared" si="29"/>
        <v>0.6</v>
      </c>
      <c r="K70" s="67">
        <f t="shared" si="29"/>
        <v>0.6</v>
      </c>
      <c r="L70" s="67">
        <f t="shared" si="29"/>
        <v>0.6</v>
      </c>
      <c r="M70" s="67">
        <f t="shared" si="29"/>
        <v>0.6</v>
      </c>
      <c r="N70" s="67">
        <f t="shared" si="29"/>
        <v>0.6</v>
      </c>
      <c r="O70" s="67"/>
      <c r="Q70" s="37"/>
    </row>
    <row r="71" spans="1:23" x14ac:dyDescent="0.2">
      <c r="A71" s="14" t="s">
        <v>757</v>
      </c>
      <c r="C71" s="50">
        <f>C69/C70</f>
        <v>15.833333333333334</v>
      </c>
      <c r="D71" s="50">
        <f t="shared" ref="D71:N71" si="30">D69/D70</f>
        <v>9.0591397849462378</v>
      </c>
      <c r="E71" s="50">
        <f t="shared" si="30"/>
        <v>9.8566308243727612</v>
      </c>
      <c r="F71" s="50">
        <f t="shared" si="30"/>
        <v>1.5546594982078852</v>
      </c>
      <c r="G71" s="50">
        <f t="shared" si="30"/>
        <v>0.46146953405017921</v>
      </c>
      <c r="H71" s="50">
        <f t="shared" si="30"/>
        <v>0.51747311827956988</v>
      </c>
      <c r="I71" s="50">
        <f t="shared" si="30"/>
        <v>1.2634408602150538</v>
      </c>
      <c r="J71" s="50">
        <f t="shared" si="30"/>
        <v>2.2401433691756276E-3</v>
      </c>
      <c r="K71" s="50">
        <f t="shared" si="30"/>
        <v>2.2401433691756276E-3</v>
      </c>
      <c r="L71" s="50">
        <f t="shared" si="30"/>
        <v>0.91621863799283154</v>
      </c>
      <c r="M71" s="50">
        <f t="shared" si="30"/>
        <v>3.7522401433691761</v>
      </c>
      <c r="N71" s="50">
        <f t="shared" si="30"/>
        <v>8.6402329749103952</v>
      </c>
      <c r="O71" s="50">
        <f>SUM(C71:N71)</f>
        <v>51.859318996415787</v>
      </c>
      <c r="Q71" s="37">
        <f>MAX(C71:N71)</f>
        <v>15.833333333333334</v>
      </c>
    </row>
    <row r="72" spans="1:23" x14ac:dyDescent="0.2">
      <c r="A72" s="14" t="s">
        <v>681</v>
      </c>
      <c r="C72" s="67">
        <v>0</v>
      </c>
      <c r="D72" s="67">
        <f>C72</f>
        <v>0</v>
      </c>
      <c r="E72" s="67">
        <f t="shared" ref="E72" si="31">D72</f>
        <v>0</v>
      </c>
      <c r="F72" s="67">
        <f t="shared" ref="F72" si="32">E72</f>
        <v>0</v>
      </c>
      <c r="G72" s="67">
        <f t="shared" ref="G72" si="33">F72</f>
        <v>0</v>
      </c>
      <c r="H72" s="67">
        <f t="shared" ref="H72" si="34">G72</f>
        <v>0</v>
      </c>
      <c r="I72" s="67">
        <f t="shared" ref="I72" si="35">H72</f>
        <v>0</v>
      </c>
      <c r="J72" s="67">
        <f t="shared" ref="J72" si="36">I72</f>
        <v>0</v>
      </c>
      <c r="K72" s="67">
        <f t="shared" ref="K72" si="37">J72</f>
        <v>0</v>
      </c>
      <c r="L72" s="67">
        <f t="shared" ref="L72" si="38">K72</f>
        <v>0</v>
      </c>
      <c r="M72" s="67">
        <f t="shared" ref="M72" si="39">L72</f>
        <v>0</v>
      </c>
      <c r="N72" s="67">
        <f t="shared" ref="N72" si="40">M72</f>
        <v>0</v>
      </c>
      <c r="O72" s="67"/>
      <c r="P72" s="50"/>
      <c r="Q72" s="37"/>
    </row>
    <row r="73" spans="1:23" x14ac:dyDescent="0.2">
      <c r="A73" s="14" t="s">
        <v>682</v>
      </c>
      <c r="C73" s="50">
        <f>C71*C72</f>
        <v>0</v>
      </c>
      <c r="D73" s="50">
        <f t="shared" ref="D73:N73" si="41">D71*D72</f>
        <v>0</v>
      </c>
      <c r="E73" s="50">
        <f t="shared" si="41"/>
        <v>0</v>
      </c>
      <c r="F73" s="50">
        <f t="shared" si="41"/>
        <v>0</v>
      </c>
      <c r="G73" s="50">
        <f t="shared" si="41"/>
        <v>0</v>
      </c>
      <c r="H73" s="50">
        <f t="shared" si="41"/>
        <v>0</v>
      </c>
      <c r="I73" s="50">
        <f t="shared" si="41"/>
        <v>0</v>
      </c>
      <c r="J73" s="50">
        <f t="shared" si="41"/>
        <v>0</v>
      </c>
      <c r="K73" s="50">
        <f t="shared" si="41"/>
        <v>0</v>
      </c>
      <c r="L73" s="50">
        <f t="shared" si="41"/>
        <v>0</v>
      </c>
      <c r="M73" s="50">
        <f t="shared" si="41"/>
        <v>0</v>
      </c>
      <c r="N73" s="50">
        <f t="shared" si="41"/>
        <v>0</v>
      </c>
      <c r="O73" s="50">
        <f>SUM(C73:N73)</f>
        <v>0</v>
      </c>
      <c r="P73" s="50"/>
      <c r="Q73" s="37"/>
      <c r="R73" s="37">
        <f>O73</f>
        <v>0</v>
      </c>
      <c r="S73" s="37">
        <f>H73+I73+J73</f>
        <v>0</v>
      </c>
      <c r="T73" s="37">
        <f>R73-S73</f>
        <v>0</v>
      </c>
    </row>
    <row r="74" spans="1:23" x14ac:dyDescent="0.2">
      <c r="A74" s="14" t="s">
        <v>758</v>
      </c>
      <c r="C74" s="67">
        <f>C64</f>
        <v>0.23</v>
      </c>
      <c r="D74" s="67">
        <f t="shared" ref="D74:N74" si="42">D64</f>
        <v>0.23</v>
      </c>
      <c r="E74" s="67">
        <f t="shared" si="42"/>
        <v>0.23</v>
      </c>
      <c r="F74" s="67">
        <f t="shared" si="42"/>
        <v>0.23</v>
      </c>
      <c r="G74" s="67">
        <f t="shared" si="42"/>
        <v>0.23</v>
      </c>
      <c r="H74" s="67">
        <f t="shared" si="42"/>
        <v>0.23</v>
      </c>
      <c r="I74" s="67">
        <f t="shared" si="42"/>
        <v>0.23</v>
      </c>
      <c r="J74" s="67">
        <f t="shared" si="42"/>
        <v>0.23</v>
      </c>
      <c r="K74" s="67">
        <f t="shared" si="42"/>
        <v>0.23</v>
      </c>
      <c r="L74" s="67">
        <f t="shared" si="42"/>
        <v>0.23</v>
      </c>
      <c r="M74" s="67">
        <f t="shared" si="42"/>
        <v>0.23</v>
      </c>
      <c r="N74" s="67">
        <f t="shared" si="42"/>
        <v>0.23</v>
      </c>
      <c r="O74" s="67"/>
      <c r="P74" s="132"/>
      <c r="Q74" s="132"/>
      <c r="U74" s="124"/>
      <c r="W74" s="124"/>
    </row>
    <row r="75" spans="1:23" x14ac:dyDescent="0.2">
      <c r="A75" s="14" t="s">
        <v>759</v>
      </c>
      <c r="C75" s="50">
        <f>C69/C74</f>
        <v>41.304347826086953</v>
      </c>
      <c r="D75" s="50">
        <f t="shared" ref="D75:N75" si="43">D69/D74</f>
        <v>23.632538569424963</v>
      </c>
      <c r="E75" s="50">
        <f t="shared" si="43"/>
        <v>25.712949976624589</v>
      </c>
      <c r="F75" s="50">
        <f t="shared" si="43"/>
        <v>4.0556334735857877</v>
      </c>
      <c r="G75" s="50">
        <f t="shared" si="43"/>
        <v>1.2038335670874238</v>
      </c>
      <c r="H75" s="50">
        <f t="shared" si="43"/>
        <v>1.3499298737727909</v>
      </c>
      <c r="I75" s="50">
        <f t="shared" si="43"/>
        <v>3.2959326788218792</v>
      </c>
      <c r="J75" s="50">
        <f t="shared" si="43"/>
        <v>5.8438522674146799E-3</v>
      </c>
      <c r="K75" s="50">
        <f t="shared" si="43"/>
        <v>5.8438522674146799E-3</v>
      </c>
      <c r="L75" s="50">
        <f t="shared" si="43"/>
        <v>2.3901355773726038</v>
      </c>
      <c r="M75" s="50">
        <f t="shared" si="43"/>
        <v>9.7884525479195883</v>
      </c>
      <c r="N75" s="50">
        <f t="shared" si="43"/>
        <v>22.539738195418419</v>
      </c>
      <c r="O75" s="50">
        <f>SUM(C75:N75)</f>
        <v>135.28517999064985</v>
      </c>
      <c r="P75" s="50">
        <f>MAX(C75:N75)</f>
        <v>41.304347826086953</v>
      </c>
      <c r="Q75" s="50"/>
    </row>
    <row r="76" spans="1:23" x14ac:dyDescent="0.2">
      <c r="H76" s="231"/>
    </row>
    <row r="77" spans="1:23" x14ac:dyDescent="0.2">
      <c r="A77" s="15" t="str">
        <f>A12</f>
        <v>Large Power Loads 50 KW and Over</v>
      </c>
      <c r="B77" s="16">
        <f>B12</f>
        <v>40</v>
      </c>
      <c r="C77" s="50">
        <v>157</v>
      </c>
      <c r="D77" s="50">
        <v>154</v>
      </c>
      <c r="E77" s="50">
        <v>154</v>
      </c>
      <c r="F77" s="50">
        <v>157</v>
      </c>
      <c r="G77" s="50">
        <v>155</v>
      </c>
      <c r="H77" s="50">
        <v>156</v>
      </c>
      <c r="I77" s="50">
        <v>157</v>
      </c>
      <c r="J77" s="50">
        <v>157</v>
      </c>
      <c r="K77" s="50">
        <v>159</v>
      </c>
      <c r="L77" s="50">
        <v>148</v>
      </c>
      <c r="M77" s="50">
        <v>149</v>
      </c>
      <c r="N77" s="50">
        <v>149</v>
      </c>
      <c r="O77" s="50">
        <f>ROUND(SUM(C77:N77)/12,0)</f>
        <v>154</v>
      </c>
      <c r="P77" s="50"/>
      <c r="Q77" s="37"/>
    </row>
    <row r="78" spans="1:23" x14ac:dyDescent="0.2">
      <c r="A78" s="14" t="s">
        <v>679</v>
      </c>
      <c r="C78" s="50">
        <v>6693495</v>
      </c>
      <c r="D78" s="50">
        <v>6045956</v>
      </c>
      <c r="E78" s="50">
        <v>6305272</v>
      </c>
      <c r="F78" s="50">
        <v>5967402</v>
      </c>
      <c r="G78" s="50">
        <v>6302169</v>
      </c>
      <c r="H78" s="50">
        <v>6336488</v>
      </c>
      <c r="I78" s="50">
        <v>6942811</v>
      </c>
      <c r="J78" s="50">
        <v>6880604</v>
      </c>
      <c r="K78" s="50">
        <v>6128773</v>
      </c>
      <c r="L78" s="50">
        <v>5756903</v>
      </c>
      <c r="M78" s="50">
        <v>5540378</v>
      </c>
      <c r="N78" s="50">
        <v>6001409</v>
      </c>
      <c r="O78" s="50">
        <f>SUM(C78:N78)</f>
        <v>74901660</v>
      </c>
      <c r="P78" s="132"/>
      <c r="Q78" s="132"/>
      <c r="U78" s="124"/>
      <c r="W78" s="124"/>
    </row>
    <row r="79" spans="1:23" x14ac:dyDescent="0.2">
      <c r="A79" s="14" t="s">
        <v>680</v>
      </c>
      <c r="C79" s="50">
        <f>C78/744</f>
        <v>8996.6330645161288</v>
      </c>
      <c r="D79" s="48">
        <f>D78/720</f>
        <v>8397.1611111111106</v>
      </c>
      <c r="E79" s="50">
        <f t="shared" ref="E79:N79" si="44">E78/744</f>
        <v>8474.8279569892475</v>
      </c>
      <c r="F79" s="50">
        <f>F78/720</f>
        <v>8288.0583333333325</v>
      </c>
      <c r="G79" s="50">
        <f t="shared" si="44"/>
        <v>8470.657258064517</v>
      </c>
      <c r="H79" s="50">
        <f>H78/744</f>
        <v>8516.7849462365593</v>
      </c>
      <c r="I79" s="50">
        <f>I78/672</f>
        <v>10331.563988095239</v>
      </c>
      <c r="J79" s="50">
        <f t="shared" si="44"/>
        <v>9248.1236559139779</v>
      </c>
      <c r="K79" s="50">
        <f>K78/720</f>
        <v>8512.1847222222223</v>
      </c>
      <c r="L79" s="50">
        <f t="shared" si="44"/>
        <v>7737.7728494623652</v>
      </c>
      <c r="M79" s="50">
        <f>M78/720</f>
        <v>7694.9694444444449</v>
      </c>
      <c r="N79" s="50">
        <f t="shared" si="44"/>
        <v>8066.4099462365593</v>
      </c>
      <c r="O79" s="50">
        <f>O78/8760</f>
        <v>8550.4178082191775</v>
      </c>
      <c r="P79" s="50"/>
      <c r="Q79" s="50"/>
    </row>
    <row r="80" spans="1:23" x14ac:dyDescent="0.2">
      <c r="A80" s="14" t="s">
        <v>756</v>
      </c>
      <c r="C80" s="67">
        <v>0.6</v>
      </c>
      <c r="D80" s="67">
        <f>C80</f>
        <v>0.6</v>
      </c>
      <c r="E80" s="67">
        <f t="shared" ref="E80:N80" si="45">D80</f>
        <v>0.6</v>
      </c>
      <c r="F80" s="67">
        <f t="shared" si="45"/>
        <v>0.6</v>
      </c>
      <c r="G80" s="67">
        <f t="shared" si="45"/>
        <v>0.6</v>
      </c>
      <c r="H80" s="67">
        <f t="shared" si="45"/>
        <v>0.6</v>
      </c>
      <c r="I80" s="67">
        <f t="shared" si="45"/>
        <v>0.6</v>
      </c>
      <c r="J80" s="67">
        <f t="shared" si="45"/>
        <v>0.6</v>
      </c>
      <c r="K80" s="67">
        <f t="shared" si="45"/>
        <v>0.6</v>
      </c>
      <c r="L80" s="67">
        <f t="shared" si="45"/>
        <v>0.6</v>
      </c>
      <c r="M80" s="67">
        <f t="shared" si="45"/>
        <v>0.6</v>
      </c>
      <c r="N80" s="67">
        <f t="shared" si="45"/>
        <v>0.6</v>
      </c>
      <c r="O80" s="67"/>
      <c r="Q80" s="37"/>
    </row>
    <row r="81" spans="1:23" x14ac:dyDescent="0.2">
      <c r="A81" s="14" t="s">
        <v>757</v>
      </c>
      <c r="C81" s="50">
        <f>C79/C80</f>
        <v>14994.388440860215</v>
      </c>
      <c r="D81" s="50">
        <f t="shared" ref="D81:N81" si="46">D79/D80</f>
        <v>13995.268518518518</v>
      </c>
      <c r="E81" s="50">
        <f t="shared" si="46"/>
        <v>14124.713261648747</v>
      </c>
      <c r="F81" s="50">
        <f t="shared" si="46"/>
        <v>13813.430555555555</v>
      </c>
      <c r="G81" s="50">
        <f t="shared" si="46"/>
        <v>14117.762096774195</v>
      </c>
      <c r="H81" s="50">
        <f t="shared" si="46"/>
        <v>14194.641577060933</v>
      </c>
      <c r="I81" s="50">
        <f t="shared" si="46"/>
        <v>17219.273313492064</v>
      </c>
      <c r="J81" s="50">
        <f t="shared" si="46"/>
        <v>15413.539426523297</v>
      </c>
      <c r="K81" s="50">
        <f t="shared" si="46"/>
        <v>14186.974537037038</v>
      </c>
      <c r="L81" s="50">
        <f t="shared" si="46"/>
        <v>12896.288082437275</v>
      </c>
      <c r="M81" s="50">
        <f t="shared" si="46"/>
        <v>12824.949074074075</v>
      </c>
      <c r="N81" s="50">
        <f t="shared" si="46"/>
        <v>13444.016577060933</v>
      </c>
      <c r="O81" s="50">
        <f>SUM(C81:N81)</f>
        <v>171225.24546104285</v>
      </c>
      <c r="Q81" s="37">
        <f>MAX(C81:N81)</f>
        <v>17219.273313492064</v>
      </c>
    </row>
    <row r="82" spans="1:23" x14ac:dyDescent="0.2">
      <c r="A82" s="14" t="s">
        <v>681</v>
      </c>
      <c r="C82" s="67">
        <v>0.8</v>
      </c>
      <c r="D82" s="67">
        <f>C82</f>
        <v>0.8</v>
      </c>
      <c r="E82" s="67">
        <f t="shared" ref="E82:N82" si="47">D82</f>
        <v>0.8</v>
      </c>
      <c r="F82" s="67">
        <f t="shared" si="47"/>
        <v>0.8</v>
      </c>
      <c r="G82" s="67">
        <f t="shared" si="47"/>
        <v>0.8</v>
      </c>
      <c r="H82" s="67">
        <f t="shared" si="47"/>
        <v>0.8</v>
      </c>
      <c r="I82" s="67">
        <f t="shared" si="47"/>
        <v>0.8</v>
      </c>
      <c r="J82" s="67">
        <f t="shared" si="47"/>
        <v>0.8</v>
      </c>
      <c r="K82" s="67">
        <f t="shared" si="47"/>
        <v>0.8</v>
      </c>
      <c r="L82" s="67">
        <f t="shared" si="47"/>
        <v>0.8</v>
      </c>
      <c r="M82" s="67">
        <f t="shared" si="47"/>
        <v>0.8</v>
      </c>
      <c r="N82" s="67">
        <f t="shared" si="47"/>
        <v>0.8</v>
      </c>
      <c r="O82" s="67"/>
      <c r="P82" s="50"/>
      <c r="Q82" s="37"/>
    </row>
    <row r="83" spans="1:23" x14ac:dyDescent="0.2">
      <c r="A83" s="14" t="s">
        <v>682</v>
      </c>
      <c r="C83" s="50">
        <f>C81*C82</f>
        <v>11995.510752688173</v>
      </c>
      <c r="D83" s="50">
        <f t="shared" ref="D83:N83" si="48">D81*D82</f>
        <v>11196.214814814815</v>
      </c>
      <c r="E83" s="50">
        <f t="shared" si="48"/>
        <v>11299.770609318999</v>
      </c>
      <c r="F83" s="50">
        <f t="shared" si="48"/>
        <v>11050.744444444445</v>
      </c>
      <c r="G83" s="50">
        <f t="shared" si="48"/>
        <v>11294.209677419356</v>
      </c>
      <c r="H83" s="50">
        <f t="shared" si="48"/>
        <v>11355.713261648747</v>
      </c>
      <c r="I83" s="50">
        <f t="shared" si="48"/>
        <v>13775.418650793652</v>
      </c>
      <c r="J83" s="50">
        <f t="shared" si="48"/>
        <v>12330.831541218638</v>
      </c>
      <c r="K83" s="50">
        <f t="shared" si="48"/>
        <v>11349.579629629632</v>
      </c>
      <c r="L83" s="50">
        <f t="shared" si="48"/>
        <v>10317.030465949822</v>
      </c>
      <c r="M83" s="50">
        <f t="shared" si="48"/>
        <v>10259.95925925926</v>
      </c>
      <c r="N83" s="50">
        <f t="shared" si="48"/>
        <v>10755.213261648747</v>
      </c>
      <c r="O83" s="50">
        <f>SUM(C83:N83)</f>
        <v>136980.19636883429</v>
      </c>
      <c r="P83" s="50"/>
      <c r="Q83" s="37"/>
      <c r="R83" s="37">
        <f>O83</f>
        <v>136980.19636883429</v>
      </c>
      <c r="S83" s="37">
        <f>H83+I83+J83</f>
        <v>37461.963453661039</v>
      </c>
      <c r="T83" s="37">
        <f>R83-S83</f>
        <v>99518.232915173256</v>
      </c>
    </row>
    <row r="84" spans="1:23" x14ac:dyDescent="0.2">
      <c r="A84" s="14" t="s">
        <v>758</v>
      </c>
      <c r="C84" s="67">
        <f t="shared" ref="C84:N84" si="49">C79/C85</f>
        <v>0.45323088486227348</v>
      </c>
      <c r="D84" s="67">
        <f t="shared" si="49"/>
        <v>0.42273263749049089</v>
      </c>
      <c r="E84" s="67">
        <f t="shared" si="49"/>
        <v>0.42169617141808469</v>
      </c>
      <c r="F84" s="67">
        <f t="shared" si="49"/>
        <v>0.42881096509381894</v>
      </c>
      <c r="G84" s="67">
        <f t="shared" si="49"/>
        <v>0.43873503175348405</v>
      </c>
      <c r="H84" s="67">
        <f t="shared" si="49"/>
        <v>0.44634898308456367</v>
      </c>
      <c r="I84" s="67">
        <f t="shared" si="49"/>
        <v>0.51126108412981186</v>
      </c>
      <c r="J84" s="67">
        <f t="shared" si="49"/>
        <v>0.46208272488827712</v>
      </c>
      <c r="K84" s="67">
        <f t="shared" si="49"/>
        <v>0.44515138177085151</v>
      </c>
      <c r="L84" s="67">
        <f t="shared" si="49"/>
        <v>0.4244992785529057</v>
      </c>
      <c r="M84" s="67">
        <f t="shared" si="49"/>
        <v>0.41614674406167568</v>
      </c>
      <c r="N84" s="67">
        <f t="shared" si="49"/>
        <v>0.41803534132652154</v>
      </c>
      <c r="O84" s="67"/>
      <c r="P84" s="132"/>
      <c r="Q84" s="132"/>
      <c r="U84" s="124"/>
      <c r="W84" s="124"/>
    </row>
    <row r="85" spans="1:23" x14ac:dyDescent="0.2">
      <c r="A85" s="14" t="s">
        <v>759</v>
      </c>
      <c r="C85" s="50">
        <v>19850</v>
      </c>
      <c r="D85" s="50">
        <v>19864</v>
      </c>
      <c r="E85" s="50">
        <v>20097</v>
      </c>
      <c r="F85" s="50">
        <v>19328</v>
      </c>
      <c r="G85" s="50">
        <v>19307</v>
      </c>
      <c r="H85" s="50">
        <v>19081</v>
      </c>
      <c r="I85" s="50">
        <v>20208</v>
      </c>
      <c r="J85" s="50">
        <v>20014</v>
      </c>
      <c r="K85" s="50">
        <v>19122</v>
      </c>
      <c r="L85" s="50">
        <v>18228</v>
      </c>
      <c r="M85" s="50">
        <v>18491</v>
      </c>
      <c r="N85" s="50">
        <v>19296</v>
      </c>
      <c r="O85" s="50">
        <f>SUM(C85:N85)</f>
        <v>232886</v>
      </c>
      <c r="P85" s="50">
        <f>MAX(C85:N85)</f>
        <v>20208</v>
      </c>
      <c r="Q85" s="50"/>
    </row>
    <row r="86" spans="1:23" x14ac:dyDescent="0.2">
      <c r="H86" s="231"/>
    </row>
    <row r="87" spans="1:23" x14ac:dyDescent="0.2">
      <c r="A87" s="15" t="str">
        <f>A13</f>
        <v>Large Power Rate 500 KW and Over</v>
      </c>
      <c r="B87" s="16">
        <f>B13</f>
        <v>46</v>
      </c>
      <c r="C87" s="50">
        <v>6</v>
      </c>
      <c r="D87" s="50">
        <v>6</v>
      </c>
      <c r="E87" s="50">
        <v>6</v>
      </c>
      <c r="F87" s="50">
        <v>6</v>
      </c>
      <c r="G87" s="50">
        <v>8</v>
      </c>
      <c r="H87" s="50">
        <v>8</v>
      </c>
      <c r="I87" s="50">
        <v>8</v>
      </c>
      <c r="J87" s="50">
        <v>8</v>
      </c>
      <c r="K87" s="50">
        <v>9</v>
      </c>
      <c r="L87" s="50">
        <v>9</v>
      </c>
      <c r="M87" s="50">
        <v>9</v>
      </c>
      <c r="N87" s="50">
        <v>9</v>
      </c>
      <c r="O87" s="50">
        <f>ROUND(SUM(C87:N87)/12,0)</f>
        <v>8</v>
      </c>
      <c r="P87" s="50"/>
      <c r="Q87" s="37"/>
    </row>
    <row r="88" spans="1:23" x14ac:dyDescent="0.2">
      <c r="A88" s="14" t="s">
        <v>679</v>
      </c>
      <c r="C88" s="50">
        <v>4630118</v>
      </c>
      <c r="D88" s="50">
        <v>4799058</v>
      </c>
      <c r="E88" s="50">
        <v>6783998</v>
      </c>
      <c r="F88" s="50">
        <v>6753598</v>
      </c>
      <c r="G88" s="50">
        <v>7922878</v>
      </c>
      <c r="H88" s="50">
        <v>8034478</v>
      </c>
      <c r="I88" s="50">
        <v>8546558</v>
      </c>
      <c r="J88" s="50">
        <v>8587278</v>
      </c>
      <c r="K88" s="50">
        <v>9870798</v>
      </c>
      <c r="L88" s="50">
        <v>10950118</v>
      </c>
      <c r="M88" s="50">
        <v>10267378</v>
      </c>
      <c r="N88" s="50">
        <v>10634298</v>
      </c>
      <c r="O88" s="50">
        <f>SUM(C88:N88)</f>
        <v>97780556</v>
      </c>
      <c r="P88" s="132"/>
      <c r="Q88" s="132"/>
      <c r="U88" s="124"/>
      <c r="W88" s="124"/>
    </row>
    <row r="89" spans="1:23" x14ac:dyDescent="0.2">
      <c r="A89" s="14" t="s">
        <v>680</v>
      </c>
      <c r="C89" s="50">
        <f>C88/744</f>
        <v>6223.2768817204305</v>
      </c>
      <c r="D89" s="48">
        <f>D88/720</f>
        <v>6665.3583333333336</v>
      </c>
      <c r="E89" s="50">
        <f t="shared" ref="E89:N89" si="50">E88/744</f>
        <v>9118.2768817204305</v>
      </c>
      <c r="F89" s="50">
        <f>F88/720</f>
        <v>9379.9972222222223</v>
      </c>
      <c r="G89" s="50">
        <f t="shared" si="50"/>
        <v>10649.029569892473</v>
      </c>
      <c r="H89" s="48">
        <f>H88/744</f>
        <v>10799.029569892473</v>
      </c>
      <c r="I89" s="48">
        <f>I88/672</f>
        <v>12718.092261904761</v>
      </c>
      <c r="J89" s="50">
        <f t="shared" si="50"/>
        <v>11542.040322580646</v>
      </c>
      <c r="K89" s="50">
        <f>K88/720</f>
        <v>13709.441666666668</v>
      </c>
      <c r="L89" s="50">
        <f t="shared" si="50"/>
        <v>14717.900537634408</v>
      </c>
      <c r="M89" s="50">
        <f>M88/720</f>
        <v>14260.247222222222</v>
      </c>
      <c r="N89" s="50">
        <f t="shared" si="50"/>
        <v>14293.411290322581</v>
      </c>
      <c r="O89" s="50">
        <f>O88/8760</f>
        <v>11162.163926940639</v>
      </c>
      <c r="P89" s="50"/>
      <c r="Q89" s="50"/>
    </row>
    <row r="90" spans="1:23" x14ac:dyDescent="0.2">
      <c r="A90" s="14" t="s">
        <v>756</v>
      </c>
      <c r="C90" s="67">
        <v>0.6</v>
      </c>
      <c r="D90" s="67">
        <f>C90</f>
        <v>0.6</v>
      </c>
      <c r="E90" s="67">
        <f t="shared" ref="E90:N90" si="51">D90</f>
        <v>0.6</v>
      </c>
      <c r="F90" s="67">
        <f t="shared" si="51"/>
        <v>0.6</v>
      </c>
      <c r="G90" s="67">
        <f t="shared" si="51"/>
        <v>0.6</v>
      </c>
      <c r="H90" s="67">
        <f t="shared" si="51"/>
        <v>0.6</v>
      </c>
      <c r="I90" s="67">
        <f t="shared" si="51"/>
        <v>0.6</v>
      </c>
      <c r="J90" s="67">
        <f t="shared" si="51"/>
        <v>0.6</v>
      </c>
      <c r="K90" s="67">
        <f t="shared" si="51"/>
        <v>0.6</v>
      </c>
      <c r="L90" s="67">
        <f t="shared" si="51"/>
        <v>0.6</v>
      </c>
      <c r="M90" s="67">
        <f t="shared" si="51"/>
        <v>0.6</v>
      </c>
      <c r="N90" s="67">
        <f t="shared" si="51"/>
        <v>0.6</v>
      </c>
      <c r="O90" s="67"/>
      <c r="Q90" s="37"/>
    </row>
    <row r="91" spans="1:23" x14ac:dyDescent="0.2">
      <c r="A91" s="14" t="s">
        <v>757</v>
      </c>
      <c r="C91" s="50">
        <f>C89/C90</f>
        <v>10372.128136200718</v>
      </c>
      <c r="D91" s="50">
        <f t="shared" ref="D91" si="52">D89/D90</f>
        <v>11108.930555555557</v>
      </c>
      <c r="E91" s="50">
        <f t="shared" ref="E91" si="53">E89/E90</f>
        <v>15197.128136200718</v>
      </c>
      <c r="F91" s="50">
        <f t="shared" ref="F91" si="54">F89/F90</f>
        <v>15633.328703703704</v>
      </c>
      <c r="G91" s="50">
        <f t="shared" ref="G91" si="55">G89/G90</f>
        <v>17748.382616487455</v>
      </c>
      <c r="H91" s="50">
        <f t="shared" ref="H91" si="56">H89/H90</f>
        <v>17998.382616487455</v>
      </c>
      <c r="I91" s="50">
        <f t="shared" ref="I91" si="57">I89/I90</f>
        <v>21196.820436507936</v>
      </c>
      <c r="J91" s="50">
        <f t="shared" ref="J91" si="58">J89/J90</f>
        <v>19236.733870967742</v>
      </c>
      <c r="K91" s="50">
        <f t="shared" ref="K91" si="59">K89/K90</f>
        <v>22849.069444444445</v>
      </c>
      <c r="L91" s="50">
        <f t="shared" ref="L91" si="60">L89/L90</f>
        <v>24529.834229390683</v>
      </c>
      <c r="M91" s="50">
        <f t="shared" ref="M91" si="61">M89/M90</f>
        <v>23767.078703703704</v>
      </c>
      <c r="N91" s="50">
        <f t="shared" ref="N91" si="62">N89/N90</f>
        <v>23822.352150537637</v>
      </c>
      <c r="O91" s="50">
        <f>SUM(C91:N91)</f>
        <v>223460.16960018774</v>
      </c>
      <c r="Q91" s="37">
        <f>MAX(C91:N91)</f>
        <v>24529.834229390683</v>
      </c>
    </row>
    <row r="92" spans="1:23" x14ac:dyDescent="0.2">
      <c r="A92" s="14" t="s">
        <v>681</v>
      </c>
      <c r="C92" s="67">
        <v>0.8</v>
      </c>
      <c r="D92" s="67">
        <f>C92</f>
        <v>0.8</v>
      </c>
      <c r="E92" s="67">
        <f t="shared" ref="E92:N92" si="63">D92</f>
        <v>0.8</v>
      </c>
      <c r="F92" s="67">
        <f t="shared" si="63"/>
        <v>0.8</v>
      </c>
      <c r="G92" s="67">
        <f t="shared" si="63"/>
        <v>0.8</v>
      </c>
      <c r="H92" s="67">
        <f t="shared" si="63"/>
        <v>0.8</v>
      </c>
      <c r="I92" s="67">
        <f t="shared" si="63"/>
        <v>0.8</v>
      </c>
      <c r="J92" s="67">
        <f t="shared" si="63"/>
        <v>0.8</v>
      </c>
      <c r="K92" s="67">
        <f t="shared" si="63"/>
        <v>0.8</v>
      </c>
      <c r="L92" s="67">
        <f t="shared" si="63"/>
        <v>0.8</v>
      </c>
      <c r="M92" s="67">
        <f t="shared" si="63"/>
        <v>0.8</v>
      </c>
      <c r="N92" s="67">
        <f t="shared" si="63"/>
        <v>0.8</v>
      </c>
      <c r="O92" s="67"/>
      <c r="P92" s="50"/>
      <c r="Q92" s="37"/>
    </row>
    <row r="93" spans="1:23" x14ac:dyDescent="0.2">
      <c r="A93" s="14" t="s">
        <v>682</v>
      </c>
      <c r="C93" s="50">
        <f>C91*C92</f>
        <v>8297.7025089605741</v>
      </c>
      <c r="D93" s="50">
        <f t="shared" ref="D93" si="64">D91*D92</f>
        <v>8887.144444444446</v>
      </c>
      <c r="E93" s="50">
        <f t="shared" ref="E93" si="65">E91*E92</f>
        <v>12157.702508960574</v>
      </c>
      <c r="F93" s="50">
        <f t="shared" ref="F93" si="66">F91*F92</f>
        <v>12506.662962962964</v>
      </c>
      <c r="G93" s="50">
        <f t="shared" ref="G93" si="67">G91*G92</f>
        <v>14198.706093189965</v>
      </c>
      <c r="H93" s="50">
        <f t="shared" ref="H93" si="68">H91*H92</f>
        <v>14398.706093189965</v>
      </c>
      <c r="I93" s="50">
        <f t="shared" ref="I93" si="69">I91*I92</f>
        <v>16957.45634920635</v>
      </c>
      <c r="J93" s="50">
        <f t="shared" ref="J93" si="70">J91*J92</f>
        <v>15389.387096774195</v>
      </c>
      <c r="K93" s="50">
        <f t="shared" ref="K93" si="71">K91*K92</f>
        <v>18279.255555555555</v>
      </c>
      <c r="L93" s="50">
        <f t="shared" ref="L93" si="72">L91*L92</f>
        <v>19623.867383512548</v>
      </c>
      <c r="M93" s="50">
        <f t="shared" ref="M93" si="73">M91*M92</f>
        <v>19013.662962962964</v>
      </c>
      <c r="N93" s="50">
        <f t="shared" ref="N93" si="74">N91*N92</f>
        <v>19057.881720430112</v>
      </c>
      <c r="O93" s="50">
        <f>SUM(C93:N93)</f>
        <v>178768.13568015018</v>
      </c>
      <c r="P93" s="50"/>
      <c r="Q93" s="37"/>
      <c r="R93" s="37">
        <f>O93</f>
        <v>178768.13568015018</v>
      </c>
      <c r="S93" s="37">
        <f>H93+I93+J93</f>
        <v>46745.549539170512</v>
      </c>
      <c r="T93" s="37">
        <f>R93-S93</f>
        <v>132022.58614097966</v>
      </c>
    </row>
    <row r="94" spans="1:23" x14ac:dyDescent="0.2">
      <c r="A94" s="14" t="s">
        <v>758</v>
      </c>
      <c r="C94" s="67">
        <f t="shared" ref="C94:N94" si="75">C89/C95</f>
        <v>0.85308798926942164</v>
      </c>
      <c r="D94" s="67">
        <f t="shared" si="75"/>
        <v>0.69185782990796485</v>
      </c>
      <c r="E94" s="67">
        <f t="shared" si="75"/>
        <v>0.84781746924411261</v>
      </c>
      <c r="F94" s="67">
        <f t="shared" si="75"/>
        <v>0.86276648475186002</v>
      </c>
      <c r="G94" s="67">
        <f t="shared" si="75"/>
        <v>0.8626188391974462</v>
      </c>
      <c r="H94" s="67">
        <f t="shared" si="75"/>
        <v>0.79732941301627824</v>
      </c>
      <c r="I94" s="67">
        <f t="shared" si="75"/>
        <v>0.91162585204678959</v>
      </c>
      <c r="J94" s="67">
        <f t="shared" si="75"/>
        <v>0.8677573357327002</v>
      </c>
      <c r="K94" s="67">
        <f t="shared" si="75"/>
        <v>0.84783189033189044</v>
      </c>
      <c r="L94" s="67">
        <f t="shared" si="75"/>
        <v>0.89497722940920699</v>
      </c>
      <c r="M94" s="67">
        <f t="shared" si="75"/>
        <v>0.92090715028880998</v>
      </c>
      <c r="N94" s="67">
        <f t="shared" si="75"/>
        <v>0.59573255909317635</v>
      </c>
      <c r="O94" s="67"/>
      <c r="P94" s="132"/>
      <c r="Q94" s="132"/>
      <c r="U94" s="124"/>
      <c r="W94" s="124"/>
    </row>
    <row r="95" spans="1:23" x14ac:dyDescent="0.2">
      <c r="A95" s="14" t="s">
        <v>759</v>
      </c>
      <c r="C95" s="50">
        <v>7295</v>
      </c>
      <c r="D95" s="50">
        <v>9634</v>
      </c>
      <c r="E95" s="50">
        <v>10755</v>
      </c>
      <c r="F95" s="50">
        <v>10872</v>
      </c>
      <c r="G95" s="50">
        <v>12345</v>
      </c>
      <c r="H95" s="50">
        <v>13544</v>
      </c>
      <c r="I95" s="50">
        <v>13951</v>
      </c>
      <c r="J95" s="50">
        <v>13301</v>
      </c>
      <c r="K95" s="50">
        <v>16170</v>
      </c>
      <c r="L95" s="50">
        <v>16445</v>
      </c>
      <c r="M95" s="50">
        <v>15485</v>
      </c>
      <c r="N95" s="50">
        <v>23993</v>
      </c>
      <c r="O95" s="50">
        <f>SUM(C95:N95)</f>
        <v>163790</v>
      </c>
      <c r="P95" s="50">
        <f>MAX(C95:N95)</f>
        <v>23993</v>
      </c>
      <c r="Q95" s="50"/>
    </row>
    <row r="96" spans="1:23" ht="16.5" customHeight="1" x14ac:dyDescent="0.2">
      <c r="C96" s="50"/>
      <c r="H96" s="231"/>
      <c r="M96" s="50"/>
    </row>
    <row r="97" spans="1:23" ht="14.25" customHeight="1" x14ac:dyDescent="0.2">
      <c r="A97" s="15" t="str">
        <f>A14</f>
        <v>Large Power Rate 500 kW and Over</v>
      </c>
      <c r="B97" s="232">
        <f>B14</f>
        <v>47</v>
      </c>
      <c r="C97" s="50">
        <v>5</v>
      </c>
      <c r="D97" s="50">
        <v>6</v>
      </c>
      <c r="E97" s="50">
        <v>6</v>
      </c>
      <c r="F97" s="50">
        <v>6</v>
      </c>
      <c r="G97" s="50">
        <v>6</v>
      </c>
      <c r="H97" s="50">
        <v>6</v>
      </c>
      <c r="I97" s="50">
        <v>6</v>
      </c>
      <c r="J97" s="50">
        <v>6</v>
      </c>
      <c r="K97" s="50">
        <v>6</v>
      </c>
      <c r="L97" s="50">
        <v>6</v>
      </c>
      <c r="M97" s="50">
        <v>6</v>
      </c>
      <c r="N97" s="50">
        <v>6</v>
      </c>
      <c r="O97" s="50">
        <f>ROUND(SUM(C97:N97)/12,0)</f>
        <v>6</v>
      </c>
      <c r="P97" s="50"/>
      <c r="Q97" s="37"/>
    </row>
    <row r="98" spans="1:23" x14ac:dyDescent="0.2">
      <c r="A98" s="14" t="s">
        <v>679</v>
      </c>
      <c r="C98" s="50">
        <v>4298544</v>
      </c>
      <c r="D98" s="50">
        <v>4498864</v>
      </c>
      <c r="E98" s="50">
        <v>5646704</v>
      </c>
      <c r="F98" s="50">
        <v>5242024</v>
      </c>
      <c r="G98" s="50">
        <v>5705704</v>
      </c>
      <c r="H98" s="50">
        <v>5803424</v>
      </c>
      <c r="I98" s="50">
        <v>5549864</v>
      </c>
      <c r="J98" s="50">
        <v>6074784</v>
      </c>
      <c r="K98" s="50">
        <v>5668224</v>
      </c>
      <c r="L98" s="50">
        <v>5508984</v>
      </c>
      <c r="M98" s="50">
        <v>4918504</v>
      </c>
      <c r="N98" s="50">
        <v>4388504</v>
      </c>
      <c r="O98" s="50">
        <f>SUM(C98:N98)</f>
        <v>63304128</v>
      </c>
      <c r="P98" s="132"/>
      <c r="Q98" s="132"/>
      <c r="U98" s="124"/>
      <c r="W98" s="124"/>
    </row>
    <row r="99" spans="1:23" x14ac:dyDescent="0.2">
      <c r="A99" s="14" t="s">
        <v>680</v>
      </c>
      <c r="C99" s="50">
        <f>C98/744</f>
        <v>5777.6129032258068</v>
      </c>
      <c r="D99" s="48">
        <f>D98/720</f>
        <v>6248.4222222222224</v>
      </c>
      <c r="E99" s="50">
        <f t="shared" ref="E99:N99" si="76">E98/744</f>
        <v>7589.6559139784949</v>
      </c>
      <c r="F99" s="50">
        <f>F98/720</f>
        <v>7280.5888888888885</v>
      </c>
      <c r="G99" s="50">
        <f t="shared" si="76"/>
        <v>7668.9569892473119</v>
      </c>
      <c r="H99" s="48">
        <f>H98/744</f>
        <v>7800.3010752688169</v>
      </c>
      <c r="I99" s="48">
        <f>I98/672</f>
        <v>8258.7261904761908</v>
      </c>
      <c r="J99" s="50">
        <f t="shared" si="76"/>
        <v>8165.0322580645161</v>
      </c>
      <c r="K99" s="50">
        <f>K98/720</f>
        <v>7872.5333333333338</v>
      </c>
      <c r="L99" s="50">
        <f t="shared" si="76"/>
        <v>7404.5483870967746</v>
      </c>
      <c r="M99" s="50">
        <f>M98/720</f>
        <v>6831.2555555555555</v>
      </c>
      <c r="N99" s="50">
        <f t="shared" si="76"/>
        <v>5898.5268817204305</v>
      </c>
      <c r="O99" s="50">
        <f>O98/8760</f>
        <v>7226.4986301369863</v>
      </c>
      <c r="P99" s="50"/>
      <c r="Q99" s="50"/>
    </row>
    <row r="100" spans="1:23" x14ac:dyDescent="0.2">
      <c r="A100" s="14" t="s">
        <v>756</v>
      </c>
      <c r="C100" s="67">
        <v>0.6</v>
      </c>
      <c r="D100" s="67">
        <f>C100</f>
        <v>0.6</v>
      </c>
      <c r="E100" s="67">
        <f t="shared" ref="E100:N100" si="77">D100</f>
        <v>0.6</v>
      </c>
      <c r="F100" s="67">
        <f t="shared" si="77"/>
        <v>0.6</v>
      </c>
      <c r="G100" s="67">
        <f t="shared" si="77"/>
        <v>0.6</v>
      </c>
      <c r="H100" s="67">
        <f t="shared" si="77"/>
        <v>0.6</v>
      </c>
      <c r="I100" s="67">
        <f t="shared" si="77"/>
        <v>0.6</v>
      </c>
      <c r="J100" s="67">
        <f t="shared" si="77"/>
        <v>0.6</v>
      </c>
      <c r="K100" s="67">
        <f t="shared" si="77"/>
        <v>0.6</v>
      </c>
      <c r="L100" s="67">
        <f t="shared" si="77"/>
        <v>0.6</v>
      </c>
      <c r="M100" s="67">
        <f t="shared" si="77"/>
        <v>0.6</v>
      </c>
      <c r="N100" s="67">
        <f t="shared" si="77"/>
        <v>0.6</v>
      </c>
      <c r="O100" s="67"/>
      <c r="Q100" s="37"/>
    </row>
    <row r="101" spans="1:23" x14ac:dyDescent="0.2">
      <c r="A101" s="14" t="s">
        <v>757</v>
      </c>
      <c r="C101" s="50">
        <f>C99/C100</f>
        <v>9629.354838709678</v>
      </c>
      <c r="D101" s="50">
        <f t="shared" ref="D101" si="78">D99/D100</f>
        <v>10414.037037037038</v>
      </c>
      <c r="E101" s="50">
        <f t="shared" ref="E101" si="79">E99/E100</f>
        <v>12649.426523297492</v>
      </c>
      <c r="F101" s="50">
        <f t="shared" ref="F101" si="80">F99/F100</f>
        <v>12134.314814814814</v>
      </c>
      <c r="G101" s="50">
        <f t="shared" ref="G101" si="81">G99/G100</f>
        <v>12781.594982078854</v>
      </c>
      <c r="H101" s="50">
        <f t="shared" ref="H101" si="82">H99/H100</f>
        <v>13000.501792114695</v>
      </c>
      <c r="I101" s="50">
        <f t="shared" ref="I101" si="83">I99/I100</f>
        <v>13764.543650793652</v>
      </c>
      <c r="J101" s="50">
        <f t="shared" ref="J101" si="84">J99/J100</f>
        <v>13608.387096774193</v>
      </c>
      <c r="K101" s="50">
        <f t="shared" ref="K101" si="85">K99/K100</f>
        <v>13120.888888888891</v>
      </c>
      <c r="L101" s="50">
        <f t="shared" ref="L101" si="86">L99/L100</f>
        <v>12340.913978494626</v>
      </c>
      <c r="M101" s="50">
        <f t="shared" ref="M101" si="87">M99/M100</f>
        <v>11385.425925925927</v>
      </c>
      <c r="N101" s="50">
        <f t="shared" ref="N101" si="88">N99/N100</f>
        <v>9830.8781362007176</v>
      </c>
      <c r="O101" s="50">
        <f>SUM(C101:N101)</f>
        <v>144660.26766513058</v>
      </c>
      <c r="P101" s="50"/>
      <c r="Q101" s="50">
        <f>MAX(C101:N101)</f>
        <v>13764.543650793652</v>
      </c>
    </row>
    <row r="102" spans="1:23" x14ac:dyDescent="0.2">
      <c r="A102" s="14" t="s">
        <v>681</v>
      </c>
      <c r="C102" s="67">
        <v>0.8</v>
      </c>
      <c r="D102" s="67">
        <f>C102</f>
        <v>0.8</v>
      </c>
      <c r="E102" s="67">
        <f t="shared" ref="E102:N102" si="89">D102</f>
        <v>0.8</v>
      </c>
      <c r="F102" s="67">
        <f t="shared" si="89"/>
        <v>0.8</v>
      </c>
      <c r="G102" s="67">
        <f t="shared" si="89"/>
        <v>0.8</v>
      </c>
      <c r="H102" s="67">
        <f t="shared" si="89"/>
        <v>0.8</v>
      </c>
      <c r="I102" s="67">
        <f t="shared" si="89"/>
        <v>0.8</v>
      </c>
      <c r="J102" s="67">
        <f t="shared" si="89"/>
        <v>0.8</v>
      </c>
      <c r="K102" s="67">
        <f t="shared" si="89"/>
        <v>0.8</v>
      </c>
      <c r="L102" s="67">
        <f t="shared" si="89"/>
        <v>0.8</v>
      </c>
      <c r="M102" s="67">
        <f t="shared" si="89"/>
        <v>0.8</v>
      </c>
      <c r="N102" s="67">
        <f t="shared" si="89"/>
        <v>0.8</v>
      </c>
      <c r="O102" s="67"/>
      <c r="P102" s="50"/>
      <c r="Q102" s="37"/>
    </row>
    <row r="103" spans="1:23" x14ac:dyDescent="0.2">
      <c r="A103" s="14" t="s">
        <v>682</v>
      </c>
      <c r="C103" s="50">
        <f>C101*C102</f>
        <v>7703.4838709677424</v>
      </c>
      <c r="D103" s="50">
        <f t="shared" ref="D103" si="90">D101*D102</f>
        <v>8331.2296296296317</v>
      </c>
      <c r="E103" s="50">
        <f t="shared" ref="E103" si="91">E101*E102</f>
        <v>10119.541218637994</v>
      </c>
      <c r="F103" s="50">
        <f t="shared" ref="F103" si="92">F101*F102</f>
        <v>9707.4518518518507</v>
      </c>
      <c r="G103" s="50">
        <f t="shared" ref="G103" si="93">G101*G102</f>
        <v>10225.275985663084</v>
      </c>
      <c r="H103" s="50">
        <f t="shared" ref="H103" si="94">H101*H102</f>
        <v>10400.401433691757</v>
      </c>
      <c r="I103" s="50">
        <f t="shared" ref="I103" si="95">I101*I102</f>
        <v>11011.634920634922</v>
      </c>
      <c r="J103" s="50">
        <f t="shared" ref="J103" si="96">J101*J102</f>
        <v>10886.709677419356</v>
      </c>
      <c r="K103" s="50">
        <f t="shared" ref="K103" si="97">K101*K102</f>
        <v>10496.711111111113</v>
      </c>
      <c r="L103" s="50">
        <f t="shared" ref="L103" si="98">L101*L102</f>
        <v>9872.7311827957019</v>
      </c>
      <c r="M103" s="50">
        <f t="shared" ref="M103" si="99">M101*M102</f>
        <v>9108.3407407407412</v>
      </c>
      <c r="N103" s="50">
        <f t="shared" ref="N103" si="100">N101*N102</f>
        <v>7864.7025089605741</v>
      </c>
      <c r="O103" s="50">
        <f>SUM(C103:N103)</f>
        <v>115728.21413210446</v>
      </c>
      <c r="P103" s="50"/>
      <c r="Q103" s="37"/>
      <c r="R103" s="37">
        <f>O103</f>
        <v>115728.21413210446</v>
      </c>
      <c r="S103" s="37">
        <f>H103+I103+J103</f>
        <v>32298.746031746035</v>
      </c>
      <c r="T103" s="37">
        <f>R103-S103</f>
        <v>83429.468100358426</v>
      </c>
    </row>
    <row r="104" spans="1:23" x14ac:dyDescent="0.2">
      <c r="A104" s="14" t="s">
        <v>758</v>
      </c>
      <c r="C104" s="67">
        <f t="shared" ref="C104:N104" si="101">C99/C105</f>
        <v>0.61601587623689169</v>
      </c>
      <c r="D104" s="67">
        <f t="shared" si="101"/>
        <v>0.66225990696578929</v>
      </c>
      <c r="E104" s="67">
        <f t="shared" si="101"/>
        <v>0.73315841518339397</v>
      </c>
      <c r="F104" s="67">
        <f t="shared" si="101"/>
        <v>0.67219914032766026</v>
      </c>
      <c r="G104" s="67">
        <f t="shared" si="101"/>
        <v>0.68192752883223473</v>
      </c>
      <c r="H104" s="67">
        <f t="shared" si="101"/>
        <v>0.69268280572496377</v>
      </c>
      <c r="I104" s="67">
        <f t="shared" si="101"/>
        <v>0.72337095475835955</v>
      </c>
      <c r="J104" s="67">
        <f t="shared" si="101"/>
        <v>0.70576819587384532</v>
      </c>
      <c r="K104" s="67">
        <f t="shared" si="101"/>
        <v>0.69897303856284598</v>
      </c>
      <c r="L104" s="67">
        <f t="shared" si="101"/>
        <v>0.67572078728753193</v>
      </c>
      <c r="M104" s="67">
        <f t="shared" si="101"/>
        <v>0.61631681302377805</v>
      </c>
      <c r="N104" s="67">
        <f t="shared" si="101"/>
        <v>0.59062049481530299</v>
      </c>
      <c r="O104" s="67"/>
      <c r="P104" s="132"/>
      <c r="Q104" s="132"/>
      <c r="U104" s="124"/>
      <c r="W104" s="124"/>
    </row>
    <row r="105" spans="1:23" x14ac:dyDescent="0.2">
      <c r="A105" s="14" t="s">
        <v>759</v>
      </c>
      <c r="C105" s="50">
        <v>9379</v>
      </c>
      <c r="D105" s="50">
        <v>9435</v>
      </c>
      <c r="E105" s="50">
        <v>10352</v>
      </c>
      <c r="F105" s="50">
        <v>10831</v>
      </c>
      <c r="G105" s="50">
        <v>11246</v>
      </c>
      <c r="H105" s="50">
        <v>11261</v>
      </c>
      <c r="I105" s="50">
        <v>11417</v>
      </c>
      <c r="J105" s="50">
        <v>11569</v>
      </c>
      <c r="K105" s="50">
        <v>11263</v>
      </c>
      <c r="L105" s="50">
        <v>10958</v>
      </c>
      <c r="M105" s="50">
        <v>11084</v>
      </c>
      <c r="N105" s="50">
        <v>9987</v>
      </c>
      <c r="O105" s="50">
        <f>SUM(C105:N105)</f>
        <v>128782</v>
      </c>
      <c r="P105" s="50">
        <f>MAX(C105:N105)</f>
        <v>11569</v>
      </c>
      <c r="Q105" s="50"/>
    </row>
    <row r="107" spans="1:23" x14ac:dyDescent="0.2">
      <c r="A107" s="15" t="str">
        <f>A15</f>
        <v>Schools, Churches, Halls &amp; Parks</v>
      </c>
      <c r="B107" s="16">
        <f>B15</f>
        <v>50</v>
      </c>
      <c r="C107" s="50">
        <v>985</v>
      </c>
      <c r="D107" s="50">
        <v>987</v>
      </c>
      <c r="E107" s="50">
        <v>994</v>
      </c>
      <c r="F107" s="50">
        <v>991</v>
      </c>
      <c r="G107" s="50">
        <v>997</v>
      </c>
      <c r="H107" s="50">
        <v>1000</v>
      </c>
      <c r="I107" s="50">
        <v>997</v>
      </c>
      <c r="J107" s="50">
        <v>996</v>
      </c>
      <c r="K107" s="50">
        <v>994</v>
      </c>
      <c r="L107" s="50">
        <v>999</v>
      </c>
      <c r="M107" s="50">
        <v>999</v>
      </c>
      <c r="N107" s="50">
        <v>995</v>
      </c>
      <c r="O107" s="50">
        <f>ROUND(SUM(C107:N107)/12,0)</f>
        <v>995</v>
      </c>
      <c r="P107" s="50"/>
      <c r="Q107" s="37"/>
    </row>
    <row r="108" spans="1:23" x14ac:dyDescent="0.2">
      <c r="A108" s="14" t="s">
        <v>679</v>
      </c>
      <c r="C108" s="50">
        <v>2313291</v>
      </c>
      <c r="D108" s="50">
        <v>1953176</v>
      </c>
      <c r="E108" s="50">
        <v>2033151</v>
      </c>
      <c r="F108" s="50">
        <v>1472425</v>
      </c>
      <c r="G108" s="50">
        <v>1557080</v>
      </c>
      <c r="H108" s="50">
        <v>1607296</v>
      </c>
      <c r="I108" s="50">
        <v>2125620</v>
      </c>
      <c r="J108" s="50">
        <v>2174595</v>
      </c>
      <c r="K108" s="50">
        <v>1762351</v>
      </c>
      <c r="L108" s="50">
        <v>1557562</v>
      </c>
      <c r="M108" s="50">
        <v>1906557</v>
      </c>
      <c r="N108" s="50">
        <v>2219410</v>
      </c>
      <c r="O108" s="50">
        <f>SUM(C108:N108)</f>
        <v>22682514</v>
      </c>
      <c r="P108" s="132"/>
      <c r="Q108" s="132"/>
      <c r="U108" s="124"/>
      <c r="W108" s="124"/>
    </row>
    <row r="109" spans="1:23" x14ac:dyDescent="0.2">
      <c r="A109" s="14" t="s">
        <v>680</v>
      </c>
      <c r="C109" s="50">
        <f>C108/744</f>
        <v>3109.2620967741937</v>
      </c>
      <c r="D109" s="48">
        <f>D108/720</f>
        <v>2712.7444444444445</v>
      </c>
      <c r="E109" s="50">
        <f t="shared" ref="E109:N109" si="102">E108/744</f>
        <v>2732.7298387096776</v>
      </c>
      <c r="F109" s="50">
        <f>F108/720</f>
        <v>2045.0347222222222</v>
      </c>
      <c r="G109" s="50">
        <f t="shared" si="102"/>
        <v>2092.8494623655915</v>
      </c>
      <c r="H109" s="48">
        <f>H108/744</f>
        <v>2160.3440860215055</v>
      </c>
      <c r="I109" s="48">
        <f>I108/672</f>
        <v>3163.125</v>
      </c>
      <c r="J109" s="50">
        <f t="shared" si="102"/>
        <v>2922.8427419354839</v>
      </c>
      <c r="K109" s="50">
        <f>K108/720</f>
        <v>2447.7097222222224</v>
      </c>
      <c r="L109" s="50">
        <f t="shared" si="102"/>
        <v>2093.4973118279568</v>
      </c>
      <c r="M109" s="50">
        <f>M108/720</f>
        <v>2647.9958333333334</v>
      </c>
      <c r="N109" s="50">
        <f t="shared" si="102"/>
        <v>2983.0779569892475</v>
      </c>
      <c r="O109" s="50">
        <f>O108/8760</f>
        <v>2589.3280821917806</v>
      </c>
      <c r="P109" s="50"/>
      <c r="Q109" s="50"/>
    </row>
    <row r="110" spans="1:23" x14ac:dyDescent="0.2">
      <c r="A110" s="14" t="s">
        <v>756</v>
      </c>
      <c r="C110" s="67">
        <v>0.4</v>
      </c>
      <c r="D110" s="67">
        <f>C110</f>
        <v>0.4</v>
      </c>
      <c r="E110" s="67">
        <f t="shared" ref="E110:N110" si="103">D110</f>
        <v>0.4</v>
      </c>
      <c r="F110" s="67">
        <f t="shared" si="103"/>
        <v>0.4</v>
      </c>
      <c r="G110" s="67">
        <f t="shared" si="103"/>
        <v>0.4</v>
      </c>
      <c r="H110" s="67">
        <f t="shared" si="103"/>
        <v>0.4</v>
      </c>
      <c r="I110" s="67">
        <f t="shared" si="103"/>
        <v>0.4</v>
      </c>
      <c r="J110" s="67">
        <f t="shared" si="103"/>
        <v>0.4</v>
      </c>
      <c r="K110" s="67">
        <f t="shared" si="103"/>
        <v>0.4</v>
      </c>
      <c r="L110" s="67">
        <f t="shared" si="103"/>
        <v>0.4</v>
      </c>
      <c r="M110" s="67">
        <f t="shared" si="103"/>
        <v>0.4</v>
      </c>
      <c r="N110" s="67">
        <f t="shared" si="103"/>
        <v>0.4</v>
      </c>
      <c r="O110" s="67"/>
      <c r="Q110" s="37"/>
    </row>
    <row r="111" spans="1:23" x14ac:dyDescent="0.2">
      <c r="A111" s="14" t="s">
        <v>757</v>
      </c>
      <c r="C111" s="50">
        <f>C109/C110</f>
        <v>7773.1552419354839</v>
      </c>
      <c r="D111" s="50">
        <f t="shared" ref="D111:N111" si="104">D109/D110</f>
        <v>6781.8611111111113</v>
      </c>
      <c r="E111" s="50">
        <f t="shared" si="104"/>
        <v>6831.8245967741932</v>
      </c>
      <c r="F111" s="50">
        <f t="shared" si="104"/>
        <v>5112.5868055555547</v>
      </c>
      <c r="G111" s="50">
        <f t="shared" si="104"/>
        <v>5232.1236559139788</v>
      </c>
      <c r="H111" s="50">
        <f t="shared" si="104"/>
        <v>5400.8602150537636</v>
      </c>
      <c r="I111" s="50">
        <f t="shared" si="104"/>
        <v>7907.8125</v>
      </c>
      <c r="J111" s="50">
        <f t="shared" si="104"/>
        <v>7307.1068548387093</v>
      </c>
      <c r="K111" s="50">
        <f t="shared" si="104"/>
        <v>6119.2743055555557</v>
      </c>
      <c r="L111" s="50">
        <f t="shared" si="104"/>
        <v>5233.7432795698915</v>
      </c>
      <c r="M111" s="50">
        <f t="shared" si="104"/>
        <v>6619.989583333333</v>
      </c>
      <c r="N111" s="50">
        <f t="shared" si="104"/>
        <v>7457.6948924731187</v>
      </c>
      <c r="O111" s="50">
        <f>SUM(C111:N111)</f>
        <v>77778.033042114694</v>
      </c>
      <c r="Q111" s="37">
        <f>MAX(C111:N111)</f>
        <v>7907.8125</v>
      </c>
    </row>
    <row r="112" spans="1:23" x14ac:dyDescent="0.2">
      <c r="A112" s="14" t="s">
        <v>681</v>
      </c>
      <c r="C112" s="67">
        <v>0.2</v>
      </c>
      <c r="D112" s="67">
        <f>C112</f>
        <v>0.2</v>
      </c>
      <c r="E112" s="67">
        <f t="shared" ref="E112:N112" si="105">D112</f>
        <v>0.2</v>
      </c>
      <c r="F112" s="67">
        <f t="shared" si="105"/>
        <v>0.2</v>
      </c>
      <c r="G112" s="67">
        <f t="shared" si="105"/>
        <v>0.2</v>
      </c>
      <c r="H112" s="67">
        <f t="shared" si="105"/>
        <v>0.2</v>
      </c>
      <c r="I112" s="67">
        <f t="shared" si="105"/>
        <v>0.2</v>
      </c>
      <c r="J112" s="67">
        <f t="shared" si="105"/>
        <v>0.2</v>
      </c>
      <c r="K112" s="67">
        <f t="shared" si="105"/>
        <v>0.2</v>
      </c>
      <c r="L112" s="67">
        <f t="shared" si="105"/>
        <v>0.2</v>
      </c>
      <c r="M112" s="67">
        <f t="shared" si="105"/>
        <v>0.2</v>
      </c>
      <c r="N112" s="67">
        <f t="shared" si="105"/>
        <v>0.2</v>
      </c>
      <c r="O112" s="67"/>
      <c r="P112" s="50"/>
      <c r="Q112" s="37"/>
    </row>
    <row r="113" spans="1:23" x14ac:dyDescent="0.2">
      <c r="A113" s="14" t="s">
        <v>682</v>
      </c>
      <c r="C113" s="50">
        <f>C111*C112</f>
        <v>1554.6310483870968</v>
      </c>
      <c r="D113" s="50">
        <f t="shared" ref="D113:N113" si="106">D111*D112</f>
        <v>1356.3722222222223</v>
      </c>
      <c r="E113" s="50">
        <f t="shared" si="106"/>
        <v>1366.3649193548388</v>
      </c>
      <c r="F113" s="50">
        <f t="shared" si="106"/>
        <v>1022.517361111111</v>
      </c>
      <c r="G113" s="50">
        <f t="shared" si="106"/>
        <v>1046.4247311827958</v>
      </c>
      <c r="H113" s="50">
        <f t="shared" si="106"/>
        <v>1080.1720430107528</v>
      </c>
      <c r="I113" s="50">
        <f t="shared" si="106"/>
        <v>1581.5625</v>
      </c>
      <c r="J113" s="50">
        <f t="shared" si="106"/>
        <v>1461.421370967742</v>
      </c>
      <c r="K113" s="50">
        <f t="shared" si="106"/>
        <v>1223.8548611111112</v>
      </c>
      <c r="L113" s="50">
        <f t="shared" si="106"/>
        <v>1046.7486559139784</v>
      </c>
      <c r="M113" s="50">
        <f t="shared" si="106"/>
        <v>1323.9979166666667</v>
      </c>
      <c r="N113" s="50">
        <f t="shared" si="106"/>
        <v>1491.5389784946237</v>
      </c>
      <c r="O113" s="50">
        <f>SUM(C113:N113)</f>
        <v>15555.606608422941</v>
      </c>
      <c r="P113" s="50"/>
      <c r="Q113" s="37"/>
      <c r="R113" s="37">
        <f>O113</f>
        <v>15555.606608422941</v>
      </c>
      <c r="S113" s="37">
        <f>H113+I113+J113</f>
        <v>4123.1559139784949</v>
      </c>
      <c r="T113" s="37">
        <f>R113-S113</f>
        <v>11432.450694444446</v>
      </c>
    </row>
    <row r="114" spans="1:23" x14ac:dyDescent="0.2">
      <c r="A114" s="14" t="s">
        <v>758</v>
      </c>
      <c r="C114" s="67">
        <v>0.15</v>
      </c>
      <c r="D114" s="67">
        <f>C114</f>
        <v>0.15</v>
      </c>
      <c r="E114" s="67">
        <f t="shared" ref="E114:N114" si="107">D114</f>
        <v>0.15</v>
      </c>
      <c r="F114" s="67">
        <f t="shared" si="107"/>
        <v>0.15</v>
      </c>
      <c r="G114" s="67">
        <f t="shared" si="107"/>
        <v>0.15</v>
      </c>
      <c r="H114" s="67">
        <f t="shared" si="107"/>
        <v>0.15</v>
      </c>
      <c r="I114" s="67">
        <f t="shared" si="107"/>
        <v>0.15</v>
      </c>
      <c r="J114" s="67">
        <f t="shared" si="107"/>
        <v>0.15</v>
      </c>
      <c r="K114" s="67">
        <f t="shared" si="107"/>
        <v>0.15</v>
      </c>
      <c r="L114" s="67">
        <f t="shared" si="107"/>
        <v>0.15</v>
      </c>
      <c r="M114" s="67">
        <f t="shared" si="107"/>
        <v>0.15</v>
      </c>
      <c r="N114" s="67">
        <f t="shared" si="107"/>
        <v>0.15</v>
      </c>
      <c r="O114" s="67"/>
      <c r="P114" s="132"/>
      <c r="Q114" s="132"/>
      <c r="U114" s="124"/>
      <c r="W114" s="124"/>
    </row>
    <row r="115" spans="1:23" x14ac:dyDescent="0.2">
      <c r="A115" s="14" t="s">
        <v>759</v>
      </c>
      <c r="C115" s="50">
        <f>C109/C114</f>
        <v>20728.413978494624</v>
      </c>
      <c r="D115" s="50">
        <f t="shared" ref="D115:N115" si="108">D109/D114</f>
        <v>18084.962962962964</v>
      </c>
      <c r="E115" s="50">
        <f t="shared" si="108"/>
        <v>18218.198924731183</v>
      </c>
      <c r="F115" s="50">
        <f t="shared" si="108"/>
        <v>13633.564814814816</v>
      </c>
      <c r="G115" s="50">
        <f t="shared" si="108"/>
        <v>13952.329749103945</v>
      </c>
      <c r="H115" s="50">
        <f t="shared" si="108"/>
        <v>14402.293906810037</v>
      </c>
      <c r="I115" s="50">
        <f t="shared" si="108"/>
        <v>21087.5</v>
      </c>
      <c r="J115" s="50">
        <f t="shared" si="108"/>
        <v>19485.618279569895</v>
      </c>
      <c r="K115" s="50">
        <f t="shared" si="108"/>
        <v>16318.064814814816</v>
      </c>
      <c r="L115" s="50">
        <f t="shared" si="108"/>
        <v>13956.648745519713</v>
      </c>
      <c r="M115" s="50">
        <f t="shared" si="108"/>
        <v>17653.305555555558</v>
      </c>
      <c r="N115" s="50">
        <f t="shared" si="108"/>
        <v>19887.186379928316</v>
      </c>
      <c r="O115" s="50">
        <f>SUM(C115:N115)</f>
        <v>207408.08811230585</v>
      </c>
      <c r="P115" s="50">
        <f>MAX(C115:N115)</f>
        <v>21087.5</v>
      </c>
      <c r="Q115" s="50"/>
    </row>
    <row r="117" spans="1:23" x14ac:dyDescent="0.2">
      <c r="A117" s="15" t="str">
        <f>A16</f>
        <v>All Electric Schools AES</v>
      </c>
      <c r="B117" s="16">
        <f>B16</f>
        <v>52</v>
      </c>
      <c r="C117" s="50">
        <v>23</v>
      </c>
      <c r="D117" s="50">
        <v>23</v>
      </c>
      <c r="E117" s="50">
        <v>23</v>
      </c>
      <c r="F117" s="50">
        <v>23</v>
      </c>
      <c r="G117" s="50">
        <v>23</v>
      </c>
      <c r="H117" s="50">
        <v>23</v>
      </c>
      <c r="I117" s="50">
        <v>23</v>
      </c>
      <c r="J117" s="50">
        <v>23</v>
      </c>
      <c r="K117" s="50">
        <v>23</v>
      </c>
      <c r="L117" s="50">
        <v>23</v>
      </c>
      <c r="M117" s="50">
        <v>23</v>
      </c>
      <c r="N117" s="50">
        <v>23</v>
      </c>
      <c r="O117" s="50">
        <f>ROUND(SUM(C117:N117)/12,0)</f>
        <v>23</v>
      </c>
      <c r="P117" s="50"/>
      <c r="Q117" s="37"/>
    </row>
    <row r="118" spans="1:23" x14ac:dyDescent="0.2">
      <c r="A118" s="14" t="s">
        <v>679</v>
      </c>
      <c r="C118" s="50">
        <v>933877</v>
      </c>
      <c r="D118" s="50">
        <v>811469</v>
      </c>
      <c r="E118" s="50">
        <v>881792</v>
      </c>
      <c r="F118" s="50">
        <v>692270</v>
      </c>
      <c r="G118" s="50">
        <v>776789</v>
      </c>
      <c r="H118" s="50">
        <v>709653</v>
      </c>
      <c r="I118" s="50">
        <v>783470</v>
      </c>
      <c r="J118" s="50">
        <v>967214</v>
      </c>
      <c r="K118" s="50">
        <v>863209</v>
      </c>
      <c r="L118" s="50">
        <v>833368</v>
      </c>
      <c r="M118" s="50">
        <v>816567</v>
      </c>
      <c r="N118" s="50">
        <v>869343</v>
      </c>
      <c r="O118" s="50">
        <f>SUM(C118:N118)</f>
        <v>9939021</v>
      </c>
      <c r="P118" s="132"/>
      <c r="Q118" s="132"/>
      <c r="U118" s="124"/>
      <c r="W118" s="124"/>
    </row>
    <row r="119" spans="1:23" x14ac:dyDescent="0.2">
      <c r="A119" s="14" t="s">
        <v>680</v>
      </c>
      <c r="C119" s="50">
        <f>C118/744</f>
        <v>1255.2110215053763</v>
      </c>
      <c r="D119" s="48">
        <f>D118/720</f>
        <v>1127.0402777777779</v>
      </c>
      <c r="E119" s="50">
        <f t="shared" ref="E119:N119" si="109">E118/744</f>
        <v>1185.2043010752689</v>
      </c>
      <c r="F119" s="50">
        <f>F118/720</f>
        <v>961.48611111111109</v>
      </c>
      <c r="G119" s="50">
        <f t="shared" si="109"/>
        <v>1044.0712365591398</v>
      </c>
      <c r="H119" s="48">
        <f>H118/744</f>
        <v>953.83467741935488</v>
      </c>
      <c r="I119" s="48">
        <f>I118/672</f>
        <v>1165.8779761904761</v>
      </c>
      <c r="J119" s="50">
        <f t="shared" si="109"/>
        <v>1300.0188172043011</v>
      </c>
      <c r="K119" s="50">
        <f>K118/720</f>
        <v>1198.901388888889</v>
      </c>
      <c r="L119" s="50">
        <f t="shared" si="109"/>
        <v>1120.1182795698924</v>
      </c>
      <c r="M119" s="50">
        <f>M118/720</f>
        <v>1134.1208333333334</v>
      </c>
      <c r="N119" s="50">
        <f t="shared" si="109"/>
        <v>1168.4717741935483</v>
      </c>
      <c r="O119" s="50">
        <f>O118/8760</f>
        <v>1134.5914383561644</v>
      </c>
      <c r="P119" s="50"/>
      <c r="Q119" s="50"/>
    </row>
    <row r="120" spans="1:23" x14ac:dyDescent="0.2">
      <c r="A120" s="14" t="s">
        <v>756</v>
      </c>
      <c r="C120" s="67">
        <v>0.35</v>
      </c>
      <c r="D120" s="67">
        <f>C120</f>
        <v>0.35</v>
      </c>
      <c r="E120" s="67">
        <f t="shared" ref="E120:N120" si="110">D120</f>
        <v>0.35</v>
      </c>
      <c r="F120" s="67">
        <f t="shared" si="110"/>
        <v>0.35</v>
      </c>
      <c r="G120" s="67">
        <f t="shared" si="110"/>
        <v>0.35</v>
      </c>
      <c r="H120" s="67">
        <f t="shared" si="110"/>
        <v>0.35</v>
      </c>
      <c r="I120" s="67">
        <f t="shared" si="110"/>
        <v>0.35</v>
      </c>
      <c r="J120" s="67">
        <f t="shared" si="110"/>
        <v>0.35</v>
      </c>
      <c r="K120" s="67">
        <f t="shared" si="110"/>
        <v>0.35</v>
      </c>
      <c r="L120" s="67">
        <f t="shared" si="110"/>
        <v>0.35</v>
      </c>
      <c r="M120" s="67">
        <f t="shared" si="110"/>
        <v>0.35</v>
      </c>
      <c r="N120" s="67">
        <f t="shared" si="110"/>
        <v>0.35</v>
      </c>
      <c r="O120" s="67"/>
      <c r="Q120" s="37"/>
    </row>
    <row r="121" spans="1:23" x14ac:dyDescent="0.2">
      <c r="A121" s="14" t="s">
        <v>757</v>
      </c>
      <c r="C121" s="50">
        <f>C119/C120</f>
        <v>3586.3172043010754</v>
      </c>
      <c r="D121" s="50">
        <f t="shared" ref="D121:N121" si="111">D119/D120</f>
        <v>3220.11507936508</v>
      </c>
      <c r="E121" s="50">
        <f t="shared" si="111"/>
        <v>3386.2980030721969</v>
      </c>
      <c r="F121" s="50">
        <f t="shared" si="111"/>
        <v>2747.1031746031749</v>
      </c>
      <c r="G121" s="50">
        <f t="shared" si="111"/>
        <v>2983.0606758832569</v>
      </c>
      <c r="H121" s="50">
        <f t="shared" si="111"/>
        <v>2725.2419354838712</v>
      </c>
      <c r="I121" s="50">
        <f t="shared" si="111"/>
        <v>3331.0799319727894</v>
      </c>
      <c r="J121" s="50">
        <f t="shared" si="111"/>
        <v>3714.3394777265748</v>
      </c>
      <c r="K121" s="50">
        <f t="shared" si="111"/>
        <v>3425.4325396825402</v>
      </c>
      <c r="L121" s="50">
        <f t="shared" si="111"/>
        <v>3200.3379416282642</v>
      </c>
      <c r="M121" s="50">
        <f t="shared" si="111"/>
        <v>3240.3452380952385</v>
      </c>
      <c r="N121" s="50">
        <f t="shared" si="111"/>
        <v>3338.4907834101382</v>
      </c>
      <c r="O121" s="50">
        <f>SUM(C121:N121)</f>
        <v>38898.1619852242</v>
      </c>
      <c r="Q121" s="37">
        <f>MAX(C121:N121)</f>
        <v>3714.3394777265748</v>
      </c>
    </row>
    <row r="122" spans="1:23" x14ac:dyDescent="0.2">
      <c r="A122" s="14" t="s">
        <v>681</v>
      </c>
      <c r="C122" s="67">
        <v>0.35</v>
      </c>
      <c r="D122" s="67">
        <f>C122</f>
        <v>0.35</v>
      </c>
      <c r="E122" s="67">
        <f t="shared" ref="E122:N122" si="112">D122</f>
        <v>0.35</v>
      </c>
      <c r="F122" s="67">
        <f t="shared" si="112"/>
        <v>0.35</v>
      </c>
      <c r="G122" s="67">
        <f t="shared" si="112"/>
        <v>0.35</v>
      </c>
      <c r="H122" s="67">
        <f t="shared" si="112"/>
        <v>0.35</v>
      </c>
      <c r="I122" s="67">
        <f t="shared" si="112"/>
        <v>0.35</v>
      </c>
      <c r="J122" s="67">
        <f t="shared" si="112"/>
        <v>0.35</v>
      </c>
      <c r="K122" s="67">
        <f t="shared" si="112"/>
        <v>0.35</v>
      </c>
      <c r="L122" s="67">
        <f t="shared" si="112"/>
        <v>0.35</v>
      </c>
      <c r="M122" s="67">
        <f t="shared" si="112"/>
        <v>0.35</v>
      </c>
      <c r="N122" s="67">
        <f t="shared" si="112"/>
        <v>0.35</v>
      </c>
      <c r="O122" s="67"/>
      <c r="P122" s="50"/>
      <c r="Q122" s="37"/>
    </row>
    <row r="123" spans="1:23" x14ac:dyDescent="0.2">
      <c r="A123" s="14" t="s">
        <v>682</v>
      </c>
      <c r="C123" s="50">
        <f>C121*C122</f>
        <v>1255.2110215053763</v>
      </c>
      <c r="D123" s="50">
        <f t="shared" ref="D123" si="113">D121*D122</f>
        <v>1127.0402777777779</v>
      </c>
      <c r="E123" s="50">
        <f t="shared" ref="E123" si="114">E121*E122</f>
        <v>1185.2043010752689</v>
      </c>
      <c r="F123" s="50">
        <f t="shared" ref="F123" si="115">F121*F122</f>
        <v>961.4861111111112</v>
      </c>
      <c r="G123" s="50">
        <f t="shared" ref="G123" si="116">G121*G122</f>
        <v>1044.0712365591398</v>
      </c>
      <c r="H123" s="50">
        <f t="shared" ref="H123" si="117">H121*H122</f>
        <v>953.83467741935488</v>
      </c>
      <c r="I123" s="50">
        <f t="shared" ref="I123" si="118">I121*I122</f>
        <v>1165.8779761904761</v>
      </c>
      <c r="J123" s="50">
        <f t="shared" ref="J123" si="119">J121*J122</f>
        <v>1300.0188172043011</v>
      </c>
      <c r="K123" s="50">
        <f t="shared" ref="K123" si="120">K121*K122</f>
        <v>1198.901388888889</v>
      </c>
      <c r="L123" s="50">
        <f t="shared" ref="L123" si="121">L121*L122</f>
        <v>1120.1182795698924</v>
      </c>
      <c r="M123" s="50">
        <f t="shared" ref="M123" si="122">M121*M122</f>
        <v>1134.1208333333334</v>
      </c>
      <c r="N123" s="50">
        <f t="shared" ref="N123" si="123">N121*N122</f>
        <v>1168.4717741935483</v>
      </c>
      <c r="O123" s="50">
        <f>SUM(C123:N123)</f>
        <v>13614.356694828472</v>
      </c>
      <c r="P123" s="50"/>
      <c r="Q123" s="37"/>
      <c r="R123" s="37">
        <f>O123</f>
        <v>13614.356694828472</v>
      </c>
      <c r="S123" s="37">
        <f>H123+I123+J123</f>
        <v>3419.7314708141321</v>
      </c>
      <c r="T123" s="37">
        <f>R123-S123</f>
        <v>10194.62522401434</v>
      </c>
    </row>
    <row r="124" spans="1:23" x14ac:dyDescent="0.2">
      <c r="A124" s="14" t="s">
        <v>758</v>
      </c>
      <c r="C124" s="67">
        <v>0.23</v>
      </c>
      <c r="D124" s="67">
        <f>C124</f>
        <v>0.23</v>
      </c>
      <c r="E124" s="67">
        <f t="shared" ref="E124:N124" si="124">D124</f>
        <v>0.23</v>
      </c>
      <c r="F124" s="67">
        <f t="shared" si="124"/>
        <v>0.23</v>
      </c>
      <c r="G124" s="67">
        <f t="shared" si="124"/>
        <v>0.23</v>
      </c>
      <c r="H124" s="67">
        <f t="shared" si="124"/>
        <v>0.23</v>
      </c>
      <c r="I124" s="67">
        <f t="shared" si="124"/>
        <v>0.23</v>
      </c>
      <c r="J124" s="67">
        <f t="shared" si="124"/>
        <v>0.23</v>
      </c>
      <c r="K124" s="67">
        <f t="shared" si="124"/>
        <v>0.23</v>
      </c>
      <c r="L124" s="67">
        <f t="shared" si="124"/>
        <v>0.23</v>
      </c>
      <c r="M124" s="67">
        <f t="shared" si="124"/>
        <v>0.23</v>
      </c>
      <c r="N124" s="67">
        <f t="shared" si="124"/>
        <v>0.23</v>
      </c>
      <c r="O124" s="67"/>
      <c r="P124" s="132"/>
      <c r="Q124" s="132"/>
      <c r="U124" s="124"/>
      <c r="W124" s="124"/>
    </row>
    <row r="125" spans="1:23" x14ac:dyDescent="0.2">
      <c r="A125" s="14" t="s">
        <v>759</v>
      </c>
      <c r="C125" s="50">
        <f>C119/C124</f>
        <v>5457.4392239364179</v>
      </c>
      <c r="D125" s="50">
        <f t="shared" ref="D125:N125" si="125">D119/D124</f>
        <v>4900.1751207729467</v>
      </c>
      <c r="E125" s="50">
        <f t="shared" si="125"/>
        <v>5153.0621785881249</v>
      </c>
      <c r="F125" s="50">
        <f t="shared" si="125"/>
        <v>4180.3743961352657</v>
      </c>
      <c r="G125" s="50">
        <f t="shared" si="125"/>
        <v>4539.4401589527815</v>
      </c>
      <c r="H125" s="50">
        <f t="shared" si="125"/>
        <v>4147.1072931276294</v>
      </c>
      <c r="I125" s="50">
        <f t="shared" si="125"/>
        <v>5069.0346790890262</v>
      </c>
      <c r="J125" s="50">
        <f t="shared" si="125"/>
        <v>5652.2557269752215</v>
      </c>
      <c r="K125" s="50">
        <f t="shared" si="125"/>
        <v>5212.6147342995173</v>
      </c>
      <c r="L125" s="50">
        <f t="shared" si="125"/>
        <v>4870.0794763908361</v>
      </c>
      <c r="M125" s="50">
        <f t="shared" si="125"/>
        <v>4930.960144927536</v>
      </c>
      <c r="N125" s="50">
        <f t="shared" si="125"/>
        <v>5080.312061711079</v>
      </c>
      <c r="O125" s="50">
        <f>SUM(C125:N125)</f>
        <v>59192.855194906377</v>
      </c>
      <c r="P125" s="50">
        <f>MAX(C125:N125)</f>
        <v>5652.2557269752215</v>
      </c>
      <c r="Q125" s="50"/>
    </row>
    <row r="127" spans="1:23" x14ac:dyDescent="0.2">
      <c r="A127" s="15" t="str">
        <f>A17</f>
        <v>Outdoor Lighting</v>
      </c>
      <c r="B127" s="16" t="str">
        <f>B17</f>
        <v>OL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f>ROUND(SUM(C127:N127)/12,0)</f>
        <v>0</v>
      </c>
      <c r="P127" s="50"/>
      <c r="Q127" s="37"/>
    </row>
    <row r="128" spans="1:23" x14ac:dyDescent="0.2">
      <c r="A128" s="14" t="s">
        <v>679</v>
      </c>
      <c r="C128" s="50">
        <v>1495063</v>
      </c>
      <c r="D128" s="50">
        <v>1495063</v>
      </c>
      <c r="E128" s="50">
        <v>1495063</v>
      </c>
      <c r="F128" s="50">
        <v>1495063</v>
      </c>
      <c r="G128" s="50">
        <v>1495063</v>
      </c>
      <c r="H128" s="50">
        <v>1495063</v>
      </c>
      <c r="I128" s="50">
        <v>1495063</v>
      </c>
      <c r="J128" s="50">
        <v>1495063</v>
      </c>
      <c r="K128" s="50">
        <v>1495063</v>
      </c>
      <c r="L128" s="50">
        <v>1495063</v>
      </c>
      <c r="M128" s="50">
        <v>1495063</v>
      </c>
      <c r="N128" s="50">
        <v>1495063</v>
      </c>
      <c r="O128" s="50">
        <f>SUM(C128:N128)</f>
        <v>17940756</v>
      </c>
      <c r="P128" s="132"/>
      <c r="Q128" s="132"/>
      <c r="U128" s="124"/>
      <c r="W128" s="124"/>
    </row>
    <row r="129" spans="1:23" x14ac:dyDescent="0.2">
      <c r="A129" s="14" t="s">
        <v>680</v>
      </c>
      <c r="C129" s="50">
        <f>C128/744</f>
        <v>2009.4932795698924</v>
      </c>
      <c r="D129" s="48">
        <f>D128/720</f>
        <v>2076.4763888888888</v>
      </c>
      <c r="E129" s="50">
        <f t="shared" ref="E129:N129" si="126">E128/744</f>
        <v>2009.4932795698924</v>
      </c>
      <c r="F129" s="50">
        <f>F128/720</f>
        <v>2076.4763888888888</v>
      </c>
      <c r="G129" s="50">
        <f t="shared" si="126"/>
        <v>2009.4932795698924</v>
      </c>
      <c r="H129" s="48">
        <f>H128/744</f>
        <v>2009.4932795698924</v>
      </c>
      <c r="I129" s="48">
        <f>I128/672</f>
        <v>2224.7961309523807</v>
      </c>
      <c r="J129" s="50">
        <f t="shared" si="126"/>
        <v>2009.4932795698924</v>
      </c>
      <c r="K129" s="50">
        <f>K128/720</f>
        <v>2076.4763888888888</v>
      </c>
      <c r="L129" s="50">
        <f t="shared" si="126"/>
        <v>2009.4932795698924</v>
      </c>
      <c r="M129" s="50">
        <f>M128/720</f>
        <v>2076.4763888888888</v>
      </c>
      <c r="N129" s="50">
        <f t="shared" si="126"/>
        <v>2009.4932795698924</v>
      </c>
      <c r="O129" s="50">
        <f>O128/8760</f>
        <v>2048.0315068493151</v>
      </c>
      <c r="P129" s="50"/>
      <c r="Q129" s="50"/>
    </row>
    <row r="130" spans="1:23" x14ac:dyDescent="0.2">
      <c r="A130" s="14" t="s">
        <v>756</v>
      </c>
      <c r="C130" s="67">
        <v>0.5</v>
      </c>
      <c r="D130" s="67">
        <v>0.5</v>
      </c>
      <c r="E130" s="67">
        <v>0.5</v>
      </c>
      <c r="F130" s="67">
        <v>0.5</v>
      </c>
      <c r="G130" s="67">
        <v>0.5</v>
      </c>
      <c r="H130" s="67">
        <v>0.5</v>
      </c>
      <c r="I130" s="67">
        <v>0.5</v>
      </c>
      <c r="J130" s="67">
        <v>0.5</v>
      </c>
      <c r="K130" s="67">
        <v>0.5</v>
      </c>
      <c r="L130" s="67">
        <v>0.5</v>
      </c>
      <c r="M130" s="67">
        <v>0.5</v>
      </c>
      <c r="N130" s="67">
        <v>0.5</v>
      </c>
      <c r="O130" s="67"/>
      <c r="Q130" s="37"/>
    </row>
    <row r="131" spans="1:23" x14ac:dyDescent="0.2">
      <c r="A131" s="14" t="s">
        <v>757</v>
      </c>
      <c r="C131" s="50"/>
      <c r="D131" s="50"/>
      <c r="E131" s="50"/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/>
      <c r="L131" s="50"/>
      <c r="M131" s="50"/>
      <c r="N131" s="50"/>
      <c r="O131" s="50">
        <f>SUM(C131:N131)</f>
        <v>0</v>
      </c>
      <c r="Q131" s="37">
        <f>MAX(C131:N131)</f>
        <v>0</v>
      </c>
    </row>
    <row r="132" spans="1:23" x14ac:dyDescent="0.2">
      <c r="A132" s="14" t="s">
        <v>681</v>
      </c>
      <c r="C132" s="67">
        <v>1</v>
      </c>
      <c r="D132" s="67">
        <v>1</v>
      </c>
      <c r="E132" s="67">
        <v>1</v>
      </c>
      <c r="F132" s="67">
        <v>0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1</v>
      </c>
      <c r="M132" s="67">
        <v>1</v>
      </c>
      <c r="N132" s="67">
        <v>1</v>
      </c>
      <c r="O132" s="67"/>
      <c r="P132" s="50"/>
      <c r="Q132" s="37"/>
    </row>
    <row r="133" spans="1:23" x14ac:dyDescent="0.2">
      <c r="A133" s="14" t="s">
        <v>682</v>
      </c>
      <c r="C133" s="50">
        <f t="shared" ref="C133:N133" si="127">C131*C132</f>
        <v>0</v>
      </c>
      <c r="D133" s="50">
        <f t="shared" si="127"/>
        <v>0</v>
      </c>
      <c r="E133" s="50">
        <f t="shared" si="127"/>
        <v>0</v>
      </c>
      <c r="F133" s="50">
        <f t="shared" si="127"/>
        <v>0</v>
      </c>
      <c r="G133" s="50">
        <f t="shared" si="127"/>
        <v>0</v>
      </c>
      <c r="H133" s="50">
        <f t="shared" si="127"/>
        <v>0</v>
      </c>
      <c r="I133" s="50">
        <f t="shared" si="127"/>
        <v>0</v>
      </c>
      <c r="J133" s="50">
        <f t="shared" si="127"/>
        <v>0</v>
      </c>
      <c r="K133" s="50">
        <f t="shared" si="127"/>
        <v>0</v>
      </c>
      <c r="L133" s="50">
        <f t="shared" si="127"/>
        <v>0</v>
      </c>
      <c r="M133" s="50">
        <f t="shared" si="127"/>
        <v>0</v>
      </c>
      <c r="N133" s="50">
        <f t="shared" si="127"/>
        <v>0</v>
      </c>
      <c r="O133" s="50">
        <f>SUM(C133:N133)</f>
        <v>0</v>
      </c>
      <c r="P133" s="50"/>
      <c r="Q133" s="37"/>
      <c r="R133" s="37">
        <f>O133</f>
        <v>0</v>
      </c>
      <c r="S133" s="37">
        <f>H133+I133+J133</f>
        <v>0</v>
      </c>
      <c r="T133" s="37">
        <f>R133-S133</f>
        <v>0</v>
      </c>
    </row>
    <row r="134" spans="1:23" x14ac:dyDescent="0.2">
      <c r="A134" s="14" t="s">
        <v>758</v>
      </c>
      <c r="C134" s="67">
        <v>0.5</v>
      </c>
      <c r="D134" s="67">
        <v>0.5</v>
      </c>
      <c r="E134" s="67">
        <v>0.5</v>
      </c>
      <c r="F134" s="67">
        <v>0.5</v>
      </c>
      <c r="G134" s="67">
        <v>0.5</v>
      </c>
      <c r="H134" s="67">
        <v>0.5</v>
      </c>
      <c r="I134" s="67">
        <v>0.5</v>
      </c>
      <c r="J134" s="67">
        <v>0.5</v>
      </c>
      <c r="K134" s="67">
        <v>0.5</v>
      </c>
      <c r="L134" s="67">
        <v>0.5</v>
      </c>
      <c r="M134" s="67">
        <v>0.5</v>
      </c>
      <c r="N134" s="67">
        <v>0.5</v>
      </c>
      <c r="O134" s="67"/>
      <c r="P134" s="132"/>
      <c r="Q134" s="132"/>
      <c r="U134" s="124"/>
      <c r="W134" s="124"/>
    </row>
    <row r="135" spans="1:23" x14ac:dyDescent="0.2">
      <c r="A135" s="14" t="s">
        <v>759</v>
      </c>
      <c r="C135" s="50">
        <f>C129/C134</f>
        <v>4018.9865591397847</v>
      </c>
      <c r="D135" s="50">
        <f t="shared" ref="D135:N135" si="128">D129/D134</f>
        <v>4152.9527777777776</v>
      </c>
      <c r="E135" s="50">
        <f t="shared" si="128"/>
        <v>4018.9865591397847</v>
      </c>
      <c r="F135" s="50">
        <f t="shared" si="128"/>
        <v>4152.9527777777776</v>
      </c>
      <c r="G135" s="50">
        <f t="shared" si="128"/>
        <v>4018.9865591397847</v>
      </c>
      <c r="H135" s="50">
        <f t="shared" si="128"/>
        <v>4018.9865591397847</v>
      </c>
      <c r="I135" s="50">
        <f t="shared" si="128"/>
        <v>4449.5922619047615</v>
      </c>
      <c r="J135" s="50">
        <f t="shared" si="128"/>
        <v>4018.9865591397847</v>
      </c>
      <c r="K135" s="50">
        <f t="shared" si="128"/>
        <v>4152.9527777777776</v>
      </c>
      <c r="L135" s="50">
        <f t="shared" si="128"/>
        <v>4018.9865591397847</v>
      </c>
      <c r="M135" s="50">
        <f t="shared" si="128"/>
        <v>4152.9527777777776</v>
      </c>
      <c r="N135" s="50">
        <f t="shared" si="128"/>
        <v>4018.9865591397847</v>
      </c>
      <c r="O135" s="50">
        <f>SUM(C135:N135)</f>
        <v>49194.309286994358</v>
      </c>
      <c r="P135" s="50">
        <f>MAX(C135:N135)</f>
        <v>4449.5922619047615</v>
      </c>
      <c r="Q135" s="50"/>
    </row>
    <row r="136" spans="1:23" x14ac:dyDescent="0.2">
      <c r="L136" s="50"/>
    </row>
    <row r="137" spans="1:23" hidden="1" x14ac:dyDescent="0.2">
      <c r="A137" s="15">
        <f>A18</f>
        <v>0</v>
      </c>
      <c r="B137" s="16">
        <f>B18</f>
        <v>0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37"/>
    </row>
    <row r="138" spans="1:23" hidden="1" x14ac:dyDescent="0.2">
      <c r="A138" s="14" t="s">
        <v>679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f>SUM(C138:N138)</f>
        <v>0</v>
      </c>
      <c r="P138" s="132"/>
      <c r="Q138" s="132"/>
      <c r="U138" s="124"/>
      <c r="W138" s="124"/>
    </row>
    <row r="139" spans="1:23" hidden="1" x14ac:dyDescent="0.2">
      <c r="A139" s="14" t="s">
        <v>680</v>
      </c>
      <c r="C139" s="50">
        <f>C138/744</f>
        <v>0</v>
      </c>
      <c r="D139" s="48">
        <f>D138/720</f>
        <v>0</v>
      </c>
      <c r="E139" s="50">
        <f t="shared" ref="E139:N139" si="129">E138/744</f>
        <v>0</v>
      </c>
      <c r="F139" s="50">
        <f>F138/720</f>
        <v>0</v>
      </c>
      <c r="G139" s="50">
        <f t="shared" si="129"/>
        <v>0</v>
      </c>
      <c r="H139" s="48">
        <f>H138/744</f>
        <v>0</v>
      </c>
      <c r="I139" s="48">
        <f>I138/672</f>
        <v>0</v>
      </c>
      <c r="J139" s="50">
        <f t="shared" si="129"/>
        <v>0</v>
      </c>
      <c r="K139" s="50">
        <f>K138/720</f>
        <v>0</v>
      </c>
      <c r="L139" s="50">
        <f t="shared" si="129"/>
        <v>0</v>
      </c>
      <c r="M139" s="50">
        <f>M138/720</f>
        <v>0</v>
      </c>
      <c r="N139" s="50">
        <f t="shared" si="129"/>
        <v>0</v>
      </c>
      <c r="O139" s="50">
        <f>O138/8760</f>
        <v>0</v>
      </c>
      <c r="P139" s="50"/>
      <c r="Q139" s="50"/>
    </row>
    <row r="140" spans="1:23" hidden="1" x14ac:dyDescent="0.2">
      <c r="A140" s="14" t="s">
        <v>756</v>
      </c>
      <c r="C140" s="67">
        <v>0</v>
      </c>
      <c r="D140" s="67">
        <v>0</v>
      </c>
      <c r="E140" s="67">
        <v>0</v>
      </c>
      <c r="F140" s="67">
        <v>0.25</v>
      </c>
      <c r="G140" s="67">
        <v>0.25</v>
      </c>
      <c r="H140" s="67">
        <v>0.25</v>
      </c>
      <c r="I140" s="67">
        <v>0.25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/>
      <c r="Q140" s="37"/>
    </row>
    <row r="141" spans="1:23" hidden="1" x14ac:dyDescent="0.2">
      <c r="A141" s="14" t="s">
        <v>757</v>
      </c>
      <c r="C141" s="50"/>
      <c r="D141" s="50"/>
      <c r="E141" s="50"/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/>
      <c r="L141" s="50"/>
      <c r="M141" s="50"/>
      <c r="N141" s="50"/>
      <c r="O141" s="50">
        <f>SUM(C141:N141)</f>
        <v>0</v>
      </c>
      <c r="Q141" s="37">
        <f>MAX(C141:N141)</f>
        <v>0</v>
      </c>
    </row>
    <row r="142" spans="1:23" hidden="1" x14ac:dyDescent="0.2">
      <c r="A142" s="14" t="s">
        <v>681</v>
      </c>
      <c r="C142" s="67">
        <v>1</v>
      </c>
      <c r="D142" s="67">
        <v>1</v>
      </c>
      <c r="E142" s="67">
        <v>1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1</v>
      </c>
      <c r="M142" s="67">
        <v>1</v>
      </c>
      <c r="N142" s="67">
        <v>1</v>
      </c>
      <c r="O142" s="67"/>
      <c r="P142" s="50"/>
      <c r="Q142" s="37"/>
    </row>
    <row r="143" spans="1:23" hidden="1" x14ac:dyDescent="0.2">
      <c r="A143" s="14" t="s">
        <v>682</v>
      </c>
      <c r="C143" s="50">
        <f t="shared" ref="C143:N143" si="130">C141*C142</f>
        <v>0</v>
      </c>
      <c r="D143" s="50">
        <f t="shared" si="130"/>
        <v>0</v>
      </c>
      <c r="E143" s="50">
        <f t="shared" si="130"/>
        <v>0</v>
      </c>
      <c r="F143" s="50">
        <f t="shared" si="130"/>
        <v>0</v>
      </c>
      <c r="G143" s="50">
        <f t="shared" si="130"/>
        <v>0</v>
      </c>
      <c r="H143" s="50">
        <f t="shared" si="130"/>
        <v>0</v>
      </c>
      <c r="I143" s="50">
        <f t="shared" si="130"/>
        <v>0</v>
      </c>
      <c r="J143" s="50">
        <f t="shared" si="130"/>
        <v>0</v>
      </c>
      <c r="K143" s="50">
        <f t="shared" si="130"/>
        <v>0</v>
      </c>
      <c r="L143" s="50">
        <f t="shared" si="130"/>
        <v>0</v>
      </c>
      <c r="M143" s="50">
        <f t="shared" si="130"/>
        <v>0</v>
      </c>
      <c r="N143" s="50">
        <f t="shared" si="130"/>
        <v>0</v>
      </c>
      <c r="O143" s="50">
        <f>SUM(C143:N143)</f>
        <v>0</v>
      </c>
      <c r="P143" s="50"/>
      <c r="Q143" s="37"/>
      <c r="R143" s="37">
        <f>O143</f>
        <v>0</v>
      </c>
      <c r="S143" s="37">
        <f>H143+I143+J143</f>
        <v>0</v>
      </c>
      <c r="T143" s="37">
        <f>R143-S143</f>
        <v>0</v>
      </c>
    </row>
    <row r="144" spans="1:23" hidden="1" x14ac:dyDescent="0.2">
      <c r="A144" s="14" t="s">
        <v>758</v>
      </c>
      <c r="C144" s="67">
        <v>0.65</v>
      </c>
      <c r="D144" s="67">
        <v>0.65</v>
      </c>
      <c r="E144" s="67">
        <v>0.65</v>
      </c>
      <c r="F144" s="67">
        <v>0.65</v>
      </c>
      <c r="G144" s="67">
        <v>0.65</v>
      </c>
      <c r="H144" s="67">
        <v>0.65</v>
      </c>
      <c r="I144" s="67">
        <v>0.65</v>
      </c>
      <c r="J144" s="67">
        <v>0.65</v>
      </c>
      <c r="K144" s="67">
        <v>0.65</v>
      </c>
      <c r="L144" s="67">
        <v>0.65</v>
      </c>
      <c r="M144" s="67">
        <v>0.65</v>
      </c>
      <c r="N144" s="67">
        <v>0.65</v>
      </c>
      <c r="O144" s="67"/>
      <c r="P144" s="132"/>
      <c r="Q144" s="132"/>
      <c r="U144" s="124"/>
      <c r="W144" s="124"/>
    </row>
    <row r="145" spans="1:23" hidden="1" x14ac:dyDescent="0.2">
      <c r="A145" s="14" t="s">
        <v>759</v>
      </c>
      <c r="C145" s="50">
        <f>C139/C144</f>
        <v>0</v>
      </c>
      <c r="D145" s="50">
        <f t="shared" ref="D145:N145" si="131">D139/D144</f>
        <v>0</v>
      </c>
      <c r="E145" s="50">
        <f t="shared" si="131"/>
        <v>0</v>
      </c>
      <c r="F145" s="50">
        <f t="shared" si="131"/>
        <v>0</v>
      </c>
      <c r="G145" s="50">
        <f t="shared" si="131"/>
        <v>0</v>
      </c>
      <c r="H145" s="50">
        <f t="shared" si="131"/>
        <v>0</v>
      </c>
      <c r="I145" s="50">
        <f t="shared" si="131"/>
        <v>0</v>
      </c>
      <c r="J145" s="50">
        <f t="shared" si="131"/>
        <v>0</v>
      </c>
      <c r="K145" s="50">
        <f t="shared" si="131"/>
        <v>0</v>
      </c>
      <c r="L145" s="50">
        <f t="shared" si="131"/>
        <v>0</v>
      </c>
      <c r="M145" s="50">
        <f t="shared" si="131"/>
        <v>0</v>
      </c>
      <c r="N145" s="50">
        <f t="shared" si="131"/>
        <v>0</v>
      </c>
      <c r="O145" s="50">
        <f>SUM(C145:N145)</f>
        <v>0</v>
      </c>
      <c r="P145" s="50">
        <f>MAX(C145:N145)</f>
        <v>0</v>
      </c>
      <c r="Q145" s="50"/>
    </row>
    <row r="146" spans="1:23" hidden="1" x14ac:dyDescent="0.2"/>
    <row r="147" spans="1:23" hidden="1" x14ac:dyDescent="0.2">
      <c r="A147" s="15">
        <f>A19</f>
        <v>0</v>
      </c>
      <c r="B147" s="16">
        <f>B19</f>
        <v>0</v>
      </c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37"/>
    </row>
    <row r="148" spans="1:23" hidden="1" x14ac:dyDescent="0.2">
      <c r="A148" s="14" t="s">
        <v>679</v>
      </c>
      <c r="C148" s="50">
        <v>0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f>SUM(C148:N148)</f>
        <v>0</v>
      </c>
      <c r="P148" s="132"/>
      <c r="Q148" s="132"/>
      <c r="U148" s="124"/>
      <c r="W148" s="124"/>
    </row>
    <row r="149" spans="1:23" hidden="1" x14ac:dyDescent="0.2">
      <c r="A149" s="14" t="s">
        <v>680</v>
      </c>
      <c r="C149" s="50">
        <f>C148/744</f>
        <v>0</v>
      </c>
      <c r="D149" s="48">
        <f>D148/720</f>
        <v>0</v>
      </c>
      <c r="E149" s="50">
        <f t="shared" ref="E149:N149" si="132">E148/744</f>
        <v>0</v>
      </c>
      <c r="F149" s="50">
        <f>F148/720</f>
        <v>0</v>
      </c>
      <c r="G149" s="50">
        <f t="shared" si="132"/>
        <v>0</v>
      </c>
      <c r="H149" s="48">
        <f>H148/744</f>
        <v>0</v>
      </c>
      <c r="I149" s="48">
        <f>I148/672</f>
        <v>0</v>
      </c>
      <c r="J149" s="50">
        <f t="shared" si="132"/>
        <v>0</v>
      </c>
      <c r="K149" s="50">
        <f>K148/720</f>
        <v>0</v>
      </c>
      <c r="L149" s="50">
        <f t="shared" si="132"/>
        <v>0</v>
      </c>
      <c r="M149" s="50">
        <f>M148/720</f>
        <v>0</v>
      </c>
      <c r="N149" s="50">
        <f t="shared" si="132"/>
        <v>0</v>
      </c>
      <c r="O149" s="50">
        <f>O148/8760</f>
        <v>0</v>
      </c>
      <c r="P149" s="50"/>
      <c r="Q149" s="50"/>
    </row>
    <row r="150" spans="1:23" hidden="1" x14ac:dyDescent="0.2">
      <c r="A150" s="14" t="s">
        <v>756</v>
      </c>
      <c r="C150" s="67">
        <v>0</v>
      </c>
      <c r="D150" s="67">
        <v>0</v>
      </c>
      <c r="E150" s="67">
        <v>0</v>
      </c>
      <c r="F150" s="67">
        <v>0.25</v>
      </c>
      <c r="G150" s="67">
        <v>0.25</v>
      </c>
      <c r="H150" s="67">
        <v>0.25</v>
      </c>
      <c r="I150" s="67">
        <v>0.25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/>
      <c r="Q150" s="37"/>
    </row>
    <row r="151" spans="1:23" hidden="1" x14ac:dyDescent="0.2">
      <c r="A151" s="14" t="s">
        <v>757</v>
      </c>
      <c r="C151" s="50"/>
      <c r="D151" s="50"/>
      <c r="E151" s="50"/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50"/>
      <c r="L151" s="50"/>
      <c r="M151" s="50"/>
      <c r="N151" s="50"/>
      <c r="O151" s="50">
        <f>SUM(C151:N151)</f>
        <v>0</v>
      </c>
      <c r="Q151" s="37">
        <f>MAX(C151:N151)</f>
        <v>0</v>
      </c>
    </row>
    <row r="152" spans="1:23" hidden="1" x14ac:dyDescent="0.2">
      <c r="A152" s="14" t="s">
        <v>681</v>
      </c>
      <c r="C152" s="67">
        <v>1</v>
      </c>
      <c r="D152" s="67">
        <v>1</v>
      </c>
      <c r="E152" s="67">
        <v>1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67">
        <v>0</v>
      </c>
      <c r="L152" s="67">
        <v>1</v>
      </c>
      <c r="M152" s="67">
        <v>1</v>
      </c>
      <c r="N152" s="67">
        <v>1</v>
      </c>
      <c r="O152" s="67"/>
      <c r="P152" s="50"/>
      <c r="Q152" s="37"/>
    </row>
    <row r="153" spans="1:23" hidden="1" x14ac:dyDescent="0.2">
      <c r="A153" s="14" t="s">
        <v>682</v>
      </c>
      <c r="C153" s="50">
        <f t="shared" ref="C153:N153" si="133">C151*C152</f>
        <v>0</v>
      </c>
      <c r="D153" s="50">
        <f t="shared" si="133"/>
        <v>0</v>
      </c>
      <c r="E153" s="50">
        <f t="shared" si="133"/>
        <v>0</v>
      </c>
      <c r="F153" s="50">
        <f t="shared" si="133"/>
        <v>0</v>
      </c>
      <c r="G153" s="50">
        <f t="shared" si="133"/>
        <v>0</v>
      </c>
      <c r="H153" s="50">
        <f t="shared" si="133"/>
        <v>0</v>
      </c>
      <c r="I153" s="50">
        <f t="shared" si="133"/>
        <v>0</v>
      </c>
      <c r="J153" s="50">
        <f t="shared" si="133"/>
        <v>0</v>
      </c>
      <c r="K153" s="50">
        <f t="shared" si="133"/>
        <v>0</v>
      </c>
      <c r="L153" s="50">
        <f t="shared" si="133"/>
        <v>0</v>
      </c>
      <c r="M153" s="50">
        <f t="shared" si="133"/>
        <v>0</v>
      </c>
      <c r="N153" s="50">
        <f t="shared" si="133"/>
        <v>0</v>
      </c>
      <c r="O153" s="50">
        <f>SUM(C153:N153)</f>
        <v>0</v>
      </c>
      <c r="P153" s="50"/>
      <c r="Q153" s="37"/>
      <c r="R153" s="37">
        <f>O153</f>
        <v>0</v>
      </c>
      <c r="S153" s="37">
        <f>H153+I153+J153</f>
        <v>0</v>
      </c>
      <c r="T153" s="37">
        <f>R153-S153</f>
        <v>0</v>
      </c>
    </row>
    <row r="154" spans="1:23" hidden="1" x14ac:dyDescent="0.2">
      <c r="A154" s="14" t="s">
        <v>758</v>
      </c>
      <c r="C154" s="67">
        <v>0.65</v>
      </c>
      <c r="D154" s="67">
        <v>0.65</v>
      </c>
      <c r="E154" s="67">
        <v>0.65</v>
      </c>
      <c r="F154" s="67">
        <v>0.65</v>
      </c>
      <c r="G154" s="67">
        <v>0.65</v>
      </c>
      <c r="H154" s="67">
        <v>0.65</v>
      </c>
      <c r="I154" s="67">
        <v>0.65</v>
      </c>
      <c r="J154" s="67">
        <v>0.65</v>
      </c>
      <c r="K154" s="67">
        <v>0.65</v>
      </c>
      <c r="L154" s="67">
        <v>0.65</v>
      </c>
      <c r="M154" s="67">
        <v>0.65</v>
      </c>
      <c r="N154" s="67">
        <v>0.65</v>
      </c>
      <c r="O154" s="67"/>
      <c r="P154" s="132"/>
      <c r="Q154" s="132"/>
      <c r="U154" s="124"/>
      <c r="W154" s="124"/>
    </row>
    <row r="155" spans="1:23" hidden="1" x14ac:dyDescent="0.2">
      <c r="A155" s="14" t="s">
        <v>759</v>
      </c>
      <c r="C155" s="50">
        <f>C149/C154</f>
        <v>0</v>
      </c>
      <c r="D155" s="50">
        <f t="shared" ref="D155:N155" si="134">D149/D154</f>
        <v>0</v>
      </c>
      <c r="E155" s="50">
        <f t="shared" si="134"/>
        <v>0</v>
      </c>
      <c r="F155" s="50">
        <f t="shared" si="134"/>
        <v>0</v>
      </c>
      <c r="G155" s="50">
        <f t="shared" si="134"/>
        <v>0</v>
      </c>
      <c r="H155" s="50">
        <f t="shared" si="134"/>
        <v>0</v>
      </c>
      <c r="I155" s="50">
        <f t="shared" si="134"/>
        <v>0</v>
      </c>
      <c r="J155" s="50">
        <f t="shared" si="134"/>
        <v>0</v>
      </c>
      <c r="K155" s="50">
        <f t="shared" si="134"/>
        <v>0</v>
      </c>
      <c r="L155" s="50">
        <f t="shared" si="134"/>
        <v>0</v>
      </c>
      <c r="M155" s="50">
        <f t="shared" si="134"/>
        <v>0</v>
      </c>
      <c r="N155" s="50">
        <f t="shared" si="134"/>
        <v>0</v>
      </c>
      <c r="O155" s="50">
        <f>SUM(C155:N155)</f>
        <v>0</v>
      </c>
      <c r="P155" s="50">
        <f>MAX(C155:N155)</f>
        <v>0</v>
      </c>
      <c r="Q155" s="50"/>
    </row>
    <row r="156" spans="1:23" hidden="1" x14ac:dyDescent="0.2"/>
    <row r="157" spans="1:23" hidden="1" x14ac:dyDescent="0.2">
      <c r="A157" s="15">
        <f>A20</f>
        <v>0</v>
      </c>
      <c r="B157" s="16">
        <f>B20</f>
        <v>0</v>
      </c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37"/>
    </row>
    <row r="158" spans="1:23" hidden="1" x14ac:dyDescent="0.2">
      <c r="A158" s="14" t="s">
        <v>679</v>
      </c>
      <c r="C158" s="50">
        <v>0</v>
      </c>
      <c r="D158" s="50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f>SUM(C158:N158)</f>
        <v>0</v>
      </c>
      <c r="P158" s="132"/>
      <c r="Q158" s="132"/>
      <c r="U158" s="124"/>
      <c r="W158" s="124"/>
    </row>
    <row r="159" spans="1:23" hidden="1" x14ac:dyDescent="0.2">
      <c r="A159" s="14" t="s">
        <v>680</v>
      </c>
      <c r="C159" s="50">
        <f>C158/744</f>
        <v>0</v>
      </c>
      <c r="D159" s="48">
        <f>D158/720</f>
        <v>0</v>
      </c>
      <c r="E159" s="50">
        <f t="shared" ref="E159:N159" si="135">E158/744</f>
        <v>0</v>
      </c>
      <c r="F159" s="50">
        <f>F158/720</f>
        <v>0</v>
      </c>
      <c r="G159" s="50">
        <f t="shared" si="135"/>
        <v>0</v>
      </c>
      <c r="H159" s="48">
        <f>H158/744</f>
        <v>0</v>
      </c>
      <c r="I159" s="48">
        <f>I158/672</f>
        <v>0</v>
      </c>
      <c r="J159" s="50">
        <f t="shared" si="135"/>
        <v>0</v>
      </c>
      <c r="K159" s="50">
        <f>K158/720</f>
        <v>0</v>
      </c>
      <c r="L159" s="50">
        <f t="shared" si="135"/>
        <v>0</v>
      </c>
      <c r="M159" s="50">
        <f>M158/720</f>
        <v>0</v>
      </c>
      <c r="N159" s="50">
        <f t="shared" si="135"/>
        <v>0</v>
      </c>
      <c r="O159" s="50">
        <f>O158/8760</f>
        <v>0</v>
      </c>
      <c r="P159" s="50"/>
      <c r="Q159" s="50"/>
    </row>
    <row r="160" spans="1:23" hidden="1" x14ac:dyDescent="0.2">
      <c r="A160" s="14" t="s">
        <v>756</v>
      </c>
      <c r="C160" s="67">
        <v>0</v>
      </c>
      <c r="D160" s="67">
        <v>0</v>
      </c>
      <c r="E160" s="67">
        <v>0</v>
      </c>
      <c r="F160" s="67">
        <v>0.25</v>
      </c>
      <c r="G160" s="67">
        <v>0.25</v>
      </c>
      <c r="H160" s="67">
        <v>0.25</v>
      </c>
      <c r="I160" s="67">
        <v>0.25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  <c r="O160" s="67"/>
      <c r="Q160" s="37"/>
    </row>
    <row r="161" spans="1:23" hidden="1" x14ac:dyDescent="0.2">
      <c r="A161" s="14" t="s">
        <v>757</v>
      </c>
      <c r="C161" s="50"/>
      <c r="D161" s="50"/>
      <c r="E161" s="50"/>
      <c r="F161" s="50">
        <v>0</v>
      </c>
      <c r="G161" s="50">
        <v>0</v>
      </c>
      <c r="H161" s="50">
        <v>0</v>
      </c>
      <c r="I161" s="50">
        <v>0</v>
      </c>
      <c r="J161" s="50">
        <v>0</v>
      </c>
      <c r="K161" s="50"/>
      <c r="L161" s="50"/>
      <c r="M161" s="50"/>
      <c r="N161" s="50"/>
      <c r="O161" s="50">
        <f>SUM(C161:N161)</f>
        <v>0</v>
      </c>
      <c r="Q161" s="37">
        <f>MAX(C161:N161)</f>
        <v>0</v>
      </c>
    </row>
    <row r="162" spans="1:23" hidden="1" x14ac:dyDescent="0.2">
      <c r="A162" s="14" t="s">
        <v>681</v>
      </c>
      <c r="C162" s="67">
        <v>1</v>
      </c>
      <c r="D162" s="67">
        <v>1</v>
      </c>
      <c r="E162" s="67">
        <v>1</v>
      </c>
      <c r="F162" s="67">
        <v>0</v>
      </c>
      <c r="G162" s="67">
        <v>0</v>
      </c>
      <c r="H162" s="67">
        <v>0</v>
      </c>
      <c r="I162" s="67">
        <v>0</v>
      </c>
      <c r="J162" s="67">
        <v>0</v>
      </c>
      <c r="K162" s="67">
        <v>0</v>
      </c>
      <c r="L162" s="67">
        <v>1</v>
      </c>
      <c r="M162" s="67">
        <v>1</v>
      </c>
      <c r="N162" s="67">
        <v>1</v>
      </c>
      <c r="O162" s="67"/>
      <c r="P162" s="50"/>
      <c r="Q162" s="37"/>
    </row>
    <row r="163" spans="1:23" hidden="1" x14ac:dyDescent="0.2">
      <c r="A163" s="14" t="s">
        <v>682</v>
      </c>
      <c r="C163" s="50">
        <f t="shared" ref="C163:N163" si="136">C161*C162</f>
        <v>0</v>
      </c>
      <c r="D163" s="50">
        <f t="shared" si="136"/>
        <v>0</v>
      </c>
      <c r="E163" s="50">
        <f t="shared" si="136"/>
        <v>0</v>
      </c>
      <c r="F163" s="50">
        <f t="shared" si="136"/>
        <v>0</v>
      </c>
      <c r="G163" s="50">
        <f t="shared" si="136"/>
        <v>0</v>
      </c>
      <c r="H163" s="50">
        <f t="shared" si="136"/>
        <v>0</v>
      </c>
      <c r="I163" s="50">
        <f t="shared" si="136"/>
        <v>0</v>
      </c>
      <c r="J163" s="50">
        <f t="shared" si="136"/>
        <v>0</v>
      </c>
      <c r="K163" s="50">
        <f t="shared" si="136"/>
        <v>0</v>
      </c>
      <c r="L163" s="50">
        <f t="shared" si="136"/>
        <v>0</v>
      </c>
      <c r="M163" s="50">
        <f t="shared" si="136"/>
        <v>0</v>
      </c>
      <c r="N163" s="50">
        <f t="shared" si="136"/>
        <v>0</v>
      </c>
      <c r="O163" s="50">
        <f>SUM(C163:N163)</f>
        <v>0</v>
      </c>
      <c r="P163" s="50"/>
      <c r="Q163" s="37"/>
      <c r="R163" s="37">
        <f>O163</f>
        <v>0</v>
      </c>
      <c r="S163" s="37">
        <f>H163+I163+J163</f>
        <v>0</v>
      </c>
      <c r="T163" s="37">
        <f>R163-S163</f>
        <v>0</v>
      </c>
    </row>
    <row r="164" spans="1:23" hidden="1" x14ac:dyDescent="0.2">
      <c r="A164" s="14" t="s">
        <v>758</v>
      </c>
      <c r="C164" s="67">
        <v>0.65</v>
      </c>
      <c r="D164" s="67">
        <v>0.65</v>
      </c>
      <c r="E164" s="67">
        <v>0.65</v>
      </c>
      <c r="F164" s="67">
        <v>0.65</v>
      </c>
      <c r="G164" s="67">
        <v>0.65</v>
      </c>
      <c r="H164" s="67">
        <v>0.65</v>
      </c>
      <c r="I164" s="67">
        <v>0.65</v>
      </c>
      <c r="J164" s="67">
        <v>0.65</v>
      </c>
      <c r="K164" s="67">
        <v>0.65</v>
      </c>
      <c r="L164" s="67">
        <v>0.65</v>
      </c>
      <c r="M164" s="67">
        <v>0.65</v>
      </c>
      <c r="N164" s="67">
        <v>0.65</v>
      </c>
      <c r="O164" s="67"/>
      <c r="P164" s="132"/>
      <c r="Q164" s="132"/>
      <c r="U164" s="124"/>
      <c r="W164" s="124"/>
    </row>
    <row r="165" spans="1:23" hidden="1" x14ac:dyDescent="0.2">
      <c r="A165" s="14" t="s">
        <v>759</v>
      </c>
      <c r="C165" s="50">
        <f>C159/C164</f>
        <v>0</v>
      </c>
      <c r="D165" s="50">
        <f t="shared" ref="D165:N165" si="137">D159/D164</f>
        <v>0</v>
      </c>
      <c r="E165" s="50">
        <f t="shared" si="137"/>
        <v>0</v>
      </c>
      <c r="F165" s="50">
        <f t="shared" si="137"/>
        <v>0</v>
      </c>
      <c r="G165" s="50">
        <f t="shared" si="137"/>
        <v>0</v>
      </c>
      <c r="H165" s="50">
        <f t="shared" si="137"/>
        <v>0</v>
      </c>
      <c r="I165" s="50">
        <f t="shared" si="137"/>
        <v>0</v>
      </c>
      <c r="J165" s="50">
        <f t="shared" si="137"/>
        <v>0</v>
      </c>
      <c r="K165" s="50">
        <f t="shared" si="137"/>
        <v>0</v>
      </c>
      <c r="L165" s="50">
        <f t="shared" si="137"/>
        <v>0</v>
      </c>
      <c r="M165" s="50">
        <f t="shared" si="137"/>
        <v>0</v>
      </c>
      <c r="N165" s="50">
        <f t="shared" si="137"/>
        <v>0</v>
      </c>
      <c r="O165" s="50">
        <f>SUM(C165:N165)</f>
        <v>0</v>
      </c>
      <c r="P165" s="50">
        <f>MAX(C165:N165)</f>
        <v>0</v>
      </c>
      <c r="Q165" s="50"/>
    </row>
    <row r="166" spans="1:23" ht="15.75" hidden="1" customHeight="1" x14ac:dyDescent="0.2"/>
    <row r="167" spans="1:23" hidden="1" x14ac:dyDescent="0.2">
      <c r="A167" s="15">
        <f>A21</f>
        <v>0</v>
      </c>
      <c r="B167" s="16">
        <f>B21</f>
        <v>0</v>
      </c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37"/>
    </row>
    <row r="168" spans="1:23" hidden="1" x14ac:dyDescent="0.2">
      <c r="A168" s="14" t="s">
        <v>679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f>SUM(C168:N168)</f>
        <v>0</v>
      </c>
      <c r="P168" s="132"/>
      <c r="Q168" s="132"/>
      <c r="U168" s="124"/>
      <c r="W168" s="124"/>
    </row>
    <row r="169" spans="1:23" hidden="1" x14ac:dyDescent="0.2">
      <c r="A169" s="14" t="s">
        <v>680</v>
      </c>
      <c r="C169" s="50">
        <f>C168/744</f>
        <v>0</v>
      </c>
      <c r="D169" s="48">
        <f>D168/720</f>
        <v>0</v>
      </c>
      <c r="E169" s="50">
        <f t="shared" ref="E169:N169" si="138">E168/744</f>
        <v>0</v>
      </c>
      <c r="F169" s="50">
        <f>F168/720</f>
        <v>0</v>
      </c>
      <c r="G169" s="50">
        <f t="shared" si="138"/>
        <v>0</v>
      </c>
      <c r="H169" s="48">
        <f>H168/744</f>
        <v>0</v>
      </c>
      <c r="I169" s="48">
        <f>I168/672</f>
        <v>0</v>
      </c>
      <c r="J169" s="50">
        <f t="shared" si="138"/>
        <v>0</v>
      </c>
      <c r="K169" s="50">
        <f>K168/720</f>
        <v>0</v>
      </c>
      <c r="L169" s="50">
        <f t="shared" si="138"/>
        <v>0</v>
      </c>
      <c r="M169" s="50">
        <f>M168/720</f>
        <v>0</v>
      </c>
      <c r="N169" s="50">
        <f t="shared" si="138"/>
        <v>0</v>
      </c>
      <c r="O169" s="50">
        <f>O168/8760</f>
        <v>0</v>
      </c>
      <c r="P169" s="50"/>
      <c r="Q169" s="50"/>
    </row>
    <row r="170" spans="1:23" hidden="1" x14ac:dyDescent="0.2">
      <c r="A170" s="14" t="s">
        <v>756</v>
      </c>
      <c r="C170" s="67">
        <v>0</v>
      </c>
      <c r="D170" s="67">
        <v>0</v>
      </c>
      <c r="E170" s="67">
        <v>0</v>
      </c>
      <c r="F170" s="67">
        <v>0.25</v>
      </c>
      <c r="G170" s="67">
        <v>0.25</v>
      </c>
      <c r="H170" s="67">
        <v>0.25</v>
      </c>
      <c r="I170" s="67">
        <v>0.25</v>
      </c>
      <c r="J170" s="67">
        <v>0</v>
      </c>
      <c r="K170" s="67">
        <v>0</v>
      </c>
      <c r="L170" s="67">
        <v>0</v>
      </c>
      <c r="M170" s="67">
        <v>0</v>
      </c>
      <c r="N170" s="67">
        <v>0</v>
      </c>
      <c r="O170" s="67"/>
      <c r="Q170" s="37"/>
    </row>
    <row r="171" spans="1:23" hidden="1" x14ac:dyDescent="0.2">
      <c r="A171" s="14" t="s">
        <v>757</v>
      </c>
      <c r="C171" s="50"/>
      <c r="D171" s="50"/>
      <c r="E171" s="50"/>
      <c r="F171" s="50">
        <v>0</v>
      </c>
      <c r="G171" s="50">
        <v>0</v>
      </c>
      <c r="H171" s="50">
        <v>0</v>
      </c>
      <c r="I171" s="50">
        <v>0</v>
      </c>
      <c r="J171" s="50">
        <v>0</v>
      </c>
      <c r="K171" s="50"/>
      <c r="L171" s="50"/>
      <c r="M171" s="50"/>
      <c r="N171" s="50"/>
      <c r="O171" s="50">
        <f>SUM(C171:N171)</f>
        <v>0</v>
      </c>
      <c r="Q171" s="37">
        <f>MAX(C171:N171)</f>
        <v>0</v>
      </c>
    </row>
    <row r="172" spans="1:23" hidden="1" x14ac:dyDescent="0.2">
      <c r="A172" s="14" t="s">
        <v>681</v>
      </c>
      <c r="C172" s="67">
        <v>1</v>
      </c>
      <c r="D172" s="67">
        <v>1</v>
      </c>
      <c r="E172" s="67">
        <v>1</v>
      </c>
      <c r="F172" s="67">
        <v>0</v>
      </c>
      <c r="G172" s="67">
        <v>0</v>
      </c>
      <c r="H172" s="67">
        <v>0</v>
      </c>
      <c r="I172" s="67">
        <v>0</v>
      </c>
      <c r="J172" s="67">
        <v>0</v>
      </c>
      <c r="K172" s="67">
        <v>0</v>
      </c>
      <c r="L172" s="67">
        <v>1</v>
      </c>
      <c r="M172" s="67">
        <v>1</v>
      </c>
      <c r="N172" s="67">
        <v>1</v>
      </c>
      <c r="O172" s="67"/>
      <c r="P172" s="50"/>
      <c r="Q172" s="37"/>
    </row>
    <row r="173" spans="1:23" hidden="1" x14ac:dyDescent="0.2">
      <c r="A173" s="14" t="s">
        <v>682</v>
      </c>
      <c r="C173" s="50">
        <f t="shared" ref="C173:N173" si="139">C171*C172</f>
        <v>0</v>
      </c>
      <c r="D173" s="50">
        <f t="shared" si="139"/>
        <v>0</v>
      </c>
      <c r="E173" s="50">
        <f t="shared" si="139"/>
        <v>0</v>
      </c>
      <c r="F173" s="50">
        <f t="shared" si="139"/>
        <v>0</v>
      </c>
      <c r="G173" s="50">
        <f t="shared" si="139"/>
        <v>0</v>
      </c>
      <c r="H173" s="50">
        <f t="shared" si="139"/>
        <v>0</v>
      </c>
      <c r="I173" s="50">
        <f t="shared" si="139"/>
        <v>0</v>
      </c>
      <c r="J173" s="50">
        <f t="shared" si="139"/>
        <v>0</v>
      </c>
      <c r="K173" s="50">
        <f t="shared" si="139"/>
        <v>0</v>
      </c>
      <c r="L173" s="50">
        <f t="shared" si="139"/>
        <v>0</v>
      </c>
      <c r="M173" s="50">
        <f t="shared" si="139"/>
        <v>0</v>
      </c>
      <c r="N173" s="50">
        <f t="shared" si="139"/>
        <v>0</v>
      </c>
      <c r="O173" s="50">
        <f>SUM(C173:N173)</f>
        <v>0</v>
      </c>
      <c r="P173" s="50"/>
      <c r="Q173" s="37"/>
      <c r="R173" s="37">
        <f>O173</f>
        <v>0</v>
      </c>
      <c r="S173" s="37">
        <f>H173+I173+J173</f>
        <v>0</v>
      </c>
      <c r="T173" s="37">
        <f>R173-S173</f>
        <v>0</v>
      </c>
    </row>
    <row r="174" spans="1:23" hidden="1" x14ac:dyDescent="0.2">
      <c r="A174" s="14" t="s">
        <v>758</v>
      </c>
      <c r="C174" s="67">
        <v>0.65</v>
      </c>
      <c r="D174" s="67">
        <v>0.65</v>
      </c>
      <c r="E174" s="67">
        <v>0.65</v>
      </c>
      <c r="F174" s="67">
        <v>0.65</v>
      </c>
      <c r="G174" s="67">
        <v>0.65</v>
      </c>
      <c r="H174" s="67">
        <v>0.65</v>
      </c>
      <c r="I174" s="67">
        <v>0.65</v>
      </c>
      <c r="J174" s="67">
        <v>0.65</v>
      </c>
      <c r="K174" s="67">
        <v>0.65</v>
      </c>
      <c r="L174" s="67">
        <v>0.65</v>
      </c>
      <c r="M174" s="67">
        <v>0.65</v>
      </c>
      <c r="N174" s="67">
        <v>0.65</v>
      </c>
      <c r="O174" s="67"/>
      <c r="P174" s="132"/>
      <c r="Q174" s="132"/>
      <c r="U174" s="124"/>
      <c r="W174" s="124"/>
    </row>
    <row r="175" spans="1:23" hidden="1" x14ac:dyDescent="0.2">
      <c r="A175" s="14" t="s">
        <v>759</v>
      </c>
      <c r="C175" s="50">
        <f>C169/C174</f>
        <v>0</v>
      </c>
      <c r="D175" s="50">
        <f t="shared" ref="D175:N175" si="140">D169/D174</f>
        <v>0</v>
      </c>
      <c r="E175" s="50">
        <f t="shared" si="140"/>
        <v>0</v>
      </c>
      <c r="F175" s="50">
        <f t="shared" si="140"/>
        <v>0</v>
      </c>
      <c r="G175" s="50">
        <f t="shared" si="140"/>
        <v>0</v>
      </c>
      <c r="H175" s="50">
        <f t="shared" si="140"/>
        <v>0</v>
      </c>
      <c r="I175" s="50">
        <f t="shared" si="140"/>
        <v>0</v>
      </c>
      <c r="J175" s="50">
        <f t="shared" si="140"/>
        <v>0</v>
      </c>
      <c r="K175" s="50">
        <f t="shared" si="140"/>
        <v>0</v>
      </c>
      <c r="L175" s="50">
        <f t="shared" si="140"/>
        <v>0</v>
      </c>
      <c r="M175" s="50">
        <f t="shared" si="140"/>
        <v>0</v>
      </c>
      <c r="N175" s="50">
        <f t="shared" si="140"/>
        <v>0</v>
      </c>
      <c r="O175" s="50">
        <f>SUM(C175:N175)</f>
        <v>0</v>
      </c>
      <c r="P175" s="50">
        <f>MAX(C175:N175)</f>
        <v>0</v>
      </c>
      <c r="Q175" s="50"/>
    </row>
    <row r="176" spans="1:23" hidden="1" x14ac:dyDescent="0.2"/>
    <row r="177" spans="1:23" hidden="1" x14ac:dyDescent="0.2">
      <c r="A177" s="15">
        <f>A22</f>
        <v>0</v>
      </c>
      <c r="B177" s="16">
        <f>B22</f>
        <v>0</v>
      </c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37"/>
    </row>
    <row r="178" spans="1:23" hidden="1" x14ac:dyDescent="0.2">
      <c r="A178" s="14" t="s">
        <v>679</v>
      </c>
      <c r="C178" s="50"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f>SUM(C178:N178)</f>
        <v>0</v>
      </c>
      <c r="P178" s="132"/>
      <c r="Q178" s="132"/>
      <c r="U178" s="124"/>
      <c r="W178" s="124"/>
    </row>
    <row r="179" spans="1:23" hidden="1" x14ac:dyDescent="0.2">
      <c r="A179" s="14" t="s">
        <v>680</v>
      </c>
      <c r="C179" s="50">
        <f>C178/744</f>
        <v>0</v>
      </c>
      <c r="D179" s="48">
        <f>D178/720</f>
        <v>0</v>
      </c>
      <c r="E179" s="50">
        <f t="shared" ref="E179:N179" si="141">E178/744</f>
        <v>0</v>
      </c>
      <c r="F179" s="50">
        <f>F178/720</f>
        <v>0</v>
      </c>
      <c r="G179" s="50">
        <f t="shared" si="141"/>
        <v>0</v>
      </c>
      <c r="H179" s="48">
        <f>H178/744</f>
        <v>0</v>
      </c>
      <c r="I179" s="48">
        <f>I178/672</f>
        <v>0</v>
      </c>
      <c r="J179" s="50">
        <f t="shared" si="141"/>
        <v>0</v>
      </c>
      <c r="K179" s="50">
        <f>K178/720</f>
        <v>0</v>
      </c>
      <c r="L179" s="50">
        <f t="shared" si="141"/>
        <v>0</v>
      </c>
      <c r="M179" s="50">
        <f>M178/720</f>
        <v>0</v>
      </c>
      <c r="N179" s="50">
        <f t="shared" si="141"/>
        <v>0</v>
      </c>
      <c r="O179" s="50">
        <f>O178/8760</f>
        <v>0</v>
      </c>
      <c r="P179" s="50"/>
      <c r="Q179" s="50"/>
    </row>
    <row r="180" spans="1:23" hidden="1" x14ac:dyDescent="0.2">
      <c r="A180" s="14" t="s">
        <v>756</v>
      </c>
      <c r="C180" s="67">
        <v>0</v>
      </c>
      <c r="D180" s="67">
        <v>0</v>
      </c>
      <c r="E180" s="67">
        <v>0</v>
      </c>
      <c r="F180" s="67">
        <v>0.25</v>
      </c>
      <c r="G180" s="67">
        <v>0.25</v>
      </c>
      <c r="H180" s="67">
        <v>0.25</v>
      </c>
      <c r="I180" s="67">
        <v>0.25</v>
      </c>
      <c r="J180" s="67">
        <v>0</v>
      </c>
      <c r="K180" s="67">
        <v>0</v>
      </c>
      <c r="L180" s="67">
        <v>0</v>
      </c>
      <c r="M180" s="67">
        <v>0</v>
      </c>
      <c r="N180" s="67">
        <v>0</v>
      </c>
      <c r="O180" s="67"/>
      <c r="Q180" s="37"/>
    </row>
    <row r="181" spans="1:23" hidden="1" x14ac:dyDescent="0.2">
      <c r="A181" s="14" t="s">
        <v>757</v>
      </c>
      <c r="C181" s="50"/>
      <c r="D181" s="50"/>
      <c r="E181" s="50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/>
      <c r="L181" s="50"/>
      <c r="M181" s="50"/>
      <c r="N181" s="50"/>
      <c r="O181" s="50">
        <f>SUM(C181:N181)</f>
        <v>0</v>
      </c>
      <c r="Q181" s="37">
        <f>MAX(C181:N181)</f>
        <v>0</v>
      </c>
    </row>
    <row r="182" spans="1:23" hidden="1" x14ac:dyDescent="0.2">
      <c r="A182" s="14" t="s">
        <v>681</v>
      </c>
      <c r="C182" s="67">
        <v>1</v>
      </c>
      <c r="D182" s="67">
        <v>1</v>
      </c>
      <c r="E182" s="67">
        <v>1</v>
      </c>
      <c r="F182" s="67">
        <v>0</v>
      </c>
      <c r="G182" s="67">
        <v>0</v>
      </c>
      <c r="H182" s="67">
        <v>0</v>
      </c>
      <c r="I182" s="67">
        <v>0</v>
      </c>
      <c r="J182" s="67">
        <v>0</v>
      </c>
      <c r="K182" s="67">
        <v>0</v>
      </c>
      <c r="L182" s="67">
        <v>1</v>
      </c>
      <c r="M182" s="67">
        <v>1</v>
      </c>
      <c r="N182" s="67">
        <v>1</v>
      </c>
      <c r="O182" s="67"/>
      <c r="P182" s="50"/>
      <c r="Q182" s="37"/>
    </row>
    <row r="183" spans="1:23" hidden="1" x14ac:dyDescent="0.2">
      <c r="A183" s="14" t="s">
        <v>682</v>
      </c>
      <c r="C183" s="50">
        <f t="shared" ref="C183:N183" si="142">C181*C182</f>
        <v>0</v>
      </c>
      <c r="D183" s="50">
        <f t="shared" si="142"/>
        <v>0</v>
      </c>
      <c r="E183" s="50">
        <f t="shared" si="142"/>
        <v>0</v>
      </c>
      <c r="F183" s="50">
        <f t="shared" si="142"/>
        <v>0</v>
      </c>
      <c r="G183" s="50">
        <f t="shared" si="142"/>
        <v>0</v>
      </c>
      <c r="H183" s="50">
        <f t="shared" si="142"/>
        <v>0</v>
      </c>
      <c r="I183" s="50">
        <f t="shared" si="142"/>
        <v>0</v>
      </c>
      <c r="J183" s="50">
        <f t="shared" si="142"/>
        <v>0</v>
      </c>
      <c r="K183" s="50">
        <f t="shared" si="142"/>
        <v>0</v>
      </c>
      <c r="L183" s="50">
        <f t="shared" si="142"/>
        <v>0</v>
      </c>
      <c r="M183" s="50">
        <f t="shared" si="142"/>
        <v>0</v>
      </c>
      <c r="N183" s="50">
        <f t="shared" si="142"/>
        <v>0</v>
      </c>
      <c r="O183" s="50">
        <f>SUM(C183:N183)</f>
        <v>0</v>
      </c>
      <c r="P183" s="50"/>
      <c r="Q183" s="37"/>
      <c r="R183" s="37">
        <f>O183</f>
        <v>0</v>
      </c>
      <c r="S183" s="37">
        <f>H183+I183+J183</f>
        <v>0</v>
      </c>
      <c r="T183" s="37">
        <f>R183-S183</f>
        <v>0</v>
      </c>
    </row>
    <row r="184" spans="1:23" hidden="1" x14ac:dyDescent="0.2">
      <c r="A184" s="14" t="s">
        <v>758</v>
      </c>
      <c r="C184" s="67">
        <v>0.65</v>
      </c>
      <c r="D184" s="67">
        <v>0.65</v>
      </c>
      <c r="E184" s="67">
        <v>0.65</v>
      </c>
      <c r="F184" s="67">
        <v>0.65</v>
      </c>
      <c r="G184" s="67">
        <v>0.65</v>
      </c>
      <c r="H184" s="67">
        <v>0.65</v>
      </c>
      <c r="I184" s="67">
        <v>0.65</v>
      </c>
      <c r="J184" s="67">
        <v>0.65</v>
      </c>
      <c r="K184" s="67">
        <v>0.65</v>
      </c>
      <c r="L184" s="67">
        <v>0.65</v>
      </c>
      <c r="M184" s="67">
        <v>0.65</v>
      </c>
      <c r="N184" s="67">
        <v>0.65</v>
      </c>
      <c r="O184" s="67"/>
      <c r="P184" s="132"/>
      <c r="Q184" s="132"/>
      <c r="U184" s="124"/>
      <c r="W184" s="124"/>
    </row>
    <row r="185" spans="1:23" hidden="1" x14ac:dyDescent="0.2">
      <c r="A185" s="14" t="s">
        <v>759</v>
      </c>
      <c r="C185" s="50">
        <f>C179/C184</f>
        <v>0</v>
      </c>
      <c r="D185" s="50">
        <f t="shared" ref="D185:N185" si="143">D179/D184</f>
        <v>0</v>
      </c>
      <c r="E185" s="50">
        <f t="shared" si="143"/>
        <v>0</v>
      </c>
      <c r="F185" s="50">
        <f t="shared" si="143"/>
        <v>0</v>
      </c>
      <c r="G185" s="50">
        <f t="shared" si="143"/>
        <v>0</v>
      </c>
      <c r="H185" s="50">
        <f t="shared" si="143"/>
        <v>0</v>
      </c>
      <c r="I185" s="50">
        <f t="shared" si="143"/>
        <v>0</v>
      </c>
      <c r="J185" s="50">
        <f t="shared" si="143"/>
        <v>0</v>
      </c>
      <c r="K185" s="50">
        <f t="shared" si="143"/>
        <v>0</v>
      </c>
      <c r="L185" s="50">
        <f t="shared" si="143"/>
        <v>0</v>
      </c>
      <c r="M185" s="50">
        <f t="shared" si="143"/>
        <v>0</v>
      </c>
      <c r="N185" s="50">
        <f t="shared" si="143"/>
        <v>0</v>
      </c>
      <c r="O185" s="50">
        <f>SUM(C185:N185)</f>
        <v>0</v>
      </c>
      <c r="P185" s="50">
        <f>MAX(C185:N185)</f>
        <v>0</v>
      </c>
      <c r="Q185" s="50"/>
    </row>
    <row r="186" spans="1:23" hidden="1" x14ac:dyDescent="0.2"/>
    <row r="187" spans="1:23" hidden="1" x14ac:dyDescent="0.2">
      <c r="A187" s="15">
        <f>A23</f>
        <v>0</v>
      </c>
      <c r="B187" s="16">
        <f>B23</f>
        <v>0</v>
      </c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37"/>
    </row>
    <row r="188" spans="1:23" hidden="1" x14ac:dyDescent="0.2">
      <c r="A188" s="14" t="s">
        <v>679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f>SUM(C188:N188)</f>
        <v>0</v>
      </c>
      <c r="P188" s="132"/>
      <c r="Q188" s="132"/>
      <c r="U188" s="124"/>
      <c r="W188" s="124"/>
    </row>
    <row r="189" spans="1:23" hidden="1" x14ac:dyDescent="0.2">
      <c r="A189" s="14" t="s">
        <v>680</v>
      </c>
      <c r="C189" s="50">
        <f>C188/744</f>
        <v>0</v>
      </c>
      <c r="D189" s="48">
        <f>D188/720</f>
        <v>0</v>
      </c>
      <c r="E189" s="50">
        <f t="shared" ref="E189:N189" si="144">E188/744</f>
        <v>0</v>
      </c>
      <c r="F189" s="50">
        <f>F188/720</f>
        <v>0</v>
      </c>
      <c r="G189" s="50">
        <f t="shared" si="144"/>
        <v>0</v>
      </c>
      <c r="H189" s="48">
        <f>H188/744</f>
        <v>0</v>
      </c>
      <c r="I189" s="48">
        <f>I188/672</f>
        <v>0</v>
      </c>
      <c r="J189" s="50">
        <f t="shared" si="144"/>
        <v>0</v>
      </c>
      <c r="K189" s="50">
        <f>K188/720</f>
        <v>0</v>
      </c>
      <c r="L189" s="50">
        <f t="shared" si="144"/>
        <v>0</v>
      </c>
      <c r="M189" s="50">
        <f>M188/720</f>
        <v>0</v>
      </c>
      <c r="N189" s="50">
        <f t="shared" si="144"/>
        <v>0</v>
      </c>
      <c r="O189" s="50">
        <f>O188/8760</f>
        <v>0</v>
      </c>
      <c r="P189" s="50"/>
      <c r="Q189" s="50"/>
    </row>
    <row r="190" spans="1:23" hidden="1" x14ac:dyDescent="0.2">
      <c r="A190" s="14" t="s">
        <v>756</v>
      </c>
      <c r="C190" s="67">
        <v>0</v>
      </c>
      <c r="D190" s="67">
        <v>0</v>
      </c>
      <c r="E190" s="67">
        <v>0</v>
      </c>
      <c r="F190" s="67">
        <v>0.25</v>
      </c>
      <c r="G190" s="67">
        <v>0.25</v>
      </c>
      <c r="H190" s="67">
        <v>0.25</v>
      </c>
      <c r="I190" s="67">
        <v>0.25</v>
      </c>
      <c r="J190" s="67">
        <v>0</v>
      </c>
      <c r="K190" s="67">
        <v>0</v>
      </c>
      <c r="L190" s="67">
        <v>0</v>
      </c>
      <c r="M190" s="67">
        <v>0</v>
      </c>
      <c r="N190" s="67">
        <v>0</v>
      </c>
      <c r="O190" s="67"/>
      <c r="Q190" s="37"/>
    </row>
    <row r="191" spans="1:23" hidden="1" x14ac:dyDescent="0.2">
      <c r="A191" s="14" t="s">
        <v>757</v>
      </c>
      <c r="C191" s="50"/>
      <c r="D191" s="50"/>
      <c r="E191" s="50"/>
      <c r="F191" s="50">
        <v>0</v>
      </c>
      <c r="G191" s="50">
        <v>0</v>
      </c>
      <c r="H191" s="50">
        <v>0</v>
      </c>
      <c r="I191" s="50">
        <v>0</v>
      </c>
      <c r="J191" s="50">
        <v>0</v>
      </c>
      <c r="K191" s="50"/>
      <c r="L191" s="50"/>
      <c r="M191" s="50"/>
      <c r="N191" s="50"/>
      <c r="O191" s="50">
        <f>SUM(C191:N191)</f>
        <v>0</v>
      </c>
      <c r="Q191" s="37">
        <f>MAX(C191:N191)</f>
        <v>0</v>
      </c>
    </row>
    <row r="192" spans="1:23" hidden="1" x14ac:dyDescent="0.2">
      <c r="A192" s="14" t="s">
        <v>681</v>
      </c>
      <c r="C192" s="67">
        <v>1</v>
      </c>
      <c r="D192" s="67">
        <v>1</v>
      </c>
      <c r="E192" s="67">
        <v>1</v>
      </c>
      <c r="F192" s="67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7">
        <v>1</v>
      </c>
      <c r="M192" s="67">
        <v>1</v>
      </c>
      <c r="N192" s="67">
        <v>1</v>
      </c>
      <c r="O192" s="67"/>
      <c r="P192" s="50"/>
      <c r="Q192" s="37"/>
    </row>
    <row r="193" spans="1:23" hidden="1" x14ac:dyDescent="0.2">
      <c r="A193" s="14" t="s">
        <v>682</v>
      </c>
      <c r="C193" s="50">
        <f t="shared" ref="C193:N193" si="145">C191*C192</f>
        <v>0</v>
      </c>
      <c r="D193" s="50">
        <f t="shared" si="145"/>
        <v>0</v>
      </c>
      <c r="E193" s="50">
        <f t="shared" si="145"/>
        <v>0</v>
      </c>
      <c r="F193" s="50">
        <f t="shared" si="145"/>
        <v>0</v>
      </c>
      <c r="G193" s="50">
        <f t="shared" si="145"/>
        <v>0</v>
      </c>
      <c r="H193" s="50">
        <f t="shared" si="145"/>
        <v>0</v>
      </c>
      <c r="I193" s="50">
        <f t="shared" si="145"/>
        <v>0</v>
      </c>
      <c r="J193" s="50">
        <f t="shared" si="145"/>
        <v>0</v>
      </c>
      <c r="K193" s="50">
        <f t="shared" si="145"/>
        <v>0</v>
      </c>
      <c r="L193" s="50">
        <f t="shared" si="145"/>
        <v>0</v>
      </c>
      <c r="M193" s="50">
        <f t="shared" si="145"/>
        <v>0</v>
      </c>
      <c r="N193" s="50">
        <f t="shared" si="145"/>
        <v>0</v>
      </c>
      <c r="O193" s="50">
        <f>SUM(C193:N193)</f>
        <v>0</v>
      </c>
      <c r="P193" s="50"/>
      <c r="Q193" s="37"/>
      <c r="R193" s="37">
        <f>O193</f>
        <v>0</v>
      </c>
      <c r="S193" s="37">
        <f>H193+I193+J193</f>
        <v>0</v>
      </c>
      <c r="T193" s="37">
        <f>R193-S193</f>
        <v>0</v>
      </c>
    </row>
    <row r="194" spans="1:23" hidden="1" x14ac:dyDescent="0.2">
      <c r="A194" s="14" t="s">
        <v>758</v>
      </c>
      <c r="C194" s="67">
        <v>0.65</v>
      </c>
      <c r="D194" s="67">
        <v>0.65</v>
      </c>
      <c r="E194" s="67">
        <v>0.65</v>
      </c>
      <c r="F194" s="67">
        <v>0.65</v>
      </c>
      <c r="G194" s="67">
        <v>0.65</v>
      </c>
      <c r="H194" s="67">
        <v>0.65</v>
      </c>
      <c r="I194" s="67">
        <v>0.65</v>
      </c>
      <c r="J194" s="67">
        <v>0.65</v>
      </c>
      <c r="K194" s="67">
        <v>0.65</v>
      </c>
      <c r="L194" s="67">
        <v>0.65</v>
      </c>
      <c r="M194" s="67">
        <v>0.65</v>
      </c>
      <c r="N194" s="67">
        <v>0.65</v>
      </c>
      <c r="O194" s="67"/>
      <c r="P194" s="132"/>
      <c r="Q194" s="132"/>
      <c r="U194" s="124"/>
      <c r="W194" s="124"/>
    </row>
    <row r="195" spans="1:23" ht="1.5" customHeight="1" x14ac:dyDescent="0.2">
      <c r="A195" s="14" t="s">
        <v>759</v>
      </c>
      <c r="C195" s="50">
        <f>C189/C194</f>
        <v>0</v>
      </c>
      <c r="D195" s="50">
        <f t="shared" ref="D195:N195" si="146">D189/D194</f>
        <v>0</v>
      </c>
      <c r="E195" s="50">
        <f t="shared" si="146"/>
        <v>0</v>
      </c>
      <c r="F195" s="50">
        <f t="shared" si="146"/>
        <v>0</v>
      </c>
      <c r="G195" s="50">
        <f t="shared" si="146"/>
        <v>0</v>
      </c>
      <c r="H195" s="50">
        <f t="shared" si="146"/>
        <v>0</v>
      </c>
      <c r="I195" s="50">
        <f t="shared" si="146"/>
        <v>0</v>
      </c>
      <c r="J195" s="50">
        <f t="shared" si="146"/>
        <v>0</v>
      </c>
      <c r="K195" s="50">
        <f t="shared" si="146"/>
        <v>0</v>
      </c>
      <c r="L195" s="50">
        <f t="shared" si="146"/>
        <v>0</v>
      </c>
      <c r="M195" s="50">
        <f t="shared" si="146"/>
        <v>0</v>
      </c>
      <c r="N195" s="50">
        <f t="shared" si="146"/>
        <v>0</v>
      </c>
      <c r="O195" s="50">
        <f>SUM(C195:N195)</f>
        <v>0</v>
      </c>
      <c r="P195" s="50">
        <f>MAX(C195:N195)</f>
        <v>0</v>
      </c>
      <c r="Q195" s="50"/>
    </row>
    <row r="196" spans="1:23" x14ac:dyDescent="0.2"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</row>
    <row r="197" spans="1:23" x14ac:dyDescent="0.2">
      <c r="A197" s="14" t="s">
        <v>743</v>
      </c>
      <c r="C197" s="50">
        <f>C38+C48+C58+C68+C78+C88+C98+C108+C118+C128+C138+C148+C158+C168+C178+C188</f>
        <v>89904128</v>
      </c>
      <c r="D197" s="50">
        <f t="shared" ref="D197:N197" si="147">D38+D48+D58+D68+D78+D88+D98+D108+D118+D128+D138+D148+D158+D168+D178+D188</f>
        <v>76172988</v>
      </c>
      <c r="E197" s="50">
        <f t="shared" si="147"/>
        <v>81709830</v>
      </c>
      <c r="F197" s="50">
        <f t="shared" si="147"/>
        <v>63796279</v>
      </c>
      <c r="G197" s="50">
        <f t="shared" si="147"/>
        <v>65793990</v>
      </c>
      <c r="H197" s="50">
        <f t="shared" si="147"/>
        <v>68501902</v>
      </c>
      <c r="I197" s="50">
        <f t="shared" si="147"/>
        <v>83830265</v>
      </c>
      <c r="J197" s="50">
        <f t="shared" si="147"/>
        <v>80670247</v>
      </c>
      <c r="K197" s="50">
        <f t="shared" si="147"/>
        <v>68992363</v>
      </c>
      <c r="L197" s="50">
        <f t="shared" si="147"/>
        <v>68097758</v>
      </c>
      <c r="M197" s="50">
        <f t="shared" si="147"/>
        <v>82382541</v>
      </c>
      <c r="N197" s="50">
        <f t="shared" si="147"/>
        <v>96327705</v>
      </c>
      <c r="O197" s="50">
        <f>SUM(C197:N197)</f>
        <v>926179996</v>
      </c>
      <c r="P197" s="50"/>
      <c r="Q197" s="50"/>
    </row>
    <row r="198" spans="1:23" x14ac:dyDescent="0.2"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1:23" x14ac:dyDescent="0.2">
      <c r="A199" s="14" t="s">
        <v>715</v>
      </c>
      <c r="C199" s="50">
        <f>'Purchased Power'!D6</f>
        <v>231640</v>
      </c>
      <c r="D199" s="50">
        <f>'Purchased Power'!E6</f>
        <v>230923</v>
      </c>
      <c r="E199" s="50">
        <f>'Purchased Power'!F6</f>
        <v>243357</v>
      </c>
      <c r="F199" s="50">
        <f>'Purchased Power'!G6</f>
        <v>155095</v>
      </c>
      <c r="G199" s="50">
        <f>'Purchased Power'!H6</f>
        <v>143645</v>
      </c>
      <c r="H199" s="50">
        <f>'Purchased Power'!I6</f>
        <v>149700</v>
      </c>
      <c r="I199" s="50">
        <f>'Purchased Power'!J6</f>
        <v>180327</v>
      </c>
      <c r="J199" s="50">
        <f>'Purchased Power'!K6</f>
        <v>185411</v>
      </c>
      <c r="K199" s="50">
        <f>'Purchased Power'!L6</f>
        <v>176219</v>
      </c>
      <c r="L199" s="50">
        <f>'Purchased Power'!M6</f>
        <v>138223</v>
      </c>
      <c r="M199" s="50">
        <f>'Purchased Power'!N6</f>
        <v>236607</v>
      </c>
      <c r="N199" s="50">
        <f>'Purchased Power'!O6</f>
        <v>222429</v>
      </c>
      <c r="O199" s="50">
        <f>SUM(C199:N199)</f>
        <v>2293576</v>
      </c>
      <c r="P199" s="50"/>
      <c r="Q199" s="50"/>
      <c r="R199" s="50"/>
      <c r="S199" s="50"/>
    </row>
    <row r="200" spans="1:23" x14ac:dyDescent="0.2">
      <c r="A200" s="14" t="s">
        <v>865</v>
      </c>
      <c r="C200" s="50">
        <f>'Purchased Power'!D7</f>
        <v>94787205</v>
      </c>
      <c r="D200" s="50">
        <f>'Purchased Power'!E7</f>
        <v>80118547</v>
      </c>
      <c r="E200" s="50">
        <f>'Purchased Power'!F7</f>
        <v>85640707</v>
      </c>
      <c r="F200" s="50">
        <f>'Purchased Power'!G7</f>
        <v>67001925</v>
      </c>
      <c r="G200" s="50">
        <f>'Purchased Power'!H7</f>
        <v>69134165</v>
      </c>
      <c r="H200" s="50">
        <f>'Purchased Power'!I7</f>
        <v>71594933</v>
      </c>
      <c r="I200" s="50">
        <f>'Purchased Power'!J7</f>
        <v>87706496</v>
      </c>
      <c r="J200" s="50">
        <f>'Purchased Power'!K7</f>
        <v>84436055</v>
      </c>
      <c r="K200" s="50">
        <f>'Purchased Power'!L7</f>
        <v>72435656</v>
      </c>
      <c r="L200" s="50">
        <f>'Purchased Power'!M7</f>
        <v>71895402</v>
      </c>
      <c r="M200" s="50">
        <f>'Purchased Power'!N7</f>
        <v>86616377</v>
      </c>
      <c r="N200" s="50">
        <f>'Purchased Power'!O7</f>
        <v>101347097</v>
      </c>
      <c r="O200" s="50">
        <f>SUM(C200:N200)</f>
        <v>972714565</v>
      </c>
      <c r="P200" s="128">
        <f>O197/O200</f>
        <v>0.95216009847657623</v>
      </c>
      <c r="Q200" s="50"/>
      <c r="R200" s="50"/>
      <c r="S200" s="50"/>
    </row>
    <row r="201" spans="1:23" x14ac:dyDescent="0.2">
      <c r="P201" s="128"/>
    </row>
    <row r="202" spans="1:23" x14ac:dyDescent="0.2">
      <c r="A202" s="14" t="s">
        <v>716</v>
      </c>
      <c r="C202" s="37">
        <f>(C43+C53+C63+C73+C83+C93+C103+C113+C123+C133+C143+C153+C163+C173+C183+C193)</f>
        <v>227464.36003496501</v>
      </c>
      <c r="D202" s="37">
        <f t="shared" ref="D202:N202" si="148">(D43+D53+D63+D73+D83+D93+D103+D113+D123+D133+D143+D153+D163+D173+D183+D193)</f>
        <v>225850.89900104314</v>
      </c>
      <c r="E202" s="37">
        <f t="shared" si="148"/>
        <v>238275.98361659521</v>
      </c>
      <c r="F202" s="37">
        <f t="shared" si="148"/>
        <v>151015.86974199224</v>
      </c>
      <c r="G202" s="37">
        <f t="shared" si="148"/>
        <v>140032.5502102804</v>
      </c>
      <c r="H202" s="37">
        <f t="shared" si="148"/>
        <v>146107.21880395908</v>
      </c>
      <c r="I202" s="37">
        <f t="shared" si="148"/>
        <v>176961.97618972228</v>
      </c>
      <c r="J202" s="37">
        <f t="shared" si="148"/>
        <v>181610.33541465571</v>
      </c>
      <c r="K202" s="37">
        <f t="shared" si="148"/>
        <v>171790.37035450927</v>
      </c>
      <c r="L202" s="37">
        <f t="shared" si="148"/>
        <v>134928.19910315855</v>
      </c>
      <c r="M202" s="37">
        <f t="shared" si="148"/>
        <v>231721.19949051616</v>
      </c>
      <c r="N202" s="37">
        <f t="shared" si="148"/>
        <v>218698.11159766704</v>
      </c>
      <c r="O202" s="37">
        <f>SUM(C202:N202)</f>
        <v>2244457.0735590644</v>
      </c>
      <c r="P202" s="128">
        <f>O202/O199</f>
        <v>0.97858412956843999</v>
      </c>
    </row>
    <row r="204" spans="1:23" x14ac:dyDescent="0.2">
      <c r="A204" s="14" t="s">
        <v>717</v>
      </c>
      <c r="C204" s="37">
        <f>C199-C202</f>
        <v>4175.6399650349922</v>
      </c>
      <c r="D204" s="37">
        <f t="shared" ref="D204:O204" si="149">D199-D202</f>
        <v>5072.1009989568556</v>
      </c>
      <c r="E204" s="37">
        <f t="shared" si="149"/>
        <v>5081.0163834047853</v>
      </c>
      <c r="F204" s="37">
        <f t="shared" si="149"/>
        <v>4079.1302580077609</v>
      </c>
      <c r="G204" s="37">
        <f t="shared" si="149"/>
        <v>3612.4497897195979</v>
      </c>
      <c r="H204" s="37">
        <f t="shared" si="149"/>
        <v>3592.7811960409163</v>
      </c>
      <c r="I204" s="37">
        <f t="shared" si="149"/>
        <v>3365.0238102777221</v>
      </c>
      <c r="J204" s="37">
        <f t="shared" si="149"/>
        <v>3800.6645853442897</v>
      </c>
      <c r="K204" s="37">
        <f t="shared" si="149"/>
        <v>4428.6296454907279</v>
      </c>
      <c r="L204" s="37">
        <f t="shared" si="149"/>
        <v>3294.8008968414506</v>
      </c>
      <c r="M204" s="37">
        <f t="shared" si="149"/>
        <v>4885.8005094838445</v>
      </c>
      <c r="N204" s="37">
        <f t="shared" si="149"/>
        <v>3730.8884023329592</v>
      </c>
      <c r="O204" s="37">
        <f t="shared" si="149"/>
        <v>49118.926440935582</v>
      </c>
    </row>
    <row r="206" spans="1:23" x14ac:dyDescent="0.2"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</row>
    <row r="207" spans="1:23" x14ac:dyDescent="0.2"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</row>
    <row r="208" spans="1:23" x14ac:dyDescent="0.2"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</row>
    <row r="209" spans="3:15" x14ac:dyDescent="0.2"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</row>
    <row r="210" spans="3:15" x14ac:dyDescent="0.2"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</row>
  </sheetData>
  <printOptions horizontalCentered="1"/>
  <pageMargins left="0.25" right="0.25" top="1" bottom="0.32" header="0.5" footer="0.25"/>
  <pageSetup scale="66" fitToWidth="2" fitToHeight="5" pageOrder="overThenDown" orientation="landscape" r:id="rId1"/>
  <headerFooter alignWithMargins="0">
    <oddFooter>&amp;RExhibit JW-6
Page &amp;P of &amp;N</oddFooter>
  </headerFooter>
  <rowBreaks count="3" manualBreakCount="3">
    <brk id="30" max="19" man="1"/>
    <brk id="66" max="19" man="1"/>
    <brk id="125" max="19" man="1"/>
  </rowBreaks>
  <colBreaks count="1" manualBreakCount="1">
    <brk id="11" max="218" man="1"/>
  </colBreaks>
  <ignoredErrors>
    <ignoredError sqref="D53:N53 D59:N63 D39:N39 D79:N81 D89:N91 D99:N101 D109:N113 D119:N127 D129:N1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196"/>
  <sheetViews>
    <sheetView view="pageBreakPreview" topLeftCell="A154" zoomScaleNormal="100" zoomScaleSheetLayoutView="100" workbookViewId="0">
      <selection activeCell="N31" sqref="N31"/>
    </sheetView>
  </sheetViews>
  <sheetFormatPr defaultColWidth="9.140625" defaultRowHeight="12.75" x14ac:dyDescent="0.2"/>
  <cols>
    <col min="1" max="2" width="5.7109375" style="14" customWidth="1"/>
    <col min="3" max="3" width="28.85546875" style="14" customWidth="1"/>
    <col min="4" max="15" width="14" style="14" bestFit="1" customWidth="1"/>
    <col min="16" max="16" width="15.140625" style="14" bestFit="1" customWidth="1"/>
    <col min="17" max="17" width="14.42578125" style="14" bestFit="1" customWidth="1"/>
    <col min="18" max="18" width="11.42578125" style="14" bestFit="1" customWidth="1"/>
    <col min="19" max="16384" width="9.140625" style="14"/>
  </cols>
  <sheetData>
    <row r="1" spans="1:19" x14ac:dyDescent="0.2">
      <c r="A1" s="13" t="s">
        <v>1024</v>
      </c>
      <c r="B1" s="13"/>
    </row>
    <row r="2" spans="1:19" x14ac:dyDescent="0.2">
      <c r="A2" s="13" t="s">
        <v>96</v>
      </c>
      <c r="B2" s="13"/>
    </row>
    <row r="4" spans="1:19" x14ac:dyDescent="0.2">
      <c r="A4" s="62" t="s">
        <v>960</v>
      </c>
      <c r="B4" s="62"/>
      <c r="C4" s="62" t="s">
        <v>961</v>
      </c>
      <c r="D4" s="140">
        <v>44927</v>
      </c>
      <c r="E4" s="140">
        <v>44958</v>
      </c>
      <c r="F4" s="140">
        <v>44986</v>
      </c>
      <c r="G4" s="140">
        <v>45017</v>
      </c>
      <c r="H4" s="140">
        <v>45047</v>
      </c>
      <c r="I4" s="140">
        <v>45078</v>
      </c>
      <c r="J4" s="140">
        <v>45108</v>
      </c>
      <c r="K4" s="140">
        <v>45139</v>
      </c>
      <c r="L4" s="140">
        <v>45170</v>
      </c>
      <c r="M4" s="140">
        <v>45200</v>
      </c>
      <c r="N4" s="140">
        <v>45231</v>
      </c>
      <c r="O4" s="140">
        <v>45261</v>
      </c>
      <c r="P4" s="62" t="s">
        <v>860</v>
      </c>
      <c r="Q4" s="16"/>
      <c r="S4" s="31"/>
    </row>
    <row r="5" spans="1:19" x14ac:dyDescent="0.2">
      <c r="A5" s="31">
        <v>1</v>
      </c>
      <c r="B5" s="31"/>
      <c r="C5" s="3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6"/>
      <c r="Q5" s="16"/>
      <c r="S5" s="31"/>
    </row>
    <row r="6" spans="1:19" x14ac:dyDescent="0.2">
      <c r="A6" s="31">
        <f>A5+1</f>
        <v>2</v>
      </c>
      <c r="B6" s="31"/>
      <c r="C6" s="31" t="s">
        <v>963</v>
      </c>
      <c r="D6" s="142">
        <v>231640</v>
      </c>
      <c r="E6" s="142">
        <v>230923</v>
      </c>
      <c r="F6" s="142">
        <v>243357</v>
      </c>
      <c r="G6" s="142">
        <v>155095</v>
      </c>
      <c r="H6" s="142">
        <v>143645</v>
      </c>
      <c r="I6" s="142">
        <v>149700</v>
      </c>
      <c r="J6" s="142">
        <v>180327</v>
      </c>
      <c r="K6" s="142">
        <v>185411</v>
      </c>
      <c r="L6" s="142">
        <v>176219</v>
      </c>
      <c r="M6" s="142">
        <v>138223</v>
      </c>
      <c r="N6" s="142">
        <v>236607</v>
      </c>
      <c r="O6" s="142">
        <v>222429</v>
      </c>
      <c r="P6" s="142">
        <f>SUM(D6:O6)</f>
        <v>2293576</v>
      </c>
      <c r="Q6" s="16"/>
      <c r="S6" s="138"/>
    </row>
    <row r="7" spans="1:19" x14ac:dyDescent="0.2">
      <c r="A7" s="31">
        <f t="shared" ref="A7:A70" si="0">A6+1</f>
        <v>3</v>
      </c>
      <c r="B7" s="31"/>
      <c r="C7" s="31" t="s">
        <v>962</v>
      </c>
      <c r="D7" s="142">
        <v>94787205</v>
      </c>
      <c r="E7" s="142">
        <v>80118547</v>
      </c>
      <c r="F7" s="142">
        <v>85640707</v>
      </c>
      <c r="G7" s="142">
        <v>67001925</v>
      </c>
      <c r="H7" s="142">
        <v>69134165</v>
      </c>
      <c r="I7" s="142">
        <v>71594933</v>
      </c>
      <c r="J7" s="142">
        <v>87706496</v>
      </c>
      <c r="K7" s="142">
        <v>84436055</v>
      </c>
      <c r="L7" s="142">
        <v>72435656</v>
      </c>
      <c r="M7" s="142">
        <v>71895402</v>
      </c>
      <c r="N7" s="142">
        <v>86616377</v>
      </c>
      <c r="O7" s="142">
        <v>101347097</v>
      </c>
      <c r="P7" s="142">
        <f t="shared" ref="P7:P14" si="1">SUM(D7:O7)</f>
        <v>972714565</v>
      </c>
      <c r="Q7" s="16"/>
      <c r="S7" s="31"/>
    </row>
    <row r="8" spans="1:19" x14ac:dyDescent="0.2">
      <c r="A8" s="31">
        <f t="shared" si="0"/>
        <v>4</v>
      </c>
      <c r="B8" s="31"/>
      <c r="C8" s="30" t="s">
        <v>939</v>
      </c>
      <c r="D8" s="178">
        <v>1395329.14</v>
      </c>
      <c r="E8" s="178">
        <v>1507674.75</v>
      </c>
      <c r="F8" s="178">
        <v>1575746.16</v>
      </c>
      <c r="G8" s="178">
        <v>999287.22</v>
      </c>
      <c r="H8" s="178">
        <v>917461.81</v>
      </c>
      <c r="I8" s="178">
        <v>956750.47</v>
      </c>
      <c r="J8" s="178">
        <v>1155224.94</v>
      </c>
      <c r="K8" s="178">
        <v>1190087.45</v>
      </c>
      <c r="L8" s="178">
        <v>1130557.51</v>
      </c>
      <c r="M8" s="178">
        <v>880257.05</v>
      </c>
      <c r="N8" s="178">
        <v>1521723.54</v>
      </c>
      <c r="O8" s="178">
        <v>1415457.42</v>
      </c>
      <c r="P8" s="178">
        <f t="shared" si="1"/>
        <v>14645557.459999999</v>
      </c>
      <c r="Q8" s="16"/>
      <c r="S8" s="31"/>
    </row>
    <row r="9" spans="1:19" x14ac:dyDescent="0.2">
      <c r="A9" s="31">
        <f t="shared" si="0"/>
        <v>5</v>
      </c>
      <c r="B9" s="31"/>
      <c r="C9" s="30" t="s">
        <v>940</v>
      </c>
      <c r="D9" s="178">
        <v>4357477.57</v>
      </c>
      <c r="E9" s="178">
        <v>3670761.38</v>
      </c>
      <c r="F9" s="178">
        <v>3912426.5</v>
      </c>
      <c r="G9" s="178">
        <v>3054936.33</v>
      </c>
      <c r="H9" s="178">
        <v>3202614.14</v>
      </c>
      <c r="I9" s="178">
        <v>3330027.26</v>
      </c>
      <c r="J9" s="178">
        <v>4104979.71</v>
      </c>
      <c r="K9" s="178">
        <v>3946646.26</v>
      </c>
      <c r="L9" s="178">
        <v>3353602.13</v>
      </c>
      <c r="M9" s="178">
        <v>3235701.67</v>
      </c>
      <c r="N9" s="178">
        <v>3933231.67</v>
      </c>
      <c r="O9" s="178">
        <v>4622242.34</v>
      </c>
      <c r="P9" s="178">
        <f t="shared" si="1"/>
        <v>44724646.959999993</v>
      </c>
      <c r="Q9" s="16"/>
      <c r="S9" s="31"/>
    </row>
    <row r="10" spans="1:19" x14ac:dyDescent="0.2">
      <c r="A10" s="31">
        <f t="shared" si="0"/>
        <v>6</v>
      </c>
      <c r="B10" s="31"/>
      <c r="C10" s="30" t="s">
        <v>941</v>
      </c>
      <c r="D10" s="178">
        <v>4530</v>
      </c>
      <c r="E10" s="178">
        <v>4530</v>
      </c>
      <c r="F10" s="178">
        <v>4530</v>
      </c>
      <c r="G10" s="178">
        <v>4530</v>
      </c>
      <c r="H10" s="178">
        <v>4530</v>
      </c>
      <c r="I10" s="178">
        <v>4379</v>
      </c>
      <c r="J10" s="178">
        <v>4379</v>
      </c>
      <c r="K10" s="178">
        <v>4379</v>
      </c>
      <c r="L10" s="178">
        <v>4530</v>
      </c>
      <c r="M10" s="178">
        <v>4379</v>
      </c>
      <c r="N10" s="178">
        <v>4379</v>
      </c>
      <c r="O10" s="178">
        <v>4379</v>
      </c>
      <c r="P10" s="178">
        <f t="shared" si="1"/>
        <v>53454</v>
      </c>
      <c r="Q10" s="16"/>
      <c r="S10" s="31"/>
    </row>
    <row r="11" spans="1:19" x14ac:dyDescent="0.2">
      <c r="A11" s="31">
        <f t="shared" si="0"/>
        <v>7</v>
      </c>
      <c r="B11" s="31"/>
      <c r="C11" s="30" t="s">
        <v>942</v>
      </c>
      <c r="D11" s="178">
        <v>114675</v>
      </c>
      <c r="E11" s="178">
        <v>114675</v>
      </c>
      <c r="F11" s="178">
        <v>114675</v>
      </c>
      <c r="G11" s="178">
        <v>114675</v>
      </c>
      <c r="H11" s="178">
        <v>112543</v>
      </c>
      <c r="I11" s="178">
        <v>111801</v>
      </c>
      <c r="J11" s="178">
        <v>111801</v>
      </c>
      <c r="K11" s="178">
        <v>111801</v>
      </c>
      <c r="L11" s="178">
        <v>113645</v>
      </c>
      <c r="M11" s="178">
        <v>111801</v>
      </c>
      <c r="N11" s="178">
        <v>111801</v>
      </c>
      <c r="O11" s="178">
        <v>111340</v>
      </c>
      <c r="P11" s="178">
        <f t="shared" si="1"/>
        <v>1355233</v>
      </c>
      <c r="Q11" s="16"/>
      <c r="S11" s="31"/>
    </row>
    <row r="12" spans="1:19" x14ac:dyDescent="0.2">
      <c r="A12" s="31">
        <f t="shared" si="0"/>
        <v>8</v>
      </c>
      <c r="B12" s="31"/>
      <c r="C12" s="30" t="s">
        <v>945</v>
      </c>
      <c r="D12" s="178">
        <v>2123950</v>
      </c>
      <c r="E12" s="178">
        <v>914070</v>
      </c>
      <c r="F12" s="178">
        <v>758222</v>
      </c>
      <c r="G12" s="178">
        <v>632203</v>
      </c>
      <c r="H12" s="178">
        <v>759497</v>
      </c>
      <c r="I12" s="178">
        <v>324280</v>
      </c>
      <c r="J12" s="178">
        <v>593556</v>
      </c>
      <c r="K12" s="178">
        <v>934402</v>
      </c>
      <c r="L12" s="178">
        <v>743602</v>
      </c>
      <c r="M12" s="178">
        <v>790757</v>
      </c>
      <c r="N12" s="178">
        <v>694954</v>
      </c>
      <c r="O12" s="178">
        <v>634466</v>
      </c>
      <c r="P12" s="178">
        <f t="shared" si="1"/>
        <v>9903959</v>
      </c>
      <c r="Q12" s="16"/>
      <c r="S12" s="31"/>
    </row>
    <row r="13" spans="1:19" x14ac:dyDescent="0.2">
      <c r="A13" s="31">
        <f t="shared" si="0"/>
        <v>9</v>
      </c>
      <c r="B13" s="31"/>
      <c r="C13" s="30" t="s">
        <v>944</v>
      </c>
      <c r="D13" s="178">
        <v>1115728</v>
      </c>
      <c r="E13" s="178">
        <v>580094</v>
      </c>
      <c r="F13" s="178">
        <v>754523</v>
      </c>
      <c r="G13" s="178">
        <v>771309</v>
      </c>
      <c r="H13" s="178">
        <v>777492</v>
      </c>
      <c r="I13" s="178">
        <v>873088</v>
      </c>
      <c r="J13" s="178">
        <v>1144801</v>
      </c>
      <c r="K13" s="178">
        <v>1187689</v>
      </c>
      <c r="L13" s="178">
        <v>803227</v>
      </c>
      <c r="M13" s="178">
        <v>738721</v>
      </c>
      <c r="N13" s="178">
        <v>1089634</v>
      </c>
      <c r="O13" s="178">
        <v>1207351</v>
      </c>
      <c r="P13" s="178">
        <f t="shared" si="1"/>
        <v>11043657</v>
      </c>
      <c r="Q13" s="16"/>
      <c r="S13" s="31"/>
    </row>
    <row r="14" spans="1:19" x14ac:dyDescent="0.2">
      <c r="A14" s="31">
        <f t="shared" si="0"/>
        <v>10</v>
      </c>
      <c r="B14" s="31"/>
      <c r="C14" s="143" t="s">
        <v>860</v>
      </c>
      <c r="D14" s="204">
        <f>SUM(D8:D13)</f>
        <v>9111689.7100000009</v>
      </c>
      <c r="E14" s="204">
        <f t="shared" ref="E14:O14" si="2">SUM(E8:E13)</f>
        <v>6791805.1299999999</v>
      </c>
      <c r="F14" s="204">
        <f t="shared" si="2"/>
        <v>7120122.6600000001</v>
      </c>
      <c r="G14" s="204">
        <f t="shared" si="2"/>
        <v>5576940.5499999998</v>
      </c>
      <c r="H14" s="204">
        <f t="shared" si="2"/>
        <v>5774137.9500000002</v>
      </c>
      <c r="I14" s="204">
        <f t="shared" si="2"/>
        <v>5600325.7299999995</v>
      </c>
      <c r="J14" s="204">
        <f t="shared" si="2"/>
        <v>7114741.6500000004</v>
      </c>
      <c r="K14" s="204">
        <f t="shared" si="2"/>
        <v>7375004.71</v>
      </c>
      <c r="L14" s="204">
        <f t="shared" si="2"/>
        <v>6149163.6399999997</v>
      </c>
      <c r="M14" s="204">
        <f t="shared" si="2"/>
        <v>5761616.7199999997</v>
      </c>
      <c r="N14" s="204">
        <f t="shared" si="2"/>
        <v>7355723.21</v>
      </c>
      <c r="O14" s="204">
        <f t="shared" si="2"/>
        <v>7995235.7599999998</v>
      </c>
      <c r="P14" s="204">
        <f t="shared" si="1"/>
        <v>81726507.420000002</v>
      </c>
      <c r="Q14" s="16"/>
      <c r="R14" s="37"/>
      <c r="S14" s="138"/>
    </row>
    <row r="15" spans="1:19" x14ac:dyDescent="0.2">
      <c r="A15" s="31">
        <f t="shared" si="0"/>
        <v>11</v>
      </c>
      <c r="B15" s="31"/>
      <c r="C15" s="3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6"/>
      <c r="Q15" s="16"/>
      <c r="S15" s="31"/>
    </row>
    <row r="16" spans="1:19" x14ac:dyDescent="0.2">
      <c r="A16" s="31">
        <f t="shared" si="0"/>
        <v>12</v>
      </c>
      <c r="B16" s="31"/>
    </row>
    <row r="17" spans="1:16" x14ac:dyDescent="0.2">
      <c r="A17" s="31">
        <f t="shared" si="0"/>
        <v>13</v>
      </c>
      <c r="B17" s="31"/>
      <c r="C17" s="14" t="s">
        <v>1027</v>
      </c>
      <c r="D17" s="95">
        <f t="shared" ref="D17:O17" si="3">D8+D10+D11+(D13*D28)</f>
        <v>2183970.94</v>
      </c>
      <c r="E17" s="95">
        <f t="shared" si="3"/>
        <v>1974936.15</v>
      </c>
      <c r="F17" s="95">
        <f t="shared" si="3"/>
        <v>2147664.96</v>
      </c>
      <c r="G17" s="95">
        <f t="shared" si="3"/>
        <v>1581277.6199999999</v>
      </c>
      <c r="H17" s="95">
        <f t="shared" si="3"/>
        <v>1501030.01</v>
      </c>
      <c r="I17" s="95">
        <f t="shared" si="3"/>
        <v>1596783.27</v>
      </c>
      <c r="J17" s="95">
        <f t="shared" si="3"/>
        <v>1958285.54</v>
      </c>
      <c r="K17" s="95">
        <f t="shared" si="3"/>
        <v>2018880.85</v>
      </c>
      <c r="L17" s="95">
        <f t="shared" si="3"/>
        <v>1730668.71</v>
      </c>
      <c r="M17" s="95">
        <f t="shared" si="3"/>
        <v>1439669.65</v>
      </c>
      <c r="N17" s="95">
        <f t="shared" si="3"/>
        <v>2291683.94</v>
      </c>
      <c r="O17" s="95">
        <f t="shared" si="3"/>
        <v>2255587.02</v>
      </c>
      <c r="P17" s="178">
        <f>SUM(D17:O17)</f>
        <v>22680438.659999996</v>
      </c>
    </row>
    <row r="18" spans="1:16" x14ac:dyDescent="0.2">
      <c r="A18" s="31">
        <f t="shared" si="0"/>
        <v>14</v>
      </c>
      <c r="B18" s="31"/>
      <c r="C18" s="14" t="s">
        <v>1028</v>
      </c>
      <c r="D18" s="95">
        <f>D9+D12+(D13*D29)</f>
        <v>6927718.7700000005</v>
      </c>
      <c r="E18" s="95">
        <f t="shared" ref="E18:O18" si="4">E9+E12+(E13*E29)</f>
        <v>4816868.9799999995</v>
      </c>
      <c r="F18" s="95">
        <f t="shared" si="4"/>
        <v>4972457.7</v>
      </c>
      <c r="G18" s="95">
        <f t="shared" si="4"/>
        <v>3995662.93</v>
      </c>
      <c r="H18" s="95">
        <f t="shared" si="4"/>
        <v>4273107.9400000004</v>
      </c>
      <c r="I18" s="95">
        <f t="shared" si="4"/>
        <v>4003542.46</v>
      </c>
      <c r="J18" s="95">
        <f t="shared" si="4"/>
        <v>5156456.1100000003</v>
      </c>
      <c r="K18" s="95">
        <f t="shared" si="4"/>
        <v>5356123.8599999994</v>
      </c>
      <c r="L18" s="95">
        <f t="shared" si="4"/>
        <v>4418494.93</v>
      </c>
      <c r="M18" s="95">
        <f t="shared" si="4"/>
        <v>4321947.07</v>
      </c>
      <c r="N18" s="95">
        <f t="shared" si="4"/>
        <v>5064039.2699999996</v>
      </c>
      <c r="O18" s="95">
        <f t="shared" si="4"/>
        <v>5739648.7400000002</v>
      </c>
      <c r="P18" s="178">
        <f t="shared" ref="P18:P19" si="5">SUM(D18:O18)</f>
        <v>59046068.759999998</v>
      </c>
    </row>
    <row r="19" spans="1:16" x14ac:dyDescent="0.2">
      <c r="A19" s="31">
        <f t="shared" si="0"/>
        <v>15</v>
      </c>
      <c r="B19" s="31"/>
      <c r="C19" s="14" t="s">
        <v>1029</v>
      </c>
      <c r="D19" s="144">
        <f>D17+D18</f>
        <v>9111689.7100000009</v>
      </c>
      <c r="E19" s="144">
        <f t="shared" ref="E19:O19" si="6">E17+E18</f>
        <v>6791805.129999999</v>
      </c>
      <c r="F19" s="144">
        <f t="shared" si="6"/>
        <v>7120122.6600000001</v>
      </c>
      <c r="G19" s="144">
        <f t="shared" si="6"/>
        <v>5576940.5499999998</v>
      </c>
      <c r="H19" s="144">
        <f t="shared" si="6"/>
        <v>5774137.9500000002</v>
      </c>
      <c r="I19" s="144">
        <f t="shared" si="6"/>
        <v>5600325.7300000004</v>
      </c>
      <c r="J19" s="144">
        <f t="shared" si="6"/>
        <v>7114741.6500000004</v>
      </c>
      <c r="K19" s="144">
        <f t="shared" si="6"/>
        <v>7375004.709999999</v>
      </c>
      <c r="L19" s="144">
        <f t="shared" si="6"/>
        <v>6149163.6399999997</v>
      </c>
      <c r="M19" s="144">
        <f t="shared" si="6"/>
        <v>5761616.7200000007</v>
      </c>
      <c r="N19" s="144">
        <f t="shared" si="6"/>
        <v>7355723.209999999</v>
      </c>
      <c r="O19" s="144">
        <f t="shared" si="6"/>
        <v>7995235.7599999998</v>
      </c>
      <c r="P19" s="178">
        <f t="shared" si="5"/>
        <v>81726507.420000002</v>
      </c>
    </row>
    <row r="20" spans="1:16" x14ac:dyDescent="0.2">
      <c r="A20" s="31">
        <f t="shared" si="0"/>
        <v>16</v>
      </c>
      <c r="B20" s="31"/>
      <c r="C20" s="14" t="s">
        <v>928</v>
      </c>
      <c r="D20" s="95">
        <f>D19-D14</f>
        <v>0</v>
      </c>
      <c r="E20" s="95">
        <f t="shared" ref="E20:P20" si="7">E19-E14</f>
        <v>0</v>
      </c>
      <c r="F20" s="95">
        <f t="shared" si="7"/>
        <v>0</v>
      </c>
      <c r="G20" s="95">
        <f t="shared" si="7"/>
        <v>0</v>
      </c>
      <c r="H20" s="95">
        <f t="shared" si="7"/>
        <v>0</v>
      </c>
      <c r="I20" s="95">
        <f t="shared" si="7"/>
        <v>0</v>
      </c>
      <c r="J20" s="95">
        <f t="shared" si="7"/>
        <v>0</v>
      </c>
      <c r="K20" s="95">
        <f t="shared" si="7"/>
        <v>0</v>
      </c>
      <c r="L20" s="95">
        <f t="shared" si="7"/>
        <v>0</v>
      </c>
      <c r="M20" s="95">
        <f t="shared" si="7"/>
        <v>0</v>
      </c>
      <c r="N20" s="95">
        <f t="shared" si="7"/>
        <v>0</v>
      </c>
      <c r="O20" s="95">
        <f t="shared" si="7"/>
        <v>0</v>
      </c>
      <c r="P20" s="95">
        <f t="shared" si="7"/>
        <v>0</v>
      </c>
    </row>
    <row r="21" spans="1:16" x14ac:dyDescent="0.2">
      <c r="A21" s="31">
        <f t="shared" si="0"/>
        <v>17</v>
      </c>
      <c r="B21" s="31"/>
      <c r="C21" s="14" t="s">
        <v>1030</v>
      </c>
      <c r="D21" s="26">
        <f>D17/D19</f>
        <v>0.23968890617544961</v>
      </c>
      <c r="E21" s="26">
        <f t="shared" ref="E21:P21" si="8">E17/E19</f>
        <v>0.29078221653865388</v>
      </c>
      <c r="F21" s="26">
        <f t="shared" si="8"/>
        <v>0.30163314068524766</v>
      </c>
      <c r="G21" s="26">
        <f t="shared" si="8"/>
        <v>0.28353854695474562</v>
      </c>
      <c r="H21" s="26">
        <f t="shared" si="8"/>
        <v>0.25995742100342439</v>
      </c>
      <c r="I21" s="26">
        <f t="shared" si="8"/>
        <v>0.28512328514148766</v>
      </c>
      <c r="J21" s="26">
        <f t="shared" si="8"/>
        <v>0.27524338006004756</v>
      </c>
      <c r="K21" s="26">
        <f t="shared" si="8"/>
        <v>0.27374638110570104</v>
      </c>
      <c r="L21" s="26">
        <f t="shared" si="8"/>
        <v>0.28144782141462088</v>
      </c>
      <c r="M21" s="26">
        <f t="shared" si="8"/>
        <v>0.24987251321361753</v>
      </c>
      <c r="N21" s="26">
        <f t="shared" si="8"/>
        <v>0.31155113842300225</v>
      </c>
      <c r="O21" s="26">
        <f t="shared" si="8"/>
        <v>0.28211638627151631</v>
      </c>
      <c r="P21" s="145">
        <f t="shared" si="8"/>
        <v>0.27751630867379595</v>
      </c>
    </row>
    <row r="22" spans="1:16" x14ac:dyDescent="0.2">
      <c r="A22" s="31">
        <f t="shared" si="0"/>
        <v>18</v>
      </c>
      <c r="B22" s="31"/>
      <c r="C22" s="14" t="s">
        <v>1031</v>
      </c>
      <c r="D22" s="26">
        <f>D18/D19</f>
        <v>0.76031109382455031</v>
      </c>
      <c r="E22" s="26">
        <f t="shared" ref="E22:P22" si="9">E18/E19</f>
        <v>0.70921778346134623</v>
      </c>
      <c r="F22" s="26">
        <f t="shared" si="9"/>
        <v>0.69836685931475229</v>
      </c>
      <c r="G22" s="26">
        <f t="shared" si="9"/>
        <v>0.71646145304525444</v>
      </c>
      <c r="H22" s="26">
        <f t="shared" si="9"/>
        <v>0.74004257899657566</v>
      </c>
      <c r="I22" s="26">
        <f t="shared" si="9"/>
        <v>0.71487671485851223</v>
      </c>
      <c r="J22" s="26">
        <f t="shared" si="9"/>
        <v>0.72475661993995244</v>
      </c>
      <c r="K22" s="26">
        <f t="shared" si="9"/>
        <v>0.72625361889429896</v>
      </c>
      <c r="L22" s="26">
        <f t="shared" si="9"/>
        <v>0.71855217858537912</v>
      </c>
      <c r="M22" s="26">
        <f t="shared" si="9"/>
        <v>0.75012748678638241</v>
      </c>
      <c r="N22" s="26">
        <f t="shared" si="9"/>
        <v>0.68844886157699781</v>
      </c>
      <c r="O22" s="26">
        <f t="shared" si="9"/>
        <v>0.71788361372848375</v>
      </c>
      <c r="P22" s="145">
        <f t="shared" si="9"/>
        <v>0.72248369132620394</v>
      </c>
    </row>
    <row r="23" spans="1:16" x14ac:dyDescent="0.2">
      <c r="A23" s="31">
        <f t="shared" si="0"/>
        <v>19</v>
      </c>
      <c r="B23" s="31"/>
    </row>
    <row r="24" spans="1:16" x14ac:dyDescent="0.2">
      <c r="A24" s="31">
        <f t="shared" si="0"/>
        <v>20</v>
      </c>
      <c r="B24" s="31"/>
      <c r="O24" s="14" t="s">
        <v>0</v>
      </c>
      <c r="P24" s="25">
        <f>P14</f>
        <v>81726507.420000002</v>
      </c>
    </row>
    <row r="25" spans="1:16" x14ac:dyDescent="0.2">
      <c r="A25" s="31">
        <f t="shared" si="0"/>
        <v>21</v>
      </c>
      <c r="B25" s="31"/>
      <c r="O25" s="14" t="s">
        <v>943</v>
      </c>
      <c r="P25" s="25">
        <v>81726509</v>
      </c>
    </row>
    <row r="26" spans="1:16" x14ac:dyDescent="0.2">
      <c r="A26" s="31">
        <f t="shared" si="0"/>
        <v>22</v>
      </c>
      <c r="B26" s="31"/>
      <c r="O26" s="14" t="s">
        <v>1156</v>
      </c>
      <c r="P26" s="177">
        <f>P24-P25</f>
        <v>-1.5799999982118607</v>
      </c>
    </row>
    <row r="27" spans="1:16" x14ac:dyDescent="0.2">
      <c r="A27" s="31">
        <f t="shared" si="0"/>
        <v>23</v>
      </c>
      <c r="B27" s="31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6" x14ac:dyDescent="0.2">
      <c r="A28" s="31">
        <f t="shared" si="0"/>
        <v>24</v>
      </c>
      <c r="B28" s="31"/>
      <c r="C28" s="146" t="s">
        <v>1025</v>
      </c>
      <c r="D28" s="146">
        <v>0.6</v>
      </c>
      <c r="E28" s="146">
        <f>D28</f>
        <v>0.6</v>
      </c>
      <c r="F28" s="146">
        <f t="shared" ref="F28:O28" si="10">E28</f>
        <v>0.6</v>
      </c>
      <c r="G28" s="146">
        <f t="shared" si="10"/>
        <v>0.6</v>
      </c>
      <c r="H28" s="146">
        <f t="shared" si="10"/>
        <v>0.6</v>
      </c>
      <c r="I28" s="146">
        <f t="shared" si="10"/>
        <v>0.6</v>
      </c>
      <c r="J28" s="146">
        <f t="shared" si="10"/>
        <v>0.6</v>
      </c>
      <c r="K28" s="146">
        <f t="shared" si="10"/>
        <v>0.6</v>
      </c>
      <c r="L28" s="146">
        <f t="shared" si="10"/>
        <v>0.6</v>
      </c>
      <c r="M28" s="146">
        <f t="shared" si="10"/>
        <v>0.6</v>
      </c>
      <c r="N28" s="146">
        <f t="shared" si="10"/>
        <v>0.6</v>
      </c>
      <c r="O28" s="146">
        <f t="shared" si="10"/>
        <v>0.6</v>
      </c>
      <c r="P28" s="180">
        <f t="shared" ref="P28" si="11">O28</f>
        <v>0.6</v>
      </c>
    </row>
    <row r="29" spans="1:16" x14ac:dyDescent="0.2">
      <c r="A29" s="31">
        <f t="shared" si="0"/>
        <v>25</v>
      </c>
      <c r="B29" s="31"/>
      <c r="C29" s="14" t="s">
        <v>1026</v>
      </c>
      <c r="D29" s="172">
        <v>0.4</v>
      </c>
      <c r="E29" s="146">
        <f>D29</f>
        <v>0.4</v>
      </c>
      <c r="F29" s="146">
        <f t="shared" ref="F29:O29" si="12">E29</f>
        <v>0.4</v>
      </c>
      <c r="G29" s="146">
        <f t="shared" si="12"/>
        <v>0.4</v>
      </c>
      <c r="H29" s="146">
        <f t="shared" si="12"/>
        <v>0.4</v>
      </c>
      <c r="I29" s="146">
        <f t="shared" si="12"/>
        <v>0.4</v>
      </c>
      <c r="J29" s="146">
        <f t="shared" si="12"/>
        <v>0.4</v>
      </c>
      <c r="K29" s="146">
        <f t="shared" si="12"/>
        <v>0.4</v>
      </c>
      <c r="L29" s="146">
        <f t="shared" si="12"/>
        <v>0.4</v>
      </c>
      <c r="M29" s="146">
        <f t="shared" si="12"/>
        <v>0.4</v>
      </c>
      <c r="N29" s="146">
        <f t="shared" si="12"/>
        <v>0.4</v>
      </c>
      <c r="O29" s="146">
        <f t="shared" si="12"/>
        <v>0.4</v>
      </c>
      <c r="P29" s="180">
        <f t="shared" ref="P29" si="13">O29</f>
        <v>0.4</v>
      </c>
    </row>
    <row r="30" spans="1:16" x14ac:dyDescent="0.2">
      <c r="A30" s="31">
        <f t="shared" si="0"/>
        <v>26</v>
      </c>
    </row>
    <row r="31" spans="1:16" x14ac:dyDescent="0.2">
      <c r="A31" s="31">
        <f t="shared" si="0"/>
        <v>27</v>
      </c>
      <c r="B31" s="13" t="s">
        <v>1146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4"/>
    </row>
    <row r="32" spans="1:16" x14ac:dyDescent="0.2">
      <c r="A32" s="31">
        <f t="shared" si="0"/>
        <v>28</v>
      </c>
      <c r="D32" s="30" t="s">
        <v>1115</v>
      </c>
      <c r="E32" s="30" t="s">
        <v>1116</v>
      </c>
      <c r="F32" s="30" t="s">
        <v>1117</v>
      </c>
      <c r="G32" s="30" t="s">
        <v>1118</v>
      </c>
      <c r="H32" s="30" t="s">
        <v>1119</v>
      </c>
      <c r="I32" s="30" t="s">
        <v>1120</v>
      </c>
      <c r="J32" s="30" t="s">
        <v>1121</v>
      </c>
      <c r="K32" s="30" t="s">
        <v>1122</v>
      </c>
      <c r="L32" s="30" t="s">
        <v>1123</v>
      </c>
      <c r="M32" s="30" t="s">
        <v>1124</v>
      </c>
      <c r="N32" s="30" t="s">
        <v>1125</v>
      </c>
      <c r="O32" s="30" t="s">
        <v>1126</v>
      </c>
    </row>
    <row r="33" spans="1:16" ht="12.75" customHeight="1" x14ac:dyDescent="0.2">
      <c r="A33" s="31">
        <f t="shared" si="0"/>
        <v>29</v>
      </c>
      <c r="B33" s="14" t="s">
        <v>1132</v>
      </c>
      <c r="C33" s="112" t="s">
        <v>1192</v>
      </c>
    </row>
    <row r="34" spans="1:16" x14ac:dyDescent="0.2">
      <c r="A34" s="31">
        <f t="shared" si="0"/>
        <v>30</v>
      </c>
      <c r="C34" s="14" t="s">
        <v>939</v>
      </c>
      <c r="D34" s="66"/>
      <c r="E34" s="66"/>
      <c r="F34" s="66"/>
      <c r="G34" s="66"/>
      <c r="H34" s="66">
        <v>3745</v>
      </c>
      <c r="I34" s="66">
        <v>3745</v>
      </c>
      <c r="J34" s="66">
        <v>3745</v>
      </c>
      <c r="K34" s="66">
        <v>3782</v>
      </c>
      <c r="L34" s="66">
        <v>4172</v>
      </c>
      <c r="M34" s="66">
        <v>5640</v>
      </c>
      <c r="N34" s="66">
        <v>5640</v>
      </c>
      <c r="O34" s="66">
        <v>5895</v>
      </c>
      <c r="P34" s="178">
        <f>SUM(D34:O34)</f>
        <v>36364</v>
      </c>
    </row>
    <row r="35" spans="1:16" x14ac:dyDescent="0.2">
      <c r="A35" s="31">
        <f t="shared" si="0"/>
        <v>31</v>
      </c>
      <c r="C35" s="14" t="s">
        <v>940</v>
      </c>
      <c r="D35" s="66"/>
      <c r="E35" s="66"/>
      <c r="F35" s="66"/>
      <c r="G35" s="66"/>
      <c r="H35" s="66">
        <v>8302</v>
      </c>
      <c r="I35" s="66">
        <v>12411</v>
      </c>
      <c r="J35" s="66">
        <v>14163</v>
      </c>
      <c r="K35" s="66">
        <v>14537</v>
      </c>
      <c r="L35" s="66">
        <v>22911</v>
      </c>
      <c r="M35" s="66">
        <v>22271</v>
      </c>
      <c r="N35" s="66">
        <v>21166</v>
      </c>
      <c r="O35" s="66">
        <v>22898</v>
      </c>
      <c r="P35" s="178">
        <f t="shared" ref="P35:P37" si="14">SUM(D35:O35)</f>
        <v>138659</v>
      </c>
    </row>
    <row r="36" spans="1:16" x14ac:dyDescent="0.2">
      <c r="A36" s="31">
        <f t="shared" si="0"/>
        <v>32</v>
      </c>
      <c r="C36" s="14" t="s">
        <v>966</v>
      </c>
      <c r="D36" s="66"/>
      <c r="E36" s="66"/>
      <c r="F36" s="66"/>
      <c r="G36" s="66"/>
      <c r="H36" s="66">
        <v>2329</v>
      </c>
      <c r="I36" s="66">
        <v>1425</v>
      </c>
      <c r="J36" s="66">
        <v>2428</v>
      </c>
      <c r="K36" s="66">
        <v>4071</v>
      </c>
      <c r="L36" s="66">
        <v>5946</v>
      </c>
      <c r="M36" s="66">
        <v>6187</v>
      </c>
      <c r="N36" s="66">
        <v>4277</v>
      </c>
      <c r="O36" s="66">
        <v>3628</v>
      </c>
      <c r="P36" s="178">
        <f t="shared" si="14"/>
        <v>30291</v>
      </c>
    </row>
    <row r="37" spans="1:16" x14ac:dyDescent="0.2">
      <c r="A37" s="31">
        <f t="shared" si="0"/>
        <v>33</v>
      </c>
      <c r="C37" s="14" t="s">
        <v>967</v>
      </c>
      <c r="D37" s="66"/>
      <c r="E37" s="66"/>
      <c r="F37" s="66"/>
      <c r="G37" s="66"/>
      <c r="H37" s="66">
        <v>2276</v>
      </c>
      <c r="I37" s="66">
        <v>3288</v>
      </c>
      <c r="J37" s="66">
        <v>3937</v>
      </c>
      <c r="K37" s="66">
        <v>4341</v>
      </c>
      <c r="L37" s="66">
        <v>5004</v>
      </c>
      <c r="M37" s="66">
        <v>5043</v>
      </c>
      <c r="N37" s="66">
        <v>5430</v>
      </c>
      <c r="O37" s="66">
        <v>5820</v>
      </c>
      <c r="P37" s="178">
        <f t="shared" si="14"/>
        <v>35139</v>
      </c>
    </row>
    <row r="38" spans="1:16" x14ac:dyDescent="0.2">
      <c r="A38" s="31">
        <f t="shared" si="0"/>
        <v>34</v>
      </c>
      <c r="C38" s="173" t="s">
        <v>0</v>
      </c>
      <c r="D38" s="104">
        <f t="shared" ref="D38:P38" si="15">SUM(D34:D37)</f>
        <v>0</v>
      </c>
      <c r="E38" s="104">
        <f t="shared" si="15"/>
        <v>0</v>
      </c>
      <c r="F38" s="104">
        <f t="shared" si="15"/>
        <v>0</v>
      </c>
      <c r="G38" s="104">
        <f t="shared" si="15"/>
        <v>0</v>
      </c>
      <c r="H38" s="104">
        <f t="shared" si="15"/>
        <v>16652</v>
      </c>
      <c r="I38" s="104">
        <f t="shared" si="15"/>
        <v>20869</v>
      </c>
      <c r="J38" s="104">
        <f t="shared" si="15"/>
        <v>24273</v>
      </c>
      <c r="K38" s="104">
        <f t="shared" si="15"/>
        <v>26731</v>
      </c>
      <c r="L38" s="104">
        <f t="shared" si="15"/>
        <v>38033</v>
      </c>
      <c r="M38" s="104">
        <f t="shared" si="15"/>
        <v>39141</v>
      </c>
      <c r="N38" s="104">
        <f t="shared" si="15"/>
        <v>36513</v>
      </c>
      <c r="O38" s="104">
        <f t="shared" si="15"/>
        <v>38241</v>
      </c>
      <c r="P38" s="105">
        <f t="shared" si="15"/>
        <v>240453</v>
      </c>
    </row>
    <row r="39" spans="1:16" x14ac:dyDescent="0.2">
      <c r="A39" s="31">
        <f t="shared" si="0"/>
        <v>35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179"/>
    </row>
    <row r="40" spans="1:16" ht="12.75" customHeight="1" x14ac:dyDescent="0.2">
      <c r="A40" s="31">
        <f t="shared" si="0"/>
        <v>36</v>
      </c>
      <c r="B40" s="14" t="s">
        <v>1132</v>
      </c>
      <c r="C40" s="112" t="s">
        <v>1175</v>
      </c>
    </row>
    <row r="41" spans="1:16" x14ac:dyDescent="0.2">
      <c r="A41" s="31">
        <f t="shared" si="0"/>
        <v>37</v>
      </c>
      <c r="C41" s="14" t="s">
        <v>939</v>
      </c>
      <c r="D41" s="66">
        <v>5340</v>
      </c>
      <c r="E41" s="66">
        <v>5340</v>
      </c>
      <c r="F41" s="66">
        <v>5340</v>
      </c>
      <c r="G41" s="66">
        <v>5340</v>
      </c>
      <c r="H41" s="66">
        <v>5558</v>
      </c>
      <c r="I41" s="66">
        <v>5730</v>
      </c>
      <c r="J41" s="66">
        <v>5730</v>
      </c>
      <c r="K41" s="66">
        <v>5730</v>
      </c>
      <c r="L41" s="66">
        <v>5730</v>
      </c>
      <c r="M41" s="66">
        <v>5730</v>
      </c>
      <c r="N41" s="66">
        <v>5730</v>
      </c>
      <c r="O41" s="66">
        <v>5805</v>
      </c>
      <c r="P41" s="178">
        <f>SUM(D41:O41)</f>
        <v>67103</v>
      </c>
    </row>
    <row r="42" spans="1:16" x14ac:dyDescent="0.2">
      <c r="A42" s="31">
        <f t="shared" si="0"/>
        <v>38</v>
      </c>
      <c r="C42" s="14" t="s">
        <v>940</v>
      </c>
      <c r="D42" s="66">
        <v>19671</v>
      </c>
      <c r="E42" s="66">
        <v>16632</v>
      </c>
      <c r="F42" s="66">
        <v>19882</v>
      </c>
      <c r="G42" s="66">
        <v>20750</v>
      </c>
      <c r="H42" s="66">
        <v>21059</v>
      </c>
      <c r="I42" s="66">
        <v>22152</v>
      </c>
      <c r="J42" s="66">
        <v>21816</v>
      </c>
      <c r="K42" s="66">
        <v>20366</v>
      </c>
      <c r="L42" s="66">
        <v>17791</v>
      </c>
      <c r="M42" s="66">
        <v>19045</v>
      </c>
      <c r="N42" s="66">
        <v>18823</v>
      </c>
      <c r="O42" s="66">
        <v>22890</v>
      </c>
      <c r="P42" s="178">
        <f t="shared" ref="P42:P44" si="16">SUM(D42:O42)</f>
        <v>240877</v>
      </c>
    </row>
    <row r="43" spans="1:16" x14ac:dyDescent="0.2">
      <c r="A43" s="31">
        <f t="shared" si="0"/>
        <v>39</v>
      </c>
      <c r="C43" s="14" t="s">
        <v>966</v>
      </c>
      <c r="D43" s="66">
        <v>11122</v>
      </c>
      <c r="E43" s="66">
        <v>4787</v>
      </c>
      <c r="F43" s="66">
        <v>4462</v>
      </c>
      <c r="G43" s="66">
        <v>4974</v>
      </c>
      <c r="H43" s="66">
        <v>5908</v>
      </c>
      <c r="I43" s="66">
        <v>2544</v>
      </c>
      <c r="J43" s="66">
        <v>3741</v>
      </c>
      <c r="K43" s="66">
        <v>5704</v>
      </c>
      <c r="L43" s="66">
        <v>4617</v>
      </c>
      <c r="M43" s="66">
        <v>5291</v>
      </c>
      <c r="N43" s="66">
        <v>3804</v>
      </c>
      <c r="O43" s="66">
        <v>3627</v>
      </c>
      <c r="P43" s="178">
        <f t="shared" si="16"/>
        <v>60581</v>
      </c>
    </row>
    <row r="44" spans="1:16" x14ac:dyDescent="0.2">
      <c r="A44" s="31">
        <f t="shared" si="0"/>
        <v>40</v>
      </c>
      <c r="C44" s="14" t="s">
        <v>967</v>
      </c>
      <c r="D44" s="66">
        <v>5069</v>
      </c>
      <c r="E44" s="66">
        <v>2515</v>
      </c>
      <c r="F44" s="66">
        <v>3549</v>
      </c>
      <c r="G44" s="66">
        <v>5057</v>
      </c>
      <c r="H44" s="66">
        <v>5149</v>
      </c>
      <c r="I44" s="66">
        <v>5690</v>
      </c>
      <c r="J44" s="66">
        <v>6057</v>
      </c>
      <c r="K44" s="66">
        <v>6166</v>
      </c>
      <c r="L44" s="66">
        <v>4263</v>
      </c>
      <c r="M44" s="66">
        <v>4447</v>
      </c>
      <c r="N44" s="66">
        <v>4954</v>
      </c>
      <c r="O44" s="66">
        <v>5802</v>
      </c>
      <c r="P44" s="178">
        <f t="shared" si="16"/>
        <v>58718</v>
      </c>
    </row>
    <row r="45" spans="1:16" x14ac:dyDescent="0.2">
      <c r="A45" s="31">
        <f t="shared" si="0"/>
        <v>41</v>
      </c>
      <c r="C45" s="173" t="s">
        <v>0</v>
      </c>
      <c r="D45" s="104">
        <f t="shared" ref="D45:P45" si="17">SUM(D41:D44)</f>
        <v>41202</v>
      </c>
      <c r="E45" s="104">
        <f t="shared" si="17"/>
        <v>29274</v>
      </c>
      <c r="F45" s="104">
        <f t="shared" si="17"/>
        <v>33233</v>
      </c>
      <c r="G45" s="104">
        <f t="shared" si="17"/>
        <v>36121</v>
      </c>
      <c r="H45" s="104">
        <f t="shared" si="17"/>
        <v>37674</v>
      </c>
      <c r="I45" s="104">
        <f t="shared" si="17"/>
        <v>36116</v>
      </c>
      <c r="J45" s="104">
        <f t="shared" si="17"/>
        <v>37344</v>
      </c>
      <c r="K45" s="104">
        <f t="shared" si="17"/>
        <v>37966</v>
      </c>
      <c r="L45" s="104">
        <f t="shared" si="17"/>
        <v>32401</v>
      </c>
      <c r="M45" s="104">
        <f t="shared" si="17"/>
        <v>34513</v>
      </c>
      <c r="N45" s="104">
        <f t="shared" si="17"/>
        <v>33311</v>
      </c>
      <c r="O45" s="104">
        <f t="shared" si="17"/>
        <v>38124</v>
      </c>
      <c r="P45" s="105">
        <f t="shared" si="17"/>
        <v>427279</v>
      </c>
    </row>
    <row r="46" spans="1:16" x14ac:dyDescent="0.2">
      <c r="A46" s="31">
        <f t="shared" si="0"/>
        <v>42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179"/>
    </row>
    <row r="47" spans="1:16" ht="12.75" customHeight="1" x14ac:dyDescent="0.2">
      <c r="A47" s="31">
        <f t="shared" si="0"/>
        <v>43</v>
      </c>
      <c r="B47" s="14" t="s">
        <v>1131</v>
      </c>
      <c r="C47" s="112" t="s">
        <v>1188</v>
      </c>
    </row>
    <row r="48" spans="1:16" x14ac:dyDescent="0.2">
      <c r="A48" s="31">
        <f t="shared" si="0"/>
        <v>44</v>
      </c>
      <c r="C48" s="14" t="s">
        <v>939</v>
      </c>
      <c r="D48" s="66"/>
      <c r="E48" s="66"/>
      <c r="F48" s="66">
        <v>5430</v>
      </c>
      <c r="G48" s="66">
        <v>5430</v>
      </c>
      <c r="H48" s="66">
        <v>5430</v>
      </c>
      <c r="I48" s="66">
        <v>5430</v>
      </c>
      <c r="J48" s="66">
        <v>5430</v>
      </c>
      <c r="K48" s="66">
        <v>5430</v>
      </c>
      <c r="L48" s="66">
        <v>5430</v>
      </c>
      <c r="M48" s="66">
        <v>5430</v>
      </c>
      <c r="N48" s="66">
        <v>5430</v>
      </c>
      <c r="O48" s="66">
        <v>5430</v>
      </c>
      <c r="P48" s="178">
        <f>SUM(D48:O48)</f>
        <v>54300</v>
      </c>
    </row>
    <row r="49" spans="1:16" x14ac:dyDescent="0.2">
      <c r="A49" s="31">
        <f t="shared" si="0"/>
        <v>45</v>
      </c>
      <c r="C49" s="14" t="s">
        <v>940</v>
      </c>
      <c r="D49" s="66"/>
      <c r="E49" s="66"/>
      <c r="F49" s="66">
        <v>16169</v>
      </c>
      <c r="G49" s="66">
        <v>11548</v>
      </c>
      <c r="H49" s="66">
        <v>13844</v>
      </c>
      <c r="I49" s="66">
        <v>13717</v>
      </c>
      <c r="J49" s="66">
        <v>9862</v>
      </c>
      <c r="K49" s="66">
        <v>12934</v>
      </c>
      <c r="L49" s="66">
        <v>11502</v>
      </c>
      <c r="M49" s="66">
        <v>12638</v>
      </c>
      <c r="N49" s="66">
        <v>11532</v>
      </c>
      <c r="O49" s="66">
        <v>11118</v>
      </c>
      <c r="P49" s="178">
        <f t="shared" ref="P49:P51" si="18">SUM(D49:O49)</f>
        <v>124864</v>
      </c>
    </row>
    <row r="50" spans="1:16" x14ac:dyDescent="0.2">
      <c r="A50" s="31">
        <f t="shared" si="0"/>
        <v>46</v>
      </c>
      <c r="C50" s="14" t="s">
        <v>966</v>
      </c>
      <c r="D50" s="66"/>
      <c r="E50" s="66"/>
      <c r="F50" s="66">
        <v>3620</v>
      </c>
      <c r="G50" s="66">
        <v>2766</v>
      </c>
      <c r="H50" s="66">
        <v>3884</v>
      </c>
      <c r="I50" s="66">
        <v>1575</v>
      </c>
      <c r="J50" s="66">
        <v>1539</v>
      </c>
      <c r="K50" s="66">
        <v>3622</v>
      </c>
      <c r="L50" s="66">
        <v>2976</v>
      </c>
      <c r="M50" s="66">
        <v>3511</v>
      </c>
      <c r="N50" s="66">
        <v>2327</v>
      </c>
      <c r="O50" s="66">
        <v>1725</v>
      </c>
      <c r="P50" s="178">
        <f t="shared" si="18"/>
        <v>27545</v>
      </c>
    </row>
    <row r="51" spans="1:16" x14ac:dyDescent="0.2">
      <c r="A51" s="31">
        <f t="shared" si="0"/>
        <v>47</v>
      </c>
      <c r="C51" s="14" t="s">
        <v>967</v>
      </c>
      <c r="D51" s="66"/>
      <c r="E51" s="66"/>
      <c r="F51" s="66">
        <v>3016</v>
      </c>
      <c r="G51" s="66">
        <v>3214</v>
      </c>
      <c r="H51" s="66">
        <v>3666</v>
      </c>
      <c r="I51" s="66">
        <v>3875</v>
      </c>
      <c r="J51" s="66">
        <v>3258</v>
      </c>
      <c r="K51" s="66">
        <v>4263</v>
      </c>
      <c r="L51" s="66">
        <v>3016</v>
      </c>
      <c r="M51" s="66">
        <v>3192</v>
      </c>
      <c r="N51" s="66">
        <v>3370</v>
      </c>
      <c r="O51" s="66">
        <v>3280</v>
      </c>
      <c r="P51" s="178">
        <f t="shared" si="18"/>
        <v>34150</v>
      </c>
    </row>
    <row r="52" spans="1:16" x14ac:dyDescent="0.2">
      <c r="A52" s="31">
        <f t="shared" si="0"/>
        <v>48</v>
      </c>
      <c r="C52" s="173" t="s">
        <v>0</v>
      </c>
      <c r="D52" s="104">
        <f t="shared" ref="D52:P52" si="19">SUM(D48:D51)</f>
        <v>0</v>
      </c>
      <c r="E52" s="104">
        <f t="shared" si="19"/>
        <v>0</v>
      </c>
      <c r="F52" s="104">
        <f t="shared" si="19"/>
        <v>28235</v>
      </c>
      <c r="G52" s="104">
        <f t="shared" si="19"/>
        <v>22958</v>
      </c>
      <c r="H52" s="104">
        <f t="shared" si="19"/>
        <v>26824</v>
      </c>
      <c r="I52" s="104">
        <f t="shared" si="19"/>
        <v>24597</v>
      </c>
      <c r="J52" s="104">
        <f t="shared" si="19"/>
        <v>20089</v>
      </c>
      <c r="K52" s="104">
        <f t="shared" si="19"/>
        <v>26249</v>
      </c>
      <c r="L52" s="104">
        <f t="shared" si="19"/>
        <v>22924</v>
      </c>
      <c r="M52" s="104">
        <f t="shared" si="19"/>
        <v>24771</v>
      </c>
      <c r="N52" s="104">
        <f t="shared" si="19"/>
        <v>22659</v>
      </c>
      <c r="O52" s="104">
        <f t="shared" si="19"/>
        <v>21553</v>
      </c>
      <c r="P52" s="105">
        <f t="shared" si="19"/>
        <v>240859</v>
      </c>
    </row>
    <row r="53" spans="1:16" x14ac:dyDescent="0.2">
      <c r="A53" s="31">
        <f t="shared" si="0"/>
        <v>49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179"/>
    </row>
    <row r="54" spans="1:16" ht="12.75" customHeight="1" x14ac:dyDescent="0.2">
      <c r="A54" s="31">
        <f t="shared" si="0"/>
        <v>50</v>
      </c>
      <c r="B54" s="14" t="s">
        <v>1132</v>
      </c>
      <c r="C54" s="112" t="s">
        <v>1193</v>
      </c>
    </row>
    <row r="55" spans="1:16" x14ac:dyDescent="0.2">
      <c r="A55" s="31">
        <f t="shared" si="0"/>
        <v>51</v>
      </c>
      <c r="C55" s="14" t="s">
        <v>939</v>
      </c>
      <c r="D55" s="66"/>
      <c r="E55" s="66"/>
      <c r="F55" s="66"/>
      <c r="G55" s="66"/>
      <c r="H55" s="66"/>
      <c r="I55" s="66"/>
      <c r="J55" s="66"/>
      <c r="K55" s="66"/>
      <c r="L55" s="66">
        <v>12576</v>
      </c>
      <c r="M55" s="66">
        <v>17542</v>
      </c>
      <c r="N55" s="66">
        <v>18111</v>
      </c>
      <c r="O55" s="66"/>
      <c r="P55" s="178">
        <f>SUM(D55:O55)</f>
        <v>48229</v>
      </c>
    </row>
    <row r="56" spans="1:16" x14ac:dyDescent="0.2">
      <c r="A56" s="31">
        <f t="shared" si="0"/>
        <v>52</v>
      </c>
      <c r="C56" s="14" t="s">
        <v>940</v>
      </c>
      <c r="D56" s="66"/>
      <c r="E56" s="66"/>
      <c r="F56" s="66"/>
      <c r="G56" s="66"/>
      <c r="H56" s="66"/>
      <c r="I56" s="66"/>
      <c r="J56" s="66"/>
      <c r="K56" s="66"/>
      <c r="L56" s="66">
        <v>48504</v>
      </c>
      <c r="M56" s="66">
        <v>76628</v>
      </c>
      <c r="N56" s="66">
        <v>68152</v>
      </c>
      <c r="O56" s="66"/>
      <c r="P56" s="178">
        <f t="shared" ref="P56:P58" si="20">SUM(D56:O56)</f>
        <v>193284</v>
      </c>
    </row>
    <row r="57" spans="1:16" x14ac:dyDescent="0.2">
      <c r="A57" s="31">
        <f t="shared" si="0"/>
        <v>53</v>
      </c>
      <c r="C57" s="14" t="s">
        <v>966</v>
      </c>
      <c r="D57" s="66"/>
      <c r="E57" s="66"/>
      <c r="F57" s="66"/>
      <c r="G57" s="66"/>
      <c r="H57" s="66"/>
      <c r="I57" s="66"/>
      <c r="J57" s="66"/>
      <c r="K57" s="66"/>
      <c r="L57" s="66">
        <v>12587</v>
      </c>
      <c r="M57" s="66">
        <v>21288</v>
      </c>
      <c r="N57" s="66">
        <v>13773</v>
      </c>
      <c r="O57" s="66"/>
      <c r="P57" s="178">
        <f t="shared" si="20"/>
        <v>47648</v>
      </c>
    </row>
    <row r="58" spans="1:16" x14ac:dyDescent="0.2">
      <c r="A58" s="31">
        <f t="shared" si="0"/>
        <v>54</v>
      </c>
      <c r="C58" s="14" t="s">
        <v>967</v>
      </c>
      <c r="D58" s="66"/>
      <c r="E58" s="66"/>
      <c r="F58" s="66"/>
      <c r="G58" s="66"/>
      <c r="H58" s="66"/>
      <c r="I58" s="66"/>
      <c r="J58" s="66"/>
      <c r="K58" s="66"/>
      <c r="L58" s="66">
        <v>11161</v>
      </c>
      <c r="M58" s="66">
        <v>17076</v>
      </c>
      <c r="N58" s="66">
        <v>17476</v>
      </c>
      <c r="O58" s="66"/>
      <c r="P58" s="178">
        <f t="shared" si="20"/>
        <v>45713</v>
      </c>
    </row>
    <row r="59" spans="1:16" x14ac:dyDescent="0.2">
      <c r="A59" s="31">
        <f t="shared" si="0"/>
        <v>55</v>
      </c>
      <c r="C59" s="173" t="s">
        <v>0</v>
      </c>
      <c r="D59" s="104">
        <f t="shared" ref="D59:P59" si="21">SUM(D55:D58)</f>
        <v>0</v>
      </c>
      <c r="E59" s="104">
        <f t="shared" si="21"/>
        <v>0</v>
      </c>
      <c r="F59" s="104">
        <f t="shared" si="21"/>
        <v>0</v>
      </c>
      <c r="G59" s="104">
        <f t="shared" si="21"/>
        <v>0</v>
      </c>
      <c r="H59" s="104">
        <f t="shared" si="21"/>
        <v>0</v>
      </c>
      <c r="I59" s="104">
        <f t="shared" si="21"/>
        <v>0</v>
      </c>
      <c r="J59" s="104">
        <f t="shared" si="21"/>
        <v>0</v>
      </c>
      <c r="K59" s="104">
        <f t="shared" si="21"/>
        <v>0</v>
      </c>
      <c r="L59" s="104">
        <f t="shared" si="21"/>
        <v>84828</v>
      </c>
      <c r="M59" s="104">
        <f t="shared" si="21"/>
        <v>132534</v>
      </c>
      <c r="N59" s="104">
        <f t="shared" si="21"/>
        <v>117512</v>
      </c>
      <c r="O59" s="104">
        <f t="shared" si="21"/>
        <v>0</v>
      </c>
      <c r="P59" s="105">
        <f t="shared" si="21"/>
        <v>334874</v>
      </c>
    </row>
    <row r="60" spans="1:16" x14ac:dyDescent="0.2">
      <c r="A60" s="31">
        <f t="shared" si="0"/>
        <v>56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179"/>
    </row>
    <row r="61" spans="1:16" ht="12.75" customHeight="1" x14ac:dyDescent="0.2">
      <c r="A61" s="31">
        <f t="shared" si="0"/>
        <v>57</v>
      </c>
      <c r="B61" s="14" t="s">
        <v>1177</v>
      </c>
      <c r="C61" s="112" t="s">
        <v>1194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43"/>
    </row>
    <row r="62" spans="1:16" x14ac:dyDescent="0.2">
      <c r="A62" s="31">
        <f t="shared" si="0"/>
        <v>58</v>
      </c>
      <c r="C62" s="14" t="s">
        <v>1190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>
        <v>17946</v>
      </c>
      <c r="P62" s="178">
        <f>SUM(D62:O62)</f>
        <v>17946</v>
      </c>
    </row>
    <row r="63" spans="1:16" x14ac:dyDescent="0.2">
      <c r="A63" s="31">
        <f t="shared" si="0"/>
        <v>59</v>
      </c>
      <c r="C63" s="14" t="s">
        <v>1180</v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>
        <v>-12578</v>
      </c>
      <c r="P63" s="178">
        <f>SUM(D63:O63)</f>
        <v>-12578</v>
      </c>
    </row>
    <row r="64" spans="1:16" x14ac:dyDescent="0.2">
      <c r="A64" s="31">
        <f t="shared" si="0"/>
        <v>60</v>
      </c>
      <c r="C64" s="14" t="s">
        <v>940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>
        <v>70498</v>
      </c>
      <c r="P64" s="178">
        <f t="shared" ref="P64:P66" si="22">SUM(D64:O64)</f>
        <v>70498</v>
      </c>
    </row>
    <row r="65" spans="1:16" x14ac:dyDescent="0.2">
      <c r="A65" s="31">
        <f t="shared" si="0"/>
        <v>61</v>
      </c>
      <c r="C65" s="14" t="s">
        <v>966</v>
      </c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>
        <v>11171</v>
      </c>
      <c r="P65" s="178">
        <f t="shared" si="22"/>
        <v>11171</v>
      </c>
    </row>
    <row r="66" spans="1:16" x14ac:dyDescent="0.2">
      <c r="A66" s="31">
        <f t="shared" si="0"/>
        <v>62</v>
      </c>
      <c r="C66" s="14" t="s">
        <v>967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>
        <v>15623</v>
      </c>
      <c r="P66" s="178">
        <f t="shared" si="22"/>
        <v>15623</v>
      </c>
    </row>
    <row r="67" spans="1:16" x14ac:dyDescent="0.2">
      <c r="A67" s="31">
        <f t="shared" si="0"/>
        <v>63</v>
      </c>
      <c r="C67" s="173" t="s">
        <v>0</v>
      </c>
      <c r="D67" s="104">
        <f t="shared" ref="D67:P67" si="23">SUM(D62:D66)</f>
        <v>0</v>
      </c>
      <c r="E67" s="104">
        <f t="shared" si="23"/>
        <v>0</v>
      </c>
      <c r="F67" s="104">
        <f t="shared" si="23"/>
        <v>0</v>
      </c>
      <c r="G67" s="104">
        <f t="shared" si="23"/>
        <v>0</v>
      </c>
      <c r="H67" s="104">
        <f t="shared" si="23"/>
        <v>0</v>
      </c>
      <c r="I67" s="104">
        <f t="shared" si="23"/>
        <v>0</v>
      </c>
      <c r="J67" s="104">
        <f t="shared" si="23"/>
        <v>0</v>
      </c>
      <c r="K67" s="104">
        <f t="shared" si="23"/>
        <v>0</v>
      </c>
      <c r="L67" s="104">
        <f t="shared" si="23"/>
        <v>0</v>
      </c>
      <c r="M67" s="104">
        <f t="shared" si="23"/>
        <v>0</v>
      </c>
      <c r="N67" s="104">
        <f t="shared" si="23"/>
        <v>0</v>
      </c>
      <c r="O67" s="104">
        <f t="shared" si="23"/>
        <v>102660</v>
      </c>
      <c r="P67" s="105">
        <f t="shared" si="23"/>
        <v>102660</v>
      </c>
    </row>
    <row r="68" spans="1:16" x14ac:dyDescent="0.2">
      <c r="A68" s="31">
        <f t="shared" si="0"/>
        <v>64</v>
      </c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43"/>
    </row>
    <row r="69" spans="1:16" ht="12.75" customHeight="1" x14ac:dyDescent="0.2">
      <c r="A69" s="31">
        <f t="shared" si="0"/>
        <v>65</v>
      </c>
      <c r="B69" s="14" t="s">
        <v>1131</v>
      </c>
      <c r="C69" s="112" t="s">
        <v>1128</v>
      </c>
    </row>
    <row r="70" spans="1:16" x14ac:dyDescent="0.2">
      <c r="A70" s="31">
        <f t="shared" si="0"/>
        <v>66</v>
      </c>
      <c r="C70" s="14" t="s">
        <v>939</v>
      </c>
      <c r="D70" s="66">
        <v>11235</v>
      </c>
      <c r="E70" s="66">
        <v>11236</v>
      </c>
      <c r="F70" s="66">
        <v>11235</v>
      </c>
      <c r="G70" s="66">
        <v>11235</v>
      </c>
      <c r="H70" s="66">
        <v>11235</v>
      </c>
      <c r="I70" s="66">
        <v>11235</v>
      </c>
      <c r="J70" s="66">
        <v>11235</v>
      </c>
      <c r="K70" s="66">
        <v>11235</v>
      </c>
      <c r="L70" s="66">
        <v>11235</v>
      </c>
      <c r="M70" s="66">
        <v>11235</v>
      </c>
      <c r="N70" s="66">
        <v>11235</v>
      </c>
      <c r="O70" s="66">
        <v>11235</v>
      </c>
      <c r="P70" s="178">
        <f>SUM(D70:O70)</f>
        <v>134821</v>
      </c>
    </row>
    <row r="71" spans="1:16" x14ac:dyDescent="0.2">
      <c r="A71" s="31">
        <f t="shared" ref="A71:A134" si="24">A70+1</f>
        <v>67</v>
      </c>
      <c r="C71" s="14" t="s">
        <v>940</v>
      </c>
      <c r="D71" s="66">
        <v>18295</v>
      </c>
      <c r="E71" s="66">
        <v>22327</v>
      </c>
      <c r="F71" s="66">
        <v>23345</v>
      </c>
      <c r="G71" s="66">
        <v>24991</v>
      </c>
      <c r="H71" s="66">
        <v>28924</v>
      </c>
      <c r="I71" s="66">
        <v>31224</v>
      </c>
      <c r="J71" s="66">
        <v>35593</v>
      </c>
      <c r="K71" s="66">
        <v>35825</v>
      </c>
      <c r="L71" s="66">
        <v>29223</v>
      </c>
      <c r="M71" s="66">
        <v>26541</v>
      </c>
      <c r="N71" s="66">
        <v>25588</v>
      </c>
      <c r="O71" s="66">
        <v>25411</v>
      </c>
      <c r="P71" s="178">
        <f t="shared" ref="P71:P73" si="25">SUM(D71:O71)</f>
        <v>327287</v>
      </c>
    </row>
    <row r="72" spans="1:16" x14ac:dyDescent="0.2">
      <c r="A72" s="31">
        <f t="shared" si="24"/>
        <v>68</v>
      </c>
      <c r="C72" s="14" t="s">
        <v>966</v>
      </c>
      <c r="D72" s="66">
        <v>6667</v>
      </c>
      <c r="E72" s="66">
        <v>6187</v>
      </c>
      <c r="F72" s="66">
        <v>5159</v>
      </c>
      <c r="G72" s="66">
        <v>5990</v>
      </c>
      <c r="H72" s="66">
        <v>8115</v>
      </c>
      <c r="I72" s="66">
        <v>3586</v>
      </c>
      <c r="J72" s="66">
        <v>6104</v>
      </c>
      <c r="K72" s="66">
        <v>10033</v>
      </c>
      <c r="L72" s="66">
        <v>7584</v>
      </c>
      <c r="M72" s="66">
        <v>7373</v>
      </c>
      <c r="N72" s="66">
        <v>5171</v>
      </c>
      <c r="O72" s="66">
        <v>4027</v>
      </c>
      <c r="P72" s="178">
        <f t="shared" si="25"/>
        <v>75996</v>
      </c>
    </row>
    <row r="73" spans="1:16" x14ac:dyDescent="0.2">
      <c r="A73" s="31">
        <f t="shared" si="24"/>
        <v>69</v>
      </c>
      <c r="C73" s="14" t="s">
        <v>967</v>
      </c>
      <c r="D73" s="66">
        <v>5362</v>
      </c>
      <c r="E73" s="66">
        <v>3736</v>
      </c>
      <c r="F73" s="66">
        <v>4763</v>
      </c>
      <c r="G73" s="66">
        <v>8873</v>
      </c>
      <c r="H73" s="66">
        <v>7642</v>
      </c>
      <c r="I73" s="66">
        <v>8610</v>
      </c>
      <c r="J73" s="66">
        <v>10248</v>
      </c>
      <c r="K73" s="66">
        <v>11070</v>
      </c>
      <c r="L73" s="66">
        <v>7278</v>
      </c>
      <c r="M73" s="66">
        <v>6678</v>
      </c>
      <c r="N73" s="66">
        <v>7336</v>
      </c>
      <c r="O73" s="66">
        <v>7301</v>
      </c>
      <c r="P73" s="178">
        <f t="shared" si="25"/>
        <v>88897</v>
      </c>
    </row>
    <row r="74" spans="1:16" x14ac:dyDescent="0.2">
      <c r="A74" s="31">
        <f t="shared" si="24"/>
        <v>70</v>
      </c>
      <c r="C74" s="173" t="s">
        <v>0</v>
      </c>
      <c r="D74" s="104">
        <f t="shared" ref="D74:P74" si="26">SUM(D70:D73)</f>
        <v>41559</v>
      </c>
      <c r="E74" s="104">
        <f t="shared" si="26"/>
        <v>43486</v>
      </c>
      <c r="F74" s="104">
        <f t="shared" si="26"/>
        <v>44502</v>
      </c>
      <c r="G74" s="104">
        <f t="shared" si="26"/>
        <v>51089</v>
      </c>
      <c r="H74" s="104">
        <f t="shared" si="26"/>
        <v>55916</v>
      </c>
      <c r="I74" s="104">
        <f t="shared" si="26"/>
        <v>54655</v>
      </c>
      <c r="J74" s="104">
        <f t="shared" si="26"/>
        <v>63180</v>
      </c>
      <c r="K74" s="104">
        <f t="shared" si="26"/>
        <v>68163</v>
      </c>
      <c r="L74" s="104">
        <f t="shared" si="26"/>
        <v>55320</v>
      </c>
      <c r="M74" s="104">
        <f t="shared" si="26"/>
        <v>51827</v>
      </c>
      <c r="N74" s="104">
        <f t="shared" si="26"/>
        <v>49330</v>
      </c>
      <c r="O74" s="104">
        <f t="shared" si="26"/>
        <v>47974</v>
      </c>
      <c r="P74" s="105">
        <f t="shared" si="26"/>
        <v>627001</v>
      </c>
    </row>
    <row r="75" spans="1:16" ht="12.75" customHeight="1" x14ac:dyDescent="0.2">
      <c r="A75" s="31">
        <f t="shared" si="24"/>
        <v>71</v>
      </c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43"/>
    </row>
    <row r="76" spans="1:16" ht="12.75" customHeight="1" x14ac:dyDescent="0.2">
      <c r="A76" s="31">
        <f t="shared" si="24"/>
        <v>72</v>
      </c>
      <c r="B76" s="14" t="s">
        <v>1131</v>
      </c>
      <c r="C76" s="112" t="s">
        <v>1129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43"/>
    </row>
    <row r="77" spans="1:16" x14ac:dyDescent="0.2">
      <c r="A77" s="31">
        <f t="shared" si="24"/>
        <v>73</v>
      </c>
      <c r="C77" s="14" t="s">
        <v>939</v>
      </c>
      <c r="D77" s="66">
        <v>4120</v>
      </c>
      <c r="E77" s="66">
        <v>4120</v>
      </c>
      <c r="F77" s="66">
        <v>4120</v>
      </c>
      <c r="G77" s="66">
        <v>4120</v>
      </c>
      <c r="H77" s="66">
        <v>4120</v>
      </c>
      <c r="I77" s="66">
        <v>4120</v>
      </c>
      <c r="J77" s="66">
        <v>5176</v>
      </c>
      <c r="K77" s="66">
        <v>5288</v>
      </c>
      <c r="L77" s="66">
        <v>4120</v>
      </c>
      <c r="M77" s="66">
        <v>4120</v>
      </c>
      <c r="N77" s="66">
        <v>4120</v>
      </c>
      <c r="O77" s="66">
        <v>4120</v>
      </c>
      <c r="P77" s="178">
        <f>SUM(D77:O77)</f>
        <v>51664</v>
      </c>
    </row>
    <row r="78" spans="1:16" x14ac:dyDescent="0.2">
      <c r="A78" s="31">
        <f t="shared" si="24"/>
        <v>74</v>
      </c>
      <c r="C78" s="14" t="s">
        <v>940</v>
      </c>
      <c r="D78" s="66">
        <v>10089</v>
      </c>
      <c r="E78" s="66">
        <v>9689</v>
      </c>
      <c r="F78" s="66">
        <v>10885</v>
      </c>
      <c r="G78" s="66">
        <v>12071</v>
      </c>
      <c r="H78" s="66">
        <v>13332</v>
      </c>
      <c r="I78" s="66">
        <v>14739</v>
      </c>
      <c r="J78" s="66">
        <v>17745</v>
      </c>
      <c r="K78" s="66">
        <v>16415</v>
      </c>
      <c r="L78" s="66">
        <v>13673</v>
      </c>
      <c r="M78" s="66">
        <v>11563</v>
      </c>
      <c r="N78" s="66">
        <v>9882</v>
      </c>
      <c r="O78" s="66">
        <v>10106</v>
      </c>
      <c r="P78" s="178">
        <f t="shared" ref="P78:P80" si="27">SUM(D78:O78)</f>
        <v>150189</v>
      </c>
    </row>
    <row r="79" spans="1:16" x14ac:dyDescent="0.2">
      <c r="A79" s="31">
        <f t="shared" si="24"/>
        <v>75</v>
      </c>
      <c r="C79" s="14" t="s">
        <v>966</v>
      </c>
      <c r="D79" s="66">
        <v>5704</v>
      </c>
      <c r="E79" s="66">
        <v>2789</v>
      </c>
      <c r="F79" s="66">
        <v>2437</v>
      </c>
      <c r="G79" s="66">
        <v>2893</v>
      </c>
      <c r="H79" s="66">
        <v>3740</v>
      </c>
      <c r="I79" s="66">
        <v>1693</v>
      </c>
      <c r="J79" s="66">
        <v>3043</v>
      </c>
      <c r="K79" s="66">
        <v>4597</v>
      </c>
      <c r="L79" s="66">
        <v>3548</v>
      </c>
      <c r="M79" s="66">
        <v>3212</v>
      </c>
      <c r="N79" s="66">
        <v>1997</v>
      </c>
      <c r="O79" s="66">
        <v>1601</v>
      </c>
      <c r="P79" s="178">
        <f t="shared" si="27"/>
        <v>37254</v>
      </c>
    </row>
    <row r="80" spans="1:16" x14ac:dyDescent="0.2">
      <c r="A80" s="31">
        <f t="shared" si="24"/>
        <v>76</v>
      </c>
      <c r="C80" s="14" t="s">
        <v>967</v>
      </c>
      <c r="D80" s="66">
        <v>2794</v>
      </c>
      <c r="E80" s="66">
        <v>1560</v>
      </c>
      <c r="F80" s="66">
        <v>2086</v>
      </c>
      <c r="G80" s="66">
        <v>3107</v>
      </c>
      <c r="H80" s="66">
        <v>3355</v>
      </c>
      <c r="I80" s="66">
        <v>3843</v>
      </c>
      <c r="J80" s="66">
        <v>5027</v>
      </c>
      <c r="K80" s="66">
        <v>5100</v>
      </c>
      <c r="L80" s="66">
        <v>3233</v>
      </c>
      <c r="M80" s="66">
        <v>2795</v>
      </c>
      <c r="N80" s="66">
        <v>2795</v>
      </c>
      <c r="O80" s="66">
        <v>2841</v>
      </c>
      <c r="P80" s="178">
        <f t="shared" si="27"/>
        <v>38536</v>
      </c>
    </row>
    <row r="81" spans="1:16" x14ac:dyDescent="0.2">
      <c r="A81" s="31">
        <f t="shared" si="24"/>
        <v>77</v>
      </c>
      <c r="C81" s="173" t="s">
        <v>0</v>
      </c>
      <c r="D81" s="104">
        <f t="shared" ref="D81:P81" si="28">SUM(D77:D80)</f>
        <v>22707</v>
      </c>
      <c r="E81" s="104">
        <f t="shared" si="28"/>
        <v>18158</v>
      </c>
      <c r="F81" s="104">
        <f t="shared" si="28"/>
        <v>19528</v>
      </c>
      <c r="G81" s="104">
        <f t="shared" si="28"/>
        <v>22191</v>
      </c>
      <c r="H81" s="104">
        <f t="shared" si="28"/>
        <v>24547</v>
      </c>
      <c r="I81" s="104">
        <f t="shared" si="28"/>
        <v>24395</v>
      </c>
      <c r="J81" s="104">
        <f t="shared" si="28"/>
        <v>30991</v>
      </c>
      <c r="K81" s="104">
        <f t="shared" si="28"/>
        <v>31400</v>
      </c>
      <c r="L81" s="104">
        <f t="shared" si="28"/>
        <v>24574</v>
      </c>
      <c r="M81" s="104">
        <f t="shared" si="28"/>
        <v>21690</v>
      </c>
      <c r="N81" s="104">
        <f t="shared" si="28"/>
        <v>18794</v>
      </c>
      <c r="O81" s="104">
        <f t="shared" si="28"/>
        <v>18668</v>
      </c>
      <c r="P81" s="105">
        <f t="shared" si="28"/>
        <v>277643</v>
      </c>
    </row>
    <row r="82" spans="1:16" x14ac:dyDescent="0.2">
      <c r="A82" s="31">
        <f t="shared" si="24"/>
        <v>78</v>
      </c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179"/>
    </row>
    <row r="83" spans="1:16" ht="12.75" customHeight="1" x14ac:dyDescent="0.2">
      <c r="A83" s="31">
        <f t="shared" si="24"/>
        <v>79</v>
      </c>
      <c r="B83" s="14" t="s">
        <v>1132</v>
      </c>
      <c r="C83" s="112" t="s">
        <v>1130</v>
      </c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43"/>
    </row>
    <row r="84" spans="1:16" x14ac:dyDescent="0.2">
      <c r="A84" s="31">
        <f t="shared" si="24"/>
        <v>80</v>
      </c>
      <c r="C84" s="14" t="s">
        <v>939</v>
      </c>
      <c r="D84" s="66">
        <v>15871</v>
      </c>
      <c r="E84" s="66">
        <v>15871</v>
      </c>
      <c r="F84" s="66">
        <v>15871</v>
      </c>
      <c r="G84" s="66">
        <v>15871</v>
      </c>
      <c r="H84" s="66">
        <v>15871</v>
      </c>
      <c r="I84" s="66">
        <v>15871</v>
      </c>
      <c r="J84" s="66">
        <v>15707</v>
      </c>
      <c r="K84" s="66">
        <v>15707</v>
      </c>
      <c r="L84" s="66">
        <v>15707</v>
      </c>
      <c r="M84" s="66">
        <v>15707</v>
      </c>
      <c r="N84" s="66">
        <v>15707</v>
      </c>
      <c r="O84" s="66">
        <v>16707</v>
      </c>
      <c r="P84" s="178">
        <f>SUM(D84:O84)</f>
        <v>190468</v>
      </c>
    </row>
    <row r="85" spans="1:16" x14ac:dyDescent="0.2">
      <c r="A85" s="31">
        <f t="shared" si="24"/>
        <v>81</v>
      </c>
      <c r="C85" s="14" t="s">
        <v>940</v>
      </c>
      <c r="D85" s="66">
        <v>45497</v>
      </c>
      <c r="E85" s="66">
        <v>41929</v>
      </c>
      <c r="F85" s="66">
        <v>48247</v>
      </c>
      <c r="G85" s="66">
        <v>47340</v>
      </c>
      <c r="H85" s="66">
        <v>50022</v>
      </c>
      <c r="I85" s="66">
        <v>48359</v>
      </c>
      <c r="J85" s="66">
        <v>56530</v>
      </c>
      <c r="K85" s="66">
        <v>55749</v>
      </c>
      <c r="L85" s="66">
        <v>50914</v>
      </c>
      <c r="M85" s="66">
        <v>46298</v>
      </c>
      <c r="N85" s="66">
        <v>47185</v>
      </c>
      <c r="O85" s="66">
        <v>43577</v>
      </c>
      <c r="P85" s="178">
        <f t="shared" ref="P85:P87" si="29">SUM(D85:O85)</f>
        <v>581647</v>
      </c>
    </row>
    <row r="86" spans="1:16" x14ac:dyDescent="0.2">
      <c r="A86" s="31">
        <f t="shared" si="24"/>
        <v>82</v>
      </c>
      <c r="C86" s="14" t="s">
        <v>966</v>
      </c>
      <c r="D86" s="66">
        <v>25724</v>
      </c>
      <c r="E86" s="66">
        <v>12069</v>
      </c>
      <c r="F86" s="66">
        <v>10802</v>
      </c>
      <c r="G86" s="66">
        <v>11347</v>
      </c>
      <c r="H86" s="66">
        <v>14034</v>
      </c>
      <c r="I86" s="66">
        <v>5553</v>
      </c>
      <c r="J86" s="66">
        <v>9695</v>
      </c>
      <c r="K86" s="66">
        <v>15613</v>
      </c>
      <c r="L86" s="66">
        <v>13212</v>
      </c>
      <c r="M86" s="66">
        <v>12862</v>
      </c>
      <c r="N86" s="66">
        <v>9535</v>
      </c>
      <c r="O86" s="66">
        <v>6905</v>
      </c>
      <c r="P86" s="178">
        <f t="shared" si="29"/>
        <v>147351</v>
      </c>
    </row>
    <row r="87" spans="1:16" x14ac:dyDescent="0.2">
      <c r="A87" s="31">
        <f t="shared" si="24"/>
        <v>83</v>
      </c>
      <c r="C87" s="14" t="s">
        <v>967</v>
      </c>
      <c r="D87" s="66">
        <v>12219</v>
      </c>
      <c r="E87" s="66">
        <v>6568</v>
      </c>
      <c r="F87" s="66">
        <v>8960</v>
      </c>
      <c r="G87" s="66">
        <v>12138</v>
      </c>
      <c r="H87" s="66">
        <v>12652</v>
      </c>
      <c r="I87" s="66">
        <v>13049</v>
      </c>
      <c r="J87" s="66">
        <v>15862</v>
      </c>
      <c r="K87" s="66">
        <v>16883</v>
      </c>
      <c r="L87" s="66">
        <v>12095</v>
      </c>
      <c r="M87" s="66">
        <v>11073</v>
      </c>
      <c r="N87" s="66">
        <v>12653</v>
      </c>
      <c r="O87" s="66">
        <v>11881</v>
      </c>
      <c r="P87" s="178">
        <f t="shared" si="29"/>
        <v>146033</v>
      </c>
    </row>
    <row r="88" spans="1:16" x14ac:dyDescent="0.2">
      <c r="A88" s="31">
        <f t="shared" si="24"/>
        <v>84</v>
      </c>
      <c r="C88" s="173" t="s">
        <v>0</v>
      </c>
      <c r="D88" s="104">
        <f t="shared" ref="D88:P88" si="30">SUM(D84:D87)</f>
        <v>99311</v>
      </c>
      <c r="E88" s="104">
        <f t="shared" si="30"/>
        <v>76437</v>
      </c>
      <c r="F88" s="104">
        <f t="shared" si="30"/>
        <v>83880</v>
      </c>
      <c r="G88" s="104">
        <f t="shared" si="30"/>
        <v>86696</v>
      </c>
      <c r="H88" s="104">
        <f t="shared" si="30"/>
        <v>92579</v>
      </c>
      <c r="I88" s="104">
        <f t="shared" si="30"/>
        <v>82832</v>
      </c>
      <c r="J88" s="104">
        <f t="shared" si="30"/>
        <v>97794</v>
      </c>
      <c r="K88" s="104">
        <f t="shared" si="30"/>
        <v>103952</v>
      </c>
      <c r="L88" s="104">
        <f t="shared" si="30"/>
        <v>91928</v>
      </c>
      <c r="M88" s="104">
        <f t="shared" si="30"/>
        <v>85940</v>
      </c>
      <c r="N88" s="104">
        <f t="shared" si="30"/>
        <v>85080</v>
      </c>
      <c r="O88" s="104">
        <f t="shared" si="30"/>
        <v>79070</v>
      </c>
      <c r="P88" s="105">
        <f t="shared" si="30"/>
        <v>1065499</v>
      </c>
    </row>
    <row r="89" spans="1:16" x14ac:dyDescent="0.2">
      <c r="A89" s="31">
        <f t="shared" si="24"/>
        <v>85</v>
      </c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179"/>
    </row>
    <row r="90" spans="1:16" ht="12.75" customHeight="1" x14ac:dyDescent="0.2">
      <c r="A90" s="31">
        <f t="shared" si="24"/>
        <v>86</v>
      </c>
      <c r="B90" s="14" t="s">
        <v>1131</v>
      </c>
      <c r="C90" s="112" t="s">
        <v>1133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43"/>
    </row>
    <row r="91" spans="1:16" x14ac:dyDescent="0.2">
      <c r="A91" s="31">
        <f t="shared" si="24"/>
        <v>87</v>
      </c>
      <c r="C91" s="14" t="s">
        <v>939</v>
      </c>
      <c r="D91" s="66">
        <v>33331</v>
      </c>
      <c r="E91" s="66">
        <v>34454</v>
      </c>
      <c r="F91" s="66">
        <v>34454</v>
      </c>
      <c r="G91" s="66">
        <v>34454</v>
      </c>
      <c r="H91" s="66">
        <v>34454</v>
      </c>
      <c r="I91" s="66">
        <v>34454</v>
      </c>
      <c r="J91" s="66">
        <v>34454</v>
      </c>
      <c r="K91" s="66">
        <v>34713</v>
      </c>
      <c r="L91" s="66">
        <v>34454</v>
      </c>
      <c r="M91" s="66">
        <v>34454</v>
      </c>
      <c r="N91" s="66">
        <v>34454</v>
      </c>
      <c r="O91" s="66">
        <v>34454</v>
      </c>
      <c r="P91" s="178">
        <f>SUM(D91:O91)</f>
        <v>412584</v>
      </c>
    </row>
    <row r="92" spans="1:16" x14ac:dyDescent="0.2">
      <c r="A92" s="31">
        <f t="shared" si="24"/>
        <v>88</v>
      </c>
      <c r="C92" s="14" t="s">
        <v>940</v>
      </c>
      <c r="D92" s="66">
        <v>89529</v>
      </c>
      <c r="E92" s="66">
        <v>94951</v>
      </c>
      <c r="F92" s="66">
        <v>109365</v>
      </c>
      <c r="G92" s="66">
        <v>104502</v>
      </c>
      <c r="H92" s="66">
        <v>110865</v>
      </c>
      <c r="I92" s="66">
        <v>112988</v>
      </c>
      <c r="J92" s="66">
        <v>99176</v>
      </c>
      <c r="K92" s="66">
        <v>113900</v>
      </c>
      <c r="L92" s="66">
        <v>114856</v>
      </c>
      <c r="M92" s="66">
        <v>113446</v>
      </c>
      <c r="N92" s="66">
        <v>96174</v>
      </c>
      <c r="O92" s="66">
        <v>78510</v>
      </c>
      <c r="P92" s="178">
        <f t="shared" ref="P92:P94" si="31">SUM(D92:O92)</f>
        <v>1238262</v>
      </c>
    </row>
    <row r="93" spans="1:16" x14ac:dyDescent="0.2">
      <c r="A93" s="31">
        <f t="shared" si="24"/>
        <v>89</v>
      </c>
      <c r="C93" s="14" t="s">
        <v>966</v>
      </c>
      <c r="D93" s="66">
        <v>50619</v>
      </c>
      <c r="E93" s="66">
        <v>27330</v>
      </c>
      <c r="F93" s="66">
        <v>24487</v>
      </c>
      <c r="G93" s="66">
        <v>25049</v>
      </c>
      <c r="H93" s="66">
        <v>31105</v>
      </c>
      <c r="I93" s="66">
        <v>12975</v>
      </c>
      <c r="J93" s="66">
        <v>17008</v>
      </c>
      <c r="K93" s="66">
        <v>31899</v>
      </c>
      <c r="L93" s="66">
        <v>29805</v>
      </c>
      <c r="M93" s="66">
        <v>31516</v>
      </c>
      <c r="N93" s="66">
        <v>19435</v>
      </c>
      <c r="O93" s="66">
        <v>12441</v>
      </c>
      <c r="P93" s="178">
        <f t="shared" si="31"/>
        <v>313669</v>
      </c>
    </row>
    <row r="94" spans="1:16" x14ac:dyDescent="0.2">
      <c r="A94" s="31">
        <f t="shared" si="24"/>
        <v>90</v>
      </c>
      <c r="C94" s="14" t="s">
        <v>967</v>
      </c>
      <c r="D94" s="66">
        <v>24339</v>
      </c>
      <c r="E94" s="66">
        <v>14738</v>
      </c>
      <c r="F94" s="66">
        <v>20129</v>
      </c>
      <c r="G94" s="66">
        <v>26700</v>
      </c>
      <c r="H94" s="66">
        <v>27928</v>
      </c>
      <c r="I94" s="66">
        <v>29998</v>
      </c>
      <c r="J94" s="66">
        <v>29164</v>
      </c>
      <c r="K94" s="66">
        <v>35001</v>
      </c>
      <c r="L94" s="66">
        <v>27136</v>
      </c>
      <c r="M94" s="66">
        <v>26536</v>
      </c>
      <c r="N94" s="66">
        <v>26216</v>
      </c>
      <c r="O94" s="66">
        <v>22510</v>
      </c>
      <c r="P94" s="178">
        <f t="shared" si="31"/>
        <v>310395</v>
      </c>
    </row>
    <row r="95" spans="1:16" x14ac:dyDescent="0.2">
      <c r="A95" s="31">
        <f t="shared" si="24"/>
        <v>91</v>
      </c>
      <c r="C95" s="173" t="s">
        <v>0</v>
      </c>
      <c r="D95" s="104">
        <f t="shared" ref="D95:P95" si="32">SUM(D91:D94)</f>
        <v>197818</v>
      </c>
      <c r="E95" s="104">
        <f t="shared" si="32"/>
        <v>171473</v>
      </c>
      <c r="F95" s="104">
        <f t="shared" si="32"/>
        <v>188435</v>
      </c>
      <c r="G95" s="104">
        <f t="shared" si="32"/>
        <v>190705</v>
      </c>
      <c r="H95" s="104">
        <f t="shared" si="32"/>
        <v>204352</v>
      </c>
      <c r="I95" s="104">
        <f t="shared" si="32"/>
        <v>190415</v>
      </c>
      <c r="J95" s="104">
        <f t="shared" si="32"/>
        <v>179802</v>
      </c>
      <c r="K95" s="104">
        <f t="shared" si="32"/>
        <v>215513</v>
      </c>
      <c r="L95" s="104">
        <f t="shared" si="32"/>
        <v>206251</v>
      </c>
      <c r="M95" s="104">
        <f t="shared" si="32"/>
        <v>205952</v>
      </c>
      <c r="N95" s="104">
        <f t="shared" si="32"/>
        <v>176279</v>
      </c>
      <c r="O95" s="104">
        <f t="shared" si="32"/>
        <v>147915</v>
      </c>
      <c r="P95" s="105">
        <f t="shared" si="32"/>
        <v>2274910</v>
      </c>
    </row>
    <row r="96" spans="1:16" ht="12.75" customHeight="1" x14ac:dyDescent="0.2">
      <c r="A96" s="31">
        <f t="shared" si="24"/>
        <v>92</v>
      </c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43"/>
    </row>
    <row r="97" spans="1:16" ht="12.75" customHeight="1" x14ac:dyDescent="0.2">
      <c r="A97" s="31">
        <f t="shared" si="24"/>
        <v>93</v>
      </c>
      <c r="B97" s="14" t="s">
        <v>1131</v>
      </c>
      <c r="C97" s="112" t="s">
        <v>1134</v>
      </c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43"/>
    </row>
    <row r="98" spans="1:16" x14ac:dyDescent="0.2">
      <c r="A98" s="31">
        <f t="shared" si="24"/>
        <v>94</v>
      </c>
      <c r="C98" s="14" t="s">
        <v>939</v>
      </c>
      <c r="D98" s="66">
        <v>15700</v>
      </c>
      <c r="E98" s="66">
        <v>12546</v>
      </c>
      <c r="F98" s="66">
        <v>15450</v>
      </c>
      <c r="G98" s="66">
        <v>14293</v>
      </c>
      <c r="H98" s="66">
        <v>12546</v>
      </c>
      <c r="I98" s="66">
        <v>12546</v>
      </c>
      <c r="J98" s="66">
        <v>12546</v>
      </c>
      <c r="K98" s="66">
        <v>12546</v>
      </c>
      <c r="L98" s="66">
        <v>12546</v>
      </c>
      <c r="M98" s="66">
        <v>15430</v>
      </c>
      <c r="N98" s="66">
        <v>15869</v>
      </c>
      <c r="O98" s="66">
        <v>12546</v>
      </c>
      <c r="P98" s="178">
        <f>SUM(D98:O98)</f>
        <v>164564</v>
      </c>
    </row>
    <row r="99" spans="1:16" x14ac:dyDescent="0.2">
      <c r="A99" s="31">
        <f t="shared" si="24"/>
        <v>95</v>
      </c>
      <c r="C99" s="14" t="s">
        <v>940</v>
      </c>
      <c r="D99" s="66">
        <v>29187</v>
      </c>
      <c r="E99" s="66">
        <v>27286</v>
      </c>
      <c r="F99" s="66">
        <v>29143</v>
      </c>
      <c r="G99" s="66">
        <v>25797</v>
      </c>
      <c r="H99" s="66">
        <v>26237</v>
      </c>
      <c r="I99" s="66">
        <v>24913</v>
      </c>
      <c r="J99" s="66">
        <v>22245</v>
      </c>
      <c r="K99" s="66">
        <v>24835</v>
      </c>
      <c r="L99" s="66">
        <v>23552</v>
      </c>
      <c r="M99" s="66">
        <v>24301</v>
      </c>
      <c r="N99" s="66">
        <v>24421</v>
      </c>
      <c r="O99" s="66">
        <v>22514</v>
      </c>
      <c r="P99" s="178">
        <f t="shared" ref="P99:P101" si="33">SUM(D99:O99)</f>
        <v>304431</v>
      </c>
    </row>
    <row r="100" spans="1:16" x14ac:dyDescent="0.2">
      <c r="A100" s="31">
        <f t="shared" si="24"/>
        <v>96</v>
      </c>
      <c r="C100" s="14" t="s">
        <v>966</v>
      </c>
      <c r="D100" s="66">
        <v>16502</v>
      </c>
      <c r="E100" s="66">
        <v>7854</v>
      </c>
      <c r="F100" s="66">
        <v>6525</v>
      </c>
      <c r="G100" s="66">
        <v>6068</v>
      </c>
      <c r="H100" s="66">
        <v>7290</v>
      </c>
      <c r="I100" s="66">
        <v>2753</v>
      </c>
      <c r="J100" s="66">
        <v>3416</v>
      </c>
      <c r="K100" s="66">
        <v>6681</v>
      </c>
      <c r="L100" s="66">
        <v>5684</v>
      </c>
      <c r="M100" s="66">
        <v>6401</v>
      </c>
      <c r="N100" s="66">
        <v>4694</v>
      </c>
      <c r="O100" s="66">
        <v>3221</v>
      </c>
      <c r="P100" s="178">
        <f t="shared" si="33"/>
        <v>77089</v>
      </c>
    </row>
    <row r="101" spans="1:16" x14ac:dyDescent="0.2">
      <c r="A101" s="31">
        <f t="shared" si="24"/>
        <v>97</v>
      </c>
      <c r="C101" s="14" t="s">
        <v>967</v>
      </c>
      <c r="D101" s="66">
        <v>8613</v>
      </c>
      <c r="E101" s="66">
        <v>4482</v>
      </c>
      <c r="F101" s="66">
        <v>6114</v>
      </c>
      <c r="G101" s="66">
        <v>7515</v>
      </c>
      <c r="H101" s="66">
        <v>7293</v>
      </c>
      <c r="I101" s="66">
        <v>7520</v>
      </c>
      <c r="J101" s="66">
        <v>7397</v>
      </c>
      <c r="K101" s="66">
        <v>8544</v>
      </c>
      <c r="L101" s="66">
        <v>6330</v>
      </c>
      <c r="M101" s="66">
        <v>6823</v>
      </c>
      <c r="N101" s="66">
        <v>7858</v>
      </c>
      <c r="O101" s="66">
        <v>6871</v>
      </c>
      <c r="P101" s="178">
        <f t="shared" si="33"/>
        <v>85360</v>
      </c>
    </row>
    <row r="102" spans="1:16" x14ac:dyDescent="0.2">
      <c r="A102" s="31">
        <f t="shared" si="24"/>
        <v>98</v>
      </c>
      <c r="C102" s="173" t="s">
        <v>0</v>
      </c>
      <c r="D102" s="104">
        <f t="shared" ref="D102:K102" si="34">SUM(D98:D101)</f>
        <v>70002</v>
      </c>
      <c r="E102" s="104">
        <f t="shared" si="34"/>
        <v>52168</v>
      </c>
      <c r="F102" s="104">
        <f t="shared" si="34"/>
        <v>57232</v>
      </c>
      <c r="G102" s="104">
        <f t="shared" si="34"/>
        <v>53673</v>
      </c>
      <c r="H102" s="104">
        <f t="shared" si="34"/>
        <v>53366</v>
      </c>
      <c r="I102" s="104">
        <f t="shared" si="34"/>
        <v>47732</v>
      </c>
      <c r="J102" s="104">
        <f t="shared" si="34"/>
        <v>45604</v>
      </c>
      <c r="K102" s="104">
        <f t="shared" si="34"/>
        <v>52606</v>
      </c>
      <c r="L102" s="104">
        <f>SUM(L98:L101)</f>
        <v>48112</v>
      </c>
      <c r="M102" s="104">
        <f>SUM(M98:M101)</f>
        <v>52955</v>
      </c>
      <c r="N102" s="104">
        <f>SUM(N98:N101)</f>
        <v>52842</v>
      </c>
      <c r="O102" s="104">
        <f>SUM(O98:O101)</f>
        <v>45152</v>
      </c>
      <c r="P102" s="105">
        <f>SUM(P98:P101)</f>
        <v>631444</v>
      </c>
    </row>
    <row r="103" spans="1:16" ht="12.75" customHeight="1" x14ac:dyDescent="0.2">
      <c r="A103" s="31">
        <f t="shared" si="24"/>
        <v>99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43"/>
    </row>
    <row r="104" spans="1:16" ht="12.75" customHeight="1" x14ac:dyDescent="0.2">
      <c r="A104" s="31">
        <f t="shared" si="24"/>
        <v>100</v>
      </c>
      <c r="B104" s="14" t="s">
        <v>1132</v>
      </c>
      <c r="C104" s="112" t="s">
        <v>1176</v>
      </c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43"/>
    </row>
    <row r="105" spans="1:16" x14ac:dyDescent="0.2">
      <c r="A105" s="31">
        <f t="shared" si="24"/>
        <v>101</v>
      </c>
      <c r="C105" s="14" t="s">
        <v>939</v>
      </c>
      <c r="D105" s="66">
        <v>6766</v>
      </c>
      <c r="E105" s="66">
        <v>6756</v>
      </c>
      <c r="F105" s="66">
        <v>6943</v>
      </c>
      <c r="G105" s="66">
        <v>7715</v>
      </c>
      <c r="H105" s="66">
        <v>8164</v>
      </c>
      <c r="I105" s="66">
        <v>8164</v>
      </c>
      <c r="J105" s="66">
        <v>8164</v>
      </c>
      <c r="K105" s="66">
        <v>8164</v>
      </c>
      <c r="L105" s="66">
        <v>8164</v>
      </c>
      <c r="M105" s="66">
        <v>8164</v>
      </c>
      <c r="N105" s="66">
        <v>8164</v>
      </c>
      <c r="O105" s="66">
        <v>8164</v>
      </c>
      <c r="P105" s="178">
        <f>SUM(D105:O105)</f>
        <v>93492</v>
      </c>
    </row>
    <row r="106" spans="1:16" x14ac:dyDescent="0.2">
      <c r="A106" s="31">
        <f t="shared" si="24"/>
        <v>102</v>
      </c>
      <c r="C106" s="14" t="s">
        <v>940</v>
      </c>
      <c r="D106" s="66">
        <v>21044</v>
      </c>
      <c r="E106" s="66">
        <v>19394</v>
      </c>
      <c r="F106" s="66">
        <v>22561</v>
      </c>
      <c r="G106" s="66">
        <v>21797</v>
      </c>
      <c r="H106" s="66">
        <v>23601</v>
      </c>
      <c r="I106" s="66">
        <v>23719</v>
      </c>
      <c r="J106" s="66">
        <v>22673</v>
      </c>
      <c r="K106" s="66">
        <v>21178</v>
      </c>
      <c r="L106" s="66">
        <v>21483</v>
      </c>
      <c r="M106" s="66">
        <v>23677</v>
      </c>
      <c r="N106" s="66">
        <v>21185</v>
      </c>
      <c r="O106" s="66">
        <v>19715</v>
      </c>
      <c r="P106" s="178">
        <f t="shared" ref="P106:P108" si="35">SUM(D106:O106)</f>
        <v>262027</v>
      </c>
    </row>
    <row r="107" spans="1:16" x14ac:dyDescent="0.2">
      <c r="A107" s="31">
        <f t="shared" si="24"/>
        <v>103</v>
      </c>
      <c r="C107" s="14" t="s">
        <v>966</v>
      </c>
      <c r="D107" s="66">
        <v>11898</v>
      </c>
      <c r="E107" s="66">
        <v>6682</v>
      </c>
      <c r="F107" s="66">
        <v>5051</v>
      </c>
      <c r="G107" s="66">
        <v>5225</v>
      </c>
      <c r="H107" s="66">
        <v>6621</v>
      </c>
      <c r="I107" s="66">
        <v>2724</v>
      </c>
      <c r="J107" s="66">
        <v>3888</v>
      </c>
      <c r="K107" s="66">
        <v>5931</v>
      </c>
      <c r="L107" s="66">
        <v>5575</v>
      </c>
      <c r="M107" s="66">
        <v>6578</v>
      </c>
      <c r="N107" s="66">
        <v>4281</v>
      </c>
      <c r="O107" s="66">
        <v>3124</v>
      </c>
      <c r="P107" s="178">
        <f t="shared" si="35"/>
        <v>67578</v>
      </c>
    </row>
    <row r="108" spans="1:16" x14ac:dyDescent="0.2">
      <c r="A108" s="31">
        <f t="shared" si="24"/>
        <v>104</v>
      </c>
      <c r="C108" s="14" t="s">
        <v>967</v>
      </c>
      <c r="D108" s="66">
        <v>5570</v>
      </c>
      <c r="E108" s="66">
        <v>2983</v>
      </c>
      <c r="F108" s="66">
        <v>4133</v>
      </c>
      <c r="G108" s="66">
        <v>5655</v>
      </c>
      <c r="H108" s="66">
        <v>6077</v>
      </c>
      <c r="I108" s="66">
        <v>6472</v>
      </c>
      <c r="J108" s="66">
        <v>6723</v>
      </c>
      <c r="K108" s="66">
        <v>6839</v>
      </c>
      <c r="L108" s="66">
        <v>5336</v>
      </c>
      <c r="M108" s="66">
        <v>5682</v>
      </c>
      <c r="N108" s="66">
        <v>5875</v>
      </c>
      <c r="O108" s="66">
        <v>5565</v>
      </c>
      <c r="P108" s="178">
        <f t="shared" si="35"/>
        <v>66910</v>
      </c>
    </row>
    <row r="109" spans="1:16" x14ac:dyDescent="0.2">
      <c r="A109" s="31">
        <f t="shared" si="24"/>
        <v>105</v>
      </c>
      <c r="C109" s="173" t="s">
        <v>0</v>
      </c>
      <c r="D109" s="104">
        <f t="shared" ref="D109:P109" si="36">SUM(D105:D108)</f>
        <v>45278</v>
      </c>
      <c r="E109" s="104">
        <f t="shared" si="36"/>
        <v>35815</v>
      </c>
      <c r="F109" s="104">
        <f t="shared" si="36"/>
        <v>38688</v>
      </c>
      <c r="G109" s="104">
        <f t="shared" si="36"/>
        <v>40392</v>
      </c>
      <c r="H109" s="104">
        <f t="shared" si="36"/>
        <v>44463</v>
      </c>
      <c r="I109" s="104">
        <f t="shared" si="36"/>
        <v>41079</v>
      </c>
      <c r="J109" s="104">
        <f t="shared" si="36"/>
        <v>41448</v>
      </c>
      <c r="K109" s="104">
        <f t="shared" si="36"/>
        <v>42112</v>
      </c>
      <c r="L109" s="104">
        <f t="shared" si="36"/>
        <v>40558</v>
      </c>
      <c r="M109" s="104">
        <f t="shared" si="36"/>
        <v>44101</v>
      </c>
      <c r="N109" s="104">
        <f t="shared" si="36"/>
        <v>39505</v>
      </c>
      <c r="O109" s="104">
        <f t="shared" si="36"/>
        <v>36568</v>
      </c>
      <c r="P109" s="105">
        <f t="shared" si="36"/>
        <v>490007</v>
      </c>
    </row>
    <row r="110" spans="1:16" ht="10.5" customHeight="1" x14ac:dyDescent="0.2">
      <c r="A110" s="31">
        <f t="shared" si="24"/>
        <v>106</v>
      </c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43"/>
    </row>
    <row r="111" spans="1:16" ht="12.75" customHeight="1" x14ac:dyDescent="0.2">
      <c r="A111" s="31">
        <f t="shared" si="24"/>
        <v>107</v>
      </c>
      <c r="B111" s="14" t="s">
        <v>1177</v>
      </c>
      <c r="C111" s="112" t="s">
        <v>1195</v>
      </c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43"/>
    </row>
    <row r="112" spans="1:16" x14ac:dyDescent="0.2">
      <c r="A112" s="31">
        <f t="shared" si="24"/>
        <v>108</v>
      </c>
      <c r="C112" s="14" t="s">
        <v>1190</v>
      </c>
      <c r="D112" s="66">
        <v>18278</v>
      </c>
      <c r="E112" s="66">
        <v>18276</v>
      </c>
      <c r="F112" s="66">
        <v>18276</v>
      </c>
      <c r="G112" s="66">
        <v>18732</v>
      </c>
      <c r="H112" s="66">
        <v>18762</v>
      </c>
      <c r="I112" s="66">
        <v>18762</v>
      </c>
      <c r="J112" s="66">
        <v>18762</v>
      </c>
      <c r="K112" s="66">
        <v>18762</v>
      </c>
      <c r="L112" s="66">
        <v>18762</v>
      </c>
      <c r="M112" s="66">
        <v>18762</v>
      </c>
      <c r="N112" s="66">
        <v>18762</v>
      </c>
      <c r="O112" s="66">
        <v>18762</v>
      </c>
      <c r="P112" s="178">
        <f>SUM(D112:O112)</f>
        <v>223658</v>
      </c>
    </row>
    <row r="113" spans="1:16" x14ac:dyDescent="0.2">
      <c r="A113" s="31">
        <f t="shared" si="24"/>
        <v>109</v>
      </c>
      <c r="C113" s="14" t="s">
        <v>1180</v>
      </c>
      <c r="D113" s="66">
        <v>-12824</v>
      </c>
      <c r="E113" s="66">
        <v>-12824</v>
      </c>
      <c r="F113" s="66">
        <v>-12824</v>
      </c>
      <c r="G113" s="66">
        <v>-13166</v>
      </c>
      <c r="H113" s="66">
        <v>-13188</v>
      </c>
      <c r="I113" s="66">
        <v>-13168</v>
      </c>
      <c r="J113" s="66">
        <v>-13188</v>
      </c>
      <c r="K113" s="66">
        <v>-13188</v>
      </c>
      <c r="L113" s="66">
        <v>-13188</v>
      </c>
      <c r="M113" s="66">
        <v>-13188</v>
      </c>
      <c r="N113" s="66">
        <v>-13188</v>
      </c>
      <c r="O113" s="66">
        <v>-13188</v>
      </c>
      <c r="P113" s="178">
        <f>SUM(D113:O113)</f>
        <v>-157122</v>
      </c>
    </row>
    <row r="114" spans="1:16" x14ac:dyDescent="0.2">
      <c r="A114" s="31">
        <f t="shared" si="24"/>
        <v>110</v>
      </c>
      <c r="C114" s="14" t="s">
        <v>940</v>
      </c>
      <c r="D114" s="66">
        <v>62626</v>
      </c>
      <c r="E114" s="66">
        <v>58104</v>
      </c>
      <c r="F114" s="66">
        <v>70883</v>
      </c>
      <c r="G114" s="66">
        <v>69832</v>
      </c>
      <c r="H114" s="66">
        <v>73997</v>
      </c>
      <c r="I114" s="66">
        <v>68860</v>
      </c>
      <c r="J114" s="66">
        <v>63989</v>
      </c>
      <c r="K114" s="66">
        <v>61606</v>
      </c>
      <c r="L114" s="66">
        <v>60867</v>
      </c>
      <c r="M114" s="66">
        <v>63767</v>
      </c>
      <c r="N114" s="66">
        <v>62955</v>
      </c>
      <c r="O114" s="66">
        <v>65147</v>
      </c>
      <c r="P114" s="178">
        <f t="shared" ref="P114:P116" si="37">SUM(D114:O114)</f>
        <v>782633</v>
      </c>
    </row>
    <row r="115" spans="1:16" x14ac:dyDescent="0.2">
      <c r="A115" s="31">
        <f t="shared" si="24"/>
        <v>111</v>
      </c>
      <c r="C115" s="14" t="s">
        <v>966</v>
      </c>
      <c r="D115" s="66">
        <v>35408</v>
      </c>
      <c r="E115" s="66">
        <v>16724</v>
      </c>
      <c r="F115" s="66">
        <v>15871</v>
      </c>
      <c r="G115" s="66">
        <v>16738</v>
      </c>
      <c r="H115" s="66">
        <v>20761</v>
      </c>
      <c r="I115" s="66">
        <v>7907</v>
      </c>
      <c r="J115" s="66">
        <v>10974</v>
      </c>
      <c r="K115" s="66">
        <v>17253</v>
      </c>
      <c r="L115" s="66">
        <v>15795</v>
      </c>
      <c r="M115" s="66">
        <v>17715</v>
      </c>
      <c r="N115" s="66">
        <v>12722</v>
      </c>
      <c r="O115" s="66">
        <v>10323</v>
      </c>
      <c r="P115" s="178">
        <f t="shared" si="37"/>
        <v>198191</v>
      </c>
    </row>
    <row r="116" spans="1:16" x14ac:dyDescent="0.2">
      <c r="A116" s="31">
        <f t="shared" si="24"/>
        <v>112</v>
      </c>
      <c r="C116" s="14" t="s">
        <v>967</v>
      </c>
      <c r="D116" s="66">
        <v>14519</v>
      </c>
      <c r="E116" s="66">
        <v>7543</v>
      </c>
      <c r="F116" s="66">
        <v>11028</v>
      </c>
      <c r="G116" s="66">
        <v>15000</v>
      </c>
      <c r="H116" s="66">
        <v>15883</v>
      </c>
      <c r="I116" s="66">
        <v>15398</v>
      </c>
      <c r="J116" s="66">
        <v>15592</v>
      </c>
      <c r="K116" s="66">
        <v>16372</v>
      </c>
      <c r="L116" s="66">
        <v>12459</v>
      </c>
      <c r="M116" s="66">
        <v>12876</v>
      </c>
      <c r="N116" s="66">
        <v>14195</v>
      </c>
      <c r="O116" s="66">
        <v>14547</v>
      </c>
      <c r="P116" s="178">
        <f t="shared" si="37"/>
        <v>165412</v>
      </c>
    </row>
    <row r="117" spans="1:16" x14ac:dyDescent="0.2">
      <c r="A117" s="31">
        <f t="shared" si="24"/>
        <v>113</v>
      </c>
      <c r="C117" s="173" t="s">
        <v>0</v>
      </c>
      <c r="D117" s="104">
        <f t="shared" ref="D117:P117" si="38">SUM(D112:D116)</f>
        <v>118007</v>
      </c>
      <c r="E117" s="104">
        <f t="shared" si="38"/>
        <v>87823</v>
      </c>
      <c r="F117" s="104">
        <f t="shared" si="38"/>
        <v>103234</v>
      </c>
      <c r="G117" s="104">
        <f t="shared" si="38"/>
        <v>107136</v>
      </c>
      <c r="H117" s="104">
        <f t="shared" si="38"/>
        <v>116215</v>
      </c>
      <c r="I117" s="104">
        <f t="shared" si="38"/>
        <v>97759</v>
      </c>
      <c r="J117" s="104">
        <f t="shared" si="38"/>
        <v>96129</v>
      </c>
      <c r="K117" s="104">
        <f t="shared" si="38"/>
        <v>100805</v>
      </c>
      <c r="L117" s="104">
        <f t="shared" si="38"/>
        <v>94695</v>
      </c>
      <c r="M117" s="104">
        <f t="shared" si="38"/>
        <v>99932</v>
      </c>
      <c r="N117" s="104">
        <f t="shared" si="38"/>
        <v>95446</v>
      </c>
      <c r="O117" s="104">
        <f t="shared" si="38"/>
        <v>95591</v>
      </c>
      <c r="P117" s="105">
        <f t="shared" si="38"/>
        <v>1212772</v>
      </c>
    </row>
    <row r="118" spans="1:16" x14ac:dyDescent="0.2">
      <c r="A118" s="31">
        <f t="shared" si="24"/>
        <v>114</v>
      </c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43"/>
    </row>
    <row r="119" spans="1:16" ht="12.75" customHeight="1" x14ac:dyDescent="0.2">
      <c r="A119" s="31">
        <f t="shared" si="24"/>
        <v>115</v>
      </c>
      <c r="B119" s="14" t="s">
        <v>1177</v>
      </c>
      <c r="C119" s="112" t="s">
        <v>1196</v>
      </c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43"/>
    </row>
    <row r="120" spans="1:16" ht="12.75" customHeight="1" x14ac:dyDescent="0.2">
      <c r="A120" s="31">
        <f t="shared" si="24"/>
        <v>116</v>
      </c>
      <c r="C120" s="14" t="s">
        <v>1191</v>
      </c>
      <c r="D120" s="66"/>
      <c r="E120" s="66"/>
      <c r="F120" s="66"/>
      <c r="G120" s="66"/>
      <c r="H120" s="66">
        <v>-1365</v>
      </c>
      <c r="I120" s="66">
        <v>-1365</v>
      </c>
      <c r="J120" s="66">
        <v>-1767</v>
      </c>
      <c r="K120" s="66">
        <v>-1767</v>
      </c>
      <c r="L120" s="66">
        <v>-1767</v>
      </c>
      <c r="M120" s="66">
        <v>-2256</v>
      </c>
      <c r="N120" s="66">
        <v>-2309</v>
      </c>
      <c r="O120" s="66">
        <v>-2309</v>
      </c>
      <c r="P120" s="178">
        <f t="shared" ref="P120" si="39">SUM(D120:O120)</f>
        <v>-14905</v>
      </c>
    </row>
    <row r="121" spans="1:16" x14ac:dyDescent="0.2">
      <c r="A121" s="31">
        <f t="shared" si="24"/>
        <v>117</v>
      </c>
      <c r="C121" s="14" t="s">
        <v>1190</v>
      </c>
      <c r="D121" s="66"/>
      <c r="E121" s="66"/>
      <c r="F121" s="66"/>
      <c r="G121" s="66"/>
      <c r="H121" s="66">
        <v>7490</v>
      </c>
      <c r="I121" s="66">
        <v>7490</v>
      </c>
      <c r="J121" s="66">
        <v>10873</v>
      </c>
      <c r="K121" s="66">
        <v>10673</v>
      </c>
      <c r="L121" s="66">
        <v>10673</v>
      </c>
      <c r="M121" s="66">
        <v>14553</v>
      </c>
      <c r="N121" s="66">
        <v>14973</v>
      </c>
      <c r="O121" s="66">
        <v>14973</v>
      </c>
      <c r="P121" s="178">
        <f>SUM(D121:O121)</f>
        <v>91698</v>
      </c>
    </row>
    <row r="122" spans="1:16" x14ac:dyDescent="0.2">
      <c r="A122" s="31">
        <f t="shared" si="24"/>
        <v>118</v>
      </c>
      <c r="C122" s="14" t="s">
        <v>1180</v>
      </c>
      <c r="D122" s="66"/>
      <c r="E122" s="66"/>
      <c r="F122" s="66"/>
      <c r="G122" s="66"/>
      <c r="H122" s="66">
        <v>-4760</v>
      </c>
      <c r="I122" s="66">
        <v>-4760</v>
      </c>
      <c r="J122" s="66">
        <v>-7140</v>
      </c>
      <c r="K122" s="66">
        <v>-7140</v>
      </c>
      <c r="L122" s="66">
        <v>-7140</v>
      </c>
      <c r="M122" s="66">
        <v>-10041</v>
      </c>
      <c r="N122" s="66">
        <v>-10354</v>
      </c>
      <c r="O122" s="66">
        <v>-10354</v>
      </c>
      <c r="P122" s="178">
        <f t="shared" ref="P122" si="40">SUM(D122:O122)</f>
        <v>-61689</v>
      </c>
    </row>
    <row r="123" spans="1:16" x14ac:dyDescent="0.2">
      <c r="A123" s="31">
        <f t="shared" si="24"/>
        <v>119</v>
      </c>
      <c r="C123" s="14" t="s">
        <v>940</v>
      </c>
      <c r="D123" s="66"/>
      <c r="E123" s="66"/>
      <c r="F123" s="66"/>
      <c r="G123" s="66"/>
      <c r="H123" s="66">
        <v>11916</v>
      </c>
      <c r="I123" s="66">
        <v>23132</v>
      </c>
      <c r="J123" s="66">
        <v>36378</v>
      </c>
      <c r="K123" s="66">
        <v>46213</v>
      </c>
      <c r="L123" s="66">
        <v>45652</v>
      </c>
      <c r="M123" s="66">
        <v>56953</v>
      </c>
      <c r="N123" s="66">
        <v>56650</v>
      </c>
      <c r="O123" s="66">
        <v>68083</v>
      </c>
      <c r="P123" s="178">
        <f t="shared" ref="P123:P125" si="41">SUM(D123:O123)</f>
        <v>344977</v>
      </c>
    </row>
    <row r="124" spans="1:16" x14ac:dyDescent="0.2">
      <c r="A124" s="31">
        <f t="shared" si="24"/>
        <v>120</v>
      </c>
      <c r="C124" s="14" t="s">
        <v>966</v>
      </c>
      <c r="D124" s="66"/>
      <c r="E124" s="66"/>
      <c r="F124" s="66"/>
      <c r="G124" s="66"/>
      <c r="H124" s="66">
        <v>2754</v>
      </c>
      <c r="I124" s="66">
        <v>2656</v>
      </c>
      <c r="J124" s="66">
        <v>6581</v>
      </c>
      <c r="K124" s="66">
        <v>12943</v>
      </c>
      <c r="L124" s="66">
        <v>11847</v>
      </c>
      <c r="M124" s="66">
        <v>15822</v>
      </c>
      <c r="N124" s="66">
        <v>11448</v>
      </c>
      <c r="O124" s="66">
        <v>9204</v>
      </c>
      <c r="P124" s="178">
        <f t="shared" si="41"/>
        <v>73255</v>
      </c>
    </row>
    <row r="125" spans="1:16" x14ac:dyDescent="0.2">
      <c r="A125" s="31">
        <f t="shared" si="24"/>
        <v>121</v>
      </c>
      <c r="C125" s="14" t="s">
        <v>967</v>
      </c>
      <c r="D125" s="66"/>
      <c r="E125" s="66"/>
      <c r="F125" s="66"/>
      <c r="G125" s="66"/>
      <c r="H125" s="66">
        <v>2536</v>
      </c>
      <c r="I125" s="66">
        <v>5078</v>
      </c>
      <c r="J125" s="66">
        <v>9046</v>
      </c>
      <c r="K125" s="66">
        <v>11813</v>
      </c>
      <c r="L125" s="66">
        <v>8979</v>
      </c>
      <c r="M125" s="66">
        <v>11097</v>
      </c>
      <c r="N125" s="66">
        <v>12300</v>
      </c>
      <c r="O125" s="66">
        <v>12493</v>
      </c>
      <c r="P125" s="178">
        <f t="shared" si="41"/>
        <v>73342</v>
      </c>
    </row>
    <row r="126" spans="1:16" x14ac:dyDescent="0.2">
      <c r="A126" s="31">
        <f t="shared" si="24"/>
        <v>122</v>
      </c>
      <c r="C126" s="173" t="s">
        <v>0</v>
      </c>
      <c r="D126" s="104">
        <f t="shared" ref="D126:P126" si="42">SUM(D121:D125)</f>
        <v>0</v>
      </c>
      <c r="E126" s="104">
        <f t="shared" si="42"/>
        <v>0</v>
      </c>
      <c r="F126" s="104">
        <f t="shared" si="42"/>
        <v>0</v>
      </c>
      <c r="G126" s="104">
        <f t="shared" si="42"/>
        <v>0</v>
      </c>
      <c r="H126" s="104">
        <f t="shared" si="42"/>
        <v>19936</v>
      </c>
      <c r="I126" s="104">
        <f t="shared" si="42"/>
        <v>33596</v>
      </c>
      <c r="J126" s="104">
        <f t="shared" si="42"/>
        <v>55738</v>
      </c>
      <c r="K126" s="104">
        <f t="shared" si="42"/>
        <v>74502</v>
      </c>
      <c r="L126" s="104">
        <f t="shared" si="42"/>
        <v>70011</v>
      </c>
      <c r="M126" s="104">
        <f t="shared" si="42"/>
        <v>88384</v>
      </c>
      <c r="N126" s="104">
        <f t="shared" si="42"/>
        <v>85017</v>
      </c>
      <c r="O126" s="104">
        <f t="shared" si="42"/>
        <v>94399</v>
      </c>
      <c r="P126" s="105">
        <f t="shared" si="42"/>
        <v>521583</v>
      </c>
    </row>
    <row r="127" spans="1:16" x14ac:dyDescent="0.2">
      <c r="A127" s="31">
        <f t="shared" si="24"/>
        <v>123</v>
      </c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179"/>
    </row>
    <row r="128" spans="1:16" ht="12.75" customHeight="1" x14ac:dyDescent="0.2">
      <c r="A128" s="31">
        <f t="shared" si="24"/>
        <v>124</v>
      </c>
      <c r="B128" s="14" t="s">
        <v>1177</v>
      </c>
      <c r="C128" s="112" t="s">
        <v>1189</v>
      </c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43"/>
    </row>
    <row r="129" spans="1:16" x14ac:dyDescent="0.2">
      <c r="A129" s="31">
        <f t="shared" si="24"/>
        <v>125</v>
      </c>
      <c r="C129" s="14" t="s">
        <v>1190</v>
      </c>
      <c r="D129" s="66"/>
      <c r="E129" s="66"/>
      <c r="F129" s="66">
        <v>24365</v>
      </c>
      <c r="G129" s="66">
        <v>24964</v>
      </c>
      <c r="H129" s="66">
        <v>28498</v>
      </c>
      <c r="I129" s="66">
        <v>28499</v>
      </c>
      <c r="J129" s="66">
        <v>28498</v>
      </c>
      <c r="K129" s="66">
        <v>28499</v>
      </c>
      <c r="L129" s="66">
        <v>28499</v>
      </c>
      <c r="M129" s="66">
        <v>28499</v>
      </c>
      <c r="N129" s="66">
        <v>28499</v>
      </c>
      <c r="O129" s="66">
        <v>28499</v>
      </c>
      <c r="P129" s="178">
        <f>SUM(D129:O129)</f>
        <v>277319</v>
      </c>
    </row>
    <row r="130" spans="1:16" x14ac:dyDescent="0.2">
      <c r="A130" s="31">
        <f t="shared" si="24"/>
        <v>126</v>
      </c>
      <c r="C130" s="14" t="s">
        <v>1180</v>
      </c>
      <c r="D130" s="66"/>
      <c r="E130" s="66"/>
      <c r="F130" s="66">
        <v>-16817</v>
      </c>
      <c r="G130" s="66">
        <v>-17265</v>
      </c>
      <c r="H130" s="66">
        <v>-19908</v>
      </c>
      <c r="I130" s="66">
        <v>-19908</v>
      </c>
      <c r="J130" s="66">
        <v>-19908</v>
      </c>
      <c r="K130" s="66">
        <v>-19908</v>
      </c>
      <c r="L130" s="66">
        <v>-19908</v>
      </c>
      <c r="M130" s="66">
        <v>-19908</v>
      </c>
      <c r="N130" s="66">
        <v>-19908</v>
      </c>
      <c r="O130" s="66">
        <v>-19908</v>
      </c>
      <c r="P130" s="178">
        <f>SUM(D130:O130)</f>
        <v>-193346</v>
      </c>
    </row>
    <row r="131" spans="1:16" x14ac:dyDescent="0.2">
      <c r="A131" s="31">
        <f t="shared" si="24"/>
        <v>127</v>
      </c>
      <c r="C131" s="14" t="s">
        <v>940</v>
      </c>
      <c r="D131" s="66"/>
      <c r="E131" s="66"/>
      <c r="F131" s="66">
        <v>96643</v>
      </c>
      <c r="G131" s="66">
        <v>97082</v>
      </c>
      <c r="H131" s="66">
        <v>114653</v>
      </c>
      <c r="I131" s="66">
        <v>106725</v>
      </c>
      <c r="J131" s="66">
        <v>106713</v>
      </c>
      <c r="K131" s="66">
        <v>107070</v>
      </c>
      <c r="L131" s="66">
        <v>111930</v>
      </c>
      <c r="M131" s="66">
        <v>114956</v>
      </c>
      <c r="N131" s="66">
        <v>102395</v>
      </c>
      <c r="O131" s="66">
        <v>110431</v>
      </c>
      <c r="P131" s="178">
        <f t="shared" ref="P131:P133" si="43">SUM(D131:O131)</f>
        <v>1068598</v>
      </c>
    </row>
    <row r="132" spans="1:16" x14ac:dyDescent="0.2">
      <c r="A132" s="31">
        <f t="shared" si="24"/>
        <v>128</v>
      </c>
      <c r="C132" s="14" t="s">
        <v>966</v>
      </c>
      <c r="D132" s="66"/>
      <c r="E132" s="66"/>
      <c r="F132" s="66">
        <v>21638</v>
      </c>
      <c r="G132" s="66">
        <v>23270</v>
      </c>
      <c r="H132" s="66">
        <v>32167</v>
      </c>
      <c r="I132" s="66">
        <v>12256</v>
      </c>
      <c r="J132" s="66">
        <v>18301</v>
      </c>
      <c r="K132" s="66">
        <v>29986</v>
      </c>
      <c r="L132" s="66">
        <v>29046</v>
      </c>
      <c r="M132" s="66">
        <v>31936</v>
      </c>
      <c r="N132" s="66">
        <v>20693</v>
      </c>
      <c r="O132" s="66">
        <v>17499</v>
      </c>
      <c r="P132" s="178">
        <f t="shared" si="43"/>
        <v>236792</v>
      </c>
    </row>
    <row r="133" spans="1:16" x14ac:dyDescent="0.2">
      <c r="A133" s="31">
        <f t="shared" si="24"/>
        <v>129</v>
      </c>
      <c r="C133" s="14" t="s">
        <v>967</v>
      </c>
      <c r="D133" s="66"/>
      <c r="E133" s="66"/>
      <c r="F133" s="66">
        <v>15049</v>
      </c>
      <c r="G133" s="66">
        <v>20847</v>
      </c>
      <c r="H133" s="66">
        <v>24602</v>
      </c>
      <c r="I133" s="66">
        <v>23856</v>
      </c>
      <c r="J133" s="66">
        <v>25866</v>
      </c>
      <c r="K133" s="66">
        <v>28241</v>
      </c>
      <c r="L133" s="66">
        <v>22659</v>
      </c>
      <c r="M133" s="66">
        <v>22996</v>
      </c>
      <c r="N133" s="66">
        <v>23004</v>
      </c>
      <c r="O133" s="66">
        <v>24506</v>
      </c>
      <c r="P133" s="178">
        <f t="shared" si="43"/>
        <v>231626</v>
      </c>
    </row>
    <row r="134" spans="1:16" x14ac:dyDescent="0.2">
      <c r="A134" s="31">
        <f t="shared" si="24"/>
        <v>130</v>
      </c>
      <c r="C134" s="173" t="s">
        <v>0</v>
      </c>
      <c r="D134" s="104">
        <f t="shared" ref="D134:P134" si="44">SUM(D129:D133)</f>
        <v>0</v>
      </c>
      <c r="E134" s="104">
        <f t="shared" si="44"/>
        <v>0</v>
      </c>
      <c r="F134" s="104">
        <f t="shared" si="44"/>
        <v>140878</v>
      </c>
      <c r="G134" s="104">
        <f t="shared" si="44"/>
        <v>148898</v>
      </c>
      <c r="H134" s="104">
        <f t="shared" si="44"/>
        <v>180012</v>
      </c>
      <c r="I134" s="104">
        <f t="shared" si="44"/>
        <v>151428</v>
      </c>
      <c r="J134" s="104">
        <f t="shared" si="44"/>
        <v>159470</v>
      </c>
      <c r="K134" s="104">
        <f t="shared" si="44"/>
        <v>173888</v>
      </c>
      <c r="L134" s="104">
        <f t="shared" si="44"/>
        <v>172226</v>
      </c>
      <c r="M134" s="104">
        <f t="shared" si="44"/>
        <v>178479</v>
      </c>
      <c r="N134" s="104">
        <f t="shared" si="44"/>
        <v>154683</v>
      </c>
      <c r="O134" s="104">
        <f t="shared" si="44"/>
        <v>161027</v>
      </c>
      <c r="P134" s="105">
        <f t="shared" si="44"/>
        <v>1620989</v>
      </c>
    </row>
    <row r="135" spans="1:16" x14ac:dyDescent="0.2">
      <c r="A135" s="31">
        <f t="shared" ref="A135:A196" si="45">A134+1</f>
        <v>131</v>
      </c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43"/>
    </row>
    <row r="136" spans="1:16" ht="12.75" customHeight="1" x14ac:dyDescent="0.2">
      <c r="A136" s="31">
        <f t="shared" si="45"/>
        <v>132</v>
      </c>
      <c r="B136" s="14" t="s">
        <v>1132</v>
      </c>
      <c r="C136" s="112" t="s">
        <v>1178</v>
      </c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43"/>
    </row>
    <row r="137" spans="1:16" x14ac:dyDescent="0.2">
      <c r="A137" s="31">
        <f t="shared" si="45"/>
        <v>133</v>
      </c>
      <c r="C137" s="14" t="s">
        <v>939</v>
      </c>
      <c r="D137" s="66">
        <v>8134</v>
      </c>
      <c r="E137" s="66">
        <v>8269</v>
      </c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178">
        <f>SUM(D137:O137)</f>
        <v>16403</v>
      </c>
    </row>
    <row r="138" spans="1:16" x14ac:dyDescent="0.2">
      <c r="A138" s="31">
        <f t="shared" si="45"/>
        <v>134</v>
      </c>
      <c r="C138" s="14" t="s">
        <v>940</v>
      </c>
      <c r="D138" s="66">
        <v>24433</v>
      </c>
      <c r="E138" s="66">
        <v>44756</v>
      </c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178">
        <f t="shared" ref="P138:P140" si="46">SUM(D138:O138)</f>
        <v>69189</v>
      </c>
    </row>
    <row r="139" spans="1:16" x14ac:dyDescent="0.2">
      <c r="A139" s="31">
        <f t="shared" si="45"/>
        <v>135</v>
      </c>
      <c r="C139" s="14" t="s">
        <v>966</v>
      </c>
      <c r="D139" s="66">
        <v>13814</v>
      </c>
      <c r="E139" s="66">
        <v>12883</v>
      </c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178">
        <f t="shared" si="46"/>
        <v>26697</v>
      </c>
    </row>
    <row r="140" spans="1:16" x14ac:dyDescent="0.2">
      <c r="A140" s="31">
        <f t="shared" si="45"/>
        <v>136</v>
      </c>
      <c r="C140" s="14" t="s">
        <v>967</v>
      </c>
      <c r="D140" s="66">
        <v>6507</v>
      </c>
      <c r="E140" s="66">
        <v>6196</v>
      </c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178">
        <f t="shared" si="46"/>
        <v>12703</v>
      </c>
    </row>
    <row r="141" spans="1:16" x14ac:dyDescent="0.2">
      <c r="A141" s="31">
        <f t="shared" si="45"/>
        <v>137</v>
      </c>
      <c r="C141" s="173" t="s">
        <v>0</v>
      </c>
      <c r="D141" s="104">
        <f t="shared" ref="D141:P141" si="47">SUM(D137:D140)</f>
        <v>52888</v>
      </c>
      <c r="E141" s="104">
        <f t="shared" si="47"/>
        <v>72104</v>
      </c>
      <c r="F141" s="104">
        <f t="shared" si="47"/>
        <v>0</v>
      </c>
      <c r="G141" s="104">
        <f t="shared" si="47"/>
        <v>0</v>
      </c>
      <c r="H141" s="104">
        <f t="shared" si="47"/>
        <v>0</v>
      </c>
      <c r="I141" s="104">
        <f t="shared" si="47"/>
        <v>0</v>
      </c>
      <c r="J141" s="104">
        <f t="shared" si="47"/>
        <v>0</v>
      </c>
      <c r="K141" s="104">
        <f t="shared" si="47"/>
        <v>0</v>
      </c>
      <c r="L141" s="104">
        <f t="shared" si="47"/>
        <v>0</v>
      </c>
      <c r="M141" s="104">
        <f t="shared" si="47"/>
        <v>0</v>
      </c>
      <c r="N141" s="104">
        <f t="shared" si="47"/>
        <v>0</v>
      </c>
      <c r="O141" s="104">
        <f t="shared" si="47"/>
        <v>0</v>
      </c>
      <c r="P141" s="105">
        <f t="shared" si="47"/>
        <v>124992</v>
      </c>
    </row>
    <row r="142" spans="1:16" x14ac:dyDescent="0.2">
      <c r="A142" s="31">
        <f t="shared" si="45"/>
        <v>138</v>
      </c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43"/>
    </row>
    <row r="143" spans="1:16" ht="12.75" customHeight="1" x14ac:dyDescent="0.2">
      <c r="A143" s="31">
        <f t="shared" si="45"/>
        <v>139</v>
      </c>
      <c r="B143" s="14" t="s">
        <v>1132</v>
      </c>
      <c r="C143" s="112" t="s">
        <v>1135</v>
      </c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43"/>
    </row>
    <row r="144" spans="1:16" x14ac:dyDescent="0.2">
      <c r="A144" s="31">
        <f t="shared" si="45"/>
        <v>140</v>
      </c>
      <c r="C144" s="14" t="s">
        <v>939</v>
      </c>
      <c r="D144" s="66">
        <v>4921</v>
      </c>
      <c r="E144" s="66">
        <v>4921</v>
      </c>
      <c r="F144" s="66">
        <v>4921</v>
      </c>
      <c r="G144" s="66">
        <v>4921</v>
      </c>
      <c r="H144" s="66">
        <v>4921</v>
      </c>
      <c r="I144" s="66">
        <v>4921</v>
      </c>
      <c r="J144" s="66">
        <v>4786</v>
      </c>
      <c r="K144" s="66">
        <v>4636</v>
      </c>
      <c r="L144" s="66">
        <v>4636</v>
      </c>
      <c r="M144" s="66">
        <v>4636</v>
      </c>
      <c r="N144" s="66">
        <v>4636</v>
      </c>
      <c r="O144" s="66">
        <v>4636</v>
      </c>
      <c r="P144" s="178">
        <f>SUM(D144:O144)</f>
        <v>57492</v>
      </c>
    </row>
    <row r="145" spans="1:16" x14ac:dyDescent="0.2">
      <c r="A145" s="31">
        <f t="shared" si="45"/>
        <v>141</v>
      </c>
      <c r="C145" s="14" t="s">
        <v>940</v>
      </c>
      <c r="D145" s="66">
        <v>11332</v>
      </c>
      <c r="E145" s="66">
        <v>10412</v>
      </c>
      <c r="F145" s="66">
        <v>12176</v>
      </c>
      <c r="G145" s="66">
        <v>12398</v>
      </c>
      <c r="H145" s="66">
        <v>14030</v>
      </c>
      <c r="I145" s="66">
        <v>14946</v>
      </c>
      <c r="J145" s="66">
        <v>16407</v>
      </c>
      <c r="K145" s="66">
        <v>15612</v>
      </c>
      <c r="L145" s="66">
        <v>13582</v>
      </c>
      <c r="M145" s="66">
        <v>13032</v>
      </c>
      <c r="N145" s="66">
        <v>10812</v>
      </c>
      <c r="O145" s="66">
        <v>10769</v>
      </c>
      <c r="P145" s="178">
        <f t="shared" ref="P145:P147" si="48">SUM(D145:O145)</f>
        <v>155508</v>
      </c>
    </row>
    <row r="146" spans="1:16" x14ac:dyDescent="0.2">
      <c r="A146" s="31">
        <f t="shared" si="45"/>
        <v>142</v>
      </c>
      <c r="C146" s="14" t="s">
        <v>966</v>
      </c>
      <c r="D146" s="66">
        <v>8407</v>
      </c>
      <c r="E146" s="66">
        <v>2986</v>
      </c>
      <c r="F146" s="66">
        <v>2726</v>
      </c>
      <c r="G146" s="66">
        <v>2972</v>
      </c>
      <c r="H146" s="66">
        <v>3936</v>
      </c>
      <c r="I146" s="66">
        <v>1716</v>
      </c>
      <c r="J146" s="66">
        <v>2814</v>
      </c>
      <c r="K146" s="66">
        <v>4372</v>
      </c>
      <c r="L146" s="66">
        <v>3525</v>
      </c>
      <c r="M146" s="66">
        <v>3620</v>
      </c>
      <c r="N146" s="66">
        <v>2185</v>
      </c>
      <c r="O146" s="66">
        <v>1706</v>
      </c>
      <c r="P146" s="178">
        <f t="shared" si="48"/>
        <v>40965</v>
      </c>
    </row>
    <row r="147" spans="1:16" x14ac:dyDescent="0.2">
      <c r="A147" s="31">
        <f t="shared" si="45"/>
        <v>143</v>
      </c>
      <c r="C147" s="14" t="s">
        <v>967</v>
      </c>
      <c r="D147" s="66">
        <v>3179</v>
      </c>
      <c r="E147" s="66">
        <v>1722</v>
      </c>
      <c r="F147" s="66">
        <v>2371</v>
      </c>
      <c r="G147" s="66">
        <v>3303</v>
      </c>
      <c r="H147" s="66">
        <v>3623</v>
      </c>
      <c r="I147" s="66">
        <v>4036</v>
      </c>
      <c r="J147" s="66">
        <v>4648</v>
      </c>
      <c r="K147" s="66">
        <v>4774</v>
      </c>
      <c r="L147" s="66">
        <v>3294</v>
      </c>
      <c r="M147" s="66">
        <v>3148</v>
      </c>
      <c r="N147" s="66">
        <v>3080</v>
      </c>
      <c r="O147" s="66">
        <v>3071</v>
      </c>
      <c r="P147" s="178">
        <f t="shared" si="48"/>
        <v>40249</v>
      </c>
    </row>
    <row r="148" spans="1:16" x14ac:dyDescent="0.2">
      <c r="A148" s="31">
        <f t="shared" si="45"/>
        <v>144</v>
      </c>
      <c r="C148" s="173" t="s">
        <v>0</v>
      </c>
      <c r="D148" s="104">
        <f t="shared" ref="D148:P148" si="49">SUM(D144:D147)</f>
        <v>27839</v>
      </c>
      <c r="E148" s="104">
        <f t="shared" si="49"/>
        <v>20041</v>
      </c>
      <c r="F148" s="104">
        <f t="shared" si="49"/>
        <v>22194</v>
      </c>
      <c r="G148" s="104">
        <f t="shared" si="49"/>
        <v>23594</v>
      </c>
      <c r="H148" s="104">
        <f t="shared" si="49"/>
        <v>26510</v>
      </c>
      <c r="I148" s="104">
        <f t="shared" si="49"/>
        <v>25619</v>
      </c>
      <c r="J148" s="104">
        <f t="shared" si="49"/>
        <v>28655</v>
      </c>
      <c r="K148" s="104">
        <f t="shared" si="49"/>
        <v>29394</v>
      </c>
      <c r="L148" s="104">
        <f t="shared" si="49"/>
        <v>25037</v>
      </c>
      <c r="M148" s="104">
        <f t="shared" si="49"/>
        <v>24436</v>
      </c>
      <c r="N148" s="104">
        <f t="shared" si="49"/>
        <v>20713</v>
      </c>
      <c r="O148" s="104">
        <f t="shared" si="49"/>
        <v>20182</v>
      </c>
      <c r="P148" s="105">
        <f t="shared" si="49"/>
        <v>294214</v>
      </c>
    </row>
    <row r="149" spans="1:16" x14ac:dyDescent="0.2">
      <c r="A149" s="31">
        <f t="shared" si="45"/>
        <v>145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43"/>
    </row>
    <row r="150" spans="1:16" ht="12.75" customHeight="1" x14ac:dyDescent="0.2">
      <c r="A150" s="31">
        <f t="shared" si="45"/>
        <v>146</v>
      </c>
      <c r="B150" s="14" t="s">
        <v>1131</v>
      </c>
      <c r="C150" s="112" t="s">
        <v>1136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43"/>
    </row>
    <row r="151" spans="1:16" x14ac:dyDescent="0.2">
      <c r="A151" s="31">
        <f t="shared" si="45"/>
        <v>147</v>
      </c>
      <c r="C151" s="14" t="s">
        <v>939</v>
      </c>
      <c r="D151" s="66">
        <v>9737</v>
      </c>
      <c r="E151" s="66">
        <v>9737</v>
      </c>
      <c r="F151" s="66">
        <v>9737</v>
      </c>
      <c r="G151" s="66">
        <v>9737</v>
      </c>
      <c r="H151" s="66">
        <v>10246</v>
      </c>
      <c r="I151" s="66">
        <v>9737</v>
      </c>
      <c r="J151" s="66">
        <v>11833</v>
      </c>
      <c r="K151" s="66">
        <v>12412</v>
      </c>
      <c r="L151" s="66">
        <v>10156</v>
      </c>
      <c r="M151" s="66">
        <v>9737</v>
      </c>
      <c r="N151" s="66">
        <v>9737</v>
      </c>
      <c r="O151" s="66">
        <v>9737</v>
      </c>
      <c r="P151" s="178">
        <f>SUM(D151:O151)</f>
        <v>122543</v>
      </c>
    </row>
    <row r="152" spans="1:16" x14ac:dyDescent="0.2">
      <c r="A152" s="31">
        <f t="shared" si="45"/>
        <v>148</v>
      </c>
      <c r="C152" s="14" t="s">
        <v>940</v>
      </c>
      <c r="D152" s="66">
        <v>27068</v>
      </c>
      <c r="E152" s="66">
        <v>25844</v>
      </c>
      <c r="F152" s="66">
        <v>29326</v>
      </c>
      <c r="G152" s="66">
        <v>30354</v>
      </c>
      <c r="H152" s="66">
        <v>34412</v>
      </c>
      <c r="I152" s="66">
        <v>34615</v>
      </c>
      <c r="J152" s="66">
        <v>39703</v>
      </c>
      <c r="K152" s="66">
        <v>39200</v>
      </c>
      <c r="L152" s="66">
        <v>34626</v>
      </c>
      <c r="M152" s="66">
        <v>32212</v>
      </c>
      <c r="N152" s="66">
        <v>29499</v>
      </c>
      <c r="O152" s="66">
        <v>29502</v>
      </c>
      <c r="P152" s="178">
        <f t="shared" ref="P152:P154" si="50">SUM(D152:O152)</f>
        <v>386361</v>
      </c>
    </row>
    <row r="153" spans="1:16" x14ac:dyDescent="0.2">
      <c r="A153" s="31">
        <f t="shared" si="45"/>
        <v>149</v>
      </c>
      <c r="C153" s="14" t="s">
        <v>966</v>
      </c>
      <c r="D153" s="66">
        <v>15316</v>
      </c>
      <c r="E153" s="66">
        <v>7439</v>
      </c>
      <c r="F153" s="66">
        <v>6566</v>
      </c>
      <c r="G153" s="66">
        <v>7276</v>
      </c>
      <c r="H153" s="66">
        <v>9655</v>
      </c>
      <c r="I153" s="66">
        <v>3975</v>
      </c>
      <c r="J153" s="66">
        <v>6809</v>
      </c>
      <c r="K153" s="66">
        <v>10978</v>
      </c>
      <c r="L153" s="66">
        <v>8988</v>
      </c>
      <c r="M153" s="66">
        <v>8949</v>
      </c>
      <c r="N153" s="66">
        <v>5961</v>
      </c>
      <c r="O153" s="66">
        <v>4675</v>
      </c>
      <c r="P153" s="178">
        <f t="shared" si="50"/>
        <v>96587</v>
      </c>
    </row>
    <row r="154" spans="1:16" x14ac:dyDescent="0.2">
      <c r="A154" s="31">
        <f t="shared" si="45"/>
        <v>150</v>
      </c>
      <c r="C154" s="14" t="s">
        <v>967</v>
      </c>
      <c r="D154" s="66">
        <v>7316</v>
      </c>
      <c r="E154" s="66">
        <v>4044</v>
      </c>
      <c r="F154" s="66">
        <v>5457</v>
      </c>
      <c r="G154" s="66">
        <v>7711</v>
      </c>
      <c r="H154" s="66">
        <v>8598</v>
      </c>
      <c r="I154" s="66">
        <v>9037</v>
      </c>
      <c r="J154" s="66">
        <v>11296</v>
      </c>
      <c r="K154" s="66">
        <v>12136</v>
      </c>
      <c r="L154" s="66">
        <v>8146</v>
      </c>
      <c r="M154" s="66">
        <v>7528</v>
      </c>
      <c r="N154" s="66">
        <v>7896</v>
      </c>
      <c r="O154" s="66">
        <v>7883</v>
      </c>
      <c r="P154" s="178">
        <f t="shared" si="50"/>
        <v>97048</v>
      </c>
    </row>
    <row r="155" spans="1:16" x14ac:dyDescent="0.2">
      <c r="A155" s="31">
        <f t="shared" si="45"/>
        <v>151</v>
      </c>
      <c r="C155" s="173" t="s">
        <v>0</v>
      </c>
      <c r="D155" s="105">
        <f t="shared" ref="D155:P155" si="51">SUM(D151:D154)</f>
        <v>59437</v>
      </c>
      <c r="E155" s="105">
        <f t="shared" si="51"/>
        <v>47064</v>
      </c>
      <c r="F155" s="105">
        <f t="shared" si="51"/>
        <v>51086</v>
      </c>
      <c r="G155" s="105">
        <f t="shared" si="51"/>
        <v>55078</v>
      </c>
      <c r="H155" s="105">
        <f t="shared" si="51"/>
        <v>62911</v>
      </c>
      <c r="I155" s="105">
        <f t="shared" si="51"/>
        <v>57364</v>
      </c>
      <c r="J155" s="105">
        <f t="shared" si="51"/>
        <v>69641</v>
      </c>
      <c r="K155" s="105">
        <f t="shared" si="51"/>
        <v>74726</v>
      </c>
      <c r="L155" s="105">
        <f t="shared" si="51"/>
        <v>61916</v>
      </c>
      <c r="M155" s="105">
        <f t="shared" si="51"/>
        <v>58426</v>
      </c>
      <c r="N155" s="105">
        <f t="shared" si="51"/>
        <v>53093</v>
      </c>
      <c r="O155" s="105">
        <f t="shared" si="51"/>
        <v>51797</v>
      </c>
      <c r="P155" s="105">
        <f t="shared" si="51"/>
        <v>702539</v>
      </c>
    </row>
    <row r="156" spans="1:16" x14ac:dyDescent="0.2">
      <c r="A156" s="31">
        <f t="shared" si="45"/>
        <v>152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6" ht="12.75" customHeight="1" x14ac:dyDescent="0.2">
      <c r="A157" s="31">
        <f t="shared" si="45"/>
        <v>153</v>
      </c>
      <c r="B157" s="14" t="s">
        <v>1131</v>
      </c>
      <c r="C157" s="112" t="s">
        <v>1142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x14ac:dyDescent="0.2">
      <c r="A158" s="31">
        <f t="shared" si="45"/>
        <v>154</v>
      </c>
      <c r="C158" s="14" t="s">
        <v>939</v>
      </c>
      <c r="D158" s="66">
        <f t="shared" ref="D158:O158" si="52">D70+D91+D98+D151+D77+D48</f>
        <v>74123</v>
      </c>
      <c r="E158" s="66">
        <f t="shared" si="52"/>
        <v>72093</v>
      </c>
      <c r="F158" s="66">
        <f t="shared" si="52"/>
        <v>80426</v>
      </c>
      <c r="G158" s="66">
        <f t="shared" si="52"/>
        <v>79269</v>
      </c>
      <c r="H158" s="66">
        <f t="shared" si="52"/>
        <v>78031</v>
      </c>
      <c r="I158" s="66">
        <f t="shared" si="52"/>
        <v>77522</v>
      </c>
      <c r="J158" s="66">
        <f t="shared" si="52"/>
        <v>80674</v>
      </c>
      <c r="K158" s="66">
        <f t="shared" si="52"/>
        <v>81624</v>
      </c>
      <c r="L158" s="66">
        <f t="shared" si="52"/>
        <v>77941</v>
      </c>
      <c r="M158" s="66">
        <f t="shared" si="52"/>
        <v>80406</v>
      </c>
      <c r="N158" s="66">
        <f t="shared" si="52"/>
        <v>80845</v>
      </c>
      <c r="O158" s="66">
        <f t="shared" si="52"/>
        <v>77522</v>
      </c>
      <c r="P158" s="178">
        <f>SUM(D158:O158)</f>
        <v>940476</v>
      </c>
    </row>
    <row r="159" spans="1:16" x14ac:dyDescent="0.2">
      <c r="A159" s="31">
        <f t="shared" si="45"/>
        <v>155</v>
      </c>
      <c r="C159" s="14" t="s">
        <v>940</v>
      </c>
      <c r="D159" s="66">
        <f t="shared" ref="D159:O159" si="53">D71+D92+D99+D152+D78+D49</f>
        <v>174168</v>
      </c>
      <c r="E159" s="66">
        <f t="shared" si="53"/>
        <v>180097</v>
      </c>
      <c r="F159" s="66">
        <f t="shared" si="53"/>
        <v>218233</v>
      </c>
      <c r="G159" s="66">
        <f t="shared" si="53"/>
        <v>209263</v>
      </c>
      <c r="H159" s="66">
        <f t="shared" si="53"/>
        <v>227614</v>
      </c>
      <c r="I159" s="66">
        <f t="shared" si="53"/>
        <v>232196</v>
      </c>
      <c r="J159" s="66">
        <f t="shared" si="53"/>
        <v>224324</v>
      </c>
      <c r="K159" s="66">
        <f t="shared" si="53"/>
        <v>243109</v>
      </c>
      <c r="L159" s="66">
        <f t="shared" si="53"/>
        <v>227432</v>
      </c>
      <c r="M159" s="66">
        <f t="shared" si="53"/>
        <v>220701</v>
      </c>
      <c r="N159" s="66">
        <f t="shared" si="53"/>
        <v>197096</v>
      </c>
      <c r="O159" s="66">
        <f t="shared" si="53"/>
        <v>177161</v>
      </c>
      <c r="P159" s="178">
        <f t="shared" ref="P159:P161" si="54">SUM(D159:O159)</f>
        <v>2531394</v>
      </c>
    </row>
    <row r="160" spans="1:16" x14ac:dyDescent="0.2">
      <c r="A160" s="31">
        <f t="shared" si="45"/>
        <v>156</v>
      </c>
      <c r="C160" s="14" t="s">
        <v>966</v>
      </c>
      <c r="D160" s="66">
        <f t="shared" ref="D160:O160" si="55">D72+D93+D100+D153+D79+D50</f>
        <v>94808</v>
      </c>
      <c r="E160" s="66">
        <f t="shared" si="55"/>
        <v>51599</v>
      </c>
      <c r="F160" s="66">
        <f t="shared" si="55"/>
        <v>48794</v>
      </c>
      <c r="G160" s="66">
        <f t="shared" si="55"/>
        <v>50042</v>
      </c>
      <c r="H160" s="66">
        <f t="shared" si="55"/>
        <v>63789</v>
      </c>
      <c r="I160" s="66">
        <f t="shared" si="55"/>
        <v>26557</v>
      </c>
      <c r="J160" s="66">
        <f t="shared" si="55"/>
        <v>37919</v>
      </c>
      <c r="K160" s="66">
        <f t="shared" si="55"/>
        <v>67810</v>
      </c>
      <c r="L160" s="66">
        <f t="shared" si="55"/>
        <v>58585</v>
      </c>
      <c r="M160" s="66">
        <f t="shared" si="55"/>
        <v>60962</v>
      </c>
      <c r="N160" s="66">
        <f t="shared" si="55"/>
        <v>39585</v>
      </c>
      <c r="O160" s="66">
        <f t="shared" si="55"/>
        <v>27690</v>
      </c>
      <c r="P160" s="178">
        <f t="shared" si="54"/>
        <v>628140</v>
      </c>
    </row>
    <row r="161" spans="1:16" x14ac:dyDescent="0.2">
      <c r="A161" s="31">
        <f t="shared" si="45"/>
        <v>157</v>
      </c>
      <c r="C161" s="14" t="s">
        <v>967</v>
      </c>
      <c r="D161" s="66">
        <f t="shared" ref="D161:O161" si="56">D73+D94+D101+D154+D80+D51</f>
        <v>48424</v>
      </c>
      <c r="E161" s="66">
        <f t="shared" si="56"/>
        <v>28560</v>
      </c>
      <c r="F161" s="66">
        <f t="shared" si="56"/>
        <v>41565</v>
      </c>
      <c r="G161" s="66">
        <f t="shared" si="56"/>
        <v>57120</v>
      </c>
      <c r="H161" s="66">
        <f t="shared" si="56"/>
        <v>58482</v>
      </c>
      <c r="I161" s="66">
        <f t="shared" si="56"/>
        <v>62883</v>
      </c>
      <c r="J161" s="66">
        <f t="shared" si="56"/>
        <v>66390</v>
      </c>
      <c r="K161" s="66">
        <f t="shared" si="56"/>
        <v>76114</v>
      </c>
      <c r="L161" s="66">
        <f t="shared" si="56"/>
        <v>55139</v>
      </c>
      <c r="M161" s="66">
        <f t="shared" si="56"/>
        <v>53552</v>
      </c>
      <c r="N161" s="66">
        <f t="shared" si="56"/>
        <v>55471</v>
      </c>
      <c r="O161" s="66">
        <f t="shared" si="56"/>
        <v>50686</v>
      </c>
      <c r="P161" s="178">
        <f t="shared" si="54"/>
        <v>654386</v>
      </c>
    </row>
    <row r="162" spans="1:16" x14ac:dyDescent="0.2">
      <c r="A162" s="31">
        <f t="shared" si="45"/>
        <v>158</v>
      </c>
      <c r="C162" s="173" t="s">
        <v>0</v>
      </c>
      <c r="D162" s="105">
        <f>SUM(D158:D161)</f>
        <v>391523</v>
      </c>
      <c r="E162" s="105">
        <f t="shared" ref="E162:O162" si="57">SUM(E158:E161)</f>
        <v>332349</v>
      </c>
      <c r="F162" s="105">
        <f t="shared" si="57"/>
        <v>389018</v>
      </c>
      <c r="G162" s="105">
        <f t="shared" si="57"/>
        <v>395694</v>
      </c>
      <c r="H162" s="105">
        <f t="shared" si="57"/>
        <v>427916</v>
      </c>
      <c r="I162" s="105">
        <f t="shared" si="57"/>
        <v>399158</v>
      </c>
      <c r="J162" s="105">
        <f t="shared" si="57"/>
        <v>409307</v>
      </c>
      <c r="K162" s="105">
        <f t="shared" si="57"/>
        <v>468657</v>
      </c>
      <c r="L162" s="105">
        <f t="shared" si="57"/>
        <v>419097</v>
      </c>
      <c r="M162" s="105">
        <f t="shared" si="57"/>
        <v>415621</v>
      </c>
      <c r="N162" s="105">
        <f t="shared" si="57"/>
        <v>372997</v>
      </c>
      <c r="O162" s="105">
        <f t="shared" si="57"/>
        <v>333059</v>
      </c>
      <c r="P162" s="105">
        <f>SUM(P158:P161)</f>
        <v>4754396</v>
      </c>
    </row>
    <row r="163" spans="1:16" x14ac:dyDescent="0.2">
      <c r="A163" s="31">
        <f t="shared" si="45"/>
        <v>159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</row>
    <row r="164" spans="1:16" ht="12.75" customHeight="1" x14ac:dyDescent="0.2">
      <c r="A164" s="31">
        <f t="shared" si="45"/>
        <v>160</v>
      </c>
      <c r="B164" s="14" t="s">
        <v>1132</v>
      </c>
      <c r="C164" s="112" t="s">
        <v>1141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</row>
    <row r="165" spans="1:16" x14ac:dyDescent="0.2">
      <c r="A165" s="31">
        <f t="shared" si="45"/>
        <v>161</v>
      </c>
      <c r="C165" s="14" t="s">
        <v>939</v>
      </c>
      <c r="D165" s="66">
        <f>D84+D144+D41+D105+D137+D34+D55</f>
        <v>41032</v>
      </c>
      <c r="E165" s="66">
        <f t="shared" ref="E165:O165" si="58">E84+E144+E41+E105+E137+E34+E55</f>
        <v>41157</v>
      </c>
      <c r="F165" s="66">
        <f t="shared" si="58"/>
        <v>33075</v>
      </c>
      <c r="G165" s="66">
        <f t="shared" si="58"/>
        <v>33847</v>
      </c>
      <c r="H165" s="66">
        <f t="shared" si="58"/>
        <v>38259</v>
      </c>
      <c r="I165" s="66">
        <f t="shared" si="58"/>
        <v>38431</v>
      </c>
      <c r="J165" s="66">
        <f t="shared" si="58"/>
        <v>38132</v>
      </c>
      <c r="K165" s="66">
        <f t="shared" si="58"/>
        <v>38019</v>
      </c>
      <c r="L165" s="66">
        <f t="shared" si="58"/>
        <v>50985</v>
      </c>
      <c r="M165" s="66">
        <f t="shared" si="58"/>
        <v>57419</v>
      </c>
      <c r="N165" s="66">
        <f t="shared" si="58"/>
        <v>57988</v>
      </c>
      <c r="O165" s="66">
        <f t="shared" si="58"/>
        <v>41207</v>
      </c>
      <c r="P165" s="178">
        <f>SUM(D165:O165)</f>
        <v>509551</v>
      </c>
    </row>
    <row r="166" spans="1:16" x14ac:dyDescent="0.2">
      <c r="A166" s="31">
        <f t="shared" si="45"/>
        <v>162</v>
      </c>
      <c r="C166" s="14" t="s">
        <v>940</v>
      </c>
      <c r="D166" s="66">
        <f t="shared" ref="D166:O168" si="59">D85+D145+D42+D106+D138+D35+D56</f>
        <v>121977</v>
      </c>
      <c r="E166" s="66">
        <f t="shared" si="59"/>
        <v>133123</v>
      </c>
      <c r="F166" s="66">
        <f t="shared" si="59"/>
        <v>102866</v>
      </c>
      <c r="G166" s="66">
        <f t="shared" si="59"/>
        <v>102285</v>
      </c>
      <c r="H166" s="66">
        <f t="shared" si="59"/>
        <v>117014</v>
      </c>
      <c r="I166" s="66">
        <f t="shared" si="59"/>
        <v>121587</v>
      </c>
      <c r="J166" s="66">
        <f t="shared" si="59"/>
        <v>131589</v>
      </c>
      <c r="K166" s="66">
        <f t="shared" si="59"/>
        <v>127442</v>
      </c>
      <c r="L166" s="66">
        <f t="shared" si="59"/>
        <v>175185</v>
      </c>
      <c r="M166" s="66">
        <f t="shared" si="59"/>
        <v>200951</v>
      </c>
      <c r="N166" s="66">
        <f t="shared" si="59"/>
        <v>187323</v>
      </c>
      <c r="O166" s="66">
        <f t="shared" si="59"/>
        <v>119849</v>
      </c>
      <c r="P166" s="178">
        <f t="shared" ref="P166:P168" si="60">SUM(D166:O166)</f>
        <v>1641191</v>
      </c>
    </row>
    <row r="167" spans="1:16" x14ac:dyDescent="0.2">
      <c r="A167" s="31">
        <f t="shared" si="45"/>
        <v>163</v>
      </c>
      <c r="C167" s="14" t="s">
        <v>966</v>
      </c>
      <c r="D167" s="66">
        <f t="shared" si="59"/>
        <v>70965</v>
      </c>
      <c r="E167" s="66">
        <f t="shared" si="59"/>
        <v>39407</v>
      </c>
      <c r="F167" s="66">
        <f t="shared" si="59"/>
        <v>23041</v>
      </c>
      <c r="G167" s="66">
        <f t="shared" si="59"/>
        <v>24518</v>
      </c>
      <c r="H167" s="66">
        <f t="shared" si="59"/>
        <v>32828</v>
      </c>
      <c r="I167" s="66">
        <f t="shared" si="59"/>
        <v>13962</v>
      </c>
      <c r="J167" s="66">
        <f t="shared" si="59"/>
        <v>22566</v>
      </c>
      <c r="K167" s="66">
        <f t="shared" si="59"/>
        <v>35691</v>
      </c>
      <c r="L167" s="66">
        <f t="shared" si="59"/>
        <v>45462</v>
      </c>
      <c r="M167" s="66">
        <f t="shared" si="59"/>
        <v>55826</v>
      </c>
      <c r="N167" s="66">
        <f t="shared" si="59"/>
        <v>37855</v>
      </c>
      <c r="O167" s="66">
        <f t="shared" si="59"/>
        <v>18990</v>
      </c>
      <c r="P167" s="178">
        <f t="shared" si="60"/>
        <v>421111</v>
      </c>
    </row>
    <row r="168" spans="1:16" x14ac:dyDescent="0.2">
      <c r="A168" s="31">
        <f t="shared" si="45"/>
        <v>164</v>
      </c>
      <c r="C168" s="14" t="s">
        <v>967</v>
      </c>
      <c r="D168" s="66">
        <f t="shared" si="59"/>
        <v>32544</v>
      </c>
      <c r="E168" s="66">
        <f t="shared" si="59"/>
        <v>19984</v>
      </c>
      <c r="F168" s="66">
        <f t="shared" si="59"/>
        <v>19013</v>
      </c>
      <c r="G168" s="66">
        <f t="shared" si="59"/>
        <v>26153</v>
      </c>
      <c r="H168" s="66">
        <f t="shared" si="59"/>
        <v>29777</v>
      </c>
      <c r="I168" s="66">
        <f t="shared" si="59"/>
        <v>32535</v>
      </c>
      <c r="J168" s="66">
        <f t="shared" si="59"/>
        <v>37227</v>
      </c>
      <c r="K168" s="66">
        <f t="shared" si="59"/>
        <v>39003</v>
      </c>
      <c r="L168" s="66">
        <f t="shared" si="59"/>
        <v>41153</v>
      </c>
      <c r="M168" s="66">
        <f t="shared" si="59"/>
        <v>46469</v>
      </c>
      <c r="N168" s="66">
        <f t="shared" si="59"/>
        <v>49468</v>
      </c>
      <c r="O168" s="66">
        <f t="shared" si="59"/>
        <v>32139</v>
      </c>
      <c r="P168" s="178">
        <f t="shared" si="60"/>
        <v>405465</v>
      </c>
    </row>
    <row r="169" spans="1:16" x14ac:dyDescent="0.2">
      <c r="A169" s="31">
        <f t="shared" si="45"/>
        <v>165</v>
      </c>
      <c r="C169" s="173" t="s">
        <v>0</v>
      </c>
      <c r="D169" s="105">
        <f>SUM(D165:D168)</f>
        <v>266518</v>
      </c>
      <c r="E169" s="105">
        <f t="shared" ref="E169:O169" si="61">SUM(E165:E168)</f>
        <v>233671</v>
      </c>
      <c r="F169" s="105">
        <f t="shared" si="61"/>
        <v>177995</v>
      </c>
      <c r="G169" s="105">
        <f t="shared" si="61"/>
        <v>186803</v>
      </c>
      <c r="H169" s="105">
        <f t="shared" si="61"/>
        <v>217878</v>
      </c>
      <c r="I169" s="105">
        <f t="shared" si="61"/>
        <v>206515</v>
      </c>
      <c r="J169" s="105">
        <f t="shared" si="61"/>
        <v>229514</v>
      </c>
      <c r="K169" s="105">
        <f t="shared" si="61"/>
        <v>240155</v>
      </c>
      <c r="L169" s="105">
        <f t="shared" si="61"/>
        <v>312785</v>
      </c>
      <c r="M169" s="105">
        <f t="shared" si="61"/>
        <v>360665</v>
      </c>
      <c r="N169" s="105">
        <f t="shared" si="61"/>
        <v>332634</v>
      </c>
      <c r="O169" s="105">
        <f t="shared" si="61"/>
        <v>212185</v>
      </c>
      <c r="P169" s="105">
        <f>SUM(P165:P168)</f>
        <v>2977318</v>
      </c>
    </row>
    <row r="170" spans="1:16" x14ac:dyDescent="0.2">
      <c r="A170" s="31">
        <f t="shared" si="45"/>
        <v>166</v>
      </c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</row>
    <row r="171" spans="1:16" ht="12.75" customHeight="1" x14ac:dyDescent="0.2">
      <c r="A171" s="31">
        <f t="shared" si="45"/>
        <v>167</v>
      </c>
      <c r="B171" s="14" t="s">
        <v>1177</v>
      </c>
      <c r="C171" s="112" t="s">
        <v>1179</v>
      </c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x14ac:dyDescent="0.2">
      <c r="A172" s="31">
        <f t="shared" si="45"/>
        <v>168</v>
      </c>
      <c r="C172" s="14" t="s">
        <v>939</v>
      </c>
      <c r="D172" s="66">
        <f>D112+D113+D129+D130+D121+D122+D120+D62+D63</f>
        <v>5454</v>
      </c>
      <c r="E172" s="66">
        <f t="shared" ref="E172:O172" si="62">E112+E113+E129+E130+E121+E122+E120+E62+E63</f>
        <v>5452</v>
      </c>
      <c r="F172" s="66">
        <f t="shared" si="62"/>
        <v>13000</v>
      </c>
      <c r="G172" s="66">
        <f t="shared" si="62"/>
        <v>13265</v>
      </c>
      <c r="H172" s="66">
        <f t="shared" si="62"/>
        <v>15529</v>
      </c>
      <c r="I172" s="66">
        <f t="shared" si="62"/>
        <v>15550</v>
      </c>
      <c r="J172" s="66">
        <f t="shared" si="62"/>
        <v>16130</v>
      </c>
      <c r="K172" s="66">
        <f t="shared" si="62"/>
        <v>15931</v>
      </c>
      <c r="L172" s="66">
        <f t="shared" si="62"/>
        <v>15931</v>
      </c>
      <c r="M172" s="66">
        <f t="shared" si="62"/>
        <v>16421</v>
      </c>
      <c r="N172" s="66">
        <f t="shared" si="62"/>
        <v>16475</v>
      </c>
      <c r="O172" s="66">
        <f t="shared" si="62"/>
        <v>21843</v>
      </c>
      <c r="P172" s="178">
        <f>SUM(D172:O172)</f>
        <v>170981</v>
      </c>
    </row>
    <row r="173" spans="1:16" x14ac:dyDescent="0.2">
      <c r="A173" s="31">
        <f t="shared" si="45"/>
        <v>169</v>
      </c>
      <c r="C173" s="14" t="s">
        <v>940</v>
      </c>
      <c r="D173" s="66">
        <f>D114+D131+D123+D64</f>
        <v>62626</v>
      </c>
      <c r="E173" s="66">
        <f t="shared" ref="E173:O173" si="63">E114+E131+E123+E64</f>
        <v>58104</v>
      </c>
      <c r="F173" s="66">
        <f t="shared" si="63"/>
        <v>167526</v>
      </c>
      <c r="G173" s="66">
        <f t="shared" si="63"/>
        <v>166914</v>
      </c>
      <c r="H173" s="66">
        <f t="shared" si="63"/>
        <v>200566</v>
      </c>
      <c r="I173" s="66">
        <f t="shared" si="63"/>
        <v>198717</v>
      </c>
      <c r="J173" s="66">
        <f t="shared" si="63"/>
        <v>207080</v>
      </c>
      <c r="K173" s="66">
        <f t="shared" si="63"/>
        <v>214889</v>
      </c>
      <c r="L173" s="66">
        <f t="shared" si="63"/>
        <v>218449</v>
      </c>
      <c r="M173" s="66">
        <f t="shared" si="63"/>
        <v>235676</v>
      </c>
      <c r="N173" s="66">
        <f t="shared" si="63"/>
        <v>222000</v>
      </c>
      <c r="O173" s="66">
        <f t="shared" si="63"/>
        <v>314159</v>
      </c>
      <c r="P173" s="178">
        <f t="shared" ref="P173:P175" si="64">SUM(D173:O173)</f>
        <v>2266706</v>
      </c>
    </row>
    <row r="174" spans="1:16" x14ac:dyDescent="0.2">
      <c r="A174" s="31">
        <f t="shared" si="45"/>
        <v>170</v>
      </c>
      <c r="C174" s="14" t="s">
        <v>966</v>
      </c>
      <c r="D174" s="66">
        <f t="shared" ref="D174:O175" si="65">D115+D132+D124+D65</f>
        <v>35408</v>
      </c>
      <c r="E174" s="66">
        <f t="shared" si="65"/>
        <v>16724</v>
      </c>
      <c r="F174" s="66">
        <f t="shared" si="65"/>
        <v>37509</v>
      </c>
      <c r="G174" s="66">
        <f t="shared" si="65"/>
        <v>40008</v>
      </c>
      <c r="H174" s="66">
        <f t="shared" si="65"/>
        <v>55682</v>
      </c>
      <c r="I174" s="66">
        <f t="shared" si="65"/>
        <v>22819</v>
      </c>
      <c r="J174" s="66">
        <f t="shared" si="65"/>
        <v>35856</v>
      </c>
      <c r="K174" s="66">
        <f t="shared" si="65"/>
        <v>60182</v>
      </c>
      <c r="L174" s="66">
        <f t="shared" si="65"/>
        <v>56688</v>
      </c>
      <c r="M174" s="66">
        <f t="shared" si="65"/>
        <v>65473</v>
      </c>
      <c r="N174" s="66">
        <f t="shared" si="65"/>
        <v>44863</v>
      </c>
      <c r="O174" s="66">
        <f t="shared" si="65"/>
        <v>48197</v>
      </c>
      <c r="P174" s="178">
        <f t="shared" si="64"/>
        <v>519409</v>
      </c>
    </row>
    <row r="175" spans="1:16" x14ac:dyDescent="0.2">
      <c r="A175" s="31">
        <f t="shared" si="45"/>
        <v>171</v>
      </c>
      <c r="C175" s="14" t="s">
        <v>967</v>
      </c>
      <c r="D175" s="66">
        <f t="shared" si="65"/>
        <v>14519</v>
      </c>
      <c r="E175" s="66">
        <f t="shared" si="65"/>
        <v>7543</v>
      </c>
      <c r="F175" s="66">
        <f t="shared" si="65"/>
        <v>26077</v>
      </c>
      <c r="G175" s="66">
        <f t="shared" si="65"/>
        <v>35847</v>
      </c>
      <c r="H175" s="66">
        <f t="shared" si="65"/>
        <v>43021</v>
      </c>
      <c r="I175" s="66">
        <f t="shared" si="65"/>
        <v>44332</v>
      </c>
      <c r="J175" s="66">
        <f t="shared" si="65"/>
        <v>50504</v>
      </c>
      <c r="K175" s="66">
        <f t="shared" si="65"/>
        <v>56426</v>
      </c>
      <c r="L175" s="66">
        <f t="shared" si="65"/>
        <v>44097</v>
      </c>
      <c r="M175" s="66">
        <f t="shared" si="65"/>
        <v>46969</v>
      </c>
      <c r="N175" s="66">
        <f t="shared" si="65"/>
        <v>49499</v>
      </c>
      <c r="O175" s="66">
        <f t="shared" si="65"/>
        <v>67169</v>
      </c>
      <c r="P175" s="178">
        <f t="shared" si="64"/>
        <v>486003</v>
      </c>
    </row>
    <row r="176" spans="1:16" x14ac:dyDescent="0.2">
      <c r="A176" s="31">
        <f t="shared" si="45"/>
        <v>172</v>
      </c>
      <c r="C176" s="173" t="s">
        <v>0</v>
      </c>
      <c r="D176" s="105">
        <f>SUM(D172:D175)</f>
        <v>118007</v>
      </c>
      <c r="E176" s="105">
        <f t="shared" ref="E176:O176" si="66">SUM(E172:E175)</f>
        <v>87823</v>
      </c>
      <c r="F176" s="105">
        <f t="shared" si="66"/>
        <v>244112</v>
      </c>
      <c r="G176" s="105">
        <f t="shared" si="66"/>
        <v>256034</v>
      </c>
      <c r="H176" s="105">
        <f t="shared" si="66"/>
        <v>314798</v>
      </c>
      <c r="I176" s="105">
        <f t="shared" si="66"/>
        <v>281418</v>
      </c>
      <c r="J176" s="105">
        <f t="shared" si="66"/>
        <v>309570</v>
      </c>
      <c r="K176" s="105">
        <f t="shared" si="66"/>
        <v>347428</v>
      </c>
      <c r="L176" s="105">
        <f t="shared" si="66"/>
        <v>335165</v>
      </c>
      <c r="M176" s="105">
        <f t="shared" si="66"/>
        <v>364539</v>
      </c>
      <c r="N176" s="105">
        <f t="shared" si="66"/>
        <v>332837</v>
      </c>
      <c r="O176" s="105">
        <f t="shared" si="66"/>
        <v>451368</v>
      </c>
      <c r="P176" s="105">
        <f>SUM(P172:P175)</f>
        <v>3443099</v>
      </c>
    </row>
    <row r="177" spans="1:16" x14ac:dyDescent="0.2">
      <c r="A177" s="31">
        <f t="shared" si="45"/>
        <v>173</v>
      </c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</row>
    <row r="178" spans="1:16" x14ac:dyDescent="0.2">
      <c r="A178" s="31">
        <f t="shared" si="45"/>
        <v>174</v>
      </c>
      <c r="B178" s="34">
        <v>47</v>
      </c>
      <c r="C178" s="112" t="s">
        <v>1137</v>
      </c>
    </row>
    <row r="179" spans="1:16" x14ac:dyDescent="0.2">
      <c r="A179" s="31">
        <f t="shared" si="45"/>
        <v>175</v>
      </c>
      <c r="B179" s="34"/>
      <c r="C179" s="14" t="s">
        <v>1139</v>
      </c>
      <c r="D179" s="43">
        <f t="shared" ref="D179:O179" si="67">D158+(D161*D28)</f>
        <v>103177.4</v>
      </c>
      <c r="E179" s="43">
        <f t="shared" si="67"/>
        <v>89229</v>
      </c>
      <c r="F179" s="43">
        <f t="shared" si="67"/>
        <v>105365</v>
      </c>
      <c r="G179" s="43">
        <f t="shared" si="67"/>
        <v>113541</v>
      </c>
      <c r="H179" s="43">
        <f t="shared" si="67"/>
        <v>113120.2</v>
      </c>
      <c r="I179" s="43">
        <f t="shared" si="67"/>
        <v>115251.79999999999</v>
      </c>
      <c r="J179" s="43">
        <f t="shared" si="67"/>
        <v>120508</v>
      </c>
      <c r="K179" s="43">
        <f t="shared" si="67"/>
        <v>127292.4</v>
      </c>
      <c r="L179" s="43">
        <f t="shared" si="67"/>
        <v>111024.4</v>
      </c>
      <c r="M179" s="43">
        <f t="shared" si="67"/>
        <v>112537.2</v>
      </c>
      <c r="N179" s="43">
        <f t="shared" si="67"/>
        <v>114127.6</v>
      </c>
      <c r="O179" s="43">
        <f t="shared" si="67"/>
        <v>107933.6</v>
      </c>
      <c r="P179" s="160">
        <f>ROUND(SUM(D179:O179),2)</f>
        <v>1333107.6000000001</v>
      </c>
    </row>
    <row r="180" spans="1:16" x14ac:dyDescent="0.2">
      <c r="A180" s="31">
        <f t="shared" si="45"/>
        <v>176</v>
      </c>
      <c r="B180" s="34"/>
      <c r="C180" s="14" t="s">
        <v>1140</v>
      </c>
      <c r="D180" s="43">
        <f t="shared" ref="D180:O180" si="68">D159+D160+(D161*D29)</f>
        <v>288345.59999999998</v>
      </c>
      <c r="E180" s="43">
        <f t="shared" si="68"/>
        <v>243120</v>
      </c>
      <c r="F180" s="43">
        <f t="shared" si="68"/>
        <v>283653</v>
      </c>
      <c r="G180" s="43">
        <f t="shared" si="68"/>
        <v>282153</v>
      </c>
      <c r="H180" s="43">
        <f t="shared" si="68"/>
        <v>314795.8</v>
      </c>
      <c r="I180" s="43">
        <f t="shared" si="68"/>
        <v>283906.2</v>
      </c>
      <c r="J180" s="43">
        <f t="shared" si="68"/>
        <v>288799</v>
      </c>
      <c r="K180" s="43">
        <f t="shared" si="68"/>
        <v>341364.6</v>
      </c>
      <c r="L180" s="43">
        <f t="shared" si="68"/>
        <v>308072.59999999998</v>
      </c>
      <c r="M180" s="43">
        <f t="shared" si="68"/>
        <v>303083.8</v>
      </c>
      <c r="N180" s="43">
        <f t="shared" si="68"/>
        <v>258869.4</v>
      </c>
      <c r="O180" s="43">
        <f t="shared" si="68"/>
        <v>225125.4</v>
      </c>
      <c r="P180" s="160">
        <f>ROUND(SUM(D180:O180),0)</f>
        <v>3421288</v>
      </c>
    </row>
    <row r="181" spans="1:16" x14ac:dyDescent="0.2">
      <c r="A181" s="31">
        <f t="shared" si="45"/>
        <v>177</v>
      </c>
      <c r="B181" s="34"/>
      <c r="C181" s="173" t="s">
        <v>0</v>
      </c>
      <c r="D181" s="105">
        <f>SUM(D179:D180)</f>
        <v>391523</v>
      </c>
      <c r="E181" s="105">
        <f t="shared" ref="E181:O181" si="69">SUM(E179:E180)</f>
        <v>332349</v>
      </c>
      <c r="F181" s="105">
        <f t="shared" si="69"/>
        <v>389018</v>
      </c>
      <c r="G181" s="105">
        <f t="shared" si="69"/>
        <v>395694</v>
      </c>
      <c r="H181" s="105">
        <f t="shared" si="69"/>
        <v>427916</v>
      </c>
      <c r="I181" s="105">
        <f t="shared" si="69"/>
        <v>399158</v>
      </c>
      <c r="J181" s="105">
        <f t="shared" si="69"/>
        <v>409307</v>
      </c>
      <c r="K181" s="105">
        <f t="shared" si="69"/>
        <v>468657</v>
      </c>
      <c r="L181" s="105">
        <f t="shared" si="69"/>
        <v>419097</v>
      </c>
      <c r="M181" s="105">
        <f t="shared" si="69"/>
        <v>415621</v>
      </c>
      <c r="N181" s="105">
        <f t="shared" si="69"/>
        <v>372997</v>
      </c>
      <c r="O181" s="105">
        <f t="shared" si="69"/>
        <v>333059</v>
      </c>
      <c r="P181" s="104">
        <f t="shared" ref="P181" si="70">SUM(P179:P180)</f>
        <v>4754395.5999999996</v>
      </c>
    </row>
    <row r="182" spans="1:16" x14ac:dyDescent="0.2">
      <c r="A182" s="31">
        <f t="shared" si="45"/>
        <v>178</v>
      </c>
      <c r="B182" s="34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66"/>
    </row>
    <row r="183" spans="1:16" x14ac:dyDescent="0.2">
      <c r="A183" s="31">
        <f t="shared" si="45"/>
        <v>179</v>
      </c>
      <c r="B183" s="34">
        <v>46</v>
      </c>
      <c r="C183" s="112" t="s">
        <v>1138</v>
      </c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66"/>
    </row>
    <row r="184" spans="1:16" x14ac:dyDescent="0.2">
      <c r="A184" s="31">
        <f t="shared" si="45"/>
        <v>180</v>
      </c>
      <c r="C184" s="14" t="s">
        <v>1139</v>
      </c>
      <c r="D184" s="43">
        <f>D165+D172+(D168*D28)+(D175*D28)</f>
        <v>74723.799999999988</v>
      </c>
      <c r="E184" s="43">
        <f t="shared" ref="E184:O184" si="71">E165+E172+(E168*E28)+(E175*E28)</f>
        <v>63125.200000000004</v>
      </c>
      <c r="F184" s="43">
        <f t="shared" si="71"/>
        <v>73129</v>
      </c>
      <c r="G184" s="43">
        <f t="shared" si="71"/>
        <v>84312</v>
      </c>
      <c r="H184" s="43">
        <f t="shared" si="71"/>
        <v>97466.799999999988</v>
      </c>
      <c r="I184" s="43">
        <f t="shared" si="71"/>
        <v>100101.2</v>
      </c>
      <c r="J184" s="43">
        <f t="shared" si="71"/>
        <v>106900.59999999999</v>
      </c>
      <c r="K184" s="43">
        <f t="shared" si="71"/>
        <v>111207.4</v>
      </c>
      <c r="L184" s="43">
        <f t="shared" si="71"/>
        <v>118066</v>
      </c>
      <c r="M184" s="43">
        <f t="shared" si="71"/>
        <v>129902.79999999999</v>
      </c>
      <c r="N184" s="43">
        <f t="shared" si="71"/>
        <v>133843.20000000001</v>
      </c>
      <c r="O184" s="43">
        <f t="shared" si="71"/>
        <v>122634.79999999999</v>
      </c>
      <c r="P184" s="160">
        <f>ROUND(SUM(D184:O184),2)</f>
        <v>1215412.8</v>
      </c>
    </row>
    <row r="185" spans="1:16" x14ac:dyDescent="0.2">
      <c r="A185" s="31">
        <f t="shared" si="45"/>
        <v>181</v>
      </c>
      <c r="C185" s="14" t="s">
        <v>1140</v>
      </c>
      <c r="D185" s="43">
        <f>D166+D167++D173+D174+(D168*D29)+(D175*D29)</f>
        <v>309801.19999999995</v>
      </c>
      <c r="E185" s="43">
        <f t="shared" ref="E185:O185" si="72">E166+E167++E173+E174+(E168*E29)+(E175*E29)</f>
        <v>258368.80000000002</v>
      </c>
      <c r="F185" s="43">
        <f t="shared" si="72"/>
        <v>348978</v>
      </c>
      <c r="G185" s="43">
        <f t="shared" si="72"/>
        <v>358525</v>
      </c>
      <c r="H185" s="43">
        <f t="shared" si="72"/>
        <v>435209.2</v>
      </c>
      <c r="I185" s="43">
        <f t="shared" si="72"/>
        <v>387831.8</v>
      </c>
      <c r="J185" s="43">
        <f t="shared" si="72"/>
        <v>432183.39999999997</v>
      </c>
      <c r="K185" s="43">
        <f t="shared" si="72"/>
        <v>476375.60000000003</v>
      </c>
      <c r="L185" s="43">
        <f t="shared" si="72"/>
        <v>529884</v>
      </c>
      <c r="M185" s="43">
        <f t="shared" si="72"/>
        <v>595301.19999999995</v>
      </c>
      <c r="N185" s="43">
        <f t="shared" si="72"/>
        <v>531627.80000000005</v>
      </c>
      <c r="O185" s="43">
        <f t="shared" si="72"/>
        <v>540918.19999999995</v>
      </c>
      <c r="P185" s="160">
        <f>ROUND(SUM(D185:O185),2)</f>
        <v>5205004.2</v>
      </c>
    </row>
    <row r="186" spans="1:16" x14ac:dyDescent="0.2">
      <c r="A186" s="31">
        <f t="shared" si="45"/>
        <v>182</v>
      </c>
      <c r="C186" s="173" t="s">
        <v>0</v>
      </c>
      <c r="D186" s="105">
        <f>SUM(D184:D185)</f>
        <v>384524.99999999994</v>
      </c>
      <c r="E186" s="105">
        <f t="shared" ref="E186:O186" si="73">SUM(E184:E185)</f>
        <v>321494</v>
      </c>
      <c r="F186" s="105">
        <f t="shared" si="73"/>
        <v>422107</v>
      </c>
      <c r="G186" s="105">
        <f t="shared" si="73"/>
        <v>442837</v>
      </c>
      <c r="H186" s="105">
        <f t="shared" si="73"/>
        <v>532676</v>
      </c>
      <c r="I186" s="105">
        <f t="shared" si="73"/>
        <v>487933</v>
      </c>
      <c r="J186" s="105">
        <f t="shared" si="73"/>
        <v>539084</v>
      </c>
      <c r="K186" s="105">
        <f t="shared" si="73"/>
        <v>587583</v>
      </c>
      <c r="L186" s="105">
        <f t="shared" si="73"/>
        <v>647950</v>
      </c>
      <c r="M186" s="105">
        <f t="shared" si="73"/>
        <v>725204</v>
      </c>
      <c r="N186" s="105">
        <f t="shared" si="73"/>
        <v>665471</v>
      </c>
      <c r="O186" s="105">
        <f t="shared" si="73"/>
        <v>663553</v>
      </c>
      <c r="P186" s="105">
        <f t="shared" ref="P186" si="74">SUM(P184:P185)</f>
        <v>6420417</v>
      </c>
    </row>
    <row r="187" spans="1:16" x14ac:dyDescent="0.2">
      <c r="A187" s="31">
        <f t="shared" si="45"/>
        <v>183</v>
      </c>
    </row>
    <row r="188" spans="1:16" x14ac:dyDescent="0.2">
      <c r="A188" s="31">
        <f t="shared" si="45"/>
        <v>184</v>
      </c>
      <c r="C188" s="14" t="s">
        <v>1181</v>
      </c>
      <c r="D188" s="95">
        <f>D162</f>
        <v>391523</v>
      </c>
      <c r="E188" s="95">
        <f t="shared" ref="E188:P188" si="75">E162</f>
        <v>332349</v>
      </c>
      <c r="F188" s="95">
        <f t="shared" si="75"/>
        <v>389018</v>
      </c>
      <c r="G188" s="95">
        <f t="shared" si="75"/>
        <v>395694</v>
      </c>
      <c r="H188" s="95">
        <f t="shared" si="75"/>
        <v>427916</v>
      </c>
      <c r="I188" s="95">
        <f t="shared" si="75"/>
        <v>399158</v>
      </c>
      <c r="J188" s="95">
        <f t="shared" si="75"/>
        <v>409307</v>
      </c>
      <c r="K188" s="95">
        <f t="shared" si="75"/>
        <v>468657</v>
      </c>
      <c r="L188" s="95">
        <f t="shared" si="75"/>
        <v>419097</v>
      </c>
      <c r="M188" s="95">
        <f t="shared" si="75"/>
        <v>415621</v>
      </c>
      <c r="N188" s="95">
        <f t="shared" si="75"/>
        <v>372997</v>
      </c>
      <c r="O188" s="95">
        <f t="shared" si="75"/>
        <v>333059</v>
      </c>
      <c r="P188" s="95">
        <f t="shared" si="75"/>
        <v>4754396</v>
      </c>
    </row>
    <row r="189" spans="1:16" x14ac:dyDescent="0.2">
      <c r="A189" s="31">
        <f t="shared" si="45"/>
        <v>185</v>
      </c>
      <c r="C189" s="14" t="s">
        <v>1182</v>
      </c>
      <c r="D189" s="95">
        <f>D169</f>
        <v>266518</v>
      </c>
      <c r="E189" s="95">
        <f t="shared" ref="E189:P189" si="76">E169</f>
        <v>233671</v>
      </c>
      <c r="F189" s="95">
        <f t="shared" si="76"/>
        <v>177995</v>
      </c>
      <c r="G189" s="95">
        <f t="shared" si="76"/>
        <v>186803</v>
      </c>
      <c r="H189" s="95">
        <f t="shared" si="76"/>
        <v>217878</v>
      </c>
      <c r="I189" s="95">
        <f t="shared" si="76"/>
        <v>206515</v>
      </c>
      <c r="J189" s="95">
        <f t="shared" si="76"/>
        <v>229514</v>
      </c>
      <c r="K189" s="95">
        <f t="shared" si="76"/>
        <v>240155</v>
      </c>
      <c r="L189" s="95">
        <f t="shared" si="76"/>
        <v>312785</v>
      </c>
      <c r="M189" s="95">
        <f t="shared" si="76"/>
        <v>360665</v>
      </c>
      <c r="N189" s="95">
        <f t="shared" si="76"/>
        <v>332634</v>
      </c>
      <c r="O189" s="95">
        <f t="shared" si="76"/>
        <v>212185</v>
      </c>
      <c r="P189" s="95">
        <f t="shared" si="76"/>
        <v>2977318</v>
      </c>
    </row>
    <row r="190" spans="1:16" x14ac:dyDescent="0.2">
      <c r="A190" s="31">
        <f t="shared" si="45"/>
        <v>186</v>
      </c>
      <c r="C190" s="14" t="s">
        <v>1183</v>
      </c>
      <c r="D190" s="95">
        <f>D176</f>
        <v>118007</v>
      </c>
      <c r="E190" s="95">
        <f t="shared" ref="E190:P190" si="77">E176</f>
        <v>87823</v>
      </c>
      <c r="F190" s="95">
        <f t="shared" si="77"/>
        <v>244112</v>
      </c>
      <c r="G190" s="95">
        <f t="shared" si="77"/>
        <v>256034</v>
      </c>
      <c r="H190" s="95">
        <f t="shared" si="77"/>
        <v>314798</v>
      </c>
      <c r="I190" s="95">
        <f t="shared" si="77"/>
        <v>281418</v>
      </c>
      <c r="J190" s="95">
        <f t="shared" si="77"/>
        <v>309570</v>
      </c>
      <c r="K190" s="95">
        <f t="shared" si="77"/>
        <v>347428</v>
      </c>
      <c r="L190" s="95">
        <f t="shared" si="77"/>
        <v>335165</v>
      </c>
      <c r="M190" s="95">
        <f t="shared" si="77"/>
        <v>364539</v>
      </c>
      <c r="N190" s="95">
        <f t="shared" si="77"/>
        <v>332837</v>
      </c>
      <c r="O190" s="95">
        <f t="shared" si="77"/>
        <v>451368</v>
      </c>
      <c r="P190" s="95">
        <f t="shared" si="77"/>
        <v>3443099</v>
      </c>
    </row>
    <row r="191" spans="1:16" x14ac:dyDescent="0.2">
      <c r="A191" s="31">
        <f t="shared" si="45"/>
        <v>187</v>
      </c>
      <c r="C191" s="14" t="s">
        <v>1186</v>
      </c>
      <c r="D191" s="95">
        <f>SUM(D189:D190)</f>
        <v>384525</v>
      </c>
      <c r="E191" s="95">
        <f t="shared" ref="E191:P191" si="78">SUM(E189:E190)</f>
        <v>321494</v>
      </c>
      <c r="F191" s="95">
        <f t="shared" si="78"/>
        <v>422107</v>
      </c>
      <c r="G191" s="95">
        <f t="shared" si="78"/>
        <v>442837</v>
      </c>
      <c r="H191" s="95">
        <f t="shared" si="78"/>
        <v>532676</v>
      </c>
      <c r="I191" s="95">
        <f t="shared" si="78"/>
        <v>487933</v>
      </c>
      <c r="J191" s="95">
        <f t="shared" si="78"/>
        <v>539084</v>
      </c>
      <c r="K191" s="95">
        <f t="shared" si="78"/>
        <v>587583</v>
      </c>
      <c r="L191" s="95">
        <f t="shared" si="78"/>
        <v>647950</v>
      </c>
      <c r="M191" s="95">
        <f t="shared" si="78"/>
        <v>725204</v>
      </c>
      <c r="N191" s="95">
        <f t="shared" si="78"/>
        <v>665471</v>
      </c>
      <c r="O191" s="95">
        <f t="shared" si="78"/>
        <v>663553</v>
      </c>
      <c r="P191" s="95">
        <f t="shared" si="78"/>
        <v>6420417</v>
      </c>
    </row>
    <row r="192" spans="1:16" x14ac:dyDescent="0.2">
      <c r="A192" s="31">
        <f t="shared" si="45"/>
        <v>188</v>
      </c>
    </row>
    <row r="193" spans="1:16" x14ac:dyDescent="0.2">
      <c r="A193" s="31">
        <f t="shared" si="45"/>
        <v>189</v>
      </c>
      <c r="C193" s="14" t="s">
        <v>1184</v>
      </c>
      <c r="D193" s="95">
        <f>D181</f>
        <v>391523</v>
      </c>
      <c r="E193" s="95">
        <f t="shared" ref="E193:P193" si="79">E181</f>
        <v>332349</v>
      </c>
      <c r="F193" s="95">
        <f t="shared" si="79"/>
        <v>389018</v>
      </c>
      <c r="G193" s="95">
        <f t="shared" si="79"/>
        <v>395694</v>
      </c>
      <c r="H193" s="95">
        <f t="shared" si="79"/>
        <v>427916</v>
      </c>
      <c r="I193" s="95">
        <f t="shared" si="79"/>
        <v>399158</v>
      </c>
      <c r="J193" s="95">
        <f t="shared" si="79"/>
        <v>409307</v>
      </c>
      <c r="K193" s="95">
        <f t="shared" si="79"/>
        <v>468657</v>
      </c>
      <c r="L193" s="95">
        <f t="shared" si="79"/>
        <v>419097</v>
      </c>
      <c r="M193" s="95">
        <f t="shared" si="79"/>
        <v>415621</v>
      </c>
      <c r="N193" s="95">
        <f t="shared" si="79"/>
        <v>372997</v>
      </c>
      <c r="O193" s="95">
        <f t="shared" si="79"/>
        <v>333059</v>
      </c>
      <c r="P193" s="95">
        <f t="shared" si="79"/>
        <v>4754395.5999999996</v>
      </c>
    </row>
    <row r="194" spans="1:16" x14ac:dyDescent="0.2">
      <c r="A194" s="31">
        <f t="shared" si="45"/>
        <v>190</v>
      </c>
      <c r="C194" s="14" t="s">
        <v>1187</v>
      </c>
      <c r="D194" s="95">
        <f>D193-D188</f>
        <v>0</v>
      </c>
      <c r="E194" s="95">
        <f t="shared" ref="E194:P194" si="80">E193-E188</f>
        <v>0</v>
      </c>
      <c r="F194" s="95">
        <f t="shared" si="80"/>
        <v>0</v>
      </c>
      <c r="G194" s="95">
        <f t="shared" si="80"/>
        <v>0</v>
      </c>
      <c r="H194" s="95">
        <f t="shared" si="80"/>
        <v>0</v>
      </c>
      <c r="I194" s="95">
        <f t="shared" si="80"/>
        <v>0</v>
      </c>
      <c r="J194" s="95">
        <f t="shared" si="80"/>
        <v>0</v>
      </c>
      <c r="K194" s="95">
        <f t="shared" si="80"/>
        <v>0</v>
      </c>
      <c r="L194" s="95">
        <f t="shared" si="80"/>
        <v>0</v>
      </c>
      <c r="M194" s="95">
        <f t="shared" si="80"/>
        <v>0</v>
      </c>
      <c r="N194" s="95">
        <f t="shared" si="80"/>
        <v>0</v>
      </c>
      <c r="O194" s="95">
        <f t="shared" si="80"/>
        <v>0</v>
      </c>
      <c r="P194" s="95">
        <f t="shared" si="80"/>
        <v>-0.40000000037252903</v>
      </c>
    </row>
    <row r="195" spans="1:16" x14ac:dyDescent="0.2">
      <c r="A195" s="31">
        <f t="shared" si="45"/>
        <v>191</v>
      </c>
      <c r="C195" s="14" t="s">
        <v>1185</v>
      </c>
      <c r="D195" s="95">
        <f>D186</f>
        <v>384524.99999999994</v>
      </c>
      <c r="E195" s="95">
        <f t="shared" ref="E195:P195" si="81">E186</f>
        <v>321494</v>
      </c>
      <c r="F195" s="95">
        <f t="shared" si="81"/>
        <v>422107</v>
      </c>
      <c r="G195" s="95">
        <f t="shared" si="81"/>
        <v>442837</v>
      </c>
      <c r="H195" s="95">
        <f t="shared" si="81"/>
        <v>532676</v>
      </c>
      <c r="I195" s="95">
        <f t="shared" si="81"/>
        <v>487933</v>
      </c>
      <c r="J195" s="95">
        <f t="shared" si="81"/>
        <v>539084</v>
      </c>
      <c r="K195" s="95">
        <f t="shared" si="81"/>
        <v>587583</v>
      </c>
      <c r="L195" s="95">
        <f t="shared" si="81"/>
        <v>647950</v>
      </c>
      <c r="M195" s="95">
        <f t="shared" si="81"/>
        <v>725204</v>
      </c>
      <c r="N195" s="95">
        <f t="shared" si="81"/>
        <v>665471</v>
      </c>
      <c r="O195" s="95">
        <f t="shared" si="81"/>
        <v>663553</v>
      </c>
      <c r="P195" s="95">
        <f t="shared" si="81"/>
        <v>6420417</v>
      </c>
    </row>
    <row r="196" spans="1:16" x14ac:dyDescent="0.2">
      <c r="A196" s="31">
        <f t="shared" si="45"/>
        <v>192</v>
      </c>
      <c r="C196" s="14" t="s">
        <v>1187</v>
      </c>
      <c r="D196" s="95">
        <f>D195-D191</f>
        <v>0</v>
      </c>
      <c r="E196" s="95">
        <f t="shared" ref="E196:P196" si="82">E195-E191</f>
        <v>0</v>
      </c>
      <c r="F196" s="95">
        <f t="shared" si="82"/>
        <v>0</v>
      </c>
      <c r="G196" s="95">
        <f t="shared" si="82"/>
        <v>0</v>
      </c>
      <c r="H196" s="95">
        <f t="shared" si="82"/>
        <v>0</v>
      </c>
      <c r="I196" s="95">
        <f t="shared" si="82"/>
        <v>0</v>
      </c>
      <c r="J196" s="95">
        <f t="shared" si="82"/>
        <v>0</v>
      </c>
      <c r="K196" s="95">
        <f t="shared" si="82"/>
        <v>0</v>
      </c>
      <c r="L196" s="95">
        <f t="shared" si="82"/>
        <v>0</v>
      </c>
      <c r="M196" s="95">
        <f t="shared" si="82"/>
        <v>0</v>
      </c>
      <c r="N196" s="95">
        <f t="shared" si="82"/>
        <v>0</v>
      </c>
      <c r="O196" s="95">
        <f t="shared" si="82"/>
        <v>0</v>
      </c>
      <c r="P196" s="95">
        <f t="shared" si="82"/>
        <v>0</v>
      </c>
    </row>
  </sheetData>
  <phoneticPr fontId="10" type="noConversion"/>
  <pageMargins left="0.45" right="0.45" top="1.25" bottom="0.75" header="0.55000000000000004" footer="0.3"/>
  <pageSetup scale="58" fitToHeight="0" orientation="landscape" r:id="rId1"/>
  <headerFooter>
    <oddFooter>&amp;RExhibit JW-7
Page 1 of 3</oddFooter>
  </headerFooter>
  <rowBreaks count="4" manualBreakCount="4">
    <brk id="30" max="15" man="1"/>
    <brk id="88" max="15" man="1"/>
    <brk id="126" max="15" man="1"/>
    <brk id="169" max="15" man="1"/>
  </rowBreaks>
  <ignoredErrors>
    <ignoredError sqref="D14:O14 H126:O12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89"/>
  <sheetViews>
    <sheetView view="pageBreakPreview" zoomScaleNormal="100" zoomScaleSheetLayoutView="100" workbookViewId="0">
      <selection activeCell="K12" sqref="K12"/>
    </sheetView>
  </sheetViews>
  <sheetFormatPr defaultColWidth="9.140625" defaultRowHeight="12.75" x14ac:dyDescent="0.2"/>
  <cols>
    <col min="1" max="1" width="5.5703125" style="14" customWidth="1"/>
    <col min="2" max="2" width="30.5703125" style="31" customWidth="1"/>
    <col min="3" max="3" width="10.7109375" style="14" customWidth="1"/>
    <col min="4" max="4" width="13.28515625" style="14" customWidth="1"/>
    <col min="5" max="5" width="12.85546875" style="14" customWidth="1"/>
    <col min="6" max="6" width="14.85546875" style="14" customWidth="1"/>
    <col min="7" max="7" width="12.85546875" style="14" customWidth="1"/>
    <col min="8" max="8" width="12" style="14" bestFit="1" customWidth="1"/>
    <col min="9" max="9" width="9.140625" style="14" customWidth="1"/>
    <col min="10" max="10" width="4" style="14" customWidth="1"/>
    <col min="11" max="11" width="9.140625" style="14" customWidth="1"/>
    <col min="12" max="14" width="9.140625" style="14"/>
    <col min="15" max="15" width="9.140625" style="14" customWidth="1"/>
    <col min="16" max="16384" width="9.140625" style="14"/>
  </cols>
  <sheetData>
    <row r="1" spans="1:8" x14ac:dyDescent="0.2">
      <c r="A1" s="13" t="s">
        <v>1024</v>
      </c>
    </row>
    <row r="2" spans="1:8" x14ac:dyDescent="0.2">
      <c r="A2" s="13" t="s">
        <v>678</v>
      </c>
    </row>
    <row r="4" spans="1:8" ht="62.25" customHeight="1" thickBot="1" x14ac:dyDescent="0.25">
      <c r="A4" s="62" t="s">
        <v>960</v>
      </c>
      <c r="B4" s="91" t="s">
        <v>753</v>
      </c>
      <c r="C4" s="147" t="s">
        <v>871</v>
      </c>
      <c r="D4" s="85" t="s">
        <v>872</v>
      </c>
      <c r="E4" s="85" t="s">
        <v>873</v>
      </c>
      <c r="F4" s="85" t="s">
        <v>863</v>
      </c>
      <c r="G4" s="85" t="s">
        <v>874</v>
      </c>
      <c r="H4" s="86"/>
    </row>
    <row r="5" spans="1:8" x14ac:dyDescent="0.2">
      <c r="A5" s="31"/>
      <c r="B5" s="13"/>
      <c r="C5" s="16"/>
      <c r="H5" s="86"/>
    </row>
    <row r="6" spans="1:8" x14ac:dyDescent="0.2">
      <c r="A6" s="31">
        <v>1</v>
      </c>
      <c r="B6" s="14" t="str">
        <f>'Summary of Returns'!B10</f>
        <v>Residential Service</v>
      </c>
      <c r="C6" s="148">
        <f>'Summary of Returns'!C10</f>
        <v>10</v>
      </c>
      <c r="D6" s="123">
        <f>'Billing Det'!C8</f>
        <v>48127</v>
      </c>
      <c r="E6" s="149">
        <v>255.88</v>
      </c>
      <c r="F6" s="149">
        <f t="shared" ref="F6:F16" si="0">E6*D6</f>
        <v>12314736.76</v>
      </c>
      <c r="G6" s="150">
        <f t="shared" ref="G6:G11" si="1">F6/$F$32</f>
        <v>0.84854231711354944</v>
      </c>
      <c r="H6" s="86"/>
    </row>
    <row r="7" spans="1:8" x14ac:dyDescent="0.2">
      <c r="A7" s="31">
        <v>2</v>
      </c>
      <c r="B7" s="14" t="str">
        <f>'Summary of Returns'!B11</f>
        <v>Residential Off Peak ETS</v>
      </c>
      <c r="C7" s="148">
        <f>'Summary of Returns'!C11</f>
        <v>11</v>
      </c>
      <c r="D7" s="123">
        <f>'Billing Det'!C9</f>
        <v>360</v>
      </c>
      <c r="E7" s="149">
        <v>255.88</v>
      </c>
      <c r="F7" s="149">
        <f t="shared" si="0"/>
        <v>92116.800000000003</v>
      </c>
      <c r="G7" s="150">
        <f t="shared" si="1"/>
        <v>6.3472735504161455E-3</v>
      </c>
      <c r="H7" s="86"/>
    </row>
    <row r="8" spans="1:8" x14ac:dyDescent="0.2">
      <c r="A8" s="31">
        <v>3</v>
      </c>
      <c r="B8" s="14" t="str">
        <f>'Summary of Returns'!B12</f>
        <v>Commercial Service &lt; 50 KW</v>
      </c>
      <c r="C8" s="148">
        <f>'Summary of Returns'!C12</f>
        <v>20</v>
      </c>
      <c r="D8" s="123">
        <f>'Billing Det'!C10</f>
        <v>3628</v>
      </c>
      <c r="E8" s="149">
        <v>428.13</v>
      </c>
      <c r="F8" s="149">
        <f t="shared" si="0"/>
        <v>1553255.64</v>
      </c>
      <c r="G8" s="150">
        <f t="shared" si="1"/>
        <v>0.10702649723836152</v>
      </c>
      <c r="H8" s="86"/>
    </row>
    <row r="9" spans="1:8" x14ac:dyDescent="0.2">
      <c r="A9" s="31">
        <v>4</v>
      </c>
      <c r="B9" s="14" t="str">
        <f>'Summary of Returns'!B13</f>
        <v>Commercial Off Peak ETS</v>
      </c>
      <c r="C9" s="148">
        <f>'Summary of Returns'!C13</f>
        <v>22</v>
      </c>
      <c r="D9" s="123">
        <f>'Billing Det'!C11</f>
        <v>3</v>
      </c>
      <c r="E9" s="149">
        <v>428.13</v>
      </c>
      <c r="F9" s="149">
        <f t="shared" si="0"/>
        <v>1284.3899999999999</v>
      </c>
      <c r="G9" s="150">
        <f t="shared" si="1"/>
        <v>8.8500411167333128E-5</v>
      </c>
      <c r="H9" s="86"/>
    </row>
    <row r="10" spans="1:8" x14ac:dyDescent="0.2">
      <c r="A10" s="31">
        <v>5</v>
      </c>
      <c r="B10" s="14" t="str">
        <f>'Summary of Returns'!B14</f>
        <v>Large Power Loads 50 KW and Over</v>
      </c>
      <c r="C10" s="148">
        <f>'Summary of Returns'!C14</f>
        <v>40</v>
      </c>
      <c r="D10" s="123">
        <f>'Billing Det'!C12</f>
        <v>154</v>
      </c>
      <c r="E10" s="149">
        <v>688</v>
      </c>
      <c r="F10" s="149">
        <f t="shared" si="0"/>
        <v>105952</v>
      </c>
      <c r="G10" s="150">
        <f t="shared" si="1"/>
        <v>7.3005828167466893E-3</v>
      </c>
      <c r="H10" s="86"/>
    </row>
    <row r="11" spans="1:8" x14ac:dyDescent="0.2">
      <c r="A11" s="31">
        <v>6</v>
      </c>
      <c r="B11" s="14" t="str">
        <f>'Summary of Returns'!B15</f>
        <v>Large Power Rate 500 KW and Over</v>
      </c>
      <c r="C11" s="148">
        <f>'Summary of Returns'!C15</f>
        <v>46</v>
      </c>
      <c r="D11" s="123">
        <f>'Billing Det'!C13</f>
        <v>8</v>
      </c>
      <c r="E11" s="149">
        <v>688</v>
      </c>
      <c r="F11" s="149">
        <f t="shared" si="0"/>
        <v>5504</v>
      </c>
      <c r="G11" s="150">
        <f t="shared" si="1"/>
        <v>3.7925105541541243E-4</v>
      </c>
      <c r="H11" s="86"/>
    </row>
    <row r="12" spans="1:8" x14ac:dyDescent="0.2">
      <c r="A12" s="31">
        <v>7</v>
      </c>
      <c r="B12" s="14" t="str">
        <f>'Summary of Returns'!B16</f>
        <v>Large Power Rate 500 kW and Over</v>
      </c>
      <c r="C12" s="148">
        <f>'Summary of Returns'!C16</f>
        <v>47</v>
      </c>
      <c r="D12" s="123">
        <f>'Billing Det'!C14</f>
        <v>6</v>
      </c>
      <c r="E12" s="149">
        <v>688</v>
      </c>
      <c r="F12" s="149">
        <f t="shared" si="0"/>
        <v>4128</v>
      </c>
      <c r="G12" s="150">
        <f t="shared" ref="G12:G16" si="2">F12/$F$32</f>
        <v>2.8443829156155932E-4</v>
      </c>
      <c r="H12" s="86"/>
    </row>
    <row r="13" spans="1:8" x14ac:dyDescent="0.2">
      <c r="A13" s="31">
        <v>8</v>
      </c>
      <c r="B13" s="14" t="str">
        <f>'Summary of Returns'!B17</f>
        <v>Schools, Churches, Halls &amp; Parks</v>
      </c>
      <c r="C13" s="148">
        <f>'Summary of Returns'!C17</f>
        <v>50</v>
      </c>
      <c r="D13" s="123">
        <f>'Billing Det'!C15</f>
        <v>995</v>
      </c>
      <c r="E13" s="149">
        <v>428.13</v>
      </c>
      <c r="F13" s="149">
        <f t="shared" si="0"/>
        <v>425989.35</v>
      </c>
      <c r="G13" s="150">
        <f t="shared" si="2"/>
        <v>2.9352636370498821E-2</v>
      </c>
      <c r="H13" s="86"/>
    </row>
    <row r="14" spans="1:8" x14ac:dyDescent="0.2">
      <c r="A14" s="31">
        <v>9</v>
      </c>
      <c r="B14" s="14" t="str">
        <f>'Summary of Returns'!B18</f>
        <v>All Electric Schools AES</v>
      </c>
      <c r="C14" s="148">
        <f>'Summary of Returns'!C18</f>
        <v>52</v>
      </c>
      <c r="D14" s="123">
        <f>'Billing Det'!C16</f>
        <v>23</v>
      </c>
      <c r="E14" s="149">
        <v>428.13</v>
      </c>
      <c r="F14" s="149">
        <f t="shared" si="0"/>
        <v>9846.99</v>
      </c>
      <c r="G14" s="150">
        <f t="shared" si="2"/>
        <v>6.7850315228288737E-4</v>
      </c>
      <c r="H14" s="86"/>
    </row>
    <row r="15" spans="1:8" x14ac:dyDescent="0.2">
      <c r="A15" s="31">
        <v>10</v>
      </c>
      <c r="B15" s="14" t="str">
        <f>'Summary of Returns'!B19</f>
        <v>Outdoor Lighting</v>
      </c>
      <c r="C15" s="148" t="str">
        <f>'Summary of Returns'!C19</f>
        <v>OL</v>
      </c>
      <c r="D15" s="123">
        <f>'Billing Det'!C17</f>
        <v>0</v>
      </c>
      <c r="E15" s="149">
        <v>0</v>
      </c>
      <c r="F15" s="149">
        <f t="shared" si="0"/>
        <v>0</v>
      </c>
      <c r="G15" s="150">
        <f t="shared" si="2"/>
        <v>0</v>
      </c>
      <c r="H15" s="86"/>
    </row>
    <row r="16" spans="1:8" hidden="1" x14ac:dyDescent="0.2">
      <c r="A16" s="31">
        <v>11</v>
      </c>
      <c r="B16" s="14">
        <f>'Summary of Returns'!B20</f>
        <v>0</v>
      </c>
      <c r="C16" s="148">
        <f>'Summary of Returns'!C20</f>
        <v>0</v>
      </c>
      <c r="D16" s="123">
        <f>'Billing Det'!C18</f>
        <v>0</v>
      </c>
      <c r="E16" s="149">
        <v>5</v>
      </c>
      <c r="F16" s="149">
        <f t="shared" si="0"/>
        <v>0</v>
      </c>
      <c r="G16" s="150">
        <f t="shared" si="2"/>
        <v>0</v>
      </c>
      <c r="H16" s="86"/>
    </row>
    <row r="17" spans="1:8" hidden="1" x14ac:dyDescent="0.2">
      <c r="A17" s="31"/>
      <c r="B17" s="14"/>
      <c r="C17" s="31"/>
      <c r="D17" s="50"/>
      <c r="E17" s="66"/>
      <c r="F17" s="66"/>
      <c r="G17" s="67"/>
      <c r="H17" s="86"/>
    </row>
    <row r="18" spans="1:8" hidden="1" x14ac:dyDescent="0.2">
      <c r="A18" s="31"/>
      <c r="B18" s="14"/>
      <c r="C18" s="31"/>
      <c r="D18" s="50"/>
      <c r="E18" s="132"/>
      <c r="F18" s="66"/>
      <c r="G18" s="67"/>
      <c r="H18" s="86"/>
    </row>
    <row r="19" spans="1:8" hidden="1" x14ac:dyDescent="0.2">
      <c r="A19" s="31"/>
      <c r="B19" s="14"/>
      <c r="C19" s="31"/>
      <c r="D19" s="50"/>
      <c r="E19" s="66"/>
      <c r="F19" s="66"/>
      <c r="G19" s="67"/>
      <c r="H19" s="86"/>
    </row>
    <row r="20" spans="1:8" hidden="1" x14ac:dyDescent="0.2">
      <c r="A20" s="31"/>
      <c r="B20" s="14"/>
      <c r="C20" s="31"/>
      <c r="D20" s="50"/>
      <c r="E20" s="132"/>
      <c r="F20" s="66"/>
      <c r="G20" s="67"/>
      <c r="H20" s="86"/>
    </row>
    <row r="21" spans="1:8" hidden="1" x14ac:dyDescent="0.2">
      <c r="A21" s="31"/>
      <c r="B21" s="14"/>
      <c r="C21" s="31"/>
      <c r="D21" s="50"/>
      <c r="E21" s="66"/>
      <c r="F21" s="66"/>
      <c r="G21" s="67"/>
      <c r="H21" s="86"/>
    </row>
    <row r="22" spans="1:8" hidden="1" x14ac:dyDescent="0.2">
      <c r="A22" s="31"/>
      <c r="B22" s="14"/>
      <c r="C22" s="31"/>
      <c r="D22" s="50"/>
      <c r="E22" s="132"/>
      <c r="F22" s="66"/>
      <c r="G22" s="67"/>
      <c r="H22" s="86"/>
    </row>
    <row r="23" spans="1:8" hidden="1" x14ac:dyDescent="0.2">
      <c r="A23" s="31"/>
      <c r="B23" s="14"/>
      <c r="C23" s="31"/>
      <c r="D23" s="50"/>
      <c r="E23" s="66"/>
      <c r="F23" s="66"/>
      <c r="G23" s="67"/>
      <c r="H23" s="86"/>
    </row>
    <row r="24" spans="1:8" hidden="1" x14ac:dyDescent="0.2">
      <c r="A24" s="31"/>
      <c r="B24" s="14"/>
      <c r="C24" s="31"/>
      <c r="D24" s="50"/>
      <c r="E24" s="132"/>
      <c r="F24" s="66"/>
      <c r="G24" s="67"/>
      <c r="H24" s="86"/>
    </row>
    <row r="25" spans="1:8" hidden="1" x14ac:dyDescent="0.2">
      <c r="A25" s="31"/>
      <c r="B25" s="14"/>
      <c r="C25" s="31"/>
      <c r="D25" s="50"/>
      <c r="E25" s="66"/>
      <c r="F25" s="66"/>
      <c r="G25" s="67"/>
      <c r="H25" s="86"/>
    </row>
    <row r="26" spans="1:8" hidden="1" x14ac:dyDescent="0.2">
      <c r="A26" s="31"/>
      <c r="B26" s="14"/>
      <c r="C26" s="31"/>
      <c r="D26" s="50"/>
      <c r="E26" s="132"/>
      <c r="F26" s="66"/>
      <c r="G26" s="67"/>
      <c r="H26" s="86"/>
    </row>
    <row r="27" spans="1:8" hidden="1" x14ac:dyDescent="0.2">
      <c r="A27" s="31"/>
      <c r="B27" s="14"/>
      <c r="C27" s="31"/>
      <c r="D27" s="50"/>
      <c r="E27" s="66"/>
      <c r="F27" s="66"/>
      <c r="G27" s="67"/>
      <c r="H27" s="86"/>
    </row>
    <row r="28" spans="1:8" hidden="1" x14ac:dyDescent="0.2">
      <c r="A28" s="31"/>
      <c r="B28" s="14"/>
      <c r="C28" s="31"/>
      <c r="D28" s="50"/>
      <c r="E28" s="132"/>
      <c r="F28" s="66"/>
      <c r="G28" s="67"/>
      <c r="H28" s="86"/>
    </row>
    <row r="29" spans="1:8" hidden="1" x14ac:dyDescent="0.2">
      <c r="A29" s="31"/>
      <c r="B29" s="14"/>
      <c r="C29" s="31"/>
      <c r="D29" s="50"/>
      <c r="E29" s="66"/>
      <c r="F29" s="66"/>
      <c r="G29" s="67"/>
      <c r="H29" s="86"/>
    </row>
    <row r="30" spans="1:8" hidden="1" x14ac:dyDescent="0.2">
      <c r="A30" s="31"/>
      <c r="B30" s="14"/>
      <c r="C30" s="31"/>
      <c r="D30" s="50"/>
      <c r="E30" s="132"/>
      <c r="F30" s="66"/>
      <c r="G30" s="67"/>
      <c r="H30" s="86"/>
    </row>
    <row r="31" spans="1:8" hidden="1" x14ac:dyDescent="0.2">
      <c r="A31" s="31"/>
      <c r="B31" s="14"/>
      <c r="C31" s="31"/>
      <c r="D31" s="50"/>
      <c r="E31" s="66"/>
      <c r="F31" s="66"/>
      <c r="G31" s="67"/>
      <c r="H31" s="86"/>
    </row>
    <row r="32" spans="1:8" ht="13.5" thickBot="1" x14ac:dyDescent="0.25">
      <c r="A32" s="31">
        <v>11</v>
      </c>
      <c r="B32" s="151" t="s">
        <v>0</v>
      </c>
      <c r="C32" s="152"/>
      <c r="D32" s="153">
        <f>SUM(D6:D31)</f>
        <v>53304</v>
      </c>
      <c r="E32" s="154">
        <f>F32/D32</f>
        <v>272.26500694131778</v>
      </c>
      <c r="F32" s="155">
        <f>SUM(F6:F31)</f>
        <v>14512813.930000002</v>
      </c>
      <c r="G32" s="156">
        <f>SUM(G6:G31)</f>
        <v>0.99999999999999989</v>
      </c>
      <c r="H32" s="86"/>
    </row>
    <row r="33" spans="1:16" ht="13.5" thickTop="1" x14ac:dyDescent="0.2">
      <c r="A33" s="31"/>
      <c r="B33" s="14"/>
      <c r="C33" s="157"/>
      <c r="D33" s="50"/>
    </row>
    <row r="34" spans="1:16" x14ac:dyDescent="0.2">
      <c r="B34" s="157"/>
      <c r="C34" s="50"/>
    </row>
    <row r="35" spans="1:16" x14ac:dyDescent="0.2">
      <c r="B35" s="157"/>
      <c r="C35" s="50"/>
    </row>
    <row r="36" spans="1:16" x14ac:dyDescent="0.2">
      <c r="B36" s="158"/>
      <c r="C36" s="159"/>
    </row>
    <row r="37" spans="1:16" s="13" customFormat="1" x14ac:dyDescent="0.2">
      <c r="A37" s="14"/>
      <c r="B37" s="158"/>
      <c r="C37" s="15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">
      <c r="B38" s="158"/>
      <c r="C38" s="159"/>
    </row>
    <row r="39" spans="1:16" x14ac:dyDescent="0.2">
      <c r="B39" s="157"/>
      <c r="C39" s="50"/>
    </row>
    <row r="40" spans="1:16" x14ac:dyDescent="0.2">
      <c r="B40" s="157"/>
      <c r="C40" s="50"/>
    </row>
    <row r="41" spans="1:16" x14ac:dyDescent="0.2">
      <c r="B41" s="157"/>
      <c r="C41" s="50"/>
    </row>
    <row r="42" spans="1:16" x14ac:dyDescent="0.2">
      <c r="B42" s="157"/>
      <c r="C42" s="50"/>
    </row>
    <row r="43" spans="1:16" x14ac:dyDescent="0.2">
      <c r="B43" s="157"/>
      <c r="C43" s="50"/>
    </row>
    <row r="44" spans="1:16" x14ac:dyDescent="0.2">
      <c r="B44" s="157"/>
      <c r="C44" s="50"/>
    </row>
    <row r="45" spans="1:16" x14ac:dyDescent="0.2">
      <c r="B45" s="157"/>
      <c r="C45" s="50"/>
    </row>
    <row r="46" spans="1:16" x14ac:dyDescent="0.2">
      <c r="B46" s="157"/>
      <c r="C46" s="50"/>
    </row>
    <row r="47" spans="1:16" x14ac:dyDescent="0.2">
      <c r="B47" s="157"/>
      <c r="C47" s="50"/>
    </row>
    <row r="48" spans="1:16" x14ac:dyDescent="0.2">
      <c r="B48" s="157"/>
      <c r="C48" s="50"/>
    </row>
    <row r="49" spans="2:3" x14ac:dyDescent="0.2">
      <c r="B49" s="157"/>
      <c r="C49" s="50"/>
    </row>
    <row r="50" spans="2:3" x14ac:dyDescent="0.2">
      <c r="B50" s="157"/>
      <c r="C50" s="50"/>
    </row>
    <row r="51" spans="2:3" x14ac:dyDescent="0.2">
      <c r="B51" s="157"/>
      <c r="C51" s="50"/>
    </row>
    <row r="52" spans="2:3" x14ac:dyDescent="0.2">
      <c r="B52" s="157"/>
      <c r="C52" s="50"/>
    </row>
    <row r="53" spans="2:3" x14ac:dyDescent="0.2">
      <c r="B53" s="157"/>
      <c r="C53" s="50"/>
    </row>
    <row r="54" spans="2:3" x14ac:dyDescent="0.2">
      <c r="B54" s="157"/>
      <c r="C54" s="50"/>
    </row>
    <row r="55" spans="2:3" x14ac:dyDescent="0.2">
      <c r="B55" s="157"/>
      <c r="C55" s="50"/>
    </row>
    <row r="56" spans="2:3" x14ac:dyDescent="0.2">
      <c r="B56" s="157"/>
      <c r="C56" s="50"/>
    </row>
    <row r="57" spans="2:3" x14ac:dyDescent="0.2">
      <c r="B57" s="157"/>
      <c r="C57" s="50"/>
    </row>
    <row r="58" spans="2:3" x14ac:dyDescent="0.2">
      <c r="B58" s="157"/>
      <c r="C58" s="50"/>
    </row>
    <row r="59" spans="2:3" x14ac:dyDescent="0.2">
      <c r="B59" s="157"/>
      <c r="C59" s="50"/>
    </row>
    <row r="60" spans="2:3" x14ac:dyDescent="0.2">
      <c r="B60" s="157"/>
      <c r="C60" s="50"/>
    </row>
    <row r="61" spans="2:3" x14ac:dyDescent="0.2">
      <c r="B61" s="157"/>
      <c r="C61" s="50"/>
    </row>
    <row r="62" spans="2:3" x14ac:dyDescent="0.2">
      <c r="B62" s="157"/>
      <c r="C62" s="50"/>
    </row>
    <row r="63" spans="2:3" x14ac:dyDescent="0.2">
      <c r="B63" s="157"/>
      <c r="C63" s="50"/>
    </row>
    <row r="64" spans="2:3" x14ac:dyDescent="0.2">
      <c r="B64" s="157"/>
      <c r="C64" s="50"/>
    </row>
    <row r="65" spans="2:3" x14ac:dyDescent="0.2">
      <c r="B65" s="157"/>
      <c r="C65" s="50"/>
    </row>
    <row r="66" spans="2:3" x14ac:dyDescent="0.2">
      <c r="B66" s="157"/>
      <c r="C66" s="50"/>
    </row>
    <row r="67" spans="2:3" x14ac:dyDescent="0.2">
      <c r="B67" s="157"/>
      <c r="C67" s="50"/>
    </row>
    <row r="68" spans="2:3" x14ac:dyDescent="0.2">
      <c r="B68" s="157"/>
      <c r="C68" s="50"/>
    </row>
    <row r="69" spans="2:3" x14ac:dyDescent="0.2">
      <c r="B69" s="157"/>
      <c r="C69" s="50"/>
    </row>
    <row r="70" spans="2:3" x14ac:dyDescent="0.2">
      <c r="B70" s="157"/>
      <c r="C70" s="50"/>
    </row>
    <row r="71" spans="2:3" x14ac:dyDescent="0.2">
      <c r="B71" s="157"/>
      <c r="C71" s="50"/>
    </row>
    <row r="72" spans="2:3" x14ac:dyDescent="0.2">
      <c r="B72" s="157"/>
      <c r="C72" s="50"/>
    </row>
    <row r="73" spans="2:3" x14ac:dyDescent="0.2">
      <c r="B73" s="157"/>
      <c r="C73" s="50"/>
    </row>
    <row r="74" spans="2:3" x14ac:dyDescent="0.2">
      <c r="B74" s="157"/>
      <c r="C74" s="50"/>
    </row>
    <row r="75" spans="2:3" x14ac:dyDescent="0.2">
      <c r="B75" s="157"/>
      <c r="C75" s="50"/>
    </row>
    <row r="76" spans="2:3" x14ac:dyDescent="0.2">
      <c r="B76" s="157"/>
      <c r="C76" s="50"/>
    </row>
    <row r="77" spans="2:3" x14ac:dyDescent="0.2">
      <c r="B77" s="157"/>
      <c r="C77" s="50"/>
    </row>
    <row r="78" spans="2:3" x14ac:dyDescent="0.2">
      <c r="B78" s="157"/>
      <c r="C78" s="50"/>
    </row>
    <row r="79" spans="2:3" x14ac:dyDescent="0.2">
      <c r="B79" s="157"/>
      <c r="C79" s="50"/>
    </row>
    <row r="80" spans="2:3" x14ac:dyDescent="0.2">
      <c r="B80" s="157"/>
      <c r="C80" s="50"/>
    </row>
    <row r="81" spans="2:3" x14ac:dyDescent="0.2">
      <c r="B81" s="157"/>
      <c r="C81" s="50"/>
    </row>
    <row r="82" spans="2:3" x14ac:dyDescent="0.2">
      <c r="B82" s="157"/>
      <c r="C82" s="50"/>
    </row>
    <row r="83" spans="2:3" x14ac:dyDescent="0.2">
      <c r="B83" s="157"/>
      <c r="C83" s="50"/>
    </row>
    <row r="84" spans="2:3" x14ac:dyDescent="0.2">
      <c r="B84" s="157"/>
      <c r="C84" s="50"/>
    </row>
    <row r="85" spans="2:3" x14ac:dyDescent="0.2">
      <c r="B85" s="157"/>
      <c r="C85" s="50"/>
    </row>
    <row r="86" spans="2:3" x14ac:dyDescent="0.2">
      <c r="B86" s="157"/>
      <c r="C86" s="50"/>
    </row>
    <row r="87" spans="2:3" x14ac:dyDescent="0.2">
      <c r="B87" s="160"/>
    </row>
    <row r="88" spans="2:3" x14ac:dyDescent="0.2">
      <c r="B88" s="160"/>
    </row>
    <row r="89" spans="2:3" x14ac:dyDescent="0.2">
      <c r="B89" s="160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2 of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G71"/>
  <sheetViews>
    <sheetView view="pageBreakPreview" zoomScaleNormal="100" zoomScaleSheetLayoutView="100" workbookViewId="0">
      <selection activeCell="H14" sqref="H14"/>
    </sheetView>
  </sheetViews>
  <sheetFormatPr defaultColWidth="9.140625" defaultRowHeight="12.75" x14ac:dyDescent="0.2"/>
  <cols>
    <col min="1" max="1" width="6.7109375" style="14" customWidth="1"/>
    <col min="2" max="2" width="30.85546875" style="31" customWidth="1"/>
    <col min="3" max="3" width="8.42578125" style="30" customWidth="1"/>
    <col min="4" max="4" width="13.28515625" style="30" customWidth="1"/>
    <col min="5" max="5" width="12.85546875" style="30" customWidth="1"/>
    <col min="6" max="6" width="15.42578125" style="30" customWidth="1"/>
    <col min="7" max="7" width="11.85546875" style="14" customWidth="1"/>
    <col min="8" max="8" width="15.42578125" style="14" customWidth="1"/>
    <col min="9" max="9" width="15" style="14" customWidth="1"/>
    <col min="10" max="16384" width="9.140625" style="14"/>
  </cols>
  <sheetData>
    <row r="1" spans="1:7" x14ac:dyDescent="0.2">
      <c r="A1" s="13" t="s">
        <v>1024</v>
      </c>
    </row>
    <row r="2" spans="1:7" x14ac:dyDescent="0.2">
      <c r="A2" s="13" t="s">
        <v>698</v>
      </c>
    </row>
    <row r="4" spans="1:7" ht="45.75" customHeight="1" thickBot="1" x14ac:dyDescent="0.25">
      <c r="A4" s="62" t="s">
        <v>960</v>
      </c>
      <c r="B4" s="91" t="s">
        <v>753</v>
      </c>
      <c r="C4" s="147" t="s">
        <v>760</v>
      </c>
      <c r="D4" s="85" t="s">
        <v>876</v>
      </c>
      <c r="E4" s="85" t="s">
        <v>875</v>
      </c>
      <c r="F4" s="85" t="s">
        <v>862</v>
      </c>
      <c r="G4" s="85" t="s">
        <v>754</v>
      </c>
    </row>
    <row r="5" spans="1:7" x14ac:dyDescent="0.2">
      <c r="A5" s="31"/>
      <c r="B5" s="13"/>
      <c r="C5" s="16"/>
      <c r="G5" s="30"/>
    </row>
    <row r="6" spans="1:7" x14ac:dyDescent="0.2">
      <c r="A6" s="31">
        <v>1</v>
      </c>
      <c r="B6" s="14" t="str">
        <f>'Summary of Returns'!B10</f>
        <v>Residential Service</v>
      </c>
      <c r="C6" s="148">
        <f>'Summary of Returns'!C10</f>
        <v>10</v>
      </c>
      <c r="D6" s="123">
        <f>'Billing Det'!C8</f>
        <v>48127</v>
      </c>
      <c r="E6" s="149">
        <v>287</v>
      </c>
      <c r="F6" s="149">
        <f t="shared" ref="F6:F11" si="0">E6*D6</f>
        <v>13812449</v>
      </c>
      <c r="G6" s="150">
        <f t="shared" ref="G6:G11" si="1">F6/$F$32</f>
        <v>0.83668690545812241</v>
      </c>
    </row>
    <row r="7" spans="1:7" x14ac:dyDescent="0.2">
      <c r="A7" s="31">
        <v>2</v>
      </c>
      <c r="B7" s="14" t="str">
        <f>'Summary of Returns'!B11</f>
        <v>Residential Off Peak ETS</v>
      </c>
      <c r="C7" s="148">
        <f>'Summary of Returns'!C11</f>
        <v>11</v>
      </c>
      <c r="D7" s="123">
        <f>'Billing Det'!C9</f>
        <v>360</v>
      </c>
      <c r="E7" s="149">
        <v>28.700000000000003</v>
      </c>
      <c r="F7" s="149">
        <f t="shared" si="0"/>
        <v>10332.000000000002</v>
      </c>
      <c r="G7" s="150">
        <f t="shared" si="1"/>
        <v>6.2585925980203241E-4</v>
      </c>
    </row>
    <row r="8" spans="1:7" x14ac:dyDescent="0.2">
      <c r="A8" s="31">
        <v>3</v>
      </c>
      <c r="B8" s="14" t="str">
        <f>'Summary of Returns'!B12</f>
        <v>Commercial Service &lt; 50 KW</v>
      </c>
      <c r="C8" s="148">
        <f>'Summary of Returns'!C12</f>
        <v>20</v>
      </c>
      <c r="D8" s="123">
        <f>'Billing Det'!C10</f>
        <v>3628</v>
      </c>
      <c r="E8" s="149">
        <v>645.75</v>
      </c>
      <c r="F8" s="149">
        <f t="shared" si="0"/>
        <v>2342781</v>
      </c>
      <c r="G8" s="150">
        <f t="shared" si="1"/>
        <v>0.14191358716011082</v>
      </c>
    </row>
    <row r="9" spans="1:7" x14ac:dyDescent="0.2">
      <c r="A9" s="31">
        <v>4</v>
      </c>
      <c r="B9" s="14" t="str">
        <f>'Summary of Returns'!B13</f>
        <v>Commercial Off Peak ETS</v>
      </c>
      <c r="C9" s="148">
        <f>'Summary of Returns'!C13</f>
        <v>22</v>
      </c>
      <c r="D9" s="123">
        <f>'Billing Det'!C11</f>
        <v>3</v>
      </c>
      <c r="E9" s="149">
        <v>28.700000000000003</v>
      </c>
      <c r="F9" s="149">
        <f t="shared" si="0"/>
        <v>86.100000000000009</v>
      </c>
      <c r="G9" s="150">
        <f t="shared" si="1"/>
        <v>5.2154938316836026E-6</v>
      </c>
    </row>
    <row r="10" spans="1:7" x14ac:dyDescent="0.2">
      <c r="A10" s="31">
        <v>5</v>
      </c>
      <c r="B10" s="14" t="str">
        <f>'Summary of Returns'!B14</f>
        <v>Large Power Loads 50 KW and Over</v>
      </c>
      <c r="C10" s="148">
        <f>'Summary of Returns'!C14</f>
        <v>40</v>
      </c>
      <c r="D10" s="123">
        <f>'Billing Det'!C12</f>
        <v>154</v>
      </c>
      <c r="E10" s="149">
        <v>287</v>
      </c>
      <c r="F10" s="149">
        <f t="shared" si="0"/>
        <v>44198</v>
      </c>
      <c r="G10" s="150">
        <f t="shared" si="1"/>
        <v>2.6772868335975825E-3</v>
      </c>
    </row>
    <row r="11" spans="1:7" x14ac:dyDescent="0.2">
      <c r="A11" s="31">
        <v>6</v>
      </c>
      <c r="B11" s="14" t="str">
        <f>'Summary of Returns'!B15</f>
        <v>Large Power Rate 500 KW and Over</v>
      </c>
      <c r="C11" s="148">
        <f>'Summary of Returns'!C15</f>
        <v>46</v>
      </c>
      <c r="D11" s="123">
        <f>'Billing Det'!C13</f>
        <v>8</v>
      </c>
      <c r="E11" s="149">
        <v>0</v>
      </c>
      <c r="F11" s="149">
        <f t="shared" si="0"/>
        <v>0</v>
      </c>
      <c r="G11" s="150">
        <f t="shared" si="1"/>
        <v>0</v>
      </c>
    </row>
    <row r="12" spans="1:7" x14ac:dyDescent="0.2">
      <c r="A12" s="31">
        <v>7</v>
      </c>
      <c r="B12" s="14" t="str">
        <f>'Summary of Returns'!B16</f>
        <v>Large Power Rate 500 kW and Over</v>
      </c>
      <c r="C12" s="148">
        <f>'Summary of Returns'!C16</f>
        <v>47</v>
      </c>
      <c r="D12" s="123">
        <f>'Billing Det'!C14</f>
        <v>6</v>
      </c>
      <c r="E12" s="149">
        <v>0</v>
      </c>
      <c r="F12" s="149">
        <f t="shared" ref="F12:F16" si="2">E12*D12</f>
        <v>0</v>
      </c>
      <c r="G12" s="150">
        <f t="shared" ref="G12:G16" si="3">F12/$F$32</f>
        <v>0</v>
      </c>
    </row>
    <row r="13" spans="1:7" x14ac:dyDescent="0.2">
      <c r="A13" s="31">
        <v>8</v>
      </c>
      <c r="B13" s="14" t="str">
        <f>'Summary of Returns'!B17</f>
        <v>Schools, Churches, Halls &amp; Parks</v>
      </c>
      <c r="C13" s="148">
        <f>'Summary of Returns'!C17</f>
        <v>50</v>
      </c>
      <c r="D13" s="123">
        <f>'Billing Det'!C15</f>
        <v>995</v>
      </c>
      <c r="E13" s="149">
        <v>287</v>
      </c>
      <c r="F13" s="149">
        <f t="shared" si="2"/>
        <v>285565</v>
      </c>
      <c r="G13" s="150">
        <f t="shared" si="3"/>
        <v>1.7298054541750613E-2</v>
      </c>
    </row>
    <row r="14" spans="1:7" x14ac:dyDescent="0.2">
      <c r="A14" s="31">
        <v>9</v>
      </c>
      <c r="B14" s="14" t="str">
        <f>'Summary of Returns'!B18</f>
        <v>All Electric Schools AES</v>
      </c>
      <c r="C14" s="148">
        <f>'Summary of Returns'!C18</f>
        <v>52</v>
      </c>
      <c r="D14" s="123">
        <f>'Billing Det'!C16</f>
        <v>23</v>
      </c>
      <c r="E14" s="149">
        <v>569.25</v>
      </c>
      <c r="F14" s="149">
        <f t="shared" si="2"/>
        <v>13092.75</v>
      </c>
      <c r="G14" s="150">
        <f t="shared" si="3"/>
        <v>7.9309125278484883E-4</v>
      </c>
    </row>
    <row r="15" spans="1:7" x14ac:dyDescent="0.2">
      <c r="A15" s="31">
        <v>10</v>
      </c>
      <c r="B15" s="14" t="str">
        <f>'Summary of Returns'!B19</f>
        <v>Outdoor Lighting</v>
      </c>
      <c r="C15" s="148" t="str">
        <f>'Summary of Returns'!C19</f>
        <v>OL</v>
      </c>
      <c r="D15" s="123">
        <f>'Billing Det'!C17</f>
        <v>0</v>
      </c>
      <c r="E15" s="149">
        <v>0</v>
      </c>
      <c r="F15" s="149">
        <f t="shared" si="2"/>
        <v>0</v>
      </c>
      <c r="G15" s="150">
        <f t="shared" si="3"/>
        <v>0</v>
      </c>
    </row>
    <row r="16" spans="1:7" hidden="1" x14ac:dyDescent="0.2">
      <c r="A16" s="31"/>
      <c r="B16" s="14">
        <f>'Summary of Returns'!B20</f>
        <v>0</v>
      </c>
      <c r="C16" s="148">
        <f>'Summary of Returns'!C20</f>
        <v>0</v>
      </c>
      <c r="D16" s="123">
        <f>'Billing Det'!C18</f>
        <v>0</v>
      </c>
      <c r="E16" s="149">
        <v>0</v>
      </c>
      <c r="F16" s="149">
        <f t="shared" si="2"/>
        <v>0</v>
      </c>
      <c r="G16" s="150">
        <f t="shared" si="3"/>
        <v>0</v>
      </c>
    </row>
    <row r="17" spans="1:7" hidden="1" x14ac:dyDescent="0.2">
      <c r="A17" s="31"/>
      <c r="B17" s="124"/>
      <c r="C17" s="31"/>
      <c r="D17" s="123"/>
      <c r="E17" s="149"/>
      <c r="F17" s="149"/>
      <c r="G17" s="150"/>
    </row>
    <row r="18" spans="1:7" hidden="1" x14ac:dyDescent="0.2">
      <c r="A18" s="31"/>
      <c r="B18" s="14"/>
      <c r="C18" s="31"/>
      <c r="D18" s="123"/>
      <c r="E18" s="149"/>
      <c r="F18" s="149"/>
      <c r="G18" s="150"/>
    </row>
    <row r="19" spans="1:7" hidden="1" x14ac:dyDescent="0.2">
      <c r="A19" s="31"/>
      <c r="B19" s="14"/>
      <c r="C19" s="31"/>
      <c r="D19" s="123"/>
      <c r="E19" s="149"/>
      <c r="F19" s="149"/>
      <c r="G19" s="150"/>
    </row>
    <row r="20" spans="1:7" hidden="1" x14ac:dyDescent="0.2">
      <c r="A20" s="31"/>
      <c r="B20" s="14"/>
      <c r="C20" s="31"/>
      <c r="D20" s="123"/>
      <c r="E20" s="149"/>
      <c r="F20" s="149"/>
      <c r="G20" s="150"/>
    </row>
    <row r="21" spans="1:7" hidden="1" x14ac:dyDescent="0.2">
      <c r="A21" s="31"/>
      <c r="B21" s="14"/>
      <c r="C21" s="31"/>
      <c r="D21" s="123"/>
      <c r="E21" s="149"/>
      <c r="F21" s="149"/>
      <c r="G21" s="150"/>
    </row>
    <row r="22" spans="1:7" hidden="1" x14ac:dyDescent="0.2">
      <c r="A22" s="31"/>
      <c r="B22" s="14"/>
      <c r="C22" s="31"/>
      <c r="D22" s="123"/>
      <c r="E22" s="149"/>
      <c r="F22" s="149"/>
      <c r="G22" s="150"/>
    </row>
    <row r="23" spans="1:7" hidden="1" x14ac:dyDescent="0.2">
      <c r="A23" s="31"/>
      <c r="B23" s="14"/>
      <c r="C23" s="31"/>
      <c r="D23" s="123"/>
      <c r="E23" s="149"/>
      <c r="F23" s="149"/>
      <c r="G23" s="150"/>
    </row>
    <row r="24" spans="1:7" hidden="1" x14ac:dyDescent="0.2">
      <c r="A24" s="31"/>
      <c r="B24" s="14"/>
      <c r="C24" s="31"/>
      <c r="D24" s="123"/>
      <c r="E24" s="149"/>
      <c r="F24" s="149"/>
      <c r="G24" s="150"/>
    </row>
    <row r="25" spans="1:7" hidden="1" x14ac:dyDescent="0.2">
      <c r="A25" s="31"/>
      <c r="B25" s="14"/>
      <c r="C25" s="31"/>
      <c r="D25" s="123"/>
      <c r="E25" s="149"/>
      <c r="F25" s="149"/>
      <c r="G25" s="150"/>
    </row>
    <row r="26" spans="1:7" hidden="1" x14ac:dyDescent="0.2">
      <c r="A26" s="31"/>
      <c r="B26" s="14"/>
      <c r="C26" s="31"/>
      <c r="D26" s="123"/>
      <c r="E26" s="149"/>
      <c r="F26" s="149"/>
      <c r="G26" s="150"/>
    </row>
    <row r="27" spans="1:7" hidden="1" x14ac:dyDescent="0.2">
      <c r="A27" s="31"/>
      <c r="B27" s="14"/>
      <c r="C27" s="31"/>
      <c r="D27" s="123"/>
      <c r="E27" s="149"/>
      <c r="F27" s="149"/>
      <c r="G27" s="150"/>
    </row>
    <row r="28" spans="1:7" hidden="1" x14ac:dyDescent="0.2">
      <c r="A28" s="31"/>
      <c r="B28" s="14"/>
      <c r="C28" s="31"/>
      <c r="D28" s="123"/>
      <c r="E28" s="149"/>
      <c r="F28" s="149"/>
      <c r="G28" s="150"/>
    </row>
    <row r="29" spans="1:7" hidden="1" x14ac:dyDescent="0.2">
      <c r="A29" s="31"/>
      <c r="B29" s="14"/>
      <c r="C29" s="31"/>
      <c r="D29" s="123"/>
      <c r="E29" s="149"/>
      <c r="F29" s="149"/>
      <c r="G29" s="150"/>
    </row>
    <row r="30" spans="1:7" hidden="1" x14ac:dyDescent="0.2">
      <c r="A30" s="31"/>
      <c r="B30" s="14"/>
      <c r="C30" s="31"/>
      <c r="D30" s="123"/>
      <c r="E30" s="149"/>
      <c r="F30" s="149"/>
      <c r="G30" s="150"/>
    </row>
    <row r="31" spans="1:7" hidden="1" x14ac:dyDescent="0.2">
      <c r="A31" s="31"/>
      <c r="B31" s="14"/>
      <c r="C31" s="31"/>
      <c r="D31" s="123"/>
      <c r="E31" s="149"/>
      <c r="F31" s="149"/>
      <c r="G31" s="120"/>
    </row>
    <row r="32" spans="1:7" ht="13.5" thickBot="1" x14ac:dyDescent="0.25">
      <c r="A32" s="31">
        <v>11</v>
      </c>
      <c r="B32" s="151" t="s">
        <v>0</v>
      </c>
      <c r="C32" s="152"/>
      <c r="D32" s="161">
        <f>SUM(D6:D31)</f>
        <v>53304</v>
      </c>
      <c r="E32" s="162">
        <f>F32/D32</f>
        <v>309.70478481915052</v>
      </c>
      <c r="F32" s="163">
        <f>SUM(F6:F31)</f>
        <v>16508503.85</v>
      </c>
      <c r="G32" s="164">
        <f>SUM(G6:G31)</f>
        <v>1</v>
      </c>
    </row>
    <row r="33" spans="2:3" ht="13.5" thickTop="1" x14ac:dyDescent="0.2">
      <c r="B33" s="158"/>
      <c r="C33" s="165"/>
    </row>
    <row r="34" spans="2:3" x14ac:dyDescent="0.2">
      <c r="B34" s="158"/>
      <c r="C34" s="165"/>
    </row>
    <row r="35" spans="2:3" x14ac:dyDescent="0.2">
      <c r="B35" s="158"/>
      <c r="C35" s="165"/>
    </row>
    <row r="36" spans="2:3" x14ac:dyDescent="0.2">
      <c r="B36" s="158"/>
      <c r="C36" s="165"/>
    </row>
    <row r="37" spans="2:3" x14ac:dyDescent="0.2">
      <c r="B37" s="158"/>
      <c r="C37" s="165"/>
    </row>
    <row r="38" spans="2:3" x14ac:dyDescent="0.2">
      <c r="B38" s="158"/>
      <c r="C38" s="165"/>
    </row>
    <row r="39" spans="2:3" x14ac:dyDescent="0.2">
      <c r="B39" s="158"/>
      <c r="C39" s="165"/>
    </row>
    <row r="40" spans="2:3" x14ac:dyDescent="0.2">
      <c r="B40" s="158"/>
      <c r="C40" s="165"/>
    </row>
    <row r="41" spans="2:3" x14ac:dyDescent="0.2">
      <c r="B41" s="158"/>
      <c r="C41" s="165"/>
    </row>
    <row r="42" spans="2:3" x14ac:dyDescent="0.2">
      <c r="B42" s="158"/>
      <c r="C42" s="165"/>
    </row>
    <row r="43" spans="2:3" x14ac:dyDescent="0.2">
      <c r="B43" s="158"/>
      <c r="C43" s="165"/>
    </row>
    <row r="44" spans="2:3" x14ac:dyDescent="0.2">
      <c r="B44" s="158"/>
      <c r="C44" s="165"/>
    </row>
    <row r="45" spans="2:3" x14ac:dyDescent="0.2">
      <c r="B45" s="158"/>
      <c r="C45" s="165"/>
    </row>
    <row r="46" spans="2:3" x14ac:dyDescent="0.2">
      <c r="B46" s="158"/>
      <c r="C46" s="165"/>
    </row>
    <row r="47" spans="2:3" x14ac:dyDescent="0.2">
      <c r="B47" s="158"/>
      <c r="C47" s="165"/>
    </row>
    <row r="48" spans="2:3" x14ac:dyDescent="0.2">
      <c r="B48" s="158"/>
      <c r="C48" s="165"/>
    </row>
    <row r="49" spans="2:3" x14ac:dyDescent="0.2">
      <c r="B49" s="158"/>
      <c r="C49" s="165"/>
    </row>
    <row r="50" spans="2:3" x14ac:dyDescent="0.2">
      <c r="B50" s="158"/>
      <c r="C50" s="165"/>
    </row>
    <row r="51" spans="2:3" x14ac:dyDescent="0.2">
      <c r="B51" s="158"/>
      <c r="C51" s="165"/>
    </row>
    <row r="52" spans="2:3" x14ac:dyDescent="0.2">
      <c r="B52" s="158"/>
      <c r="C52" s="165"/>
    </row>
    <row r="53" spans="2:3" x14ac:dyDescent="0.2">
      <c r="B53" s="158"/>
      <c r="C53" s="165"/>
    </row>
    <row r="54" spans="2:3" x14ac:dyDescent="0.2">
      <c r="B54" s="158"/>
      <c r="C54" s="165"/>
    </row>
    <row r="55" spans="2:3" x14ac:dyDescent="0.2">
      <c r="B55" s="158"/>
      <c r="C55" s="165"/>
    </row>
    <row r="56" spans="2:3" x14ac:dyDescent="0.2">
      <c r="B56" s="158"/>
      <c r="C56" s="165"/>
    </row>
    <row r="57" spans="2:3" x14ac:dyDescent="0.2">
      <c r="B57" s="158"/>
      <c r="C57" s="165"/>
    </row>
    <row r="58" spans="2:3" x14ac:dyDescent="0.2">
      <c r="B58" s="158"/>
      <c r="C58" s="165"/>
    </row>
    <row r="59" spans="2:3" x14ac:dyDescent="0.2">
      <c r="B59" s="158"/>
      <c r="C59" s="165"/>
    </row>
    <row r="60" spans="2:3" x14ac:dyDescent="0.2">
      <c r="B60" s="158"/>
      <c r="C60" s="165"/>
    </row>
    <row r="61" spans="2:3" x14ac:dyDescent="0.2">
      <c r="B61" s="158"/>
      <c r="C61" s="165"/>
    </row>
    <row r="62" spans="2:3" x14ac:dyDescent="0.2">
      <c r="B62" s="158"/>
      <c r="C62" s="165"/>
    </row>
    <row r="63" spans="2:3" x14ac:dyDescent="0.2">
      <c r="B63" s="158"/>
      <c r="C63" s="165"/>
    </row>
    <row r="64" spans="2:3" x14ac:dyDescent="0.2">
      <c r="B64" s="158"/>
      <c r="C64" s="165"/>
    </row>
    <row r="65" spans="2:3" x14ac:dyDescent="0.2">
      <c r="B65" s="158"/>
      <c r="C65" s="165"/>
    </row>
    <row r="66" spans="2:3" x14ac:dyDescent="0.2">
      <c r="B66" s="158"/>
      <c r="C66" s="165"/>
    </row>
    <row r="67" spans="2:3" x14ac:dyDescent="0.2">
      <c r="B67" s="158"/>
      <c r="C67" s="165"/>
    </row>
    <row r="68" spans="2:3" x14ac:dyDescent="0.2">
      <c r="B68" s="158"/>
      <c r="C68" s="165"/>
    </row>
    <row r="69" spans="2:3" x14ac:dyDescent="0.2">
      <c r="B69" s="158"/>
      <c r="C69" s="165"/>
    </row>
    <row r="70" spans="2:3" x14ac:dyDescent="0.2">
      <c r="B70" s="158"/>
      <c r="C70" s="165"/>
    </row>
    <row r="71" spans="2:3" x14ac:dyDescent="0.2">
      <c r="B71" s="158"/>
      <c r="C71" s="165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3 of 3</oddFooter>
  </headerFooter>
  <ignoredErrors>
    <ignoredError sqref="E3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L12"/>
  <sheetViews>
    <sheetView workbookViewId="0">
      <selection activeCell="J24" sqref="J24"/>
    </sheetView>
  </sheetViews>
  <sheetFormatPr defaultRowHeight="15" x14ac:dyDescent="0.25"/>
  <cols>
    <col min="1" max="1" width="22" bestFit="1" customWidth="1"/>
    <col min="3" max="3" width="7" bestFit="1" customWidth="1"/>
    <col min="4" max="4" width="10.42578125" bestFit="1" customWidth="1"/>
    <col min="5" max="5" width="12" bestFit="1" customWidth="1"/>
    <col min="6" max="6" width="13.7109375" bestFit="1" customWidth="1"/>
    <col min="7" max="7" width="17.5703125" bestFit="1" customWidth="1"/>
    <col min="8" max="8" width="12.85546875" customWidth="1"/>
    <col min="9" max="9" width="14" bestFit="1" customWidth="1"/>
    <col min="10" max="10" width="22.85546875" bestFit="1" customWidth="1"/>
    <col min="11" max="11" width="15.140625" bestFit="1" customWidth="1"/>
    <col min="12" max="12" width="19.28515625" bestFit="1" customWidth="1"/>
    <col min="13" max="13" width="13.7109375" bestFit="1" customWidth="1"/>
    <col min="14" max="14" width="12" bestFit="1" customWidth="1"/>
    <col min="15" max="15" width="13.7109375" bestFit="1" customWidth="1"/>
    <col min="16" max="16" width="14.140625" bestFit="1" customWidth="1"/>
    <col min="17" max="17" width="13.85546875" customWidth="1"/>
    <col min="18" max="18" width="16.28515625" bestFit="1" customWidth="1"/>
    <col min="19" max="19" width="13.7109375" bestFit="1" customWidth="1"/>
    <col min="20" max="20" width="6.7109375" bestFit="1" customWidth="1"/>
  </cols>
  <sheetData>
    <row r="1" spans="1:38" x14ac:dyDescent="0.25">
      <c r="A1" s="1"/>
      <c r="B1" s="1"/>
      <c r="C1" s="1"/>
      <c r="D1" s="1"/>
    </row>
    <row r="2" spans="1:38" ht="72" x14ac:dyDescent="0.25">
      <c r="A2" s="2"/>
      <c r="B2" s="2"/>
      <c r="C2" s="5"/>
      <c r="D2" s="6" t="s">
        <v>208</v>
      </c>
      <c r="E2" s="5" t="s">
        <v>0</v>
      </c>
      <c r="F2" s="10" t="s">
        <v>713</v>
      </c>
      <c r="G2" s="10" t="s">
        <v>722</v>
      </c>
      <c r="H2" s="10" t="s">
        <v>726</v>
      </c>
      <c r="I2" s="10" t="s">
        <v>727</v>
      </c>
      <c r="J2" s="10" t="s">
        <v>728</v>
      </c>
      <c r="K2" s="10" t="s">
        <v>729</v>
      </c>
      <c r="L2" s="10" t="s">
        <v>730</v>
      </c>
      <c r="M2" s="10" t="s">
        <v>731</v>
      </c>
      <c r="N2" s="10" t="s">
        <v>718</v>
      </c>
      <c r="O2" s="10" t="s">
        <v>719</v>
      </c>
      <c r="P2" s="10" t="s">
        <v>720</v>
      </c>
      <c r="Q2" s="10" t="s">
        <v>721</v>
      </c>
      <c r="R2" s="10" t="s">
        <v>732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.75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725</v>
      </c>
      <c r="G3" s="9" t="s">
        <v>737</v>
      </c>
      <c r="H3" s="9" t="s">
        <v>736</v>
      </c>
      <c r="I3" s="9" t="s">
        <v>734</v>
      </c>
      <c r="J3" s="9" t="s">
        <v>735</v>
      </c>
      <c r="K3" s="9" t="s">
        <v>714</v>
      </c>
      <c r="L3" s="9" t="s">
        <v>701</v>
      </c>
      <c r="M3" s="9" t="s">
        <v>738</v>
      </c>
      <c r="N3" s="9" t="s">
        <v>739</v>
      </c>
      <c r="O3" s="9" t="s">
        <v>740</v>
      </c>
      <c r="P3" s="9" t="s">
        <v>741</v>
      </c>
      <c r="Q3" s="9" t="s">
        <v>742</v>
      </c>
      <c r="R3" s="9" t="s">
        <v>733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743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744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745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172"/>
  <sheetViews>
    <sheetView view="pageBreakPreview" zoomScaleNormal="100" zoomScaleSheetLayoutView="100" workbookViewId="0">
      <selection activeCell="H163" sqref="H163"/>
    </sheetView>
  </sheetViews>
  <sheetFormatPr defaultColWidth="9.140625" defaultRowHeight="12.75" x14ac:dyDescent="0.2"/>
  <cols>
    <col min="1" max="1" width="3.140625" style="14" customWidth="1"/>
    <col min="2" max="2" width="37.28515625" style="14" customWidth="1"/>
    <col min="3" max="3" width="10.42578125" style="14" bestFit="1" customWidth="1"/>
    <col min="4" max="4" width="16.85546875" style="14" bestFit="1" customWidth="1"/>
    <col min="5" max="5" width="12.7109375" style="14" bestFit="1" customWidth="1"/>
    <col min="6" max="6" width="13.28515625" style="14" customWidth="1"/>
    <col min="7" max="7" width="3.7109375" style="14" customWidth="1"/>
    <col min="8" max="8" width="14.5703125" style="14" customWidth="1"/>
    <col min="9" max="9" width="18.42578125" style="14" customWidth="1"/>
    <col min="10" max="10" width="13.28515625" style="14" bestFit="1" customWidth="1"/>
    <col min="11" max="11" width="2.28515625" style="14" customWidth="1"/>
    <col min="12" max="12" width="6.28515625" style="31" customWidth="1"/>
    <col min="13" max="13" width="9.42578125" style="14" bestFit="1" customWidth="1"/>
    <col min="14" max="16384" width="9.140625" style="14"/>
  </cols>
  <sheetData>
    <row r="1" spans="1:13" x14ac:dyDescent="0.2">
      <c r="A1" s="13" t="s">
        <v>1024</v>
      </c>
    </row>
    <row r="2" spans="1:13" x14ac:dyDescent="0.2">
      <c r="A2" s="13" t="s">
        <v>1011</v>
      </c>
    </row>
    <row r="4" spans="1:13" x14ac:dyDescent="0.2">
      <c r="A4" s="13" t="s">
        <v>998</v>
      </c>
      <c r="B4" s="15"/>
      <c r="D4" s="35"/>
      <c r="E4" s="35"/>
      <c r="F4" s="35"/>
      <c r="G4" s="35"/>
      <c r="H4" s="35"/>
      <c r="I4" s="35"/>
      <c r="J4" s="35"/>
      <c r="K4" s="35"/>
      <c r="L4" s="36"/>
      <c r="M4" s="35"/>
    </row>
    <row r="5" spans="1:13" x14ac:dyDescent="0.2">
      <c r="F5" s="16" t="s">
        <v>973</v>
      </c>
      <c r="I5" s="16" t="s">
        <v>974</v>
      </c>
    </row>
    <row r="6" spans="1:13" x14ac:dyDescent="0.2">
      <c r="C6" s="17"/>
      <c r="D6" s="16"/>
      <c r="E6" s="18"/>
      <c r="F6" s="16" t="s">
        <v>975</v>
      </c>
      <c r="H6" s="16"/>
      <c r="I6" s="16"/>
      <c r="J6" s="16"/>
      <c r="K6" s="16"/>
    </row>
    <row r="7" spans="1:13" x14ac:dyDescent="0.2">
      <c r="B7" s="19" t="s">
        <v>6</v>
      </c>
      <c r="C7" s="20" t="s">
        <v>976</v>
      </c>
      <c r="D7" s="21" t="s">
        <v>977</v>
      </c>
      <c r="E7" s="22" t="s">
        <v>978</v>
      </c>
      <c r="F7" s="21" t="s">
        <v>979</v>
      </c>
      <c r="H7" s="23" t="s">
        <v>980</v>
      </c>
      <c r="I7" s="23" t="s">
        <v>981</v>
      </c>
      <c r="J7" s="23" t="s">
        <v>982</v>
      </c>
      <c r="K7" s="24"/>
    </row>
    <row r="8" spans="1:13" x14ac:dyDescent="0.2">
      <c r="B8" s="14" t="s">
        <v>1033</v>
      </c>
      <c r="C8" s="26">
        <v>66.37</v>
      </c>
      <c r="D8" s="26">
        <v>4138144.88</v>
      </c>
      <c r="E8" s="25">
        <v>6151479</v>
      </c>
      <c r="F8" s="26">
        <f t="shared" ref="F8:F15" si="0">D8/E8</f>
        <v>0.67270730827496927</v>
      </c>
      <c r="G8" s="37"/>
      <c r="H8" s="26">
        <f t="shared" ref="H8:H15" si="1">F8*E8^0.5</f>
        <v>1668.4604590689723</v>
      </c>
      <c r="I8" s="26">
        <f t="shared" ref="I8:I15" si="2">E8^0.5</f>
        <v>2480.2175307823304</v>
      </c>
      <c r="J8" s="26">
        <f t="shared" ref="J8:J15" si="3">C8*E8^0.5</f>
        <v>164612.03751802328</v>
      </c>
      <c r="K8" s="26"/>
    </row>
    <row r="9" spans="1:13" x14ac:dyDescent="0.2">
      <c r="B9" s="14" t="s">
        <v>1034</v>
      </c>
      <c r="C9" s="26">
        <v>41.74</v>
      </c>
      <c r="D9" s="26">
        <v>2236758.12</v>
      </c>
      <c r="E9" s="25">
        <v>8945345</v>
      </c>
      <c r="F9" s="26">
        <f t="shared" si="0"/>
        <v>0.25004716084175627</v>
      </c>
      <c r="G9" s="37"/>
      <c r="H9" s="26">
        <f t="shared" si="1"/>
        <v>747.86029269894016</v>
      </c>
      <c r="I9" s="26">
        <f t="shared" si="2"/>
        <v>2990.8769616953487</v>
      </c>
      <c r="J9" s="26">
        <f t="shared" si="3"/>
        <v>124839.20438116386</v>
      </c>
      <c r="K9" s="26"/>
    </row>
    <row r="10" spans="1:13" x14ac:dyDescent="0.2">
      <c r="B10" s="14" t="s">
        <v>1035</v>
      </c>
      <c r="C10" s="26">
        <v>41.74</v>
      </c>
      <c r="D10" s="26">
        <v>8823.9699999999993</v>
      </c>
      <c r="E10" s="25">
        <v>22607</v>
      </c>
      <c r="F10" s="26">
        <f t="shared" si="0"/>
        <v>0.39032025478833987</v>
      </c>
      <c r="G10" s="37"/>
      <c r="H10" s="26">
        <f t="shared" si="1"/>
        <v>58.68708732459524</v>
      </c>
      <c r="I10" s="26">
        <f t="shared" si="2"/>
        <v>150.35624363490862</v>
      </c>
      <c r="J10" s="26">
        <f t="shared" si="3"/>
        <v>6275.8696093210865</v>
      </c>
      <c r="K10" s="26"/>
    </row>
    <row r="11" spans="1:13" x14ac:dyDescent="0.2">
      <c r="B11" s="14" t="s">
        <v>1036</v>
      </c>
      <c r="C11" s="26">
        <v>167.8</v>
      </c>
      <c r="D11" s="26">
        <v>2357828.7400000002</v>
      </c>
      <c r="E11" s="25">
        <v>3080855</v>
      </c>
      <c r="F11" s="26">
        <f t="shared" si="0"/>
        <v>0.76531636185409579</v>
      </c>
      <c r="G11" s="37"/>
      <c r="H11" s="26">
        <f t="shared" si="1"/>
        <v>1343.3111751086667</v>
      </c>
      <c r="I11" s="26">
        <f t="shared" si="2"/>
        <v>1755.2364513079142</v>
      </c>
      <c r="J11" s="26">
        <f t="shared" si="3"/>
        <v>294528.67652946804</v>
      </c>
      <c r="K11" s="26"/>
    </row>
    <row r="12" spans="1:13" x14ac:dyDescent="0.2">
      <c r="B12" s="14" t="s">
        <v>1037</v>
      </c>
      <c r="C12" s="26">
        <v>105.53</v>
      </c>
      <c r="D12" s="26">
        <v>14188657.48</v>
      </c>
      <c r="E12" s="25">
        <v>16548238</v>
      </c>
      <c r="F12" s="26">
        <f t="shared" si="0"/>
        <v>0.85741197824203397</v>
      </c>
      <c r="G12" s="37"/>
      <c r="H12" s="26">
        <f t="shared" si="1"/>
        <v>3487.911248659494</v>
      </c>
      <c r="I12" s="26">
        <f t="shared" si="2"/>
        <v>4067.9525562621793</v>
      </c>
      <c r="J12" s="26">
        <f t="shared" si="3"/>
        <v>429291.0332623478</v>
      </c>
      <c r="K12" s="26"/>
    </row>
    <row r="13" spans="1:13" x14ac:dyDescent="0.2">
      <c r="B13" s="14" t="s">
        <v>999</v>
      </c>
      <c r="C13" s="26">
        <v>336.4</v>
      </c>
      <c r="D13" s="26">
        <v>10586181.59</v>
      </c>
      <c r="E13" s="25">
        <v>6984836</v>
      </c>
      <c r="F13" s="26">
        <f t="shared" si="0"/>
        <v>1.5155948672237973</v>
      </c>
      <c r="G13" s="37"/>
      <c r="H13" s="26">
        <f t="shared" si="1"/>
        <v>4005.5414716743426</v>
      </c>
      <c r="I13" s="26">
        <f t="shared" si="2"/>
        <v>2642.8840307512551</v>
      </c>
      <c r="J13" s="26">
        <f t="shared" si="3"/>
        <v>889066.18794472213</v>
      </c>
      <c r="K13" s="26"/>
    </row>
    <row r="14" spans="1:13" x14ac:dyDescent="0.2">
      <c r="B14" s="14" t="s">
        <v>1038</v>
      </c>
      <c r="C14" s="26">
        <v>477</v>
      </c>
      <c r="D14" s="26">
        <v>107587.05</v>
      </c>
      <c r="E14" s="25">
        <v>69343</v>
      </c>
      <c r="F14" s="26">
        <f t="shared" si="0"/>
        <v>1.5515199803873498</v>
      </c>
      <c r="G14" s="37"/>
      <c r="H14" s="26">
        <f t="shared" si="1"/>
        <v>408.56267292293461</v>
      </c>
      <c r="I14" s="26">
        <f t="shared" si="2"/>
        <v>263.33059070301726</v>
      </c>
      <c r="J14" s="26">
        <f t="shared" si="3"/>
        <v>125608.69176533923</v>
      </c>
      <c r="K14" s="26"/>
    </row>
    <row r="15" spans="1:13" x14ac:dyDescent="0.2">
      <c r="B15" s="14" t="s">
        <v>1039</v>
      </c>
      <c r="C15" s="26">
        <v>41.74</v>
      </c>
      <c r="D15" s="26">
        <v>2629.62</v>
      </c>
      <c r="E15" s="25">
        <v>2089</v>
      </c>
      <c r="F15" s="26">
        <f t="shared" si="0"/>
        <v>1.2587936811871709</v>
      </c>
      <c r="G15" s="37"/>
      <c r="H15" s="26">
        <f t="shared" si="1"/>
        <v>57.53389470497725</v>
      </c>
      <c r="I15" s="26">
        <f t="shared" si="2"/>
        <v>45.705579528105758</v>
      </c>
      <c r="J15" s="26">
        <f t="shared" si="3"/>
        <v>1907.7508895031344</v>
      </c>
      <c r="K15" s="26"/>
    </row>
    <row r="16" spans="1:13" x14ac:dyDescent="0.2">
      <c r="B16" s="14" t="s">
        <v>1040</v>
      </c>
      <c r="C16" s="26">
        <v>26.25</v>
      </c>
      <c r="D16" s="26">
        <v>1017093.16</v>
      </c>
      <c r="E16" s="25">
        <v>6348390</v>
      </c>
      <c r="F16" s="26">
        <f t="shared" ref="F16:F20" si="4">D16/E16</f>
        <v>0.16021277205716725</v>
      </c>
      <c r="G16" s="37"/>
      <c r="H16" s="26">
        <f t="shared" ref="H16:H20" si="5">F16*E16^0.5</f>
        <v>403.67228614803861</v>
      </c>
      <c r="I16" s="26">
        <f t="shared" ref="I16:I20" si="6">E16^0.5</f>
        <v>2519.601158913847</v>
      </c>
      <c r="J16" s="26">
        <f t="shared" ref="J16:J20" si="7">C16*E16^0.5</f>
        <v>66139.530421488482</v>
      </c>
      <c r="K16" s="26"/>
    </row>
    <row r="17" spans="2:11" x14ac:dyDescent="0.2">
      <c r="B17" s="14" t="s">
        <v>1041</v>
      </c>
      <c r="C17" s="26">
        <v>16.510000000000002</v>
      </c>
      <c r="D17" s="26">
        <v>940260.5</v>
      </c>
      <c r="E17" s="25">
        <v>5968838</v>
      </c>
      <c r="F17" s="26">
        <f t="shared" si="4"/>
        <v>0.15752823246333708</v>
      </c>
      <c r="G17" s="37"/>
      <c r="H17" s="26">
        <f t="shared" si="5"/>
        <v>384.86046123250117</v>
      </c>
      <c r="I17" s="26">
        <f t="shared" si="6"/>
        <v>2443.1205455318818</v>
      </c>
      <c r="J17" s="26">
        <f t="shared" si="7"/>
        <v>40335.920206731374</v>
      </c>
      <c r="K17" s="26"/>
    </row>
    <row r="18" spans="2:11" x14ac:dyDescent="0.2">
      <c r="B18" s="14" t="s">
        <v>1042</v>
      </c>
      <c r="C18" s="26">
        <v>26.25</v>
      </c>
      <c r="D18" s="26">
        <v>21794.6</v>
      </c>
      <c r="E18" s="25">
        <v>7224</v>
      </c>
      <c r="F18" s="26">
        <f t="shared" si="4"/>
        <v>3.0169712070874861</v>
      </c>
      <c r="G18" s="37"/>
      <c r="H18" s="26">
        <f t="shared" si="5"/>
        <v>256.42480509886116</v>
      </c>
      <c r="I18" s="26">
        <f t="shared" si="6"/>
        <v>84.994117443503114</v>
      </c>
      <c r="J18" s="26">
        <f t="shared" si="7"/>
        <v>2231.0955828919568</v>
      </c>
      <c r="K18" s="26"/>
    </row>
    <row r="19" spans="2:11" x14ac:dyDescent="0.2">
      <c r="B19" s="14" t="s">
        <v>1046</v>
      </c>
      <c r="C19" s="26">
        <f>105.53*7</f>
        <v>738.71</v>
      </c>
      <c r="D19" s="26">
        <v>42696.5</v>
      </c>
      <c r="E19" s="25">
        <v>93562</v>
      </c>
      <c r="F19" s="26">
        <f t="shared" ref="F19" si="8">D19/E19</f>
        <v>0.45634445608259766</v>
      </c>
      <c r="G19" s="37"/>
      <c r="H19" s="26">
        <f t="shared" ref="H19" si="9">F19*E19^0.5</f>
        <v>139.58621375025052</v>
      </c>
      <c r="I19" s="26">
        <f t="shared" ref="I19" si="10">E19^0.5</f>
        <v>305.87906106825943</v>
      </c>
      <c r="J19" s="26">
        <f t="shared" ref="J19" si="11">C19*E19^0.5</f>
        <v>225955.92120173393</v>
      </c>
      <c r="K19" s="26"/>
    </row>
    <row r="20" spans="2:11" x14ac:dyDescent="0.2">
      <c r="B20" s="14" t="s">
        <v>1158</v>
      </c>
      <c r="C20" s="26">
        <v>556.5</v>
      </c>
      <c r="D20" s="26">
        <v>12372.9</v>
      </c>
      <c r="E20" s="25">
        <v>53716</v>
      </c>
      <c r="F20" s="26">
        <f t="shared" si="4"/>
        <v>0.23033919130240524</v>
      </c>
      <c r="G20" s="37"/>
      <c r="H20" s="26">
        <f t="shared" si="5"/>
        <v>53.385052028311542</v>
      </c>
      <c r="I20" s="26">
        <f t="shared" si="6"/>
        <v>231.76712450216058</v>
      </c>
      <c r="J20" s="26">
        <f t="shared" si="7"/>
        <v>128978.40478545237</v>
      </c>
      <c r="K20" s="26"/>
    </row>
    <row r="21" spans="2:11" x14ac:dyDescent="0.2">
      <c r="B21" s="28" t="s">
        <v>860</v>
      </c>
      <c r="D21" s="38">
        <f>SUM(D8:D20)</f>
        <v>35660829.109999992</v>
      </c>
      <c r="E21" s="39">
        <f>SUM(E8:E20)</f>
        <v>54276522</v>
      </c>
    </row>
    <row r="23" spans="2:11" x14ac:dyDescent="0.2">
      <c r="B23" s="19" t="s">
        <v>983</v>
      </c>
      <c r="H23" s="239" t="s">
        <v>984</v>
      </c>
      <c r="I23" s="239"/>
    </row>
    <row r="25" spans="2:11" x14ac:dyDescent="0.2">
      <c r="B25" s="14" t="s">
        <v>985</v>
      </c>
      <c r="D25" s="40">
        <f>H25</f>
        <v>3.7350588449381419E-3</v>
      </c>
      <c r="H25" s="40">
        <f t="array" ref="H25:I27">LINEST(H8:H20,I8:J20,FALSE,TRUE)</f>
        <v>3.7350588449381419E-3</v>
      </c>
      <c r="I25" s="40">
        <v>0.25836350311954009</v>
      </c>
    </row>
    <row r="26" spans="2:11" x14ac:dyDescent="0.2">
      <c r="B26" s="14" t="s">
        <v>986</v>
      </c>
      <c r="D26" s="40">
        <f>I25</f>
        <v>0.25836350311954009</v>
      </c>
      <c r="H26" s="40">
        <v>6.2520215758596147E-4</v>
      </c>
      <c r="I26" s="40">
        <v>9.2716682637333236E-2</v>
      </c>
    </row>
    <row r="27" spans="2:11" x14ac:dyDescent="0.2">
      <c r="B27" s="14" t="s">
        <v>987</v>
      </c>
      <c r="D27" s="41">
        <f>H27</f>
        <v>0.92709131635675301</v>
      </c>
      <c r="H27" s="40">
        <v>0.92709131635675301</v>
      </c>
      <c r="I27" s="40">
        <v>474.22767394611856</v>
      </c>
    </row>
    <row r="28" spans="2:11" x14ac:dyDescent="0.2">
      <c r="H28" s="40"/>
      <c r="I28" s="40"/>
    </row>
    <row r="29" spans="2:11" x14ac:dyDescent="0.2">
      <c r="B29" s="29" t="s">
        <v>988</v>
      </c>
      <c r="C29" s="42"/>
    </row>
    <row r="30" spans="2:11" x14ac:dyDescent="0.2">
      <c r="C30" s="42"/>
    </row>
    <row r="31" spans="2:11" x14ac:dyDescent="0.2">
      <c r="B31" s="14" t="s">
        <v>989</v>
      </c>
      <c r="C31" s="42"/>
      <c r="D31" s="37">
        <f>E21</f>
        <v>54276522</v>
      </c>
    </row>
    <row r="32" spans="2:11" x14ac:dyDescent="0.2">
      <c r="B32" s="14" t="s">
        <v>990</v>
      </c>
      <c r="C32" s="42"/>
      <c r="D32" s="27">
        <f>D26</f>
        <v>0.25836350311954009</v>
      </c>
      <c r="E32" s="30"/>
      <c r="F32" s="31"/>
    </row>
    <row r="33" spans="1:13" x14ac:dyDescent="0.2">
      <c r="B33" s="14" t="s">
        <v>991</v>
      </c>
      <c r="C33" s="42"/>
      <c r="D33" s="27">
        <f>MIN(F8:F20)</f>
        <v>0.15752823246333708</v>
      </c>
    </row>
    <row r="34" spans="1:13" x14ac:dyDescent="0.2">
      <c r="B34" s="14" t="s">
        <v>992</v>
      </c>
      <c r="C34" s="42"/>
      <c r="D34" s="202" t="s">
        <v>1000</v>
      </c>
    </row>
    <row r="35" spans="1:13" x14ac:dyDescent="0.2">
      <c r="B35" s="14" t="s">
        <v>993</v>
      </c>
      <c r="C35" s="42"/>
      <c r="D35" s="43">
        <f>IF(D34="Z",D31*D32,D31*D33)</f>
        <v>14023072.361064786</v>
      </c>
    </row>
    <row r="36" spans="1:13" x14ac:dyDescent="0.2">
      <c r="B36" s="14" t="s">
        <v>994</v>
      </c>
      <c r="C36" s="42"/>
      <c r="D36" s="43">
        <f>D21</f>
        <v>35660829.109999992</v>
      </c>
    </row>
    <row r="37" spans="1:13" x14ac:dyDescent="0.2">
      <c r="B37" s="14" t="s">
        <v>995</v>
      </c>
      <c r="C37" s="42"/>
      <c r="D37" s="44">
        <f>D35/D36</f>
        <v>0.39323461374969665</v>
      </c>
    </row>
    <row r="38" spans="1:13" x14ac:dyDescent="0.2">
      <c r="B38" s="14" t="s">
        <v>996</v>
      </c>
      <c r="C38" s="42"/>
      <c r="D38" s="45">
        <f>D37</f>
        <v>0.39323461374969665</v>
      </c>
    </row>
    <row r="39" spans="1:13" x14ac:dyDescent="0.2">
      <c r="B39" s="14" t="s">
        <v>997</v>
      </c>
      <c r="C39" s="42"/>
      <c r="D39" s="46">
        <f>1-D38</f>
        <v>0.6067653862503033</v>
      </c>
    </row>
    <row r="42" spans="1:13" x14ac:dyDescent="0.2">
      <c r="A42" s="13" t="s">
        <v>1001</v>
      </c>
      <c r="B42" s="15"/>
      <c r="D42" s="35"/>
      <c r="E42" s="35"/>
      <c r="F42" s="35"/>
      <c r="G42" s="35"/>
      <c r="H42" s="35"/>
      <c r="I42" s="35"/>
      <c r="J42" s="35"/>
      <c r="K42" s="35"/>
      <c r="L42" s="36"/>
      <c r="M42" s="35"/>
    </row>
    <row r="43" spans="1:13" x14ac:dyDescent="0.2">
      <c r="F43" s="16" t="s">
        <v>973</v>
      </c>
      <c r="I43" s="16" t="s">
        <v>974</v>
      </c>
    </row>
    <row r="44" spans="1:13" x14ac:dyDescent="0.2">
      <c r="C44" s="17"/>
      <c r="D44" s="16"/>
      <c r="E44" s="18"/>
      <c r="F44" s="16" t="s">
        <v>975</v>
      </c>
      <c r="H44" s="16"/>
      <c r="I44" s="16"/>
      <c r="J44" s="16"/>
      <c r="K44" s="16"/>
    </row>
    <row r="45" spans="1:13" x14ac:dyDescent="0.2">
      <c r="B45" s="19" t="s">
        <v>6</v>
      </c>
      <c r="C45" s="20" t="s">
        <v>976</v>
      </c>
      <c r="D45" s="21" t="s">
        <v>977</v>
      </c>
      <c r="E45" s="22" t="s">
        <v>978</v>
      </c>
      <c r="F45" s="21" t="s">
        <v>979</v>
      </c>
      <c r="H45" s="23" t="s">
        <v>980</v>
      </c>
      <c r="I45" s="23" t="s">
        <v>981</v>
      </c>
      <c r="J45" s="23" t="s">
        <v>982</v>
      </c>
      <c r="K45" s="24"/>
    </row>
    <row r="46" spans="1:13" x14ac:dyDescent="0.2">
      <c r="B46" s="14" t="s">
        <v>1043</v>
      </c>
      <c r="C46" s="26">
        <v>350</v>
      </c>
      <c r="D46" s="26">
        <v>409077.36</v>
      </c>
      <c r="E46" s="25">
        <v>52168</v>
      </c>
      <c r="F46" s="26">
        <f t="shared" ref="F46:F50" si="12">D46/E46</f>
        <v>7.8415381076521999</v>
      </c>
      <c r="G46" s="37"/>
      <c r="H46" s="26">
        <f t="shared" ref="H46:H50" si="13">F46*E46^0.5</f>
        <v>1791.0320230017546</v>
      </c>
      <c r="I46" s="26">
        <f t="shared" ref="I46:I50" si="14">E46^0.5</f>
        <v>228.40315234251912</v>
      </c>
      <c r="J46" s="26">
        <f t="shared" ref="J46:J50" si="15">C46*E46^0.5</f>
        <v>79941.103319881688</v>
      </c>
      <c r="K46" s="26"/>
    </row>
    <row r="47" spans="1:13" x14ac:dyDescent="0.2">
      <c r="B47" s="14" t="s">
        <v>1044</v>
      </c>
      <c r="C47" s="26">
        <v>500</v>
      </c>
      <c r="D47" s="26">
        <v>17761.599999999999</v>
      </c>
      <c r="E47" s="25">
        <v>7402</v>
      </c>
      <c r="F47" s="26">
        <f t="shared" si="12"/>
        <v>2.399567684409619</v>
      </c>
      <c r="G47" s="37"/>
      <c r="H47" s="26">
        <f t="shared" si="13"/>
        <v>206.44650973898757</v>
      </c>
      <c r="I47" s="26">
        <f t="shared" si="14"/>
        <v>86.034876648949762</v>
      </c>
      <c r="J47" s="26">
        <f t="shared" si="15"/>
        <v>43017.438324474882</v>
      </c>
      <c r="K47" s="26"/>
    </row>
    <row r="48" spans="1:13" x14ac:dyDescent="0.2">
      <c r="B48" s="14" t="s">
        <v>1045</v>
      </c>
      <c r="C48" s="26">
        <v>66.37</v>
      </c>
      <c r="D48" s="26">
        <v>63.82</v>
      </c>
      <c r="E48" s="25">
        <v>61</v>
      </c>
      <c r="F48" s="26">
        <f t="shared" si="12"/>
        <v>1.0462295081967212</v>
      </c>
      <c r="G48" s="37"/>
      <c r="H48" s="26">
        <f t="shared" si="13"/>
        <v>8.1713136773174195</v>
      </c>
      <c r="I48" s="26">
        <f t="shared" si="14"/>
        <v>7.810249675906654</v>
      </c>
      <c r="J48" s="26">
        <f t="shared" si="15"/>
        <v>518.36627098992471</v>
      </c>
      <c r="K48" s="26"/>
    </row>
    <row r="49" spans="2:11" x14ac:dyDescent="0.2">
      <c r="B49" s="14" t="s">
        <v>1047</v>
      </c>
      <c r="C49" s="26">
        <v>105.53</v>
      </c>
      <c r="D49" s="26">
        <v>6421533.1699999999</v>
      </c>
      <c r="E49" s="25">
        <v>1365476</v>
      </c>
      <c r="F49" s="26">
        <f t="shared" si="12"/>
        <v>4.7027799609806396</v>
      </c>
      <c r="G49" s="37"/>
      <c r="H49" s="26">
        <f t="shared" si="13"/>
        <v>5495.3669131959223</v>
      </c>
      <c r="I49" s="26">
        <f t="shared" si="14"/>
        <v>1168.5358359930601</v>
      </c>
      <c r="J49" s="26">
        <f t="shared" si="15"/>
        <v>123315.58677234764</v>
      </c>
      <c r="K49" s="26"/>
    </row>
    <row r="50" spans="2:11" x14ac:dyDescent="0.2">
      <c r="B50" s="14" t="s">
        <v>1048</v>
      </c>
      <c r="C50" s="26">
        <v>66.37</v>
      </c>
      <c r="D50" s="26">
        <v>1479.73</v>
      </c>
      <c r="E50" s="25">
        <v>2061</v>
      </c>
      <c r="F50" s="26">
        <f t="shared" si="12"/>
        <v>0.71796700630761767</v>
      </c>
      <c r="G50" s="37"/>
      <c r="H50" s="26">
        <f t="shared" si="13"/>
        <v>32.594436921713665</v>
      </c>
      <c r="I50" s="26">
        <f t="shared" si="14"/>
        <v>45.398237851264668</v>
      </c>
      <c r="J50" s="26">
        <f t="shared" si="15"/>
        <v>3013.0810461884362</v>
      </c>
      <c r="K50" s="26"/>
    </row>
    <row r="51" spans="2:11" x14ac:dyDescent="0.2">
      <c r="B51" s="28" t="s">
        <v>860</v>
      </c>
      <c r="D51" s="38">
        <f>SUM(D46:D50)</f>
        <v>6849915.6800000006</v>
      </c>
      <c r="E51" s="39">
        <f>SUM(E46:E50)</f>
        <v>1427168</v>
      </c>
    </row>
    <row r="53" spans="2:11" x14ac:dyDescent="0.2">
      <c r="B53" s="19" t="s">
        <v>983</v>
      </c>
      <c r="H53" s="239" t="s">
        <v>984</v>
      </c>
      <c r="I53" s="239"/>
    </row>
    <row r="55" spans="2:11" x14ac:dyDescent="0.2">
      <c r="B55" s="14" t="s">
        <v>985</v>
      </c>
      <c r="D55" s="40">
        <f>H55</f>
        <v>7.8304362182520862E-3</v>
      </c>
      <c r="H55" s="40">
        <f t="array" ref="H55:I57">LINEST(H46:H50,I46:J50,FALSE,TRUE)</f>
        <v>7.8304362182520862E-3</v>
      </c>
      <c r="I55" s="40">
        <v>3.8877711031671014</v>
      </c>
    </row>
    <row r="56" spans="2:11" x14ac:dyDescent="0.2">
      <c r="B56" s="14" t="s">
        <v>986</v>
      </c>
      <c r="D56" s="40">
        <f>I55</f>
        <v>3.8877711031671014</v>
      </c>
      <c r="H56" s="40">
        <v>5.113389268556371E-3</v>
      </c>
      <c r="I56" s="40">
        <v>0.65555484745409054</v>
      </c>
    </row>
    <row r="57" spans="2:11" x14ac:dyDescent="0.2">
      <c r="B57" s="14" t="s">
        <v>987</v>
      </c>
      <c r="D57" s="41">
        <f>H57</f>
        <v>0.99037958167499318</v>
      </c>
      <c r="H57" s="40">
        <v>0.99037958167499318</v>
      </c>
      <c r="I57" s="40">
        <v>327.52037581753632</v>
      </c>
    </row>
    <row r="58" spans="2:11" x14ac:dyDescent="0.2">
      <c r="H58" s="40"/>
      <c r="I58" s="40"/>
    </row>
    <row r="59" spans="2:11" x14ac:dyDescent="0.2">
      <c r="B59" s="29" t="s">
        <v>988</v>
      </c>
      <c r="C59" s="42"/>
    </row>
    <row r="60" spans="2:11" x14ac:dyDescent="0.2">
      <c r="C60" s="42"/>
    </row>
    <row r="61" spans="2:11" x14ac:dyDescent="0.2">
      <c r="B61" s="14" t="s">
        <v>989</v>
      </c>
      <c r="C61" s="42"/>
      <c r="D61" s="37">
        <f>E51</f>
        <v>1427168</v>
      </c>
    </row>
    <row r="62" spans="2:11" x14ac:dyDescent="0.2">
      <c r="B62" s="14" t="s">
        <v>990</v>
      </c>
      <c r="C62" s="42"/>
      <c r="D62" s="27">
        <f>D56</f>
        <v>3.8877711031671014</v>
      </c>
      <c r="E62" s="30"/>
      <c r="F62" s="31"/>
    </row>
    <row r="63" spans="2:11" x14ac:dyDescent="0.2">
      <c r="B63" s="14" t="s">
        <v>991</v>
      </c>
      <c r="C63" s="42"/>
      <c r="D63" s="27">
        <f>MIN(F46:F50)</f>
        <v>0.71796700630761767</v>
      </c>
    </row>
    <row r="64" spans="2:11" x14ac:dyDescent="0.2">
      <c r="B64" s="14" t="s">
        <v>992</v>
      </c>
      <c r="C64" s="42"/>
      <c r="D64" s="202" t="s">
        <v>1000</v>
      </c>
    </row>
    <row r="65" spans="1:13" x14ac:dyDescent="0.2">
      <c r="B65" s="14" t="s">
        <v>993</v>
      </c>
      <c r="C65" s="42"/>
      <c r="D65" s="43">
        <f>IF(D64="Z",D61*D62,D61*D63)</f>
        <v>5548502.5097647859</v>
      </c>
    </row>
    <row r="66" spans="1:13" x14ac:dyDescent="0.2">
      <c r="B66" s="14" t="s">
        <v>994</v>
      </c>
      <c r="C66" s="42"/>
      <c r="D66" s="43">
        <f>D51</f>
        <v>6849915.6800000006</v>
      </c>
    </row>
    <row r="67" spans="1:13" x14ac:dyDescent="0.2">
      <c r="B67" s="14" t="s">
        <v>995</v>
      </c>
      <c r="C67" s="42"/>
      <c r="D67" s="44">
        <f>D65/D66</f>
        <v>0.81001033720239679</v>
      </c>
    </row>
    <row r="68" spans="1:13" x14ac:dyDescent="0.2">
      <c r="B68" s="14" t="s">
        <v>996</v>
      </c>
      <c r="C68" s="42"/>
      <c r="D68" s="45">
        <f>D67</f>
        <v>0.81001033720239679</v>
      </c>
    </row>
    <row r="69" spans="1:13" x14ac:dyDescent="0.2">
      <c r="B69" s="14" t="s">
        <v>997</v>
      </c>
      <c r="C69" s="42"/>
      <c r="D69" s="46">
        <f>1-D68</f>
        <v>0.18998966279760321</v>
      </c>
    </row>
    <row r="72" spans="1:13" x14ac:dyDescent="0.2">
      <c r="A72" s="13" t="s">
        <v>1002</v>
      </c>
      <c r="B72" s="15"/>
      <c r="C72" s="35"/>
      <c r="D72" s="35"/>
      <c r="E72" s="35"/>
      <c r="F72" s="35"/>
      <c r="G72" s="35"/>
      <c r="H72" s="35"/>
      <c r="I72" s="35"/>
      <c r="J72" s="35"/>
      <c r="K72" s="35"/>
      <c r="L72" s="36"/>
      <c r="M72" s="35"/>
    </row>
    <row r="73" spans="1:13" x14ac:dyDescent="0.2">
      <c r="F73" s="16" t="s">
        <v>973</v>
      </c>
      <c r="I73" s="16" t="s">
        <v>974</v>
      </c>
      <c r="L73" s="240" t="s">
        <v>1003</v>
      </c>
      <c r="M73" s="240"/>
    </row>
    <row r="74" spans="1:13" x14ac:dyDescent="0.2">
      <c r="C74" s="17"/>
      <c r="D74" s="16"/>
      <c r="E74" s="18"/>
      <c r="F74" s="16" t="s">
        <v>975</v>
      </c>
      <c r="H74" s="16"/>
      <c r="I74" s="16"/>
      <c r="J74" s="16"/>
      <c r="K74" s="16"/>
    </row>
    <row r="75" spans="1:13" x14ac:dyDescent="0.2">
      <c r="B75" s="19" t="s">
        <v>6</v>
      </c>
      <c r="C75" s="20" t="s">
        <v>976</v>
      </c>
      <c r="D75" s="21" t="s">
        <v>977</v>
      </c>
      <c r="E75" s="22" t="s">
        <v>978</v>
      </c>
      <c r="F75" s="21" t="s">
        <v>979</v>
      </c>
      <c r="H75" s="23" t="s">
        <v>980</v>
      </c>
      <c r="I75" s="23" t="s">
        <v>981</v>
      </c>
      <c r="J75" s="23" t="s">
        <v>982</v>
      </c>
      <c r="K75" s="24"/>
      <c r="L75" s="22" t="s">
        <v>1004</v>
      </c>
      <c r="M75" s="32" t="s">
        <v>1005</v>
      </c>
    </row>
    <row r="76" spans="1:13" x14ac:dyDescent="0.2">
      <c r="B76" s="14" t="s">
        <v>1049</v>
      </c>
      <c r="C76" s="26">
        <v>1.5</v>
      </c>
      <c r="D76" s="26">
        <v>15974.27</v>
      </c>
      <c r="E76" s="25">
        <v>18</v>
      </c>
      <c r="F76" s="26">
        <f t="shared" ref="F76:F142" si="16">D76/E76</f>
        <v>887.45944444444444</v>
      </c>
      <c r="G76" s="37"/>
      <c r="H76" s="26">
        <f t="shared" ref="H76" si="17">F76*E76^0.5</f>
        <v>3765.1715471682764</v>
      </c>
      <c r="I76" s="26">
        <f t="shared" ref="I76" si="18">E76^0.5</f>
        <v>4.2426406871192848</v>
      </c>
      <c r="J76" s="26">
        <f t="shared" ref="J76" si="19">C76*E76^0.5</f>
        <v>6.3639610306789276</v>
      </c>
      <c r="K76" s="26"/>
      <c r="L76" s="31">
        <f>IF(C76&gt;50,0,1)</f>
        <v>1</v>
      </c>
      <c r="M76" s="37">
        <f t="shared" ref="M76" si="20">L76*E76</f>
        <v>18</v>
      </c>
    </row>
    <row r="77" spans="1:13" x14ac:dyDescent="0.2">
      <c r="B77" s="14" t="s">
        <v>1050</v>
      </c>
      <c r="C77" s="26">
        <v>3</v>
      </c>
      <c r="D77" s="26">
        <v>8122.76</v>
      </c>
      <c r="E77" s="25">
        <v>72</v>
      </c>
      <c r="F77" s="26">
        <f t="shared" si="16"/>
        <v>112.81611111111111</v>
      </c>
      <c r="G77" s="37"/>
      <c r="H77" s="26">
        <f t="shared" ref="H77:H147" si="21">F77*E77^0.5</f>
        <v>957.27644632514</v>
      </c>
      <c r="I77" s="26">
        <f t="shared" ref="I77:I147" si="22">E77^0.5</f>
        <v>8.4852813742385695</v>
      </c>
      <c r="J77" s="26">
        <f t="shared" ref="J77:J147" si="23">C77*E77^0.5</f>
        <v>25.45584412271571</v>
      </c>
      <c r="K77" s="26"/>
      <c r="L77" s="31">
        <f t="shared" ref="L77:L142" si="24">IF(C77&gt;50,0,1)</f>
        <v>1</v>
      </c>
      <c r="M77" s="37">
        <f t="shared" ref="M77:M147" si="25">L77*E77</f>
        <v>72</v>
      </c>
    </row>
    <row r="78" spans="1:13" x14ac:dyDescent="0.2">
      <c r="B78" s="14" t="s">
        <v>1051</v>
      </c>
      <c r="C78" s="26">
        <v>5</v>
      </c>
      <c r="D78" s="26">
        <v>19276.12</v>
      </c>
      <c r="E78" s="25">
        <v>165</v>
      </c>
      <c r="F78" s="26">
        <f t="shared" si="16"/>
        <v>116.82496969696969</v>
      </c>
      <c r="G78" s="37"/>
      <c r="H78" s="26">
        <f t="shared" si="21"/>
        <v>1500.6439067530816</v>
      </c>
      <c r="I78" s="26">
        <f t="shared" si="22"/>
        <v>12.845232578665129</v>
      </c>
      <c r="J78" s="26">
        <f t="shared" si="23"/>
        <v>64.22616289332565</v>
      </c>
      <c r="K78" s="26"/>
      <c r="L78" s="31">
        <f t="shared" si="24"/>
        <v>1</v>
      </c>
      <c r="M78" s="37">
        <f t="shared" si="25"/>
        <v>165</v>
      </c>
    </row>
    <row r="79" spans="1:13" x14ac:dyDescent="0.2">
      <c r="B79" s="14" t="s">
        <v>1052</v>
      </c>
      <c r="C79" s="26">
        <v>10</v>
      </c>
      <c r="D79" s="26">
        <v>152570.97</v>
      </c>
      <c r="E79" s="25">
        <v>425</v>
      </c>
      <c r="F79" s="26">
        <f t="shared" si="16"/>
        <v>358.99051764705882</v>
      </c>
      <c r="G79" s="37"/>
      <c r="H79" s="26">
        <f t="shared" si="21"/>
        <v>7400.7791142699216</v>
      </c>
      <c r="I79" s="26">
        <f t="shared" si="22"/>
        <v>20.615528128088304</v>
      </c>
      <c r="J79" s="26">
        <f t="shared" si="23"/>
        <v>206.15528128088303</v>
      </c>
      <c r="K79" s="26"/>
      <c r="L79" s="31">
        <f t="shared" si="24"/>
        <v>1</v>
      </c>
      <c r="M79" s="37">
        <f t="shared" si="25"/>
        <v>425</v>
      </c>
    </row>
    <row r="80" spans="1:13" x14ac:dyDescent="0.2">
      <c r="B80" s="14" t="s">
        <v>1053</v>
      </c>
      <c r="C80" s="26">
        <v>15</v>
      </c>
      <c r="D80" s="26">
        <v>221119.3</v>
      </c>
      <c r="E80" s="25">
        <v>556</v>
      </c>
      <c r="F80" s="26">
        <f t="shared" si="16"/>
        <v>397.69658273381293</v>
      </c>
      <c r="G80" s="37"/>
      <c r="H80" s="26">
        <f t="shared" si="21"/>
        <v>9377.5471199292188</v>
      </c>
      <c r="I80" s="26">
        <f t="shared" si="22"/>
        <v>23.57965224510319</v>
      </c>
      <c r="J80" s="26">
        <f t="shared" si="23"/>
        <v>353.69478367654784</v>
      </c>
      <c r="K80" s="26"/>
      <c r="L80" s="31">
        <f t="shared" si="24"/>
        <v>1</v>
      </c>
      <c r="M80" s="37">
        <f t="shared" si="25"/>
        <v>556</v>
      </c>
    </row>
    <row r="81" spans="2:13" x14ac:dyDescent="0.2">
      <c r="B81" s="14" t="s">
        <v>1054</v>
      </c>
      <c r="C81" s="26">
        <v>25</v>
      </c>
      <c r="D81" s="26">
        <v>300111.49</v>
      </c>
      <c r="E81" s="25">
        <v>616</v>
      </c>
      <c r="F81" s="26">
        <f t="shared" si="16"/>
        <v>487.19397727272724</v>
      </c>
      <c r="G81" s="37"/>
      <c r="H81" s="26">
        <f t="shared" si="21"/>
        <v>12091.836520493664</v>
      </c>
      <c r="I81" s="26">
        <f t="shared" si="22"/>
        <v>24.819347291981714</v>
      </c>
      <c r="J81" s="26">
        <f t="shared" si="23"/>
        <v>620.48368229954281</v>
      </c>
      <c r="K81" s="26"/>
      <c r="L81" s="31">
        <f t="shared" si="24"/>
        <v>1</v>
      </c>
      <c r="M81" s="37">
        <f t="shared" si="25"/>
        <v>616</v>
      </c>
    </row>
    <row r="82" spans="2:13" x14ac:dyDescent="0.2">
      <c r="B82" s="14" t="s">
        <v>1055</v>
      </c>
      <c r="C82" s="233">
        <v>37.5</v>
      </c>
      <c r="D82" s="233">
        <v>162375.87</v>
      </c>
      <c r="E82" s="177">
        <v>325</v>
      </c>
      <c r="F82" s="26">
        <f t="shared" si="16"/>
        <v>499.61806153846152</v>
      </c>
      <c r="G82" s="37"/>
      <c r="H82" s="26">
        <f t="shared" si="21"/>
        <v>9006.9926951242287</v>
      </c>
      <c r="I82" s="26">
        <f t="shared" si="22"/>
        <v>18.027756377319946</v>
      </c>
      <c r="J82" s="26">
        <f t="shared" si="23"/>
        <v>676.04086414949802</v>
      </c>
      <c r="K82" s="26"/>
      <c r="L82" s="31">
        <f t="shared" si="24"/>
        <v>1</v>
      </c>
      <c r="M82" s="37">
        <f t="shared" si="25"/>
        <v>325</v>
      </c>
    </row>
    <row r="83" spans="2:13" x14ac:dyDescent="0.2">
      <c r="B83" s="14" t="s">
        <v>1056</v>
      </c>
      <c r="C83" s="26">
        <v>50</v>
      </c>
      <c r="D83" s="26">
        <v>341812.5</v>
      </c>
      <c r="E83" s="25">
        <v>453</v>
      </c>
      <c r="F83" s="26">
        <f t="shared" si="16"/>
        <v>754.55298013245033</v>
      </c>
      <c r="G83" s="37"/>
      <c r="H83" s="26">
        <f t="shared" si="21"/>
        <v>16059.752193652403</v>
      </c>
      <c r="I83" s="26">
        <f t="shared" si="22"/>
        <v>21.283796653792763</v>
      </c>
      <c r="J83" s="26">
        <f t="shared" si="23"/>
        <v>1064.189832689638</v>
      </c>
      <c r="K83" s="26"/>
      <c r="L83" s="31">
        <f t="shared" si="24"/>
        <v>1</v>
      </c>
      <c r="M83" s="37">
        <f t="shared" si="25"/>
        <v>453</v>
      </c>
    </row>
    <row r="84" spans="2:13" x14ac:dyDescent="0.2">
      <c r="B84" s="14" t="s">
        <v>1057</v>
      </c>
      <c r="C84" s="26">
        <v>75</v>
      </c>
      <c r="D84" s="26">
        <v>175901.26</v>
      </c>
      <c r="E84" s="25">
        <v>153</v>
      </c>
      <c r="F84" s="26">
        <f t="shared" si="16"/>
        <v>1149.6814379084967</v>
      </c>
      <c r="G84" s="37"/>
      <c r="H84" s="26">
        <f t="shared" si="21"/>
        <v>14220.774012926171</v>
      </c>
      <c r="I84" s="26">
        <f t="shared" si="22"/>
        <v>12.369316876852981</v>
      </c>
      <c r="J84" s="26">
        <f t="shared" si="23"/>
        <v>927.6987657639736</v>
      </c>
      <c r="K84" s="26"/>
      <c r="L84" s="31">
        <f t="shared" si="24"/>
        <v>0</v>
      </c>
      <c r="M84" s="37">
        <f t="shared" si="25"/>
        <v>0</v>
      </c>
    </row>
    <row r="85" spans="2:13" x14ac:dyDescent="0.2">
      <c r="B85" s="14" t="s">
        <v>1101</v>
      </c>
      <c r="C85" s="26">
        <v>100</v>
      </c>
      <c r="D85" s="26">
        <v>88170.18</v>
      </c>
      <c r="E85" s="25">
        <v>52</v>
      </c>
      <c r="F85" s="26">
        <f t="shared" si="16"/>
        <v>1695.5803846153844</v>
      </c>
      <c r="G85" s="37"/>
      <c r="H85" s="26">
        <f t="shared" si="21"/>
        <v>12227.004036803441</v>
      </c>
      <c r="I85" s="26">
        <f t="shared" si="22"/>
        <v>7.2111025509279782</v>
      </c>
      <c r="J85" s="26">
        <f t="shared" si="23"/>
        <v>721.11025509279784</v>
      </c>
      <c r="K85" s="26"/>
      <c r="L85" s="31">
        <f t="shared" si="24"/>
        <v>0</v>
      </c>
      <c r="M85" s="37">
        <f t="shared" si="25"/>
        <v>0</v>
      </c>
    </row>
    <row r="86" spans="2:13" x14ac:dyDescent="0.2">
      <c r="B86" s="14" t="s">
        <v>1058</v>
      </c>
      <c r="C86" s="26">
        <v>167</v>
      </c>
      <c r="D86" s="26">
        <v>100466.05</v>
      </c>
      <c r="E86" s="25">
        <v>45</v>
      </c>
      <c r="F86" s="26">
        <f t="shared" si="16"/>
        <v>2232.5788888888887</v>
      </c>
      <c r="G86" s="37"/>
      <c r="H86" s="26">
        <f t="shared" si="21"/>
        <v>14976.594482059516</v>
      </c>
      <c r="I86" s="26">
        <f t="shared" si="22"/>
        <v>6.7082039324993694</v>
      </c>
      <c r="J86" s="26">
        <f t="shared" si="23"/>
        <v>1120.2700567273946</v>
      </c>
      <c r="K86" s="26"/>
      <c r="L86" s="31">
        <f t="shared" si="24"/>
        <v>0</v>
      </c>
      <c r="M86" s="37">
        <f t="shared" si="25"/>
        <v>0</v>
      </c>
    </row>
    <row r="87" spans="2:13" x14ac:dyDescent="0.2">
      <c r="B87" s="14" t="s">
        <v>1059</v>
      </c>
      <c r="C87" s="26">
        <v>333</v>
      </c>
      <c r="D87" s="26">
        <v>94761.81</v>
      </c>
      <c r="E87" s="25">
        <v>18</v>
      </c>
      <c r="F87" s="26">
        <f t="shared" si="16"/>
        <v>5264.5450000000001</v>
      </c>
      <c r="G87" s="37"/>
      <c r="H87" s="26">
        <f t="shared" si="21"/>
        <v>22335.572816170396</v>
      </c>
      <c r="I87" s="26">
        <f t="shared" si="22"/>
        <v>4.2426406871192848</v>
      </c>
      <c r="J87" s="26">
        <f t="shared" si="23"/>
        <v>1412.7993488107218</v>
      </c>
      <c r="K87" s="26"/>
      <c r="L87" s="31">
        <f t="shared" si="24"/>
        <v>0</v>
      </c>
      <c r="M87" s="37">
        <f t="shared" si="25"/>
        <v>0</v>
      </c>
    </row>
    <row r="88" spans="2:13" x14ac:dyDescent="0.2">
      <c r="B88" s="14" t="s">
        <v>1103</v>
      </c>
      <c r="C88" s="26">
        <v>2500</v>
      </c>
      <c r="D88" s="26">
        <v>18535.259999999998</v>
      </c>
      <c r="E88" s="25">
        <v>1</v>
      </c>
      <c r="F88" s="26">
        <f t="shared" si="16"/>
        <v>18535.259999999998</v>
      </c>
      <c r="G88" s="37"/>
      <c r="H88" s="26">
        <f t="shared" si="21"/>
        <v>18535.259999999998</v>
      </c>
      <c r="I88" s="26">
        <f t="shared" si="22"/>
        <v>1</v>
      </c>
      <c r="J88" s="26">
        <f t="shared" si="23"/>
        <v>2500</v>
      </c>
      <c r="K88" s="26"/>
      <c r="L88" s="31">
        <f t="shared" si="24"/>
        <v>0</v>
      </c>
      <c r="M88" s="37">
        <f t="shared" si="25"/>
        <v>0</v>
      </c>
    </row>
    <row r="89" spans="2:13" x14ac:dyDescent="0.2">
      <c r="B89" s="14" t="s">
        <v>1104</v>
      </c>
      <c r="C89" s="26">
        <v>1.5</v>
      </c>
      <c r="D89" s="26">
        <v>4051.69</v>
      </c>
      <c r="E89" s="25">
        <v>18</v>
      </c>
      <c r="F89" s="26">
        <f t="shared" si="16"/>
        <v>225.0938888888889</v>
      </c>
      <c r="G89" s="37"/>
      <c r="H89" s="26">
        <f t="shared" si="21"/>
        <v>954.99249142190752</v>
      </c>
      <c r="I89" s="26">
        <f t="shared" si="22"/>
        <v>4.2426406871192848</v>
      </c>
      <c r="J89" s="26">
        <f t="shared" si="23"/>
        <v>6.3639610306789276</v>
      </c>
      <c r="K89" s="26"/>
      <c r="L89" s="31">
        <f t="shared" si="24"/>
        <v>1</v>
      </c>
      <c r="M89" s="37">
        <f t="shared" si="25"/>
        <v>18</v>
      </c>
    </row>
    <row r="90" spans="2:13" x14ac:dyDescent="0.2">
      <c r="B90" s="14" t="s">
        <v>1102</v>
      </c>
      <c r="C90" s="26">
        <v>10</v>
      </c>
      <c r="D90" s="26">
        <v>1709543.67</v>
      </c>
      <c r="E90" s="25">
        <v>4638</v>
      </c>
      <c r="F90" s="26">
        <f t="shared" si="16"/>
        <v>368.5950129366106</v>
      </c>
      <c r="G90" s="37"/>
      <c r="H90" s="26">
        <f t="shared" si="21"/>
        <v>25102.375807069551</v>
      </c>
      <c r="I90" s="26">
        <f t="shared" si="22"/>
        <v>68.102863375925679</v>
      </c>
      <c r="J90" s="26">
        <f t="shared" si="23"/>
        <v>681.02863375925676</v>
      </c>
      <c r="K90" s="26"/>
      <c r="L90" s="31">
        <f t="shared" si="24"/>
        <v>1</v>
      </c>
      <c r="M90" s="37">
        <f t="shared" si="25"/>
        <v>4638</v>
      </c>
    </row>
    <row r="91" spans="2:13" x14ac:dyDescent="0.2">
      <c r="B91" s="14" t="s">
        <v>1060</v>
      </c>
      <c r="C91" s="26">
        <v>15</v>
      </c>
      <c r="D91" s="26">
        <v>5623431.8700000001</v>
      </c>
      <c r="E91" s="25">
        <v>12026</v>
      </c>
      <c r="F91" s="26">
        <f t="shared" si="16"/>
        <v>467.60617578579746</v>
      </c>
      <c r="G91" s="37"/>
      <c r="H91" s="26">
        <f t="shared" si="21"/>
        <v>51279.152406437803</v>
      </c>
      <c r="I91" s="26">
        <f t="shared" si="22"/>
        <v>109.66312051004202</v>
      </c>
      <c r="J91" s="26">
        <f t="shared" si="23"/>
        <v>1644.9468076506303</v>
      </c>
      <c r="K91" s="26"/>
      <c r="L91" s="31">
        <f t="shared" si="24"/>
        <v>1</v>
      </c>
      <c r="M91" s="37">
        <f t="shared" si="25"/>
        <v>12026</v>
      </c>
    </row>
    <row r="92" spans="2:13" x14ac:dyDescent="0.2">
      <c r="B92" s="14" t="s">
        <v>1092</v>
      </c>
      <c r="C92" s="26">
        <v>25</v>
      </c>
      <c r="D92" s="26">
        <v>3734388.58</v>
      </c>
      <c r="E92" s="25">
        <v>6711</v>
      </c>
      <c r="F92" s="26">
        <f t="shared" si="16"/>
        <v>556.45784234838322</v>
      </c>
      <c r="G92" s="37"/>
      <c r="H92" s="26">
        <f t="shared" si="21"/>
        <v>45585.41226880857</v>
      </c>
      <c r="I92" s="26">
        <f t="shared" si="22"/>
        <v>81.920693356440779</v>
      </c>
      <c r="J92" s="26">
        <f t="shared" si="23"/>
        <v>2048.0173339110197</v>
      </c>
      <c r="K92" s="26"/>
      <c r="L92" s="31">
        <f t="shared" si="24"/>
        <v>1</v>
      </c>
      <c r="M92" s="37">
        <f t="shared" si="25"/>
        <v>6711</v>
      </c>
    </row>
    <row r="93" spans="2:13" x14ac:dyDescent="0.2">
      <c r="B93" s="14" t="s">
        <v>1093</v>
      </c>
      <c r="C93" s="26">
        <v>37.5</v>
      </c>
      <c r="D93" s="26">
        <v>873578.93</v>
      </c>
      <c r="E93" s="25">
        <v>1103</v>
      </c>
      <c r="F93" s="26">
        <f t="shared" si="16"/>
        <v>792.00265639165912</v>
      </c>
      <c r="G93" s="37"/>
      <c r="H93" s="26">
        <f t="shared" ref="H93:H100" si="26">F93*E93^0.5</f>
        <v>26303.551720780659</v>
      </c>
      <c r="I93" s="26">
        <f t="shared" ref="I93:I100" si="27">E93^0.5</f>
        <v>33.211443810831227</v>
      </c>
      <c r="J93" s="26">
        <f t="shared" ref="J93:J100" si="28">C93*E93^0.5</f>
        <v>1245.4291429061709</v>
      </c>
      <c r="K93" s="26"/>
      <c r="L93" s="31">
        <f t="shared" si="24"/>
        <v>1</v>
      </c>
      <c r="M93" s="37">
        <f t="shared" ref="M93:M100" si="29">L93*E93</f>
        <v>1103</v>
      </c>
    </row>
    <row r="94" spans="2:13" x14ac:dyDescent="0.2">
      <c r="B94" s="14" t="s">
        <v>1094</v>
      </c>
      <c r="C94" s="26">
        <v>50</v>
      </c>
      <c r="D94" s="26">
        <v>128648.71</v>
      </c>
      <c r="E94" s="25">
        <v>134</v>
      </c>
      <c r="F94" s="26">
        <f t="shared" si="16"/>
        <v>960.06500000000005</v>
      </c>
      <c r="G94" s="37"/>
      <c r="H94" s="26">
        <f t="shared" si="26"/>
        <v>11113.555856077299</v>
      </c>
      <c r="I94" s="26">
        <f t="shared" si="27"/>
        <v>11.575836902790225</v>
      </c>
      <c r="J94" s="26">
        <f t="shared" si="28"/>
        <v>578.79184513951122</v>
      </c>
      <c r="K94" s="26"/>
      <c r="L94" s="31">
        <f t="shared" si="24"/>
        <v>1</v>
      </c>
      <c r="M94" s="37">
        <f t="shared" si="29"/>
        <v>134</v>
      </c>
    </row>
    <row r="95" spans="2:13" x14ac:dyDescent="0.2">
      <c r="B95" s="14" t="s">
        <v>1095</v>
      </c>
      <c r="C95" s="26">
        <v>25</v>
      </c>
      <c r="D95" s="26">
        <v>1121317.8999999999</v>
      </c>
      <c r="E95" s="25">
        <v>1040</v>
      </c>
      <c r="F95" s="26">
        <f t="shared" si="16"/>
        <v>1078.1902884615383</v>
      </c>
      <c r="G95" s="37"/>
      <c r="H95" s="26">
        <f t="shared" si="26"/>
        <v>34770.592029157138</v>
      </c>
      <c r="I95" s="26">
        <f t="shared" si="27"/>
        <v>32.249030993194197</v>
      </c>
      <c r="J95" s="26">
        <f t="shared" si="28"/>
        <v>806.22577482985491</v>
      </c>
      <c r="K95" s="26"/>
      <c r="L95" s="31">
        <f t="shared" si="24"/>
        <v>1</v>
      </c>
      <c r="M95" s="37">
        <f t="shared" si="29"/>
        <v>1040</v>
      </c>
    </row>
    <row r="96" spans="2:13" x14ac:dyDescent="0.2">
      <c r="B96" s="14" t="s">
        <v>1098</v>
      </c>
      <c r="C96" s="26">
        <v>37.5</v>
      </c>
      <c r="D96" s="26">
        <v>248294.39</v>
      </c>
      <c r="E96" s="25">
        <v>222</v>
      </c>
      <c r="F96" s="26">
        <f t="shared" si="16"/>
        <v>1118.4431981981982</v>
      </c>
      <c r="G96" s="37"/>
      <c r="H96" s="26">
        <f t="shared" si="26"/>
        <v>16664.428332417247</v>
      </c>
      <c r="I96" s="26">
        <f t="shared" si="27"/>
        <v>14.89966442575134</v>
      </c>
      <c r="J96" s="26">
        <f t="shared" si="28"/>
        <v>558.73741596567527</v>
      </c>
      <c r="K96" s="26"/>
      <c r="L96" s="31">
        <f t="shared" si="24"/>
        <v>1</v>
      </c>
      <c r="M96" s="37">
        <f t="shared" si="29"/>
        <v>222</v>
      </c>
    </row>
    <row r="97" spans="2:13" x14ac:dyDescent="0.2">
      <c r="B97" s="14" t="s">
        <v>1096</v>
      </c>
      <c r="C97" s="26">
        <v>50</v>
      </c>
      <c r="D97" s="26">
        <v>162306.29</v>
      </c>
      <c r="E97" s="25">
        <v>116</v>
      </c>
      <c r="F97" s="26">
        <f t="shared" si="16"/>
        <v>1399.1921551724138</v>
      </c>
      <c r="G97" s="37"/>
      <c r="H97" s="26">
        <f t="shared" si="26"/>
        <v>15069.760704906324</v>
      </c>
      <c r="I97" s="26">
        <f t="shared" si="27"/>
        <v>10.770329614269007</v>
      </c>
      <c r="J97" s="26">
        <f t="shared" si="28"/>
        <v>538.51648071345039</v>
      </c>
      <c r="K97" s="26"/>
      <c r="L97" s="31">
        <f t="shared" si="24"/>
        <v>1</v>
      </c>
      <c r="M97" s="37">
        <f t="shared" si="29"/>
        <v>116</v>
      </c>
    </row>
    <row r="98" spans="2:13" x14ac:dyDescent="0.2">
      <c r="B98" s="14" t="s">
        <v>1097</v>
      </c>
      <c r="C98" s="26">
        <v>75</v>
      </c>
      <c r="D98" s="26">
        <v>143055.81</v>
      </c>
      <c r="E98" s="25">
        <v>61</v>
      </c>
      <c r="F98" s="26">
        <f t="shared" si="16"/>
        <v>2345.1772131147541</v>
      </c>
      <c r="G98" s="37"/>
      <c r="H98" s="26">
        <f t="shared" si="26"/>
        <v>18316.419568673176</v>
      </c>
      <c r="I98" s="26">
        <f t="shared" si="27"/>
        <v>7.810249675906654</v>
      </c>
      <c r="J98" s="26">
        <f t="shared" si="28"/>
        <v>585.76872569299906</v>
      </c>
      <c r="K98" s="26"/>
      <c r="L98" s="31">
        <f t="shared" si="24"/>
        <v>0</v>
      </c>
      <c r="M98" s="37">
        <f t="shared" si="29"/>
        <v>0</v>
      </c>
    </row>
    <row r="99" spans="2:13" x14ac:dyDescent="0.2">
      <c r="B99" s="14" t="s">
        <v>1099</v>
      </c>
      <c r="C99" s="26">
        <v>100</v>
      </c>
      <c r="D99" s="26">
        <v>78840.7</v>
      </c>
      <c r="E99" s="25">
        <v>37</v>
      </c>
      <c r="F99" s="26">
        <f t="shared" si="16"/>
        <v>2130.8297297297295</v>
      </c>
      <c r="G99" s="37"/>
      <c r="H99" s="26">
        <f t="shared" si="26"/>
        <v>12961.33123844548</v>
      </c>
      <c r="I99" s="26">
        <f t="shared" si="27"/>
        <v>6.0827625302982193</v>
      </c>
      <c r="J99" s="26">
        <f t="shared" si="28"/>
        <v>608.27625302982199</v>
      </c>
      <c r="K99" s="26"/>
      <c r="L99" s="31">
        <f t="shared" si="24"/>
        <v>0</v>
      </c>
      <c r="M99" s="37">
        <f t="shared" si="29"/>
        <v>0</v>
      </c>
    </row>
    <row r="100" spans="2:13" x14ac:dyDescent="0.2">
      <c r="B100" s="14" t="s">
        <v>1100</v>
      </c>
      <c r="C100" s="26">
        <v>150</v>
      </c>
      <c r="D100" s="26">
        <v>50224.83</v>
      </c>
      <c r="E100" s="25">
        <v>9</v>
      </c>
      <c r="F100" s="26">
        <f t="shared" si="16"/>
        <v>5580.5366666666669</v>
      </c>
      <c r="G100" s="37"/>
      <c r="H100" s="26">
        <f t="shared" si="26"/>
        <v>16741.61</v>
      </c>
      <c r="I100" s="26">
        <f t="shared" si="27"/>
        <v>3</v>
      </c>
      <c r="J100" s="26">
        <f t="shared" si="28"/>
        <v>450</v>
      </c>
      <c r="K100" s="26"/>
      <c r="L100" s="31">
        <f t="shared" si="24"/>
        <v>0</v>
      </c>
      <c r="M100" s="37">
        <f t="shared" si="29"/>
        <v>0</v>
      </c>
    </row>
    <row r="101" spans="2:13" x14ac:dyDescent="0.2">
      <c r="B101" s="14" t="s">
        <v>1061</v>
      </c>
      <c r="C101" s="26">
        <v>167</v>
      </c>
      <c r="D101" s="26">
        <v>61815.13</v>
      </c>
      <c r="E101" s="25">
        <v>22</v>
      </c>
      <c r="F101" s="26">
        <f t="shared" si="16"/>
        <v>2809.7786363636365</v>
      </c>
      <c r="G101" s="37"/>
      <c r="H101" s="26">
        <f t="shared" si="21"/>
        <v>13179.029997615185</v>
      </c>
      <c r="I101" s="26">
        <f t="shared" si="22"/>
        <v>4.6904157598234297</v>
      </c>
      <c r="J101" s="26">
        <f t="shared" si="23"/>
        <v>783.29943189051278</v>
      </c>
      <c r="K101" s="26"/>
      <c r="L101" s="31">
        <f t="shared" si="24"/>
        <v>0</v>
      </c>
      <c r="M101" s="37">
        <f t="shared" si="25"/>
        <v>0</v>
      </c>
    </row>
    <row r="102" spans="2:13" x14ac:dyDescent="0.2">
      <c r="B102" s="14" t="s">
        <v>1062</v>
      </c>
      <c r="C102" s="26">
        <v>225</v>
      </c>
      <c r="D102" s="26">
        <v>40529.06</v>
      </c>
      <c r="E102" s="25">
        <v>7</v>
      </c>
      <c r="F102" s="26">
        <f t="shared" si="16"/>
        <v>5789.8657142857137</v>
      </c>
      <c r="G102" s="37"/>
      <c r="H102" s="26">
        <f t="shared" si="21"/>
        <v>15318.54480445935</v>
      </c>
      <c r="I102" s="26">
        <f t="shared" si="22"/>
        <v>2.6457513110645907</v>
      </c>
      <c r="J102" s="26">
        <f t="shared" si="23"/>
        <v>595.29404498953295</v>
      </c>
      <c r="K102" s="26"/>
      <c r="L102" s="31">
        <f t="shared" si="24"/>
        <v>0</v>
      </c>
      <c r="M102" s="37">
        <f t="shared" si="25"/>
        <v>0</v>
      </c>
    </row>
    <row r="103" spans="2:13" x14ac:dyDescent="0.2">
      <c r="B103" s="14" t="s">
        <v>1063</v>
      </c>
      <c r="C103" s="26">
        <v>500</v>
      </c>
      <c r="D103" s="26">
        <v>247730.07</v>
      </c>
      <c r="E103" s="25">
        <v>41</v>
      </c>
      <c r="F103" s="26">
        <f t="shared" si="16"/>
        <v>6042.1968292682932</v>
      </c>
      <c r="G103" s="37"/>
      <c r="H103" s="26">
        <f t="shared" si="21"/>
        <v>38688.936964827713</v>
      </c>
      <c r="I103" s="26">
        <f t="shared" si="22"/>
        <v>6.4031242374328485</v>
      </c>
      <c r="J103" s="26">
        <f t="shared" si="23"/>
        <v>3201.5621187164243</v>
      </c>
      <c r="K103" s="26"/>
      <c r="L103" s="31">
        <f t="shared" si="24"/>
        <v>0</v>
      </c>
      <c r="M103" s="37">
        <f t="shared" si="25"/>
        <v>0</v>
      </c>
    </row>
    <row r="104" spans="2:13" x14ac:dyDescent="0.2">
      <c r="B104" s="14" t="s">
        <v>1064</v>
      </c>
      <c r="C104" s="26">
        <v>750</v>
      </c>
      <c r="D104" s="26">
        <v>174813.14</v>
      </c>
      <c r="E104" s="25">
        <v>18</v>
      </c>
      <c r="F104" s="26">
        <f t="shared" si="16"/>
        <v>9711.8411111111127</v>
      </c>
      <c r="G104" s="37"/>
      <c r="H104" s="26">
        <f t="shared" si="21"/>
        <v>41203.85224483777</v>
      </c>
      <c r="I104" s="26">
        <f t="shared" si="22"/>
        <v>4.2426406871192848</v>
      </c>
      <c r="J104" s="26">
        <f t="shared" si="23"/>
        <v>3181.9805153394636</v>
      </c>
      <c r="K104" s="26"/>
      <c r="L104" s="31">
        <f t="shared" si="24"/>
        <v>0</v>
      </c>
      <c r="M104" s="37">
        <f t="shared" si="25"/>
        <v>0</v>
      </c>
    </row>
    <row r="105" spans="2:13" x14ac:dyDescent="0.2">
      <c r="B105" s="14" t="s">
        <v>1065</v>
      </c>
      <c r="C105" s="26">
        <v>1500</v>
      </c>
      <c r="D105" s="26">
        <v>95099.17</v>
      </c>
      <c r="E105" s="25">
        <v>7</v>
      </c>
      <c r="F105" s="26">
        <f t="shared" si="16"/>
        <v>13585.595714285713</v>
      </c>
      <c r="G105" s="37"/>
      <c r="H105" s="26">
        <f t="shared" si="21"/>
        <v>35944.107672664912</v>
      </c>
      <c r="I105" s="26">
        <f t="shared" si="22"/>
        <v>2.6457513110645907</v>
      </c>
      <c r="J105" s="26">
        <f t="shared" si="23"/>
        <v>3968.6269665968862</v>
      </c>
      <c r="K105" s="26"/>
      <c r="L105" s="31">
        <f t="shared" si="24"/>
        <v>0</v>
      </c>
      <c r="M105" s="37">
        <f t="shared" si="25"/>
        <v>0</v>
      </c>
    </row>
    <row r="106" spans="2:13" x14ac:dyDescent="0.2">
      <c r="B106" s="14" t="s">
        <v>1066</v>
      </c>
      <c r="C106" s="26">
        <v>2000</v>
      </c>
      <c r="D106" s="26">
        <v>73296.5</v>
      </c>
      <c r="E106" s="25">
        <v>4</v>
      </c>
      <c r="F106" s="26">
        <f t="shared" si="16"/>
        <v>18324.125</v>
      </c>
      <c r="G106" s="37"/>
      <c r="H106" s="26">
        <f t="shared" si="21"/>
        <v>36648.25</v>
      </c>
      <c r="I106" s="26">
        <f t="shared" si="22"/>
        <v>2</v>
      </c>
      <c r="J106" s="26">
        <f t="shared" si="23"/>
        <v>4000</v>
      </c>
      <c r="K106" s="26"/>
      <c r="L106" s="31">
        <f t="shared" si="24"/>
        <v>0</v>
      </c>
      <c r="M106" s="37">
        <f t="shared" si="25"/>
        <v>0</v>
      </c>
    </row>
    <row r="107" spans="2:13" x14ac:dyDescent="0.2">
      <c r="B107" s="14" t="s">
        <v>1067</v>
      </c>
      <c r="C107" s="26">
        <v>2500</v>
      </c>
      <c r="D107" s="26">
        <v>279296.98</v>
      </c>
      <c r="E107" s="25">
        <v>13</v>
      </c>
      <c r="F107" s="26">
        <f t="shared" si="16"/>
        <v>21484.383076923077</v>
      </c>
      <c r="G107" s="37"/>
      <c r="H107" s="26">
        <f t="shared" si="21"/>
        <v>77463.044805556943</v>
      </c>
      <c r="I107" s="26">
        <f t="shared" si="22"/>
        <v>3.6055512754639891</v>
      </c>
      <c r="J107" s="26">
        <f t="shared" si="23"/>
        <v>9013.8781886599736</v>
      </c>
      <c r="K107" s="26"/>
      <c r="L107" s="31">
        <f t="shared" si="24"/>
        <v>0</v>
      </c>
      <c r="M107" s="37">
        <f t="shared" si="25"/>
        <v>0</v>
      </c>
    </row>
    <row r="108" spans="2:13" x14ac:dyDescent="0.2">
      <c r="B108" s="14" t="s">
        <v>1068</v>
      </c>
      <c r="C108" s="26">
        <v>112.5</v>
      </c>
      <c r="D108" s="26">
        <v>109915.41</v>
      </c>
      <c r="E108" s="25">
        <v>29</v>
      </c>
      <c r="F108" s="26">
        <f t="shared" si="16"/>
        <v>3790.1865517241381</v>
      </c>
      <c r="G108" s="37"/>
      <c r="H108" s="26">
        <f t="shared" si="21"/>
        <v>20410.779230819309</v>
      </c>
      <c r="I108" s="26">
        <f t="shared" si="22"/>
        <v>5.3851648071345037</v>
      </c>
      <c r="J108" s="26">
        <f t="shared" si="23"/>
        <v>605.83104080263172</v>
      </c>
      <c r="K108" s="26"/>
      <c r="L108" s="31">
        <f t="shared" si="24"/>
        <v>0</v>
      </c>
      <c r="M108" s="37">
        <f t="shared" si="25"/>
        <v>0</v>
      </c>
    </row>
    <row r="109" spans="2:13" x14ac:dyDescent="0.2">
      <c r="B109" s="14" t="s">
        <v>1069</v>
      </c>
      <c r="C109" s="26">
        <v>300</v>
      </c>
      <c r="D109" s="26">
        <v>173938.12</v>
      </c>
      <c r="E109" s="25">
        <v>32</v>
      </c>
      <c r="F109" s="26">
        <f t="shared" si="16"/>
        <v>5435.5662499999999</v>
      </c>
      <c r="G109" s="37"/>
      <c r="H109" s="26">
        <f t="shared" si="21"/>
        <v>30748.206039709861</v>
      </c>
      <c r="I109" s="26">
        <f t="shared" si="22"/>
        <v>5.6568542494923806</v>
      </c>
      <c r="J109" s="26">
        <f t="shared" si="23"/>
        <v>1697.0562748477141</v>
      </c>
      <c r="K109" s="26"/>
      <c r="L109" s="31">
        <f t="shared" si="24"/>
        <v>0</v>
      </c>
      <c r="M109" s="37">
        <f t="shared" si="25"/>
        <v>0</v>
      </c>
    </row>
    <row r="110" spans="2:13" x14ac:dyDescent="0.2">
      <c r="B110" s="14" t="s">
        <v>1070</v>
      </c>
      <c r="C110" s="26">
        <v>45</v>
      </c>
      <c r="D110" s="26">
        <v>4223.38</v>
      </c>
      <c r="E110" s="25">
        <v>1</v>
      </c>
      <c r="F110" s="26">
        <f t="shared" si="16"/>
        <v>4223.38</v>
      </c>
      <c r="G110" s="37"/>
      <c r="H110" s="26">
        <f t="shared" si="21"/>
        <v>4223.38</v>
      </c>
      <c r="I110" s="26">
        <f t="shared" si="22"/>
        <v>1</v>
      </c>
      <c r="J110" s="26">
        <f t="shared" si="23"/>
        <v>45</v>
      </c>
      <c r="K110" s="26"/>
      <c r="L110" s="31">
        <f t="shared" si="24"/>
        <v>1</v>
      </c>
      <c r="M110" s="37">
        <f t="shared" si="25"/>
        <v>1</v>
      </c>
    </row>
    <row r="111" spans="2:13" x14ac:dyDescent="0.2">
      <c r="B111" s="14" t="s">
        <v>1071</v>
      </c>
      <c r="C111" s="26">
        <v>1000</v>
      </c>
      <c r="D111" s="26">
        <v>198682.15</v>
      </c>
      <c r="E111" s="25">
        <v>19</v>
      </c>
      <c r="F111" s="26">
        <f t="shared" si="16"/>
        <v>10456.955263157894</v>
      </c>
      <c r="G111" s="37"/>
      <c r="H111" s="26">
        <f t="shared" si="21"/>
        <v>45580.811249231032</v>
      </c>
      <c r="I111" s="26">
        <f t="shared" si="22"/>
        <v>4.358898943540674</v>
      </c>
      <c r="J111" s="26">
        <f t="shared" si="23"/>
        <v>4358.8989435406738</v>
      </c>
      <c r="K111" s="26"/>
      <c r="L111" s="31">
        <f t="shared" si="24"/>
        <v>0</v>
      </c>
      <c r="M111" s="37">
        <f t="shared" si="25"/>
        <v>0</v>
      </c>
    </row>
    <row r="112" spans="2:13" x14ac:dyDescent="0.2">
      <c r="B112" s="14" t="s">
        <v>1072</v>
      </c>
      <c r="C112" s="233">
        <v>1</v>
      </c>
      <c r="D112" s="233">
        <v>51176.98</v>
      </c>
      <c r="E112" s="177">
        <v>107</v>
      </c>
      <c r="F112" s="26">
        <f t="shared" si="16"/>
        <v>478.28953271028041</v>
      </c>
      <c r="G112" s="37"/>
      <c r="H112" s="26">
        <f t="shared" si="21"/>
        <v>4947.4653965160151</v>
      </c>
      <c r="I112" s="26">
        <f t="shared" si="22"/>
        <v>10.344080432788601</v>
      </c>
      <c r="J112" s="26">
        <f t="shared" si="23"/>
        <v>10.344080432788601</v>
      </c>
      <c r="K112" s="26"/>
      <c r="L112" s="31">
        <f t="shared" si="24"/>
        <v>1</v>
      </c>
      <c r="M112" s="37">
        <f t="shared" si="25"/>
        <v>107</v>
      </c>
    </row>
    <row r="113" spans="2:13" x14ac:dyDescent="0.2">
      <c r="B113" s="14" t="s">
        <v>1073</v>
      </c>
      <c r="C113" s="26">
        <v>75</v>
      </c>
      <c r="D113" s="26">
        <v>16160.55</v>
      </c>
      <c r="E113" s="25">
        <v>14</v>
      </c>
      <c r="F113" s="26">
        <f t="shared" si="16"/>
        <v>1154.325</v>
      </c>
      <c r="G113" s="37"/>
      <c r="H113" s="26">
        <f t="shared" si="21"/>
        <v>4319.0886629878296</v>
      </c>
      <c r="I113" s="26">
        <f t="shared" si="22"/>
        <v>3.7416573867739413</v>
      </c>
      <c r="J113" s="26">
        <f t="shared" si="23"/>
        <v>280.62430400804561</v>
      </c>
      <c r="K113" s="26"/>
      <c r="L113" s="31">
        <f t="shared" si="24"/>
        <v>0</v>
      </c>
      <c r="M113" s="37">
        <f t="shared" si="25"/>
        <v>0</v>
      </c>
    </row>
    <row r="114" spans="2:13" x14ac:dyDescent="0.2">
      <c r="B114" s="14" t="s">
        <v>1074</v>
      </c>
      <c r="C114" s="26">
        <v>15</v>
      </c>
      <c r="D114" s="26">
        <v>48989.31</v>
      </c>
      <c r="E114" s="25">
        <v>51</v>
      </c>
      <c r="F114" s="26">
        <f t="shared" si="16"/>
        <v>960.57470588235287</v>
      </c>
      <c r="G114" s="37"/>
      <c r="H114" s="26">
        <f t="shared" si="21"/>
        <v>6859.8755123274223</v>
      </c>
      <c r="I114" s="26">
        <f t="shared" si="22"/>
        <v>7.1414284285428504</v>
      </c>
      <c r="J114" s="26">
        <f t="shared" si="23"/>
        <v>107.12142642814275</v>
      </c>
      <c r="K114" s="26"/>
      <c r="L114" s="31">
        <f t="shared" si="24"/>
        <v>1</v>
      </c>
      <c r="M114" s="37">
        <f t="shared" si="25"/>
        <v>51</v>
      </c>
    </row>
    <row r="115" spans="2:13" x14ac:dyDescent="0.2">
      <c r="B115" s="14" t="s">
        <v>1075</v>
      </c>
      <c r="C115" s="26">
        <v>112</v>
      </c>
      <c r="D115" s="26">
        <v>3714.42</v>
      </c>
      <c r="E115" s="25">
        <v>1</v>
      </c>
      <c r="F115" s="26">
        <f t="shared" si="16"/>
        <v>3714.42</v>
      </c>
      <c r="G115" s="37"/>
      <c r="H115" s="26">
        <f t="shared" si="21"/>
        <v>3714.42</v>
      </c>
      <c r="I115" s="26">
        <f t="shared" si="22"/>
        <v>1</v>
      </c>
      <c r="J115" s="26">
        <f t="shared" si="23"/>
        <v>112</v>
      </c>
      <c r="K115" s="26"/>
      <c r="L115" s="31">
        <f t="shared" si="24"/>
        <v>0</v>
      </c>
      <c r="M115" s="37">
        <f t="shared" si="25"/>
        <v>0</v>
      </c>
    </row>
    <row r="116" spans="2:13" x14ac:dyDescent="0.2">
      <c r="B116" s="14" t="s">
        <v>1159</v>
      </c>
      <c r="C116" s="26">
        <v>10</v>
      </c>
      <c r="D116" s="26">
        <v>33262.86</v>
      </c>
      <c r="E116" s="25">
        <v>46</v>
      </c>
      <c r="F116" s="26">
        <f t="shared" ref="F116" si="30">D116/E116</f>
        <v>723.10565217391309</v>
      </c>
      <c r="G116" s="37"/>
      <c r="H116" s="26">
        <f t="shared" ref="H116" si="31">F116*E116^0.5</f>
        <v>4904.3411457064822</v>
      </c>
      <c r="I116" s="26">
        <f t="shared" ref="I116" si="32">E116^0.5</f>
        <v>6.7823299831252681</v>
      </c>
      <c r="J116" s="26">
        <f t="shared" ref="J116" si="33">C116*E116^0.5</f>
        <v>67.823299831252683</v>
      </c>
      <c r="K116" s="26"/>
      <c r="L116" s="31">
        <f t="shared" ref="L116" si="34">IF(C116&gt;50,0,1)</f>
        <v>1</v>
      </c>
      <c r="M116" s="37">
        <f t="shared" ref="M116" si="35">L116*E116</f>
        <v>46</v>
      </c>
    </row>
    <row r="117" spans="2:13" x14ac:dyDescent="0.2">
      <c r="B117" s="14" t="s">
        <v>1076</v>
      </c>
      <c r="C117" s="26">
        <v>15</v>
      </c>
      <c r="D117" s="26">
        <v>1702060.53</v>
      </c>
      <c r="E117" s="25">
        <v>2325</v>
      </c>
      <c r="F117" s="26">
        <f t="shared" si="16"/>
        <v>732.06904516129032</v>
      </c>
      <c r="G117" s="37"/>
      <c r="H117" s="26">
        <f t="shared" si="21"/>
        <v>35299.091022345317</v>
      </c>
      <c r="I117" s="26">
        <f t="shared" si="22"/>
        <v>48.218253804964775</v>
      </c>
      <c r="J117" s="26">
        <f t="shared" si="23"/>
        <v>723.27380707447162</v>
      </c>
      <c r="K117" s="26"/>
      <c r="L117" s="31">
        <f t="shared" si="24"/>
        <v>1</v>
      </c>
      <c r="M117" s="37">
        <f t="shared" si="25"/>
        <v>2325</v>
      </c>
    </row>
    <row r="118" spans="2:13" x14ac:dyDescent="0.2">
      <c r="B118" s="14" t="s">
        <v>1077</v>
      </c>
      <c r="C118" s="26">
        <v>25</v>
      </c>
      <c r="D118" s="26">
        <v>1197469.82</v>
      </c>
      <c r="E118" s="25">
        <v>1375</v>
      </c>
      <c r="F118" s="26">
        <f t="shared" si="16"/>
        <v>870.88714181818182</v>
      </c>
      <c r="G118" s="37"/>
      <c r="H118" s="26">
        <f t="shared" si="21"/>
        <v>32293.359517915331</v>
      </c>
      <c r="I118" s="26">
        <f t="shared" si="22"/>
        <v>37.080992435478315</v>
      </c>
      <c r="J118" s="26">
        <f t="shared" si="23"/>
        <v>927.02481088695788</v>
      </c>
      <c r="K118" s="26"/>
      <c r="L118" s="31">
        <f t="shared" si="24"/>
        <v>1</v>
      </c>
      <c r="M118" s="37">
        <f t="shared" si="25"/>
        <v>1375</v>
      </c>
    </row>
    <row r="119" spans="2:13" x14ac:dyDescent="0.2">
      <c r="B119" s="14" t="s">
        <v>1078</v>
      </c>
      <c r="C119" s="26">
        <v>37.5</v>
      </c>
      <c r="D119" s="26">
        <v>50609.39</v>
      </c>
      <c r="E119" s="25">
        <v>50</v>
      </c>
      <c r="F119" s="26">
        <f t="shared" si="16"/>
        <v>1012.1878</v>
      </c>
      <c r="G119" s="37"/>
      <c r="H119" s="26">
        <f t="shared" si="21"/>
        <v>7157.2485721429302</v>
      </c>
      <c r="I119" s="26">
        <f t="shared" si="22"/>
        <v>7.0710678118654755</v>
      </c>
      <c r="J119" s="26">
        <f t="shared" si="23"/>
        <v>265.1650429449553</v>
      </c>
      <c r="K119" s="26"/>
      <c r="L119" s="31">
        <f t="shared" si="24"/>
        <v>1</v>
      </c>
      <c r="M119" s="37">
        <f t="shared" si="25"/>
        <v>50</v>
      </c>
    </row>
    <row r="120" spans="2:13" x14ac:dyDescent="0.2">
      <c r="B120" s="14" t="s">
        <v>1079</v>
      </c>
      <c r="C120" s="26">
        <v>50</v>
      </c>
      <c r="D120" s="26">
        <v>280450.21999999997</v>
      </c>
      <c r="E120" s="25">
        <v>211</v>
      </c>
      <c r="F120" s="26">
        <f t="shared" si="16"/>
        <v>1329.1479620853079</v>
      </c>
      <c r="G120" s="37"/>
      <c r="H120" s="26">
        <f t="shared" si="21"/>
        <v>19306.989366013961</v>
      </c>
      <c r="I120" s="26">
        <f t="shared" si="22"/>
        <v>14.52583904633395</v>
      </c>
      <c r="J120" s="26">
        <f t="shared" si="23"/>
        <v>726.29195231669746</v>
      </c>
      <c r="K120" s="26"/>
      <c r="L120" s="31">
        <f t="shared" si="24"/>
        <v>1</v>
      </c>
      <c r="M120" s="37">
        <f t="shared" si="25"/>
        <v>211</v>
      </c>
    </row>
    <row r="121" spans="2:13" x14ac:dyDescent="0.2">
      <c r="B121" s="14" t="s">
        <v>1164</v>
      </c>
      <c r="C121" s="26">
        <v>10</v>
      </c>
      <c r="D121" s="26">
        <v>3191612.33</v>
      </c>
      <c r="E121" s="25">
        <v>3935</v>
      </c>
      <c r="F121" s="26">
        <f t="shared" si="16"/>
        <v>811.08318424396441</v>
      </c>
      <c r="G121" s="37"/>
      <c r="H121" s="26">
        <f t="shared" ref="H121:H128" si="36">F121*E121^0.5</f>
        <v>50878.906154601034</v>
      </c>
      <c r="I121" s="26">
        <f t="shared" ref="I121:I128" si="37">E121^0.5</f>
        <v>62.729578350248779</v>
      </c>
      <c r="J121" s="26">
        <f t="shared" ref="J121:J128" si="38">C121*E121^0.5</f>
        <v>627.29578350248778</v>
      </c>
      <c r="K121" s="26"/>
      <c r="L121" s="31">
        <f t="shared" si="24"/>
        <v>1</v>
      </c>
      <c r="M121" s="37">
        <f t="shared" ref="M121:M128" si="39">L121*E121</f>
        <v>3935</v>
      </c>
    </row>
    <row r="122" spans="2:13" x14ac:dyDescent="0.2">
      <c r="B122" s="14" t="s">
        <v>1165</v>
      </c>
      <c r="C122" s="26">
        <v>15</v>
      </c>
      <c r="D122" s="26">
        <v>4150111.5</v>
      </c>
      <c r="E122" s="25">
        <v>4315</v>
      </c>
      <c r="F122" s="26">
        <f t="shared" si="16"/>
        <v>961.78713789107769</v>
      </c>
      <c r="G122" s="37"/>
      <c r="H122" s="26">
        <f t="shared" si="36"/>
        <v>63178.507908258231</v>
      </c>
      <c r="I122" s="26">
        <f t="shared" si="37"/>
        <v>65.688659599659971</v>
      </c>
      <c r="J122" s="26">
        <f t="shared" si="38"/>
        <v>985.32989399489952</v>
      </c>
      <c r="K122" s="26"/>
      <c r="L122" s="31">
        <f t="shared" si="24"/>
        <v>1</v>
      </c>
      <c r="M122" s="37">
        <f t="shared" si="39"/>
        <v>4315</v>
      </c>
    </row>
    <row r="123" spans="2:13" x14ac:dyDescent="0.2">
      <c r="B123" s="14" t="s">
        <v>1166</v>
      </c>
      <c r="C123" s="26">
        <v>50</v>
      </c>
      <c r="D123" s="26">
        <v>1228423.54</v>
      </c>
      <c r="E123" s="25">
        <v>696</v>
      </c>
      <c r="F123" s="26">
        <f t="shared" si="16"/>
        <v>1764.9763505747128</v>
      </c>
      <c r="G123" s="37"/>
      <c r="H123" s="26">
        <f t="shared" si="36"/>
        <v>46563.274118013542</v>
      </c>
      <c r="I123" s="26">
        <f t="shared" si="37"/>
        <v>26.381811916545839</v>
      </c>
      <c r="J123" s="26">
        <f t="shared" si="38"/>
        <v>1319.090595827292</v>
      </c>
      <c r="K123" s="26"/>
      <c r="L123" s="31">
        <f t="shared" si="24"/>
        <v>1</v>
      </c>
      <c r="M123" s="37">
        <f t="shared" si="39"/>
        <v>696</v>
      </c>
    </row>
    <row r="124" spans="2:13" x14ac:dyDescent="0.2">
      <c r="B124" s="14" t="s">
        <v>1167</v>
      </c>
      <c r="C124" s="26">
        <v>10</v>
      </c>
      <c r="D124" s="26">
        <v>54552.77</v>
      </c>
      <c r="E124" s="25">
        <v>65</v>
      </c>
      <c r="F124" s="26">
        <f t="shared" si="16"/>
        <v>839.27338461538454</v>
      </c>
      <c r="G124" s="37"/>
      <c r="H124" s="26">
        <f t="shared" si="36"/>
        <v>6766.4383480561328</v>
      </c>
      <c r="I124" s="26">
        <f t="shared" si="37"/>
        <v>8.0622577482985491</v>
      </c>
      <c r="J124" s="26">
        <f t="shared" si="38"/>
        <v>80.622577482985491</v>
      </c>
      <c r="K124" s="26"/>
      <c r="L124" s="31">
        <f t="shared" si="24"/>
        <v>1</v>
      </c>
      <c r="M124" s="37">
        <f t="shared" si="39"/>
        <v>65</v>
      </c>
    </row>
    <row r="125" spans="2:13" x14ac:dyDescent="0.2">
      <c r="B125" s="14" t="s">
        <v>1168</v>
      </c>
      <c r="C125" s="26">
        <v>15</v>
      </c>
      <c r="D125" s="26">
        <v>101133.23</v>
      </c>
      <c r="E125" s="25">
        <v>109</v>
      </c>
      <c r="F125" s="26">
        <f t="shared" si="16"/>
        <v>927.82779816513755</v>
      </c>
      <c r="G125" s="37"/>
      <c r="H125" s="26">
        <f t="shared" si="36"/>
        <v>9686.8066003316308</v>
      </c>
      <c r="I125" s="26">
        <f t="shared" si="37"/>
        <v>10.440306508910551</v>
      </c>
      <c r="J125" s="26">
        <f t="shared" si="38"/>
        <v>156.60459763365827</v>
      </c>
      <c r="K125" s="26"/>
      <c r="L125" s="31">
        <f t="shared" si="24"/>
        <v>1</v>
      </c>
      <c r="M125" s="37">
        <f t="shared" si="39"/>
        <v>109</v>
      </c>
    </row>
    <row r="126" spans="2:13" x14ac:dyDescent="0.2">
      <c r="B126" s="14" t="s">
        <v>1169</v>
      </c>
      <c r="C126" s="26">
        <v>50</v>
      </c>
      <c r="D126" s="26">
        <v>282277.69</v>
      </c>
      <c r="E126" s="25">
        <v>137</v>
      </c>
      <c r="F126" s="26">
        <f t="shared" si="16"/>
        <v>2060.4210948905111</v>
      </c>
      <c r="G126" s="37"/>
      <c r="H126" s="26">
        <f t="shared" si="36"/>
        <v>24116.610605409798</v>
      </c>
      <c r="I126" s="26">
        <f t="shared" si="37"/>
        <v>11.704699910719626</v>
      </c>
      <c r="J126" s="26">
        <f t="shared" si="38"/>
        <v>585.23499553598128</v>
      </c>
      <c r="K126" s="26"/>
      <c r="L126" s="31">
        <f t="shared" si="24"/>
        <v>1</v>
      </c>
      <c r="M126" s="37">
        <f t="shared" si="39"/>
        <v>137</v>
      </c>
    </row>
    <row r="127" spans="2:13" x14ac:dyDescent="0.2">
      <c r="B127" s="14" t="s">
        <v>1170</v>
      </c>
      <c r="C127" s="26">
        <v>75</v>
      </c>
      <c r="D127" s="26">
        <v>165528.81</v>
      </c>
      <c r="E127" s="25">
        <v>61</v>
      </c>
      <c r="F127" s="26">
        <f t="shared" si="16"/>
        <v>2713.587049180328</v>
      </c>
      <c r="G127" s="37"/>
      <c r="H127" s="26">
        <f t="shared" si="36"/>
        <v>21193.79237140515</v>
      </c>
      <c r="I127" s="26">
        <f t="shared" si="37"/>
        <v>7.810249675906654</v>
      </c>
      <c r="J127" s="26">
        <f t="shared" si="38"/>
        <v>585.76872569299906</v>
      </c>
      <c r="K127" s="26"/>
      <c r="L127" s="31">
        <f t="shared" si="24"/>
        <v>0</v>
      </c>
      <c r="M127" s="37">
        <f t="shared" si="39"/>
        <v>0</v>
      </c>
    </row>
    <row r="128" spans="2:13" x14ac:dyDescent="0.2">
      <c r="B128" s="14" t="s">
        <v>1171</v>
      </c>
      <c r="C128" s="26">
        <v>100</v>
      </c>
      <c r="D128" s="26">
        <v>191322.41</v>
      </c>
      <c r="E128" s="25">
        <v>61</v>
      </c>
      <c r="F128" s="26">
        <f t="shared" si="16"/>
        <v>3136.432950819672</v>
      </c>
      <c r="G128" s="37"/>
      <c r="H128" s="26">
        <f t="shared" si="36"/>
        <v>24496.324437642292</v>
      </c>
      <c r="I128" s="26">
        <f t="shared" si="37"/>
        <v>7.810249675906654</v>
      </c>
      <c r="J128" s="26">
        <f t="shared" si="38"/>
        <v>781.02496759066537</v>
      </c>
      <c r="K128" s="26"/>
      <c r="L128" s="31">
        <f t="shared" si="24"/>
        <v>0</v>
      </c>
      <c r="M128" s="37">
        <f t="shared" si="39"/>
        <v>0</v>
      </c>
    </row>
    <row r="129" spans="2:13" x14ac:dyDescent="0.2">
      <c r="B129" s="14" t="s">
        <v>1172</v>
      </c>
      <c r="C129" s="26">
        <v>167</v>
      </c>
      <c r="D129" s="26">
        <v>336556.32</v>
      </c>
      <c r="E129" s="25">
        <v>60</v>
      </c>
      <c r="F129" s="26">
        <f t="shared" si="16"/>
        <v>5609.2719999999999</v>
      </c>
      <c r="G129" s="37"/>
      <c r="H129" s="26">
        <f t="shared" si="21"/>
        <v>43449.23408069514</v>
      </c>
      <c r="I129" s="26">
        <f t="shared" si="22"/>
        <v>7.745966692414834</v>
      </c>
      <c r="J129" s="26">
        <f t="shared" si="23"/>
        <v>1293.5764376332772</v>
      </c>
      <c r="K129" s="26"/>
      <c r="L129" s="31">
        <f t="shared" si="24"/>
        <v>0</v>
      </c>
      <c r="M129" s="37">
        <f t="shared" si="25"/>
        <v>0</v>
      </c>
    </row>
    <row r="130" spans="2:13" x14ac:dyDescent="0.2">
      <c r="B130" s="14" t="s">
        <v>1173</v>
      </c>
      <c r="C130" s="26">
        <v>250</v>
      </c>
      <c r="D130" s="26">
        <v>23444.75</v>
      </c>
      <c r="E130" s="25">
        <v>4</v>
      </c>
      <c r="F130" s="26">
        <f t="shared" si="16"/>
        <v>5861.1875</v>
      </c>
      <c r="G130" s="37"/>
      <c r="H130" s="26">
        <f t="shared" si="21"/>
        <v>11722.375</v>
      </c>
      <c r="I130" s="26">
        <f t="shared" si="22"/>
        <v>2</v>
      </c>
      <c r="J130" s="26">
        <f t="shared" si="23"/>
        <v>500</v>
      </c>
      <c r="K130" s="26"/>
      <c r="L130" s="31">
        <f t="shared" si="24"/>
        <v>0</v>
      </c>
      <c r="M130" s="37">
        <f t="shared" si="25"/>
        <v>0</v>
      </c>
    </row>
    <row r="131" spans="2:13" x14ac:dyDescent="0.2">
      <c r="B131" s="14" t="s">
        <v>1080</v>
      </c>
      <c r="C131" s="26">
        <v>15</v>
      </c>
      <c r="D131" s="26">
        <v>954381.73</v>
      </c>
      <c r="E131" s="25">
        <v>585</v>
      </c>
      <c r="F131" s="26">
        <f t="shared" si="16"/>
        <v>1631.4217606837606</v>
      </c>
      <c r="G131" s="37"/>
      <c r="H131" s="26">
        <f t="shared" si="21"/>
        <v>39458.828192446526</v>
      </c>
      <c r="I131" s="26">
        <f t="shared" si="22"/>
        <v>24.186773244895647</v>
      </c>
      <c r="J131" s="26">
        <f t="shared" si="23"/>
        <v>362.80159867343468</v>
      </c>
      <c r="K131" s="26"/>
      <c r="L131" s="31">
        <f t="shared" si="24"/>
        <v>1</v>
      </c>
      <c r="M131" s="37">
        <f t="shared" si="25"/>
        <v>585</v>
      </c>
    </row>
    <row r="132" spans="2:13" x14ac:dyDescent="0.2">
      <c r="B132" s="14" t="s">
        <v>1081</v>
      </c>
      <c r="C132" s="26">
        <v>50</v>
      </c>
      <c r="D132" s="26">
        <v>403583.91</v>
      </c>
      <c r="E132" s="25">
        <v>192</v>
      </c>
      <c r="F132" s="26">
        <f t="shared" si="16"/>
        <v>2101.99953125</v>
      </c>
      <c r="G132" s="37"/>
      <c r="H132" s="26">
        <f t="shared" si="21"/>
        <v>29126.159884887711</v>
      </c>
      <c r="I132" s="26">
        <f t="shared" si="22"/>
        <v>13.856406460551018</v>
      </c>
      <c r="J132" s="26">
        <f t="shared" si="23"/>
        <v>692.8203230275509</v>
      </c>
      <c r="K132" s="26"/>
      <c r="L132" s="31">
        <f t="shared" si="24"/>
        <v>1</v>
      </c>
      <c r="M132" s="37">
        <f t="shared" si="25"/>
        <v>192</v>
      </c>
    </row>
    <row r="133" spans="2:13" x14ac:dyDescent="0.2">
      <c r="B133" s="14" t="s">
        <v>1082</v>
      </c>
      <c r="C133" s="26">
        <v>75</v>
      </c>
      <c r="D133" s="26">
        <v>36696.120000000003</v>
      </c>
      <c r="E133" s="25">
        <v>13</v>
      </c>
      <c r="F133" s="26">
        <f t="shared" si="16"/>
        <v>2822.7784615384617</v>
      </c>
      <c r="G133" s="37"/>
      <c r="H133" s="26">
        <f t="shared" si="21"/>
        <v>10177.672482352278</v>
      </c>
      <c r="I133" s="26">
        <f t="shared" si="22"/>
        <v>3.6055512754639891</v>
      </c>
      <c r="J133" s="26">
        <f t="shared" si="23"/>
        <v>270.41634565979916</v>
      </c>
      <c r="K133" s="26"/>
      <c r="L133" s="31">
        <f t="shared" si="24"/>
        <v>0</v>
      </c>
      <c r="M133" s="37">
        <f t="shared" si="25"/>
        <v>0</v>
      </c>
    </row>
    <row r="134" spans="2:13" x14ac:dyDescent="0.2">
      <c r="B134" s="14" t="s">
        <v>1083</v>
      </c>
      <c r="C134" s="26">
        <v>100</v>
      </c>
      <c r="D134" s="26">
        <v>23169.21</v>
      </c>
      <c r="E134" s="177">
        <v>7</v>
      </c>
      <c r="F134" s="26">
        <f t="shared" si="16"/>
        <v>3309.8871428571429</v>
      </c>
      <c r="G134" s="37"/>
      <c r="H134" s="26">
        <f t="shared" si="21"/>
        <v>8757.1382476901181</v>
      </c>
      <c r="I134" s="26">
        <f t="shared" si="22"/>
        <v>2.6457513110645907</v>
      </c>
      <c r="J134" s="26">
        <f t="shared" si="23"/>
        <v>264.57513110645908</v>
      </c>
      <c r="K134" s="26"/>
      <c r="L134" s="31">
        <f t="shared" si="24"/>
        <v>0</v>
      </c>
      <c r="M134" s="37">
        <f t="shared" si="25"/>
        <v>0</v>
      </c>
    </row>
    <row r="135" spans="2:13" x14ac:dyDescent="0.2">
      <c r="B135" s="14" t="s">
        <v>1084</v>
      </c>
      <c r="C135" s="26">
        <v>167</v>
      </c>
      <c r="D135" s="26">
        <v>75656.13</v>
      </c>
      <c r="E135" s="177">
        <v>16</v>
      </c>
      <c r="F135" s="26">
        <f t="shared" si="16"/>
        <v>4728.5081250000003</v>
      </c>
      <c r="G135" s="37"/>
      <c r="H135" s="26">
        <f t="shared" si="21"/>
        <v>18914.032500000001</v>
      </c>
      <c r="I135" s="26">
        <f t="shared" si="22"/>
        <v>4</v>
      </c>
      <c r="J135" s="26">
        <f t="shared" si="23"/>
        <v>668</v>
      </c>
      <c r="K135" s="26"/>
      <c r="L135" s="31">
        <f t="shared" si="24"/>
        <v>0</v>
      </c>
      <c r="M135" s="37">
        <f t="shared" si="25"/>
        <v>0</v>
      </c>
    </row>
    <row r="136" spans="2:13" x14ac:dyDescent="0.2">
      <c r="B136" s="14" t="s">
        <v>1162</v>
      </c>
      <c r="C136" s="26">
        <v>37.5</v>
      </c>
      <c r="D136" s="26">
        <v>3833.52</v>
      </c>
      <c r="E136" s="177">
        <v>3</v>
      </c>
      <c r="F136" s="26">
        <f t="shared" ref="F136" si="40">D136/E136</f>
        <v>1277.8399999999999</v>
      </c>
      <c r="G136" s="37"/>
      <c r="H136" s="26">
        <f t="shared" ref="H136" si="41">F136*E136^0.5</f>
        <v>2213.2838039438138</v>
      </c>
      <c r="I136" s="26">
        <f t="shared" ref="I136" si="42">E136^0.5</f>
        <v>1.7320508075688772</v>
      </c>
      <c r="J136" s="26">
        <f t="shared" ref="J136" si="43">C136*E136^0.5</f>
        <v>64.9519052838329</v>
      </c>
      <c r="K136" s="26"/>
      <c r="L136" s="31">
        <f t="shared" ref="L136" si="44">IF(C136&gt;50,0,1)</f>
        <v>1</v>
      </c>
      <c r="M136" s="37">
        <f t="shared" ref="M136" si="45">L136*E136</f>
        <v>3</v>
      </c>
    </row>
    <row r="137" spans="2:13" x14ac:dyDescent="0.2">
      <c r="B137" s="14" t="s">
        <v>1163</v>
      </c>
      <c r="C137" s="26">
        <v>750</v>
      </c>
      <c r="D137" s="26">
        <v>55405.15</v>
      </c>
      <c r="E137" s="177">
        <v>3</v>
      </c>
      <c r="F137" s="26">
        <f t="shared" ref="F137" si="46">D137/E137</f>
        <v>18468.383333333335</v>
      </c>
      <c r="G137" s="37"/>
      <c r="H137" s="26">
        <f t="shared" ref="H137" si="47">F137*E137^0.5</f>
        <v>31988.178266991596</v>
      </c>
      <c r="I137" s="26">
        <f t="shared" ref="I137" si="48">E137^0.5</f>
        <v>1.7320508075688772</v>
      </c>
      <c r="J137" s="26">
        <f t="shared" ref="J137" si="49">C137*E137^0.5</f>
        <v>1299.038105676658</v>
      </c>
      <c r="K137" s="26"/>
      <c r="L137" s="31">
        <f t="shared" ref="L137" si="50">IF(C137&gt;50,0,1)</f>
        <v>0</v>
      </c>
      <c r="M137" s="37">
        <f t="shared" ref="M137" si="51">L137*E137</f>
        <v>0</v>
      </c>
    </row>
    <row r="138" spans="2:13" x14ac:dyDescent="0.2">
      <c r="B138" s="14" t="s">
        <v>1085</v>
      </c>
      <c r="C138" s="26">
        <v>25</v>
      </c>
      <c r="D138" s="26">
        <v>650294.9</v>
      </c>
      <c r="E138" s="177">
        <v>328</v>
      </c>
      <c r="F138" s="26">
        <f t="shared" si="16"/>
        <v>1982.6064024390244</v>
      </c>
      <c r="G138" s="37"/>
      <c r="H138" s="26">
        <f t="shared" si="21"/>
        <v>35906.529102844863</v>
      </c>
      <c r="I138" s="26">
        <f t="shared" si="22"/>
        <v>18.110770276274835</v>
      </c>
      <c r="J138" s="26">
        <f t="shared" si="23"/>
        <v>452.76925690687085</v>
      </c>
      <c r="K138" s="26"/>
      <c r="L138" s="31">
        <f t="shared" si="24"/>
        <v>1</v>
      </c>
      <c r="M138" s="37">
        <f t="shared" si="25"/>
        <v>328</v>
      </c>
    </row>
    <row r="139" spans="2:13" x14ac:dyDescent="0.2">
      <c r="B139" s="14" t="s">
        <v>1174</v>
      </c>
      <c r="C139" s="26">
        <v>25</v>
      </c>
      <c r="D139" s="26">
        <v>176610.96</v>
      </c>
      <c r="E139" s="25">
        <v>135</v>
      </c>
      <c r="F139" s="26">
        <f t="shared" si="16"/>
        <v>1308.2293333333332</v>
      </c>
      <c r="G139" s="37"/>
      <c r="H139" s="26">
        <f t="shared" si="21"/>
        <v>15200.251263060092</v>
      </c>
      <c r="I139" s="26">
        <f t="shared" si="22"/>
        <v>11.61895003862225</v>
      </c>
      <c r="J139" s="26">
        <f t="shared" si="23"/>
        <v>290.47375096555623</v>
      </c>
      <c r="K139" s="26"/>
      <c r="L139" s="31">
        <f t="shared" si="24"/>
        <v>1</v>
      </c>
      <c r="M139" s="37">
        <f t="shared" si="25"/>
        <v>135</v>
      </c>
    </row>
    <row r="140" spans="2:13" x14ac:dyDescent="0.2">
      <c r="B140" s="14" t="s">
        <v>1086</v>
      </c>
      <c r="C140" s="26">
        <v>1000</v>
      </c>
      <c r="D140" s="26">
        <v>236433.98</v>
      </c>
      <c r="E140" s="25">
        <v>13</v>
      </c>
      <c r="F140" s="26">
        <f t="shared" si="16"/>
        <v>18187.229230769233</v>
      </c>
      <c r="G140" s="37"/>
      <c r="H140" s="26">
        <f t="shared" si="21"/>
        <v>65574.987550155958</v>
      </c>
      <c r="I140" s="26">
        <f t="shared" si="22"/>
        <v>3.6055512754639891</v>
      </c>
      <c r="J140" s="26">
        <f t="shared" si="23"/>
        <v>3605.551275463989</v>
      </c>
      <c r="K140" s="26"/>
      <c r="L140" s="31">
        <f t="shared" si="24"/>
        <v>0</v>
      </c>
      <c r="M140" s="37">
        <f t="shared" si="25"/>
        <v>0</v>
      </c>
    </row>
    <row r="141" spans="2:13" x14ac:dyDescent="0.2">
      <c r="B141" s="14" t="s">
        <v>1087</v>
      </c>
      <c r="C141" s="26">
        <v>1500</v>
      </c>
      <c r="D141" s="26">
        <v>177387.39</v>
      </c>
      <c r="E141" s="25">
        <v>7</v>
      </c>
      <c r="F141" s="26">
        <f t="shared" si="16"/>
        <v>25341.055714285718</v>
      </c>
      <c r="G141" s="37"/>
      <c r="H141" s="26">
        <f t="shared" si="21"/>
        <v>67046.131379832281</v>
      </c>
      <c r="I141" s="26">
        <f t="shared" si="22"/>
        <v>2.6457513110645907</v>
      </c>
      <c r="J141" s="26">
        <f t="shared" si="23"/>
        <v>3968.6269665968862</v>
      </c>
      <c r="K141" s="26"/>
      <c r="L141" s="31">
        <f t="shared" si="24"/>
        <v>0</v>
      </c>
      <c r="M141" s="37">
        <f t="shared" si="25"/>
        <v>0</v>
      </c>
    </row>
    <row r="142" spans="2:13" x14ac:dyDescent="0.2">
      <c r="B142" s="14" t="s">
        <v>1088</v>
      </c>
      <c r="C142" s="26">
        <v>300</v>
      </c>
      <c r="D142" s="26">
        <v>263402.09000000003</v>
      </c>
      <c r="E142" s="25">
        <v>26</v>
      </c>
      <c r="F142" s="26">
        <f t="shared" si="16"/>
        <v>10130.849615384617</v>
      </c>
      <c r="G142" s="37"/>
      <c r="H142" s="26">
        <f t="shared" si="21"/>
        <v>51657.399878120115</v>
      </c>
      <c r="I142" s="26">
        <f t="shared" si="22"/>
        <v>5.0990195135927845</v>
      </c>
      <c r="J142" s="26">
        <f t="shared" si="23"/>
        <v>1529.7058540778353</v>
      </c>
      <c r="K142" s="26"/>
      <c r="L142" s="31">
        <f t="shared" si="24"/>
        <v>0</v>
      </c>
      <c r="M142" s="37">
        <f t="shared" si="25"/>
        <v>0</v>
      </c>
    </row>
    <row r="143" spans="2:13" x14ac:dyDescent="0.2">
      <c r="B143" s="14" t="s">
        <v>1089</v>
      </c>
      <c r="C143" s="26">
        <v>500</v>
      </c>
      <c r="D143" s="26">
        <v>206211.42</v>
      </c>
      <c r="E143" s="25">
        <v>18</v>
      </c>
      <c r="F143" s="26">
        <f t="shared" ref="F143:F147" si="52">D143/E143</f>
        <v>11456.19</v>
      </c>
      <c r="G143" s="37"/>
      <c r="H143" s="26">
        <f t="shared" si="21"/>
        <v>48604.497813369082</v>
      </c>
      <c r="I143" s="26">
        <f t="shared" si="22"/>
        <v>4.2426406871192848</v>
      </c>
      <c r="J143" s="26">
        <f t="shared" si="23"/>
        <v>2121.3203435596424</v>
      </c>
      <c r="K143" s="26"/>
      <c r="L143" s="31">
        <f t="shared" ref="L143:L147" si="53">IF(C143&gt;50,0,1)</f>
        <v>0</v>
      </c>
      <c r="M143" s="37">
        <f t="shared" si="25"/>
        <v>0</v>
      </c>
    </row>
    <row r="144" spans="2:13" x14ac:dyDescent="0.2">
      <c r="B144" s="14" t="s">
        <v>1090</v>
      </c>
      <c r="C144" s="26">
        <v>2500</v>
      </c>
      <c r="D144" s="26">
        <v>789760.66</v>
      </c>
      <c r="E144" s="25">
        <v>19</v>
      </c>
      <c r="F144" s="26">
        <f t="shared" si="52"/>
        <v>41566.350526315793</v>
      </c>
      <c r="G144" s="37"/>
      <c r="H144" s="26">
        <f t="shared" si="21"/>
        <v>181183.52139599924</v>
      </c>
      <c r="I144" s="26">
        <f t="shared" si="22"/>
        <v>4.358898943540674</v>
      </c>
      <c r="J144" s="26">
        <f t="shared" si="23"/>
        <v>10897.247358851684</v>
      </c>
      <c r="K144" s="26"/>
      <c r="L144" s="31">
        <f t="shared" si="53"/>
        <v>0</v>
      </c>
      <c r="M144" s="37">
        <f t="shared" si="25"/>
        <v>0</v>
      </c>
    </row>
    <row r="145" spans="2:13" x14ac:dyDescent="0.2">
      <c r="B145" s="14" t="s">
        <v>1091</v>
      </c>
      <c r="C145" s="26">
        <v>112.5</v>
      </c>
      <c r="D145" s="26">
        <v>109890.65</v>
      </c>
      <c r="E145" s="25">
        <v>17</v>
      </c>
      <c r="F145" s="26">
        <f t="shared" si="52"/>
        <v>6464.1558823529413</v>
      </c>
      <c r="G145" s="37"/>
      <c r="H145" s="26">
        <f t="shared" si="21"/>
        <v>26652.397483398905</v>
      </c>
      <c r="I145" s="26">
        <f t="shared" si="22"/>
        <v>4.1231056256176606</v>
      </c>
      <c r="J145" s="26">
        <f t="shared" si="23"/>
        <v>463.8493828819868</v>
      </c>
      <c r="K145" s="26"/>
      <c r="L145" s="31">
        <f t="shared" si="53"/>
        <v>0</v>
      </c>
      <c r="M145" s="37">
        <f t="shared" si="25"/>
        <v>0</v>
      </c>
    </row>
    <row r="146" spans="2:13" x14ac:dyDescent="0.2">
      <c r="B146" s="14" t="s">
        <v>1161</v>
      </c>
      <c r="C146" s="26">
        <v>25</v>
      </c>
      <c r="D146" s="26">
        <v>1772642.51</v>
      </c>
      <c r="E146" s="25">
        <v>1385</v>
      </c>
      <c r="F146" s="26">
        <f t="shared" ref="F146" si="54">D146/E146</f>
        <v>1279.8862888086642</v>
      </c>
      <c r="G146" s="37"/>
      <c r="H146" s="26">
        <f t="shared" ref="H146" si="55">F146*E146^0.5</f>
        <v>47631.720979913953</v>
      </c>
      <c r="I146" s="26">
        <f t="shared" ref="I146" si="56">E146^0.5</f>
        <v>37.215588131856791</v>
      </c>
      <c r="J146" s="26">
        <f t="shared" ref="J146" si="57">C146*E146^0.5</f>
        <v>930.38970329641973</v>
      </c>
      <c r="K146" s="26"/>
      <c r="L146" s="31">
        <f t="shared" ref="L146" si="58">IF(C146&gt;50,0,1)</f>
        <v>1</v>
      </c>
      <c r="M146" s="37">
        <f t="shared" ref="M146" si="59">L146*E146</f>
        <v>1385</v>
      </c>
    </row>
    <row r="147" spans="2:13" x14ac:dyDescent="0.2">
      <c r="B147" s="14" t="s">
        <v>1160</v>
      </c>
      <c r="C147" s="26">
        <v>20</v>
      </c>
      <c r="D147" s="26">
        <v>3290.86</v>
      </c>
      <c r="E147" s="25">
        <v>1</v>
      </c>
      <c r="F147" s="26">
        <f t="shared" si="52"/>
        <v>3290.86</v>
      </c>
      <c r="G147" s="37"/>
      <c r="H147" s="26">
        <f t="shared" si="21"/>
        <v>3290.86</v>
      </c>
      <c r="I147" s="26">
        <f t="shared" si="22"/>
        <v>1</v>
      </c>
      <c r="J147" s="26">
        <f t="shared" si="23"/>
        <v>20</v>
      </c>
      <c r="K147" s="26"/>
      <c r="L147" s="31">
        <f t="shared" si="53"/>
        <v>1</v>
      </c>
      <c r="M147" s="37">
        <f t="shared" si="25"/>
        <v>1</v>
      </c>
    </row>
    <row r="148" spans="2:13" x14ac:dyDescent="0.2">
      <c r="B148" s="28" t="s">
        <v>860</v>
      </c>
      <c r="D148" s="38">
        <f>SUM(D76:D147)</f>
        <v>36083728.939999998</v>
      </c>
      <c r="E148" s="39">
        <f>SUM(E76:E147)</f>
        <v>45598</v>
      </c>
      <c r="M148" s="39">
        <f>SUM(M76:M147)</f>
        <v>44690</v>
      </c>
    </row>
    <row r="150" spans="2:13" x14ac:dyDescent="0.2">
      <c r="B150" s="19" t="s">
        <v>983</v>
      </c>
      <c r="H150" s="239" t="s">
        <v>984</v>
      </c>
      <c r="I150" s="239"/>
    </row>
    <row r="152" spans="2:13" x14ac:dyDescent="0.2">
      <c r="B152" s="14" t="s">
        <v>985</v>
      </c>
      <c r="D152" s="40">
        <f>H152</f>
        <v>13.307471929708552</v>
      </c>
      <c r="H152" s="40">
        <f t="array" ref="H152:I154">LINEST(H76:H147,I76:J147,FALSE,TRUE)</f>
        <v>13.307471929708552</v>
      </c>
      <c r="I152" s="40">
        <v>462.72561321156587</v>
      </c>
    </row>
    <row r="153" spans="2:13" x14ac:dyDescent="0.2">
      <c r="B153" s="14" t="s">
        <v>986</v>
      </c>
      <c r="D153" s="40">
        <f>I152</f>
        <v>462.72561321156587</v>
      </c>
      <c r="H153" s="40">
        <v>0.72115143003963755</v>
      </c>
      <c r="I153" s="40">
        <v>63.007981240992244</v>
      </c>
    </row>
    <row r="154" spans="2:13" x14ac:dyDescent="0.2">
      <c r="B154" s="14" t="s">
        <v>987</v>
      </c>
      <c r="D154" s="41">
        <f>H154</f>
        <v>0.87971487660499059</v>
      </c>
      <c r="H154" s="40">
        <v>0.87971487660499059</v>
      </c>
      <c r="I154" s="40">
        <v>12905.948398108842</v>
      </c>
    </row>
    <row r="155" spans="2:13" x14ac:dyDescent="0.2">
      <c r="H155" s="40"/>
      <c r="I155" s="40"/>
    </row>
    <row r="156" spans="2:13" x14ac:dyDescent="0.2">
      <c r="B156" s="29" t="s">
        <v>988</v>
      </c>
      <c r="C156" s="42"/>
    </row>
    <row r="157" spans="2:13" x14ac:dyDescent="0.2">
      <c r="C157" s="42"/>
      <c r="F157" s="34"/>
    </row>
    <row r="158" spans="2:13" x14ac:dyDescent="0.2">
      <c r="B158" s="14" t="s">
        <v>989</v>
      </c>
      <c r="C158" s="33" t="s">
        <v>1006</v>
      </c>
      <c r="D158" s="37">
        <f>M148</f>
        <v>44690</v>
      </c>
      <c r="F158" s="34" t="s">
        <v>1007</v>
      </c>
    </row>
    <row r="159" spans="2:13" x14ac:dyDescent="0.2">
      <c r="B159" s="14" t="s">
        <v>990</v>
      </c>
      <c r="C159" s="42"/>
      <c r="D159" s="27">
        <f>D153</f>
        <v>462.72561321156587</v>
      </c>
      <c r="E159" s="30"/>
      <c r="F159" s="34" t="s">
        <v>1008</v>
      </c>
    </row>
    <row r="160" spans="2:13" x14ac:dyDescent="0.2">
      <c r="B160" s="14" t="s">
        <v>991</v>
      </c>
      <c r="C160" s="42"/>
      <c r="D160" s="27">
        <f>MIN(F76:F147)</f>
        <v>112.81611111111111</v>
      </c>
    </row>
    <row r="161" spans="1:5" x14ac:dyDescent="0.2">
      <c r="B161" s="14" t="s">
        <v>992</v>
      </c>
      <c r="C161" s="42"/>
      <c r="D161" s="202" t="s">
        <v>1000</v>
      </c>
    </row>
    <row r="162" spans="1:5" x14ac:dyDescent="0.2">
      <c r="B162" s="14" t="s">
        <v>993</v>
      </c>
      <c r="C162" s="42"/>
      <c r="D162" s="43">
        <f>IF(D161="Z",D158*D159,D158*D160)</f>
        <v>20679207.65442488</v>
      </c>
    </row>
    <row r="163" spans="1:5" x14ac:dyDescent="0.2">
      <c r="B163" s="14" t="s">
        <v>994</v>
      </c>
      <c r="C163" s="42"/>
      <c r="D163" s="43">
        <f>D148</f>
        <v>36083728.939999998</v>
      </c>
    </row>
    <row r="164" spans="1:5" x14ac:dyDescent="0.2">
      <c r="B164" s="14" t="s">
        <v>995</v>
      </c>
      <c r="C164" s="42"/>
      <c r="D164" s="44">
        <f>D162/D163</f>
        <v>0.57308954096208442</v>
      </c>
    </row>
    <row r="165" spans="1:5" x14ac:dyDescent="0.2">
      <c r="B165" s="14" t="s">
        <v>996</v>
      </c>
      <c r="C165" s="42"/>
      <c r="D165" s="45">
        <f>D164</f>
        <v>0.57308954096208442</v>
      </c>
    </row>
    <row r="166" spans="1:5" x14ac:dyDescent="0.2">
      <c r="B166" s="14" t="s">
        <v>997</v>
      </c>
      <c r="C166" s="42"/>
      <c r="D166" s="46">
        <f>1-D165</f>
        <v>0.42691045903791558</v>
      </c>
    </row>
    <row r="167" spans="1:5" x14ac:dyDescent="0.2">
      <c r="C167" s="42"/>
      <c r="D167" s="47"/>
    </row>
    <row r="169" spans="1:5" x14ac:dyDescent="0.2">
      <c r="A169" s="13"/>
      <c r="B169" s="166" t="s">
        <v>1009</v>
      </c>
      <c r="C169" s="62" t="s">
        <v>1010</v>
      </c>
      <c r="D169" s="167" t="s">
        <v>10</v>
      </c>
      <c r="E169" s="167" t="s">
        <v>12</v>
      </c>
    </row>
    <row r="170" spans="1:5" x14ac:dyDescent="0.2">
      <c r="B170" s="14" t="s">
        <v>201</v>
      </c>
      <c r="C170" s="31">
        <v>365</v>
      </c>
      <c r="D170" s="41">
        <f>D39</f>
        <v>0.6067653862503033</v>
      </c>
      <c r="E170" s="41">
        <f>D38</f>
        <v>0.39323461374969665</v>
      </c>
    </row>
    <row r="171" spans="1:5" x14ac:dyDescent="0.2">
      <c r="B171" s="14" t="s">
        <v>202</v>
      </c>
      <c r="C171" s="31">
        <v>367</v>
      </c>
      <c r="D171" s="41">
        <f>D69</f>
        <v>0.18998966279760321</v>
      </c>
      <c r="E171" s="41">
        <f>D68</f>
        <v>0.81001033720239679</v>
      </c>
    </row>
    <row r="172" spans="1:5" x14ac:dyDescent="0.2">
      <c r="B172" s="14" t="s">
        <v>203</v>
      </c>
      <c r="C172" s="31">
        <v>368</v>
      </c>
      <c r="D172" s="168">
        <f>D166</f>
        <v>0.42691045903791558</v>
      </c>
      <c r="E172" s="168">
        <f>D165</f>
        <v>0.57308954096208442</v>
      </c>
    </row>
  </sheetData>
  <mergeCells count="4">
    <mergeCell ref="H23:I23"/>
    <mergeCell ref="H53:I53"/>
    <mergeCell ref="L73:M73"/>
    <mergeCell ref="H150:I150"/>
  </mergeCells>
  <pageMargins left="0.7" right="0.7" top="0.75" bottom="0.75" header="0.3" footer="0.3"/>
  <pageSetup scale="74" fitToHeight="3" orientation="landscape" r:id="rId1"/>
  <headerFooter>
    <oddFooter>&amp;RExhibit JW-8
Page &amp;P of &amp;N</oddFooter>
  </headerFooter>
  <rowBreaks count="2" manualBreakCount="2">
    <brk id="40" max="16383" man="1"/>
    <brk id="70" max="16383" man="1"/>
  </rowBreaks>
  <ignoredErrors>
    <ignoredError sqref="D56 D153 D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'Alloc &amp; Returns'!Print_Titles</vt:lpstr>
      <vt:lpstr>'Billing Det'!Print_Titles</vt:lpstr>
      <vt:lpstr>'Func &amp; Classif'!Print_Titles</vt:lpstr>
      <vt:lpstr>'Purchased Power'!Print_Titles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Wolfram</cp:lastModifiedBy>
  <cp:lastPrinted>2024-10-16T20:42:18Z</cp:lastPrinted>
  <dcterms:created xsi:type="dcterms:W3CDTF">1999-02-10T22:20:33Z</dcterms:created>
  <dcterms:modified xsi:type="dcterms:W3CDTF">2024-10-16T20:42:40Z</dcterms:modified>
</cp:coreProperties>
</file>