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mc:AlternateContent xmlns:mc="http://schemas.openxmlformats.org/markup-compatibility/2006">
    <mc:Choice Requires="x15">
      <x15ac:absPath xmlns:x15ac="http://schemas.microsoft.com/office/spreadsheetml/2010/11/ac" url="M:\a Power Supply\PSC\RICE\DR4\"/>
    </mc:Choice>
  </mc:AlternateContent>
  <xr:revisionPtr revIDLastSave="0" documentId="11_E118B29EA6E78FE14F49C8A7824DEE9F52B965E5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C31" i="1"/>
  <c r="D31" i="1" s="1"/>
  <c r="E31" i="1" s="1"/>
  <c r="F31" i="1" s="1"/>
  <c r="G31" i="1" s="1"/>
  <c r="H31" i="1" s="1"/>
  <c r="I31" i="1" s="1"/>
  <c r="J31" i="1" s="1"/>
  <c r="K31" i="1" s="1"/>
  <c r="L31" i="1" s="1"/>
  <c r="C13" i="1"/>
  <c r="C49" i="1" s="1"/>
  <c r="L12" i="1"/>
  <c r="B12" i="1"/>
  <c r="D13" i="1" l="1"/>
  <c r="D49" i="1" s="1"/>
  <c r="C28" i="1"/>
  <c r="D28" i="1"/>
  <c r="E28" i="1"/>
  <c r="F28" i="1"/>
  <c r="G28" i="1"/>
  <c r="H28" i="1"/>
  <c r="I28" i="1"/>
  <c r="J28" i="1"/>
  <c r="K28" i="1"/>
  <c r="L28" i="1"/>
  <c r="B28" i="1"/>
  <c r="C10" i="1"/>
  <c r="D10" i="1"/>
  <c r="E10" i="1"/>
  <c r="F10" i="1"/>
  <c r="G10" i="1"/>
  <c r="H10" i="1"/>
  <c r="I10" i="1"/>
  <c r="J10" i="1"/>
  <c r="K10" i="1"/>
  <c r="L10" i="1"/>
  <c r="B10" i="1"/>
  <c r="E13" i="1" l="1"/>
  <c r="E49" i="1" s="1"/>
  <c r="M52" i="1"/>
  <c r="M34" i="1"/>
  <c r="M16" i="1"/>
  <c r="J12" i="1"/>
  <c r="M28" i="1"/>
  <c r="B27" i="1"/>
  <c r="C27" i="1"/>
  <c r="D27" i="1"/>
  <c r="E27" i="1"/>
  <c r="F27" i="1"/>
  <c r="G27" i="1"/>
  <c r="H27" i="1"/>
  <c r="I27" i="1"/>
  <c r="J27" i="1"/>
  <c r="K27" i="1"/>
  <c r="L27" i="1"/>
  <c r="B9" i="1"/>
  <c r="C9" i="1"/>
  <c r="D9" i="1"/>
  <c r="E9" i="1"/>
  <c r="F9" i="1"/>
  <c r="G9" i="1"/>
  <c r="H9" i="1"/>
  <c r="I9" i="1"/>
  <c r="J9" i="1"/>
  <c r="K9" i="1"/>
  <c r="L9" i="1"/>
  <c r="B40" i="1"/>
  <c r="C40" i="1"/>
  <c r="D40" i="1"/>
  <c r="E40" i="1"/>
  <c r="F40" i="1"/>
  <c r="G40" i="1"/>
  <c r="H40" i="1"/>
  <c r="I40" i="1"/>
  <c r="J40" i="1"/>
  <c r="K40" i="1"/>
  <c r="L40" i="1"/>
  <c r="B41" i="1"/>
  <c r="C41" i="1"/>
  <c r="D41" i="1"/>
  <c r="E41" i="1"/>
  <c r="F41" i="1"/>
  <c r="G41" i="1"/>
  <c r="H41" i="1"/>
  <c r="I41" i="1"/>
  <c r="J41" i="1"/>
  <c r="K41" i="1"/>
  <c r="L41" i="1"/>
  <c r="B42" i="1"/>
  <c r="C42" i="1"/>
  <c r="D42" i="1"/>
  <c r="E42" i="1"/>
  <c r="F42" i="1"/>
  <c r="G42" i="1"/>
  <c r="H42" i="1"/>
  <c r="I42" i="1"/>
  <c r="J42" i="1"/>
  <c r="K42" i="1"/>
  <c r="L42" i="1"/>
  <c r="B39" i="1"/>
  <c r="C39" i="1"/>
  <c r="D39" i="1"/>
  <c r="E39" i="1"/>
  <c r="F39" i="1"/>
  <c r="G39" i="1"/>
  <c r="H39" i="1"/>
  <c r="I39" i="1"/>
  <c r="J39" i="1"/>
  <c r="K39" i="1"/>
  <c r="L39" i="1"/>
  <c r="L26" i="1"/>
  <c r="L32" i="1" s="1"/>
  <c r="K26" i="1"/>
  <c r="K32" i="1" s="1"/>
  <c r="J26" i="1"/>
  <c r="J32" i="1" s="1"/>
  <c r="I26" i="1"/>
  <c r="I32" i="1" s="1"/>
  <c r="H26" i="1"/>
  <c r="H32" i="1" s="1"/>
  <c r="G26" i="1"/>
  <c r="G32" i="1" s="1"/>
  <c r="F26" i="1"/>
  <c r="F32" i="1" s="1"/>
  <c r="E26" i="1"/>
  <c r="E32" i="1" s="1"/>
  <c r="D26" i="1"/>
  <c r="D32" i="1" s="1"/>
  <c r="C26" i="1"/>
  <c r="C32" i="1" s="1"/>
  <c r="B26" i="1"/>
  <c r="B32" i="1" s="1"/>
  <c r="M32" i="1" s="1"/>
  <c r="F13" i="1" l="1"/>
  <c r="F49" i="1" s="1"/>
  <c r="M9" i="1"/>
  <c r="M27" i="1"/>
  <c r="M26" i="1"/>
  <c r="M10" i="1"/>
  <c r="G13" i="1" l="1"/>
  <c r="G49" i="1" s="1"/>
  <c r="L25" i="1"/>
  <c r="K25" i="1"/>
  <c r="J25" i="1"/>
  <c r="I25" i="1"/>
  <c r="H25" i="1"/>
  <c r="G25" i="1"/>
  <c r="F25" i="1"/>
  <c r="E25" i="1"/>
  <c r="D25" i="1"/>
  <c r="C25" i="1"/>
  <c r="B25" i="1"/>
  <c r="B8" i="1"/>
  <c r="B14" i="1" s="1"/>
  <c r="B50" i="1" s="1"/>
  <c r="C8" i="1"/>
  <c r="C14" i="1" s="1"/>
  <c r="C50" i="1" s="1"/>
  <c r="D8" i="1"/>
  <c r="D14" i="1" s="1"/>
  <c r="D50" i="1" s="1"/>
  <c r="E8" i="1"/>
  <c r="E14" i="1" s="1"/>
  <c r="E50" i="1" s="1"/>
  <c r="F8" i="1"/>
  <c r="F14" i="1" s="1"/>
  <c r="F50" i="1" s="1"/>
  <c r="G8" i="1"/>
  <c r="H8" i="1"/>
  <c r="I8" i="1"/>
  <c r="J8" i="1"/>
  <c r="K8" i="1"/>
  <c r="L8" i="1"/>
  <c r="H13" i="1" l="1"/>
  <c r="H49" i="1" s="1"/>
  <c r="G14" i="1"/>
  <c r="G50" i="1" s="1"/>
  <c r="M8" i="1"/>
  <c r="M25" i="1"/>
  <c r="C7" i="1"/>
  <c r="C44" i="1"/>
  <c r="B7" i="1"/>
  <c r="B15" i="1" s="1"/>
  <c r="B44" i="1"/>
  <c r="I7" i="1"/>
  <c r="I44" i="1"/>
  <c r="K7" i="1"/>
  <c r="K44" i="1"/>
  <c r="J7" i="1"/>
  <c r="J44" i="1"/>
  <c r="G7" i="1"/>
  <c r="G44" i="1"/>
  <c r="F7" i="1"/>
  <c r="F44" i="1"/>
  <c r="H7" i="1"/>
  <c r="H44" i="1"/>
  <c r="E7" i="1"/>
  <c r="E44" i="1"/>
  <c r="L7" i="1"/>
  <c r="L44" i="1"/>
  <c r="D7" i="1"/>
  <c r="D44" i="1"/>
  <c r="I13" i="1" l="1"/>
  <c r="I49" i="1" s="1"/>
  <c r="H14" i="1"/>
  <c r="H50" i="1" s="1"/>
  <c r="M44" i="1"/>
  <c r="B43" i="1"/>
  <c r="J43" i="1"/>
  <c r="E43" i="1"/>
  <c r="G43" i="1"/>
  <c r="C43" i="1"/>
  <c r="D43" i="1"/>
  <c r="F43" i="1"/>
  <c r="M7" i="1"/>
  <c r="H43" i="1"/>
  <c r="K43" i="1"/>
  <c r="L43" i="1"/>
  <c r="I43" i="1"/>
  <c r="J13" i="1" l="1"/>
  <c r="J49" i="1" s="1"/>
  <c r="I14" i="1"/>
  <c r="I50" i="1" s="1"/>
  <c r="M43" i="1"/>
  <c r="K13" i="1" l="1"/>
  <c r="K49" i="1" s="1"/>
  <c r="J14" i="1"/>
  <c r="F46" i="1"/>
  <c r="G46" i="1"/>
  <c r="H46" i="1"/>
  <c r="I46" i="1"/>
  <c r="K12" i="1"/>
  <c r="I12" i="1"/>
  <c r="H12" i="1"/>
  <c r="G12" i="1"/>
  <c r="F12" i="1"/>
  <c r="E12" i="1"/>
  <c r="C12" i="1"/>
  <c r="D12" i="1"/>
  <c r="B29" i="1"/>
  <c r="C29" i="1"/>
  <c r="D29" i="1"/>
  <c r="E29" i="1"/>
  <c r="F29" i="1"/>
  <c r="G29" i="1"/>
  <c r="H29" i="1"/>
  <c r="H47" i="1" s="1"/>
  <c r="I29" i="1"/>
  <c r="J29" i="1"/>
  <c r="J30" i="1" s="1"/>
  <c r="J48" i="1" s="1"/>
  <c r="K29" i="1"/>
  <c r="L29" i="1"/>
  <c r="L30" i="1" s="1"/>
  <c r="L33" i="1" l="1"/>
  <c r="L48" i="1"/>
  <c r="J33" i="1"/>
  <c r="J35" i="1" s="1"/>
  <c r="J15" i="1"/>
  <c r="J17" i="1" s="1"/>
  <c r="J50" i="1"/>
  <c r="F15" i="1"/>
  <c r="F17" i="1" s="1"/>
  <c r="G15" i="1"/>
  <c r="G17" i="1" s="1"/>
  <c r="H15" i="1"/>
  <c r="H17" i="1" s="1"/>
  <c r="I15" i="1"/>
  <c r="I17" i="1" s="1"/>
  <c r="D15" i="1"/>
  <c r="D17" i="1" s="1"/>
  <c r="C15" i="1"/>
  <c r="C17" i="1" s="1"/>
  <c r="E15" i="1"/>
  <c r="E17" i="1" s="1"/>
  <c r="L13" i="1"/>
  <c r="K14" i="1"/>
  <c r="B47" i="1"/>
  <c r="B30" i="1"/>
  <c r="M12" i="1"/>
  <c r="I45" i="1"/>
  <c r="H45" i="1"/>
  <c r="J47" i="1"/>
  <c r="G45" i="1"/>
  <c r="D30" i="1"/>
  <c r="D47" i="1"/>
  <c r="C30" i="1"/>
  <c r="C48" i="1" s="1"/>
  <c r="C47" i="1"/>
  <c r="I30" i="1"/>
  <c r="I47" i="1"/>
  <c r="H30" i="1"/>
  <c r="E46" i="1"/>
  <c r="L47" i="1"/>
  <c r="K30" i="1"/>
  <c r="K48" i="1" s="1"/>
  <c r="K47" i="1"/>
  <c r="E45" i="1"/>
  <c r="G30" i="1"/>
  <c r="G47" i="1"/>
  <c r="L45" i="1"/>
  <c r="D45" i="1"/>
  <c r="L46" i="1"/>
  <c r="D46" i="1"/>
  <c r="F45" i="1"/>
  <c r="C45" i="1"/>
  <c r="C46" i="1"/>
  <c r="F30" i="1"/>
  <c r="F47" i="1"/>
  <c r="K45" i="1"/>
  <c r="K46" i="1"/>
  <c r="E30" i="1"/>
  <c r="E47" i="1"/>
  <c r="J45" i="1"/>
  <c r="B45" i="1"/>
  <c r="J46" i="1"/>
  <c r="B46" i="1"/>
  <c r="E33" i="1" l="1"/>
  <c r="E48" i="1"/>
  <c r="F33" i="1"/>
  <c r="F48" i="1"/>
  <c r="G33" i="1"/>
  <c r="G48" i="1"/>
  <c r="H33" i="1"/>
  <c r="H48" i="1"/>
  <c r="I33" i="1"/>
  <c r="I48" i="1"/>
  <c r="D33" i="1"/>
  <c r="D48" i="1"/>
  <c r="B33" i="1"/>
  <c r="B48" i="1"/>
  <c r="M48" i="1" s="1"/>
  <c r="K50" i="1"/>
  <c r="K15" i="1"/>
  <c r="K17" i="1" s="1"/>
  <c r="J53" i="1"/>
  <c r="C33" i="1"/>
  <c r="C35" i="1" s="1"/>
  <c r="C53" i="1" s="1"/>
  <c r="K33" i="1"/>
  <c r="K35" i="1" s="1"/>
  <c r="K53" i="1" s="1"/>
  <c r="L14" i="1"/>
  <c r="L50" i="1" s="1"/>
  <c r="M50" i="1" s="1"/>
  <c r="L49" i="1"/>
  <c r="L15" i="1"/>
  <c r="L17" i="1" s="1"/>
  <c r="M14" i="1"/>
  <c r="M15" i="1"/>
  <c r="M17" i="1" s="1"/>
  <c r="B17" i="1"/>
  <c r="M45" i="1"/>
  <c r="F35" i="1"/>
  <c r="F53" i="1" s="1"/>
  <c r="L35" i="1"/>
  <c r="D35" i="1"/>
  <c r="D53" i="1" s="1"/>
  <c r="M30" i="1"/>
  <c r="B35" i="1"/>
  <c r="G35" i="1"/>
  <c r="G53" i="1" s="1"/>
  <c r="M46" i="1"/>
  <c r="H35" i="1"/>
  <c r="H53" i="1" s="1"/>
  <c r="C51" i="1"/>
  <c r="K51" i="1"/>
  <c r="J51" i="1"/>
  <c r="L53" i="1" l="1"/>
  <c r="D51" i="1"/>
  <c r="E51" i="1"/>
  <c r="E35" i="1"/>
  <c r="E53" i="1" s="1"/>
  <c r="B53" i="1"/>
  <c r="I51" i="1"/>
  <c r="I35" i="1"/>
  <c r="I53" i="1" s="1"/>
  <c r="G51" i="1"/>
  <c r="F51" i="1"/>
  <c r="M33" i="1"/>
  <c r="M35" i="1" s="1"/>
  <c r="B51" i="1"/>
  <c r="H51" i="1"/>
  <c r="L51" i="1"/>
  <c r="M51" i="1" l="1"/>
  <c r="M53" i="1"/>
</calcChain>
</file>

<file path=xl/sharedStrings.xml><?xml version="1.0" encoding="utf-8"?>
<sst xmlns="http://schemas.openxmlformats.org/spreadsheetml/2006/main" count="55" uniqueCount="21">
  <si>
    <t>Liberty RICE (214 MWn, 216 MWg)</t>
  </si>
  <si>
    <t>Year</t>
  </si>
  <si>
    <t>Total</t>
  </si>
  <si>
    <t>Heat Rate</t>
  </si>
  <si>
    <t>Capacity Factor</t>
  </si>
  <si>
    <t>Fuel Cost ($/mmBTU)</t>
  </si>
  <si>
    <t>Energy Forwards ($/MWh)</t>
  </si>
  <si>
    <t>Market Value of Energy ($)</t>
  </si>
  <si>
    <t>Energy (MWh)</t>
  </si>
  <si>
    <t>Fixed Capital ($)</t>
  </si>
  <si>
    <t>Fixed O&amp;M ($)</t>
  </si>
  <si>
    <t>Capacity Forecast ($/MW-Day)</t>
  </si>
  <si>
    <t>Capacity Value ($)</t>
  </si>
  <si>
    <t>Ancillary Revenue ($/MWh)</t>
  </si>
  <si>
    <t>Ancillary Revenue ($)</t>
  </si>
  <si>
    <t>Net Revenue/(Cost) ($)</t>
  </si>
  <si>
    <t>System Load (MWh)</t>
  </si>
  <si>
    <t>Net Revenue/(Cost) ($/MWh)</t>
  </si>
  <si>
    <t>F-Class CT (214 MWm, 216 MWg)</t>
  </si>
  <si>
    <t>Comparison (RICE - CT)</t>
  </si>
  <si>
    <r>
      <t xml:space="preserve">    </t>
    </r>
    <r>
      <rPr>
        <i/>
        <sz val="11"/>
        <color theme="1"/>
        <rFont val="Calibri"/>
        <family val="2"/>
        <scheme val="minor"/>
      </rPr>
      <t xml:space="preserve"> (Positive value indicates that RICE is of more value than the 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</si>
</sst>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0" fillId="0" borderId="0" xfId="1" applyNumberFormat="1" applyFont="1"/>
    <xf numFmtId="3" fontId="0" fillId="0" borderId="0" xfId="0" applyNumberFormat="1"/>
    <xf numFmtId="43" fontId="0" fillId="0" borderId="0" xfId="1" applyFont="1"/>
    <xf numFmtId="16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13" zoomScale="115" zoomScaleNormal="115" workbookViewId="0">
      <selection activeCell="M48" sqref="M48"/>
    </sheetView>
  </sheetViews>
  <sheetFormatPr defaultRowHeight="15"/>
  <cols>
    <col min="1" max="1" width="29.85546875" bestFit="1" customWidth="1"/>
    <col min="2" max="12" width="13.5703125" bestFit="1" customWidth="1"/>
    <col min="13" max="13" width="14" bestFit="1" customWidth="1"/>
    <col min="14" max="14" width="13.42578125" bestFit="1" customWidth="1"/>
  </cols>
  <sheetData>
    <row r="1" spans="1:14">
      <c r="A1" s="1" t="s">
        <v>0</v>
      </c>
    </row>
    <row r="2" spans="1:14">
      <c r="A2" t="s">
        <v>1</v>
      </c>
      <c r="B2" s="8">
        <v>2029</v>
      </c>
      <c r="C2" s="8">
        <v>2030</v>
      </c>
      <c r="D2" s="8">
        <v>2031</v>
      </c>
      <c r="E2" s="8">
        <v>2032</v>
      </c>
      <c r="F2" s="8">
        <v>2033</v>
      </c>
      <c r="G2" s="8">
        <v>2034</v>
      </c>
      <c r="H2" s="8">
        <v>2035</v>
      </c>
      <c r="I2" s="8">
        <v>2036</v>
      </c>
      <c r="J2" s="8">
        <v>2037</v>
      </c>
      <c r="K2" s="8">
        <v>2038</v>
      </c>
      <c r="L2" s="8">
        <v>2039</v>
      </c>
      <c r="M2" s="9" t="s">
        <v>2</v>
      </c>
    </row>
    <row r="3" spans="1:14">
      <c r="A3" t="s">
        <v>3</v>
      </c>
      <c r="B3" s="3">
        <v>8109</v>
      </c>
      <c r="C3" s="3">
        <v>8109</v>
      </c>
      <c r="D3" s="3">
        <v>8109</v>
      </c>
      <c r="E3" s="3">
        <v>8109</v>
      </c>
      <c r="F3" s="3">
        <v>8109</v>
      </c>
      <c r="G3" s="3">
        <v>8109</v>
      </c>
      <c r="H3" s="3">
        <v>8109</v>
      </c>
      <c r="I3" s="3">
        <v>8109</v>
      </c>
      <c r="J3" s="3">
        <v>8109</v>
      </c>
      <c r="K3" s="3">
        <v>8109</v>
      </c>
      <c r="L3" s="3">
        <v>8109</v>
      </c>
    </row>
    <row r="4" spans="1:14">
      <c r="A4" t="s">
        <v>4</v>
      </c>
      <c r="B4">
        <v>0.73740000000000006</v>
      </c>
      <c r="C4">
        <v>0.75170000000000003</v>
      </c>
      <c r="D4">
        <v>0.74019999999999997</v>
      </c>
      <c r="E4">
        <v>0.75180000000000002</v>
      </c>
      <c r="F4">
        <v>0.71719999999999995</v>
      </c>
      <c r="G4">
        <v>0.70069999999999999</v>
      </c>
      <c r="H4">
        <v>0.69620000000000004</v>
      </c>
      <c r="I4">
        <v>0.69969999999999999</v>
      </c>
      <c r="J4">
        <v>0.69779999999999998</v>
      </c>
      <c r="K4">
        <v>0.67130000000000001</v>
      </c>
      <c r="L4">
        <v>0.69699999999999995</v>
      </c>
    </row>
    <row r="5" spans="1:14">
      <c r="A5" t="s">
        <v>5</v>
      </c>
      <c r="B5" s="6">
        <v>3.92</v>
      </c>
      <c r="C5" s="6">
        <v>3.93</v>
      </c>
      <c r="D5" s="6">
        <v>3.97</v>
      </c>
      <c r="E5" s="6">
        <v>3.9</v>
      </c>
      <c r="F5" s="6">
        <v>3.95</v>
      </c>
      <c r="G5" s="6">
        <v>4.03</v>
      </c>
      <c r="H5" s="6">
        <v>4.1900000000000004</v>
      </c>
      <c r="I5" s="6">
        <v>4.3</v>
      </c>
      <c r="J5" s="6">
        <v>4.4000000000000004</v>
      </c>
      <c r="K5" s="6">
        <v>4.51</v>
      </c>
      <c r="L5" s="6">
        <v>4.62</v>
      </c>
    </row>
    <row r="6" spans="1:14">
      <c r="A6" t="s">
        <v>6</v>
      </c>
      <c r="B6" s="4">
        <v>52.190858205556481</v>
      </c>
      <c r="C6" s="4">
        <v>52.947578351393332</v>
      </c>
      <c r="D6" s="4">
        <v>54.055879593569536</v>
      </c>
      <c r="E6" s="4">
        <v>54.253027405828185</v>
      </c>
      <c r="F6" s="4">
        <v>54.422220052048267</v>
      </c>
      <c r="G6" s="4">
        <v>55.067881644579579</v>
      </c>
      <c r="H6" s="4">
        <v>56.766585079068186</v>
      </c>
      <c r="I6" s="4">
        <v>58.421155534371344</v>
      </c>
      <c r="J6" s="4">
        <v>58.589070804995799</v>
      </c>
      <c r="K6" s="4">
        <v>58.490757123602464</v>
      </c>
      <c r="L6" s="4">
        <v>58.171654429951019</v>
      </c>
    </row>
    <row r="7" spans="1:14">
      <c r="A7" t="s">
        <v>7</v>
      </c>
      <c r="B7" s="2">
        <f t="shared" ref="B7:L7" si="0">(B6-((B3/1000)*B5))*B8</f>
        <v>28205080.900972772</v>
      </c>
      <c r="C7" s="2">
        <f t="shared" si="0"/>
        <v>29704122.434036549</v>
      </c>
      <c r="D7" s="2">
        <f t="shared" si="0"/>
        <v>30337492.824976813</v>
      </c>
      <c r="E7" s="2">
        <f t="shared" si="0"/>
        <v>31890767.966144022</v>
      </c>
      <c r="F7" s="2">
        <f t="shared" si="0"/>
        <v>30105416.952417832</v>
      </c>
      <c r="G7" s="2">
        <f t="shared" si="0"/>
        <v>29408790.264229633</v>
      </c>
      <c r="H7" s="2">
        <f t="shared" si="0"/>
        <v>29743621.309367809</v>
      </c>
      <c r="I7" s="2">
        <f t="shared" si="0"/>
        <v>30893416.957494847</v>
      </c>
      <c r="J7" s="2">
        <f t="shared" si="0"/>
        <v>29968423.822144393</v>
      </c>
      <c r="K7" s="2">
        <f t="shared" si="0"/>
        <v>27584084.507608946</v>
      </c>
      <c r="L7" s="2">
        <f t="shared" si="0"/>
        <v>27057668.700606272</v>
      </c>
      <c r="M7" s="5">
        <f>SUM(B7:L7)</f>
        <v>324898886.63999993</v>
      </c>
    </row>
    <row r="8" spans="1:14">
      <c r="A8" t="s">
        <v>8</v>
      </c>
      <c r="B8" s="2">
        <f t="shared" ref="B8:L8" si="1">(214*8760*B4)</f>
        <v>1382359.5360000001</v>
      </c>
      <c r="C8" s="2">
        <f t="shared" si="1"/>
        <v>1409166.888</v>
      </c>
      <c r="D8" s="2">
        <f t="shared" si="1"/>
        <v>1387608.5279999999</v>
      </c>
      <c r="E8" s="2">
        <f t="shared" si="1"/>
        <v>1409354.352</v>
      </c>
      <c r="F8" s="2">
        <f t="shared" si="1"/>
        <v>1344491.808</v>
      </c>
      <c r="G8" s="2">
        <f t="shared" si="1"/>
        <v>1313560.2479999999</v>
      </c>
      <c r="H8" s="2">
        <f t="shared" si="1"/>
        <v>1305124.368</v>
      </c>
      <c r="I8" s="2">
        <f t="shared" si="1"/>
        <v>1311685.608</v>
      </c>
      <c r="J8" s="2">
        <f t="shared" si="1"/>
        <v>1308123.7919999999</v>
      </c>
      <c r="K8" s="2">
        <f t="shared" si="1"/>
        <v>1258445.8319999999</v>
      </c>
      <c r="L8" s="2">
        <f t="shared" si="1"/>
        <v>1306624.0799999998</v>
      </c>
      <c r="M8" s="5">
        <f>SUM(B8:L8)</f>
        <v>14736545.039999999</v>
      </c>
    </row>
    <row r="9" spans="1:14">
      <c r="A9" t="s">
        <v>9</v>
      </c>
      <c r="B9" s="2">
        <f t="shared" ref="B9:L9" si="2">-215500*216</f>
        <v>-46548000</v>
      </c>
      <c r="C9" s="2">
        <f t="shared" si="2"/>
        <v>-46548000</v>
      </c>
      <c r="D9" s="2">
        <f t="shared" si="2"/>
        <v>-46548000</v>
      </c>
      <c r="E9" s="2">
        <f t="shared" si="2"/>
        <v>-46548000</v>
      </c>
      <c r="F9" s="2">
        <f t="shared" si="2"/>
        <v>-46548000</v>
      </c>
      <c r="G9" s="2">
        <f t="shared" si="2"/>
        <v>-46548000</v>
      </c>
      <c r="H9" s="2">
        <f t="shared" si="2"/>
        <v>-46548000</v>
      </c>
      <c r="I9" s="2">
        <f t="shared" si="2"/>
        <v>-46548000</v>
      </c>
      <c r="J9" s="2">
        <f t="shared" si="2"/>
        <v>-46548000</v>
      </c>
      <c r="K9" s="2">
        <f t="shared" si="2"/>
        <v>-46548000</v>
      </c>
      <c r="L9" s="2">
        <f t="shared" si="2"/>
        <v>-46548000</v>
      </c>
      <c r="M9" s="5">
        <f>SUM(B9:L9)</f>
        <v>-512028000</v>
      </c>
    </row>
    <row r="10" spans="1:14">
      <c r="A10" t="s">
        <v>10</v>
      </c>
      <c r="B10" s="2">
        <f>-15*216*1000*1.03</f>
        <v>-3337200</v>
      </c>
      <c r="C10" s="2">
        <f t="shared" ref="C10:L10" si="3">-15*216*1000*1.03</f>
        <v>-3337200</v>
      </c>
      <c r="D10" s="2">
        <f t="shared" si="3"/>
        <v>-3337200</v>
      </c>
      <c r="E10" s="2">
        <f t="shared" si="3"/>
        <v>-3337200</v>
      </c>
      <c r="F10" s="2">
        <f t="shared" si="3"/>
        <v>-3337200</v>
      </c>
      <c r="G10" s="2">
        <f t="shared" si="3"/>
        <v>-3337200</v>
      </c>
      <c r="H10" s="2">
        <f t="shared" si="3"/>
        <v>-3337200</v>
      </c>
      <c r="I10" s="2">
        <f t="shared" si="3"/>
        <v>-3337200</v>
      </c>
      <c r="J10" s="2">
        <f t="shared" si="3"/>
        <v>-3337200</v>
      </c>
      <c r="K10" s="2">
        <f t="shared" si="3"/>
        <v>-3337200</v>
      </c>
      <c r="L10" s="2">
        <f t="shared" si="3"/>
        <v>-3337200</v>
      </c>
      <c r="M10" s="5">
        <f>SUM(B10:L10)</f>
        <v>-36709200</v>
      </c>
    </row>
    <row r="11" spans="1:14">
      <c r="A11" t="s">
        <v>11</v>
      </c>
      <c r="B11" s="2">
        <v>383</v>
      </c>
      <c r="C11" s="2">
        <v>558</v>
      </c>
      <c r="D11" s="2">
        <v>404</v>
      </c>
      <c r="E11" s="2">
        <v>420</v>
      </c>
      <c r="F11" s="2">
        <v>437</v>
      </c>
      <c r="G11" s="2">
        <v>469</v>
      </c>
      <c r="H11" s="2">
        <v>500</v>
      </c>
      <c r="I11" s="2">
        <v>467</v>
      </c>
      <c r="J11" s="2">
        <v>575</v>
      </c>
      <c r="K11" s="2">
        <v>590</v>
      </c>
      <c r="L11" s="2">
        <v>606</v>
      </c>
    </row>
    <row r="12" spans="1:14">
      <c r="A12" t="s">
        <v>12</v>
      </c>
      <c r="B12" s="2">
        <f>B11*(214*0.79)*213</f>
        <v>13791745.74</v>
      </c>
      <c r="C12" s="2">
        <f t="shared" ref="C12:D12" si="4">C11*(214*0.79)*365</f>
        <v>34432450.199999996</v>
      </c>
      <c r="D12" s="2">
        <f t="shared" si="4"/>
        <v>24929587.600000001</v>
      </c>
      <c r="E12" s="2">
        <f>E11*(214*0.79)*366</f>
        <v>25987903.199999999</v>
      </c>
      <c r="F12" s="2">
        <f>F11*(214*0.79)*365</f>
        <v>26965915.300000001</v>
      </c>
      <c r="G12" s="2">
        <f t="shared" ref="G12" si="5">G11*(214*0.79)*365</f>
        <v>28940536.100000001</v>
      </c>
      <c r="H12" s="2">
        <f t="shared" ref="H12" si="6">H11*(214*0.79)*365</f>
        <v>30853450</v>
      </c>
      <c r="I12" s="2">
        <f>I11*(214*0.79)*366</f>
        <v>28896073.32</v>
      </c>
      <c r="J12" s="2">
        <f>J11*(214*0.79)*365</f>
        <v>35481467.5</v>
      </c>
      <c r="K12" s="2">
        <f t="shared" ref="K12" si="7">K11*(214*0.79)*365</f>
        <v>36407071</v>
      </c>
      <c r="L12" s="2">
        <f t="shared" ref="L12" si="8">L11*(214*0.79)*365</f>
        <v>37394381.399999999</v>
      </c>
      <c r="M12" s="5">
        <f>SUM(B12:L12)</f>
        <v>324080581.35999995</v>
      </c>
    </row>
    <row r="13" spans="1:14">
      <c r="A13" t="s">
        <v>13</v>
      </c>
      <c r="B13" s="4">
        <v>3.54</v>
      </c>
      <c r="C13" s="4">
        <f>B13*(C6/B6)</f>
        <v>3.5913267918628953</v>
      </c>
      <c r="D13" s="4">
        <f t="shared" ref="D13:L13" si="9">C13*(D6/C6)</f>
        <v>3.666500616019059</v>
      </c>
      <c r="E13" s="4">
        <f t="shared" si="9"/>
        <v>3.6798727520480718</v>
      </c>
      <c r="F13" s="4">
        <f t="shared" si="9"/>
        <v>3.6913487458947363</v>
      </c>
      <c r="G13" s="4">
        <f t="shared" si="9"/>
        <v>3.7351426614605372</v>
      </c>
      <c r="H13" s="4">
        <f t="shared" si="9"/>
        <v>3.8503622682047971</v>
      </c>
      <c r="I13" s="4">
        <f t="shared" si="9"/>
        <v>3.9625884245309564</v>
      </c>
      <c r="J13" s="4">
        <f t="shared" si="9"/>
        <v>3.9739777765831761</v>
      </c>
      <c r="K13" s="4">
        <f t="shared" si="9"/>
        <v>3.9673093590844322</v>
      </c>
      <c r="L13" s="4">
        <f t="shared" si="9"/>
        <v>3.9456652709363307</v>
      </c>
      <c r="M13" s="5"/>
    </row>
    <row r="14" spans="1:14">
      <c r="A14" t="s">
        <v>14</v>
      </c>
      <c r="B14" s="2">
        <f>B13*B8</f>
        <v>4893552.7574400008</v>
      </c>
      <c r="C14" s="2">
        <f t="shared" ref="C14:H14" si="10">C13*C8</f>
        <v>5060778.7990804603</v>
      </c>
      <c r="D14" s="2">
        <f t="shared" si="10"/>
        <v>5087667.5227052998</v>
      </c>
      <c r="E14" s="2">
        <f t="shared" si="10"/>
        <v>5186244.6779051665</v>
      </c>
      <c r="F14" s="2">
        <f t="shared" si="10"/>
        <v>4962988.1493265461</v>
      </c>
      <c r="G14" s="2">
        <f t="shared" si="10"/>
        <v>4906334.9207034828</v>
      </c>
      <c r="H14" s="2">
        <f t="shared" si="10"/>
        <v>5025201.6218618322</v>
      </c>
      <c r="I14" s="2">
        <f t="shared" ref="I14" si="11">I13*I8</f>
        <v>5197670.2068846496</v>
      </c>
      <c r="J14" s="2">
        <f t="shared" ref="J14" si="12">J13*J8</f>
        <v>5198454.8784277122</v>
      </c>
      <c r="K14" s="2">
        <f t="shared" ref="K14" si="13">K13*K8</f>
        <v>4992643.9271943951</v>
      </c>
      <c r="L14" s="2">
        <f t="shared" ref="L14" si="14">L13*L8</f>
        <v>5155501.2546251332</v>
      </c>
      <c r="M14" s="5">
        <f>SUM(B14:L14)</f>
        <v>55667038.716154687</v>
      </c>
    </row>
    <row r="15" spans="1:14">
      <c r="A15" t="s">
        <v>15</v>
      </c>
      <c r="B15" s="2">
        <f>B7+B12+B9+B10+B14</f>
        <v>-2994820.6015872285</v>
      </c>
      <c r="C15" s="2">
        <f t="shared" ref="C15:L15" si="15">C7+C12+C9+C10+C14</f>
        <v>19312151.433117002</v>
      </c>
      <c r="D15" s="2">
        <f t="shared" si="15"/>
        <v>10469547.947682111</v>
      </c>
      <c r="E15" s="2">
        <f t="shared" si="15"/>
        <v>13179715.844049187</v>
      </c>
      <c r="F15" s="2">
        <f t="shared" si="15"/>
        <v>12149120.401744379</v>
      </c>
      <c r="G15" s="2">
        <f t="shared" si="15"/>
        <v>13370461.284933116</v>
      </c>
      <c r="H15" s="2">
        <f t="shared" si="15"/>
        <v>15737072.931229638</v>
      </c>
      <c r="I15" s="2">
        <f t="shared" si="15"/>
        <v>15101960.484379496</v>
      </c>
      <c r="J15" s="2">
        <f t="shared" si="15"/>
        <v>20763146.200572103</v>
      </c>
      <c r="K15" s="2">
        <f t="shared" si="15"/>
        <v>19098599.434803344</v>
      </c>
      <c r="L15" s="2">
        <f t="shared" si="15"/>
        <v>19722351.355231404</v>
      </c>
      <c r="M15" s="5">
        <f>SUM(B15:L15)</f>
        <v>155909306.71615455</v>
      </c>
    </row>
    <row r="16" spans="1:14">
      <c r="A16" t="s">
        <v>16</v>
      </c>
      <c r="B16" s="2">
        <v>16360714</v>
      </c>
      <c r="C16" s="2">
        <v>16462147</v>
      </c>
      <c r="D16" s="2">
        <v>16559135</v>
      </c>
      <c r="E16" s="2">
        <v>16707526</v>
      </c>
      <c r="F16" s="2">
        <v>16799186</v>
      </c>
      <c r="G16" s="2">
        <v>16941716</v>
      </c>
      <c r="H16" s="2">
        <v>17103428</v>
      </c>
      <c r="I16" s="2">
        <v>17323104</v>
      </c>
      <c r="J16" s="2">
        <v>17434858</v>
      </c>
      <c r="K16" s="2">
        <v>17592120</v>
      </c>
      <c r="L16" s="2">
        <v>17750054</v>
      </c>
      <c r="M16" s="5">
        <f>SUM(B16:L16)</f>
        <v>187033988</v>
      </c>
      <c r="N16" s="5"/>
    </row>
    <row r="17" spans="1:13">
      <c r="A17" t="s">
        <v>17</v>
      </c>
      <c r="B17" s="4">
        <f t="shared" ref="B17:M17" si="16">B15/B16</f>
        <v>-0.183049505149178</v>
      </c>
      <c r="C17" s="4">
        <f t="shared" si="16"/>
        <v>1.1731247104716658</v>
      </c>
      <c r="D17" s="4">
        <f t="shared" si="16"/>
        <v>0.63225210421209266</v>
      </c>
      <c r="E17" s="4">
        <f t="shared" si="16"/>
        <v>0.78884903989071675</v>
      </c>
      <c r="F17" s="4">
        <f t="shared" si="16"/>
        <v>0.72319696929032029</v>
      </c>
      <c r="G17" s="4">
        <f t="shared" si="16"/>
        <v>0.78920348357469317</v>
      </c>
      <c r="H17" s="4">
        <f t="shared" si="16"/>
        <v>0.92011220974120733</v>
      </c>
      <c r="I17" s="4">
        <f t="shared" si="16"/>
        <v>0.8717814361894668</v>
      </c>
      <c r="J17" s="4">
        <f t="shared" si="16"/>
        <v>1.1908984977435493</v>
      </c>
      <c r="K17" s="4">
        <f t="shared" si="16"/>
        <v>1.0856337630031709</v>
      </c>
      <c r="L17" s="4">
        <f t="shared" si="16"/>
        <v>1.1111150059166808</v>
      </c>
      <c r="M17" s="4">
        <f t="shared" si="16"/>
        <v>0.83358810012731244</v>
      </c>
    </row>
    <row r="19" spans="1:13">
      <c r="A19" s="1" t="s">
        <v>18</v>
      </c>
    </row>
    <row r="20" spans="1:13">
      <c r="A20" t="s">
        <v>1</v>
      </c>
      <c r="B20" s="8">
        <v>2029</v>
      </c>
      <c r="C20" s="8">
        <v>2030</v>
      </c>
      <c r="D20" s="8">
        <v>2031</v>
      </c>
      <c r="E20" s="8">
        <v>2032</v>
      </c>
      <c r="F20" s="8">
        <v>2033</v>
      </c>
      <c r="G20" s="8">
        <v>2034</v>
      </c>
      <c r="H20" s="8">
        <v>2035</v>
      </c>
      <c r="I20" s="8">
        <v>2036</v>
      </c>
      <c r="J20" s="8">
        <v>2037</v>
      </c>
      <c r="K20" s="8">
        <v>2038</v>
      </c>
      <c r="L20" s="8">
        <v>2039</v>
      </c>
      <c r="M20" s="9" t="s">
        <v>2</v>
      </c>
    </row>
    <row r="21" spans="1:13">
      <c r="A21" t="s">
        <v>3</v>
      </c>
      <c r="B21" s="3">
        <v>9717</v>
      </c>
      <c r="C21" s="3">
        <v>9717</v>
      </c>
      <c r="D21" s="3">
        <v>9717</v>
      </c>
      <c r="E21" s="3">
        <v>9717</v>
      </c>
      <c r="F21" s="3">
        <v>9717</v>
      </c>
      <c r="G21" s="3">
        <v>9717</v>
      </c>
      <c r="H21" s="3">
        <v>9717</v>
      </c>
      <c r="I21" s="3">
        <v>9717</v>
      </c>
      <c r="J21" s="3">
        <v>9717</v>
      </c>
      <c r="K21" s="3">
        <v>9717</v>
      </c>
      <c r="L21" s="3">
        <v>9717</v>
      </c>
    </row>
    <row r="22" spans="1:13">
      <c r="A22" t="s">
        <v>4</v>
      </c>
      <c r="B22">
        <v>0.37490000000000001</v>
      </c>
      <c r="C22">
        <v>0.38929999999999998</v>
      </c>
      <c r="D22">
        <v>0.38200000000000001</v>
      </c>
      <c r="E22">
        <v>0.39679999999999999</v>
      </c>
      <c r="F22">
        <v>0.35809999999999997</v>
      </c>
      <c r="G22">
        <v>0.35420000000000001</v>
      </c>
      <c r="H22">
        <v>0.33660000000000001</v>
      </c>
      <c r="I22">
        <v>0.3332</v>
      </c>
      <c r="J22">
        <v>0.32129999999999997</v>
      </c>
      <c r="K22">
        <v>0.31869999999999998</v>
      </c>
      <c r="L22">
        <v>0.30990000000000001</v>
      </c>
    </row>
    <row r="23" spans="1:13">
      <c r="A23" t="s">
        <v>5</v>
      </c>
      <c r="B23" s="6">
        <v>3.92</v>
      </c>
      <c r="C23" s="6">
        <v>3.93</v>
      </c>
      <c r="D23" s="6">
        <v>3.97</v>
      </c>
      <c r="E23" s="6">
        <v>3.9</v>
      </c>
      <c r="F23" s="6">
        <v>3.95</v>
      </c>
      <c r="G23" s="6">
        <v>4.03</v>
      </c>
      <c r="H23" s="6">
        <v>4.1900000000000004</v>
      </c>
      <c r="I23" s="6">
        <v>4.3</v>
      </c>
      <c r="J23" s="6">
        <v>4.4000000000000004</v>
      </c>
      <c r="K23" s="6">
        <v>4.51</v>
      </c>
      <c r="L23" s="6">
        <v>4.62</v>
      </c>
    </row>
    <row r="24" spans="1:13">
      <c r="A24" t="s">
        <v>6</v>
      </c>
      <c r="B24" s="7">
        <v>52.190858205556481</v>
      </c>
      <c r="C24" s="7">
        <v>52.947578351393332</v>
      </c>
      <c r="D24" s="7">
        <v>54.055879593569536</v>
      </c>
      <c r="E24" s="7">
        <v>54.253027405828185</v>
      </c>
      <c r="F24" s="7">
        <v>54.422220052048267</v>
      </c>
      <c r="G24" s="7">
        <v>55.067881644579579</v>
      </c>
      <c r="H24" s="7">
        <v>56.766585079068186</v>
      </c>
      <c r="I24" s="7">
        <v>58.421155534371344</v>
      </c>
      <c r="J24" s="7">
        <v>58.589070804995799</v>
      </c>
      <c r="K24" s="7">
        <v>58.490757123602464</v>
      </c>
      <c r="L24" s="7">
        <v>58.171654429951019</v>
      </c>
    </row>
    <row r="25" spans="1:13">
      <c r="A25" t="s">
        <v>7</v>
      </c>
      <c r="B25" s="2">
        <f t="shared" ref="B25" si="17">(B24-((B21/1000)*B23))*B26</f>
        <v>9909669.1130184624</v>
      </c>
      <c r="C25" s="2">
        <f t="shared" ref="C25" si="18">(C24-((C21/1000)*C23))*C26</f>
        <v>10771639.858980255</v>
      </c>
      <c r="D25" s="2">
        <f t="shared" ref="D25" si="19">(D24-((D21/1000)*D23))*D26</f>
        <v>11084984.070737267</v>
      </c>
      <c r="E25" s="2">
        <f t="shared" ref="E25" si="20">(E24-((E21/1000)*E23))*E26</f>
        <v>12167068.664139699</v>
      </c>
      <c r="F25" s="2">
        <f t="shared" ref="F25" si="21">(F24-((F21/1000)*F23))*F26</f>
        <v>10767836.713901326</v>
      </c>
      <c r="G25" s="2">
        <f t="shared" ref="G25" si="22">(G24-((G21/1000)*G23))*G26</f>
        <v>10563118.810171267</v>
      </c>
      <c r="H25" s="2">
        <f t="shared" ref="H25" si="23">(H24-((H21/1000)*H23))*H26</f>
        <v>10129097.439097842</v>
      </c>
      <c r="I25" s="2">
        <f t="shared" ref="I25" si="24">(I24-((I21/1000)*I23))*I26</f>
        <v>10392629.42706104</v>
      </c>
      <c r="J25" s="2">
        <f t="shared" ref="J25" si="25">(J24-((J21/1000)*J23))*J26</f>
        <v>9537326.999649182</v>
      </c>
      <c r="K25" s="2">
        <f t="shared" ref="K25" si="26">(K24-((K21/1000)*K23))*K26</f>
        <v>8762818.4650578313</v>
      </c>
      <c r="L25" s="2">
        <f t="shared" ref="L25" si="27">(L24-((L21/1000)*L23))*L26</f>
        <v>7714513.9573311489</v>
      </c>
      <c r="M25" s="5">
        <f>SUM(B25:L25)</f>
        <v>111800703.51914532</v>
      </c>
    </row>
    <row r="26" spans="1:13">
      <c r="A26" t="s">
        <v>8</v>
      </c>
      <c r="B26" s="2">
        <f t="shared" ref="B26:L26" si="28">(214*8760*B22)</f>
        <v>702802.53599999996</v>
      </c>
      <c r="C26" s="2">
        <f t="shared" si="28"/>
        <v>729797.35199999996</v>
      </c>
      <c r="D26" s="2">
        <f t="shared" si="28"/>
        <v>716112.48</v>
      </c>
      <c r="E26" s="2">
        <f t="shared" si="28"/>
        <v>743857.152</v>
      </c>
      <c r="F26" s="2">
        <f t="shared" si="28"/>
        <v>671308.58399999992</v>
      </c>
      <c r="G26" s="2">
        <f t="shared" si="28"/>
        <v>663997.48800000001</v>
      </c>
      <c r="H26" s="2">
        <f t="shared" si="28"/>
        <v>631003.82400000002</v>
      </c>
      <c r="I26" s="2">
        <f t="shared" si="28"/>
        <v>624630.04799999995</v>
      </c>
      <c r="J26" s="2">
        <f t="shared" si="28"/>
        <v>602321.83199999994</v>
      </c>
      <c r="K26" s="2">
        <f t="shared" si="28"/>
        <v>597447.76799999992</v>
      </c>
      <c r="L26" s="2">
        <f t="shared" si="28"/>
        <v>580950.93599999999</v>
      </c>
      <c r="M26" s="5">
        <f>SUM(B26:L26)</f>
        <v>7264230</v>
      </c>
    </row>
    <row r="27" spans="1:13">
      <c r="A27" t="s">
        <v>9</v>
      </c>
      <c r="B27" s="2">
        <f t="shared" ref="B27:L27" si="29">-143500*216</f>
        <v>-30996000</v>
      </c>
      <c r="C27" s="2">
        <f t="shared" si="29"/>
        <v>-30996000</v>
      </c>
      <c r="D27" s="2">
        <f t="shared" si="29"/>
        <v>-30996000</v>
      </c>
      <c r="E27" s="2">
        <f t="shared" si="29"/>
        <v>-30996000</v>
      </c>
      <c r="F27" s="2">
        <f t="shared" si="29"/>
        <v>-30996000</v>
      </c>
      <c r="G27" s="2">
        <f t="shared" si="29"/>
        <v>-30996000</v>
      </c>
      <c r="H27" s="2">
        <f t="shared" si="29"/>
        <v>-30996000</v>
      </c>
      <c r="I27" s="2">
        <f t="shared" si="29"/>
        <v>-30996000</v>
      </c>
      <c r="J27" s="2">
        <f t="shared" si="29"/>
        <v>-30996000</v>
      </c>
      <c r="K27" s="2">
        <f t="shared" si="29"/>
        <v>-30996000</v>
      </c>
      <c r="L27" s="2">
        <f t="shared" si="29"/>
        <v>-30996000</v>
      </c>
      <c r="M27" s="5">
        <f>SUM(B27:L27)</f>
        <v>-340956000</v>
      </c>
    </row>
    <row r="28" spans="1:13">
      <c r="A28" t="s">
        <v>10</v>
      </c>
      <c r="B28" s="2">
        <f>-26*216*1000*1.03</f>
        <v>-5784480</v>
      </c>
      <c r="C28" s="2">
        <f t="shared" ref="C28:L28" si="30">-26*216*1000*1.03</f>
        <v>-5784480</v>
      </c>
      <c r="D28" s="2">
        <f t="shared" si="30"/>
        <v>-5784480</v>
      </c>
      <c r="E28" s="2">
        <f t="shared" si="30"/>
        <v>-5784480</v>
      </c>
      <c r="F28" s="2">
        <f t="shared" si="30"/>
        <v>-5784480</v>
      </c>
      <c r="G28" s="2">
        <f t="shared" si="30"/>
        <v>-5784480</v>
      </c>
      <c r="H28" s="2">
        <f t="shared" si="30"/>
        <v>-5784480</v>
      </c>
      <c r="I28" s="2">
        <f t="shared" si="30"/>
        <v>-5784480</v>
      </c>
      <c r="J28" s="2">
        <f t="shared" si="30"/>
        <v>-5784480</v>
      </c>
      <c r="K28" s="2">
        <f t="shared" si="30"/>
        <v>-5784480</v>
      </c>
      <c r="L28" s="2">
        <f t="shared" si="30"/>
        <v>-5784480</v>
      </c>
      <c r="M28" s="5">
        <f>SUM(B28:L28)</f>
        <v>-63629280</v>
      </c>
    </row>
    <row r="29" spans="1:13">
      <c r="A29" t="s">
        <v>11</v>
      </c>
      <c r="B29" s="2">
        <f t="shared" ref="B29:L29" si="31">B11</f>
        <v>383</v>
      </c>
      <c r="C29" s="2">
        <f t="shared" si="31"/>
        <v>558</v>
      </c>
      <c r="D29" s="2">
        <f t="shared" si="31"/>
        <v>404</v>
      </c>
      <c r="E29" s="2">
        <f t="shared" si="31"/>
        <v>420</v>
      </c>
      <c r="F29" s="2">
        <f t="shared" si="31"/>
        <v>437</v>
      </c>
      <c r="G29" s="2">
        <f t="shared" si="31"/>
        <v>469</v>
      </c>
      <c r="H29" s="2">
        <f t="shared" si="31"/>
        <v>500</v>
      </c>
      <c r="I29" s="2">
        <f t="shared" si="31"/>
        <v>467</v>
      </c>
      <c r="J29" s="2">
        <f t="shared" si="31"/>
        <v>575</v>
      </c>
      <c r="K29" s="2">
        <f t="shared" si="31"/>
        <v>590</v>
      </c>
      <c r="L29" s="2">
        <f t="shared" si="31"/>
        <v>606</v>
      </c>
    </row>
    <row r="30" spans="1:13">
      <c r="A30" t="s">
        <v>12</v>
      </c>
      <c r="B30" s="2">
        <f>B29*(214*0.79)*213</f>
        <v>13791745.74</v>
      </c>
      <c r="C30" s="2">
        <f t="shared" ref="C30" si="32">C29*(214*0.79)*365</f>
        <v>34432450.199999996</v>
      </c>
      <c r="D30" s="2">
        <f t="shared" ref="D30" si="33">D29*(214*0.79)*365</f>
        <v>24929587.600000001</v>
      </c>
      <c r="E30" s="2">
        <f>E29*(214*0.79)*366</f>
        <v>25987903.199999999</v>
      </c>
      <c r="F30" s="2">
        <f>F29*(214*0.79)*365</f>
        <v>26965915.300000001</v>
      </c>
      <c r="G30" s="2">
        <f t="shared" ref="G30" si="34">G29*(214*0.79)*365</f>
        <v>28940536.100000001</v>
      </c>
      <c r="H30" s="2">
        <f t="shared" ref="H30" si="35">H29*(214*0.79)*365</f>
        <v>30853450</v>
      </c>
      <c r="I30" s="2">
        <f>I29*(214*0.79)*366</f>
        <v>28896073.32</v>
      </c>
      <c r="J30" s="2">
        <f>J29*(214*0.79)*365</f>
        <v>35481467.5</v>
      </c>
      <c r="K30" s="2">
        <f t="shared" ref="K30" si="36">K29*(214*0.79)*365</f>
        <v>36407071</v>
      </c>
      <c r="L30" s="2">
        <f t="shared" ref="L30" si="37">L29*(214*0.79)*365</f>
        <v>37394381.399999999</v>
      </c>
      <c r="M30" s="5">
        <f>SUM(B30:L30)</f>
        <v>324080581.35999995</v>
      </c>
    </row>
    <row r="31" spans="1:13">
      <c r="A31" t="s">
        <v>13</v>
      </c>
      <c r="B31" s="4">
        <v>3.54</v>
      </c>
      <c r="C31" s="4">
        <f>B31*(C24/B24)</f>
        <v>3.5913267918628953</v>
      </c>
      <c r="D31" s="4">
        <f t="shared" ref="D31:L31" si="38">C31*(D24/C24)</f>
        <v>3.666500616019059</v>
      </c>
      <c r="E31" s="4">
        <f t="shared" si="38"/>
        <v>3.6798727520480718</v>
      </c>
      <c r="F31" s="4">
        <f t="shared" si="38"/>
        <v>3.6913487458947363</v>
      </c>
      <c r="G31" s="4">
        <f t="shared" si="38"/>
        <v>3.7351426614605372</v>
      </c>
      <c r="H31" s="4">
        <f t="shared" si="38"/>
        <v>3.8503622682047971</v>
      </c>
      <c r="I31" s="4">
        <f t="shared" si="38"/>
        <v>3.9625884245309564</v>
      </c>
      <c r="J31" s="4">
        <f t="shared" si="38"/>
        <v>3.9739777765831761</v>
      </c>
      <c r="K31" s="4">
        <f t="shared" si="38"/>
        <v>3.9673093590844322</v>
      </c>
      <c r="L31" s="4">
        <f t="shared" si="38"/>
        <v>3.9456652709363307</v>
      </c>
      <c r="M31" s="5"/>
    </row>
    <row r="32" spans="1:13">
      <c r="A32" t="s">
        <v>14</v>
      </c>
      <c r="B32" s="2">
        <f>B31*B26</f>
        <v>2487920.97744</v>
      </c>
      <c r="C32" s="2">
        <f t="shared" ref="C32:L32" si="39">C31*C26</f>
        <v>2620940.7828681958</v>
      </c>
      <c r="D32" s="2">
        <f t="shared" si="39"/>
        <v>2625626.8490589359</v>
      </c>
      <c r="E32" s="2">
        <f t="shared" si="39"/>
        <v>2737299.6650608811</v>
      </c>
      <c r="F32" s="2">
        <f t="shared" si="39"/>
        <v>2478034.0996567709</v>
      </c>
      <c r="G32" s="2">
        <f t="shared" si="39"/>
        <v>2480125.3445314313</v>
      </c>
      <c r="H32" s="2">
        <f t="shared" si="39"/>
        <v>2429593.3150225407</v>
      </c>
      <c r="I32" s="2">
        <f t="shared" si="39"/>
        <v>2475151.7978190156</v>
      </c>
      <c r="J32" s="2">
        <f t="shared" si="39"/>
        <v>2393613.5747188651</v>
      </c>
      <c r="K32" s="2">
        <f t="shared" si="39"/>
        <v>2370260.1215505041</v>
      </c>
      <c r="L32" s="2">
        <f t="shared" si="39"/>
        <v>2292237.9322931548</v>
      </c>
      <c r="M32" s="5">
        <f>SUM(B32:L32)</f>
        <v>27390804.460020296</v>
      </c>
    </row>
    <row r="33" spans="1:13">
      <c r="A33" t="s">
        <v>15</v>
      </c>
      <c r="B33" s="2">
        <f>B25+B30+B27+B28+B32</f>
        <v>-10591144.169541538</v>
      </c>
      <c r="C33" s="2">
        <f t="shared" ref="C33:L33" si="40">C25+C30+C27+C28+C32</f>
        <v>11044550.841848444</v>
      </c>
      <c r="D33" s="2">
        <f t="shared" si="40"/>
        <v>1859718.5197962024</v>
      </c>
      <c r="E33" s="2">
        <f t="shared" si="40"/>
        <v>4111791.5292005795</v>
      </c>
      <c r="F33" s="2">
        <f t="shared" si="40"/>
        <v>3431306.113558094</v>
      </c>
      <c r="G33" s="2">
        <f t="shared" si="40"/>
        <v>5203300.2547027022</v>
      </c>
      <c r="H33" s="2">
        <f t="shared" si="40"/>
        <v>6631660.7541203853</v>
      </c>
      <c r="I33" s="2">
        <f t="shared" si="40"/>
        <v>4983374.5448800595</v>
      </c>
      <c r="J33" s="2">
        <f t="shared" si="40"/>
        <v>10631928.074368047</v>
      </c>
      <c r="K33" s="2">
        <f t="shared" si="40"/>
        <v>10759669.586608339</v>
      </c>
      <c r="L33" s="2">
        <f t="shared" si="40"/>
        <v>10620653.289624304</v>
      </c>
      <c r="M33" s="5">
        <f>SUM(B33:L33)</f>
        <v>58686809.339165613</v>
      </c>
    </row>
    <row r="34" spans="1:13">
      <c r="A34" t="s">
        <v>16</v>
      </c>
      <c r="B34" s="2">
        <v>16360714</v>
      </c>
      <c r="C34" s="2">
        <v>16462147</v>
      </c>
      <c r="D34" s="2">
        <v>16559135</v>
      </c>
      <c r="E34" s="2">
        <v>16707526</v>
      </c>
      <c r="F34" s="2">
        <v>16799186</v>
      </c>
      <c r="G34" s="2">
        <v>16941716</v>
      </c>
      <c r="H34" s="2">
        <v>17103428</v>
      </c>
      <c r="I34" s="2">
        <v>17323104</v>
      </c>
      <c r="J34" s="2">
        <v>17434858</v>
      </c>
      <c r="K34" s="2">
        <v>17592120</v>
      </c>
      <c r="L34" s="2">
        <v>17750054</v>
      </c>
      <c r="M34" s="5">
        <f>SUM(B34:L34)</f>
        <v>187033988</v>
      </c>
    </row>
    <row r="35" spans="1:13">
      <c r="A35" t="s">
        <v>17</v>
      </c>
      <c r="B35" s="4">
        <f t="shared" ref="B35" si="41">B33/B34</f>
        <v>-0.64735219804841881</v>
      </c>
      <c r="C35" s="4">
        <f t="shared" ref="C35" si="42">C33/C34</f>
        <v>0.67090585704576955</v>
      </c>
      <c r="D35" s="4">
        <f t="shared" ref="D35" si="43">D33/D34</f>
        <v>0.11230770929738797</v>
      </c>
      <c r="E35" s="4">
        <f t="shared" ref="E35" si="44">E33/E34</f>
        <v>0.24610415265555052</v>
      </c>
      <c r="F35" s="4">
        <f t="shared" ref="F35" si="45">F33/F34</f>
        <v>0.20425430812886375</v>
      </c>
      <c r="G35" s="4">
        <f t="shared" ref="G35" si="46">G33/G34</f>
        <v>0.30712946992516593</v>
      </c>
      <c r="H35" s="4">
        <f t="shared" ref="H35" si="47">H33/H34</f>
        <v>0.38773868923354926</v>
      </c>
      <c r="I35" s="4">
        <f t="shared" ref="I35" si="48">I33/I34</f>
        <v>0.28767214841405209</v>
      </c>
      <c r="J35" s="4">
        <f t="shared" ref="J35" si="49">J33/J34</f>
        <v>0.60980869900793266</v>
      </c>
      <c r="K35" s="4">
        <f t="shared" ref="K35" si="50">K33/K34</f>
        <v>0.61161870124853279</v>
      </c>
      <c r="L35" s="4">
        <f t="shared" ref="L35" si="51">L33/L34</f>
        <v>0.598344843887478</v>
      </c>
      <c r="M35" s="4">
        <f t="shared" ref="M35" si="52">M33/M34</f>
        <v>0.31377617494401933</v>
      </c>
    </row>
    <row r="37" spans="1:13">
      <c r="A37" s="1" t="s">
        <v>19</v>
      </c>
    </row>
    <row r="38" spans="1:13">
      <c r="A38" t="s">
        <v>1</v>
      </c>
      <c r="B38" s="8">
        <v>2029</v>
      </c>
      <c r="C38" s="8">
        <v>2030</v>
      </c>
      <c r="D38" s="8">
        <v>2031</v>
      </c>
      <c r="E38" s="8">
        <v>2032</v>
      </c>
      <c r="F38" s="8">
        <v>2033</v>
      </c>
      <c r="G38" s="8">
        <v>2034</v>
      </c>
      <c r="H38" s="8">
        <v>2035</v>
      </c>
      <c r="I38" s="8">
        <v>2036</v>
      </c>
      <c r="J38" s="8">
        <v>2037</v>
      </c>
      <c r="K38" s="8">
        <v>2038</v>
      </c>
      <c r="L38" s="8">
        <v>2039</v>
      </c>
      <c r="M38" s="9" t="s">
        <v>2</v>
      </c>
    </row>
    <row r="39" spans="1:13">
      <c r="A39" t="s">
        <v>3</v>
      </c>
      <c r="B39" s="2">
        <f t="shared" ref="B39:L39" si="53">B3-B21</f>
        <v>-1608</v>
      </c>
      <c r="C39" s="2">
        <f t="shared" si="53"/>
        <v>-1608</v>
      </c>
      <c r="D39" s="2">
        <f t="shared" si="53"/>
        <v>-1608</v>
      </c>
      <c r="E39" s="2">
        <f t="shared" si="53"/>
        <v>-1608</v>
      </c>
      <c r="F39" s="2">
        <f t="shared" si="53"/>
        <v>-1608</v>
      </c>
      <c r="G39" s="2">
        <f t="shared" si="53"/>
        <v>-1608</v>
      </c>
      <c r="H39" s="2">
        <f t="shared" si="53"/>
        <v>-1608</v>
      </c>
      <c r="I39" s="2">
        <f t="shared" si="53"/>
        <v>-1608</v>
      </c>
      <c r="J39" s="2">
        <f t="shared" si="53"/>
        <v>-1608</v>
      </c>
      <c r="K39" s="2">
        <f t="shared" si="53"/>
        <v>-1608</v>
      </c>
      <c r="L39" s="2">
        <f t="shared" si="53"/>
        <v>-1608</v>
      </c>
    </row>
    <row r="40" spans="1:13">
      <c r="A40" t="s">
        <v>4</v>
      </c>
      <c r="B40" s="10">
        <f t="shared" ref="B40:L40" si="54">B4-B22</f>
        <v>0.36250000000000004</v>
      </c>
      <c r="C40" s="10">
        <f t="shared" si="54"/>
        <v>0.36240000000000006</v>
      </c>
      <c r="D40" s="10">
        <f t="shared" si="54"/>
        <v>0.35819999999999996</v>
      </c>
      <c r="E40" s="10">
        <f t="shared" si="54"/>
        <v>0.35500000000000004</v>
      </c>
      <c r="F40" s="10">
        <f t="shared" si="54"/>
        <v>0.35909999999999997</v>
      </c>
      <c r="G40" s="10">
        <f t="shared" si="54"/>
        <v>0.34649999999999997</v>
      </c>
      <c r="H40" s="10">
        <f t="shared" si="54"/>
        <v>0.35960000000000003</v>
      </c>
      <c r="I40" s="10">
        <f t="shared" si="54"/>
        <v>0.36649999999999999</v>
      </c>
      <c r="J40" s="10">
        <f t="shared" si="54"/>
        <v>0.3765</v>
      </c>
      <c r="K40" s="10">
        <f t="shared" si="54"/>
        <v>0.35260000000000002</v>
      </c>
      <c r="L40" s="10">
        <f t="shared" si="54"/>
        <v>0.38709999999999994</v>
      </c>
    </row>
    <row r="41" spans="1:13">
      <c r="A41" t="s">
        <v>5</v>
      </c>
      <c r="B41" s="2">
        <f t="shared" ref="B41:L41" si="55">B5-B23</f>
        <v>0</v>
      </c>
      <c r="C41" s="2">
        <f t="shared" si="55"/>
        <v>0</v>
      </c>
      <c r="D41" s="2">
        <f t="shared" si="55"/>
        <v>0</v>
      </c>
      <c r="E41" s="2">
        <f t="shared" si="55"/>
        <v>0</v>
      </c>
      <c r="F41" s="2">
        <f t="shared" si="55"/>
        <v>0</v>
      </c>
      <c r="G41" s="2">
        <f t="shared" si="55"/>
        <v>0</v>
      </c>
      <c r="H41" s="2">
        <f t="shared" si="55"/>
        <v>0</v>
      </c>
      <c r="I41" s="2">
        <f t="shared" si="55"/>
        <v>0</v>
      </c>
      <c r="J41" s="2">
        <f t="shared" si="55"/>
        <v>0</v>
      </c>
      <c r="K41" s="2">
        <f t="shared" si="55"/>
        <v>0</v>
      </c>
      <c r="L41" s="2">
        <f t="shared" si="55"/>
        <v>0</v>
      </c>
    </row>
    <row r="42" spans="1:13">
      <c r="A42" t="s">
        <v>6</v>
      </c>
      <c r="B42" s="2">
        <f t="shared" ref="B42:L42" si="56">B6-B24</f>
        <v>0</v>
      </c>
      <c r="C42" s="2">
        <f t="shared" si="56"/>
        <v>0</v>
      </c>
      <c r="D42" s="2">
        <f t="shared" si="56"/>
        <v>0</v>
      </c>
      <c r="E42" s="2">
        <f t="shared" si="56"/>
        <v>0</v>
      </c>
      <c r="F42" s="2">
        <f t="shared" si="56"/>
        <v>0</v>
      </c>
      <c r="G42" s="2">
        <f t="shared" si="56"/>
        <v>0</v>
      </c>
      <c r="H42" s="2">
        <f t="shared" si="56"/>
        <v>0</v>
      </c>
      <c r="I42" s="2">
        <f t="shared" si="56"/>
        <v>0</v>
      </c>
      <c r="J42" s="2">
        <f t="shared" si="56"/>
        <v>0</v>
      </c>
      <c r="K42" s="2">
        <f t="shared" si="56"/>
        <v>0</v>
      </c>
      <c r="L42" s="2">
        <f t="shared" si="56"/>
        <v>0</v>
      </c>
    </row>
    <row r="43" spans="1:13">
      <c r="A43" t="s">
        <v>7</v>
      </c>
      <c r="B43" s="2">
        <f t="shared" ref="B43:L43" si="57">B7-B25</f>
        <v>18295411.787954308</v>
      </c>
      <c r="C43" s="2">
        <f t="shared" si="57"/>
        <v>18932482.575056292</v>
      </c>
      <c r="D43" s="2">
        <f t="shared" si="57"/>
        <v>19252508.754239544</v>
      </c>
      <c r="E43" s="2">
        <f t="shared" si="57"/>
        <v>19723699.302004322</v>
      </c>
      <c r="F43" s="2">
        <f t="shared" si="57"/>
        <v>19337580.238516506</v>
      </c>
      <c r="G43" s="2">
        <f t="shared" si="57"/>
        <v>18845671.454058364</v>
      </c>
      <c r="H43" s="2">
        <f t="shared" si="57"/>
        <v>19614523.870269969</v>
      </c>
      <c r="I43" s="2">
        <f t="shared" si="57"/>
        <v>20500787.530433808</v>
      </c>
      <c r="J43" s="2">
        <f t="shared" si="57"/>
        <v>20431096.822495211</v>
      </c>
      <c r="K43" s="2">
        <f t="shared" si="57"/>
        <v>18821266.042551115</v>
      </c>
      <c r="L43" s="2">
        <f t="shared" si="57"/>
        <v>19343154.743275121</v>
      </c>
      <c r="M43" s="5">
        <f>SUM(B43:L43)</f>
        <v>213098183.12085456</v>
      </c>
    </row>
    <row r="44" spans="1:13">
      <c r="A44" t="s">
        <v>8</v>
      </c>
      <c r="B44" s="2">
        <f t="shared" ref="B44:L44" si="58">B8-B26</f>
        <v>679557.00000000012</v>
      </c>
      <c r="C44" s="2">
        <f t="shared" si="58"/>
        <v>679369.53600000008</v>
      </c>
      <c r="D44" s="2">
        <f t="shared" si="58"/>
        <v>671496.04799999995</v>
      </c>
      <c r="E44" s="2">
        <f t="shared" si="58"/>
        <v>665497.19999999995</v>
      </c>
      <c r="F44" s="2">
        <f t="shared" si="58"/>
        <v>673183.22400000005</v>
      </c>
      <c r="G44" s="2">
        <f t="shared" si="58"/>
        <v>649562.75999999989</v>
      </c>
      <c r="H44" s="2">
        <f t="shared" si="58"/>
        <v>674120.54399999999</v>
      </c>
      <c r="I44" s="2">
        <f t="shared" si="58"/>
        <v>687055.56</v>
      </c>
      <c r="J44" s="2">
        <f t="shared" si="58"/>
        <v>705801.96</v>
      </c>
      <c r="K44" s="2">
        <f t="shared" si="58"/>
        <v>660998.06400000001</v>
      </c>
      <c r="L44" s="2">
        <f t="shared" si="58"/>
        <v>725673.14399999985</v>
      </c>
      <c r="M44" s="5">
        <f>SUM(B44:L44)</f>
        <v>7472315.0399999991</v>
      </c>
    </row>
    <row r="45" spans="1:13">
      <c r="A45" t="s">
        <v>9</v>
      </c>
      <c r="B45" s="2">
        <f t="shared" ref="B45:L45" si="59">B9-B27</f>
        <v>-15552000</v>
      </c>
      <c r="C45" s="2">
        <f t="shared" si="59"/>
        <v>-15552000</v>
      </c>
      <c r="D45" s="2">
        <f t="shared" si="59"/>
        <v>-15552000</v>
      </c>
      <c r="E45" s="2">
        <f t="shared" si="59"/>
        <v>-15552000</v>
      </c>
      <c r="F45" s="2">
        <f t="shared" si="59"/>
        <v>-15552000</v>
      </c>
      <c r="G45" s="2">
        <f t="shared" si="59"/>
        <v>-15552000</v>
      </c>
      <c r="H45" s="2">
        <f t="shared" si="59"/>
        <v>-15552000</v>
      </c>
      <c r="I45" s="2">
        <f t="shared" si="59"/>
        <v>-15552000</v>
      </c>
      <c r="J45" s="2">
        <f t="shared" si="59"/>
        <v>-15552000</v>
      </c>
      <c r="K45" s="2">
        <f t="shared" si="59"/>
        <v>-15552000</v>
      </c>
      <c r="L45" s="2">
        <f t="shared" si="59"/>
        <v>-15552000</v>
      </c>
      <c r="M45" s="5">
        <f>SUM(B45:L45)</f>
        <v>-171072000</v>
      </c>
    </row>
    <row r="46" spans="1:13">
      <c r="A46" t="s">
        <v>10</v>
      </c>
      <c r="B46" s="2">
        <f t="shared" ref="B46:L48" si="60">B10-B28</f>
        <v>2447280</v>
      </c>
      <c r="C46" s="2">
        <f t="shared" si="60"/>
        <v>2447280</v>
      </c>
      <c r="D46" s="2">
        <f t="shared" si="60"/>
        <v>2447280</v>
      </c>
      <c r="E46" s="2">
        <f t="shared" si="60"/>
        <v>2447280</v>
      </c>
      <c r="F46" s="2">
        <f t="shared" si="60"/>
        <v>2447280</v>
      </c>
      <c r="G46" s="2">
        <f t="shared" si="60"/>
        <v>2447280</v>
      </c>
      <c r="H46" s="2">
        <f t="shared" si="60"/>
        <v>2447280</v>
      </c>
      <c r="I46" s="2">
        <f t="shared" si="60"/>
        <v>2447280</v>
      </c>
      <c r="J46" s="2">
        <f t="shared" si="60"/>
        <v>2447280</v>
      </c>
      <c r="K46" s="2">
        <f t="shared" si="60"/>
        <v>2447280</v>
      </c>
      <c r="L46" s="2">
        <f t="shared" si="60"/>
        <v>2447280</v>
      </c>
      <c r="M46" s="5">
        <f>SUM(B46:L46)</f>
        <v>26920080</v>
      </c>
    </row>
    <row r="47" spans="1:13">
      <c r="A47" t="s">
        <v>11</v>
      </c>
      <c r="B47" s="2">
        <f t="shared" ref="B47:L47" si="61">B11-B29</f>
        <v>0</v>
      </c>
      <c r="C47" s="2">
        <f t="shared" si="61"/>
        <v>0</v>
      </c>
      <c r="D47" s="2">
        <f t="shared" si="61"/>
        <v>0</v>
      </c>
      <c r="E47" s="2">
        <f t="shared" si="61"/>
        <v>0</v>
      </c>
      <c r="F47" s="2">
        <f t="shared" si="61"/>
        <v>0</v>
      </c>
      <c r="G47" s="2">
        <f t="shared" si="61"/>
        <v>0</v>
      </c>
      <c r="H47" s="2">
        <f t="shared" si="61"/>
        <v>0</v>
      </c>
      <c r="I47" s="2">
        <f t="shared" si="61"/>
        <v>0</v>
      </c>
      <c r="J47" s="2">
        <f t="shared" si="61"/>
        <v>0</v>
      </c>
      <c r="K47" s="2">
        <f t="shared" si="61"/>
        <v>0</v>
      </c>
      <c r="L47" s="2">
        <f t="shared" si="61"/>
        <v>0</v>
      </c>
    </row>
    <row r="48" spans="1:13">
      <c r="A48" t="s">
        <v>12</v>
      </c>
      <c r="B48" s="2">
        <f t="shared" si="60"/>
        <v>0</v>
      </c>
      <c r="C48" s="2">
        <f t="shared" si="60"/>
        <v>0</v>
      </c>
      <c r="D48" s="2">
        <f t="shared" si="60"/>
        <v>0</v>
      </c>
      <c r="E48" s="2">
        <f t="shared" si="60"/>
        <v>0</v>
      </c>
      <c r="F48" s="2">
        <f t="shared" si="60"/>
        <v>0</v>
      </c>
      <c r="G48" s="2">
        <f t="shared" si="60"/>
        <v>0</v>
      </c>
      <c r="H48" s="2">
        <f t="shared" si="60"/>
        <v>0</v>
      </c>
      <c r="I48" s="2">
        <f t="shared" si="60"/>
        <v>0</v>
      </c>
      <c r="J48" s="2">
        <f t="shared" si="60"/>
        <v>0</v>
      </c>
      <c r="K48" s="2">
        <f t="shared" si="60"/>
        <v>0</v>
      </c>
      <c r="L48" s="2">
        <f t="shared" si="60"/>
        <v>0</v>
      </c>
      <c r="M48" s="2">
        <f>SUM(B48:L48)</f>
        <v>0</v>
      </c>
    </row>
    <row r="49" spans="1:13">
      <c r="A49" t="s">
        <v>13</v>
      </c>
      <c r="B49" s="2">
        <f t="shared" ref="B49:L49" si="62">B13-B31</f>
        <v>0</v>
      </c>
      <c r="C49" s="2">
        <f t="shared" si="62"/>
        <v>0</v>
      </c>
      <c r="D49" s="2">
        <f t="shared" si="62"/>
        <v>0</v>
      </c>
      <c r="E49" s="2">
        <f t="shared" si="62"/>
        <v>0</v>
      </c>
      <c r="F49" s="2">
        <f t="shared" si="62"/>
        <v>0</v>
      </c>
      <c r="G49" s="2">
        <f t="shared" si="62"/>
        <v>0</v>
      </c>
      <c r="H49" s="2">
        <f t="shared" si="62"/>
        <v>0</v>
      </c>
      <c r="I49" s="2">
        <f t="shared" si="62"/>
        <v>0</v>
      </c>
      <c r="J49" s="2">
        <f t="shared" si="62"/>
        <v>0</v>
      </c>
      <c r="K49" s="2">
        <f t="shared" si="62"/>
        <v>0</v>
      </c>
      <c r="L49" s="2">
        <f t="shared" si="62"/>
        <v>0</v>
      </c>
    </row>
    <row r="50" spans="1:13">
      <c r="A50" t="s">
        <v>14</v>
      </c>
      <c r="B50" s="2">
        <f t="shared" ref="B50:L50" si="63">B14-B32</f>
        <v>2405631.7800000007</v>
      </c>
      <c r="C50" s="2">
        <f t="shared" si="63"/>
        <v>2439838.0162122645</v>
      </c>
      <c r="D50" s="2">
        <f t="shared" si="63"/>
        <v>2462040.6736463639</v>
      </c>
      <c r="E50" s="2">
        <f t="shared" si="63"/>
        <v>2448945.0128442855</v>
      </c>
      <c r="F50" s="2">
        <f t="shared" si="63"/>
        <v>2484954.0496697752</v>
      </c>
      <c r="G50" s="2">
        <f t="shared" si="63"/>
        <v>2426209.5761720515</v>
      </c>
      <c r="H50" s="2">
        <f t="shared" si="63"/>
        <v>2595608.3068392915</v>
      </c>
      <c r="I50" s="2">
        <f t="shared" si="63"/>
        <v>2722518.409065634</v>
      </c>
      <c r="J50" s="2">
        <f t="shared" si="63"/>
        <v>2804841.3037088471</v>
      </c>
      <c r="K50" s="2">
        <f t="shared" si="63"/>
        <v>2622383.805643891</v>
      </c>
      <c r="L50" s="2">
        <f t="shared" si="63"/>
        <v>2863263.3223319785</v>
      </c>
      <c r="M50" s="5">
        <f>SUM(B50:L50)</f>
        <v>28276234.256134387</v>
      </c>
    </row>
    <row r="51" spans="1:13">
      <c r="A51" t="s">
        <v>15</v>
      </c>
      <c r="B51" s="2">
        <f t="shared" ref="B51:L51" si="64">B15-B33</f>
        <v>7596323.5679543093</v>
      </c>
      <c r="C51" s="2">
        <f t="shared" si="64"/>
        <v>8267600.5912685581</v>
      </c>
      <c r="D51" s="2">
        <f t="shared" si="64"/>
        <v>8609829.4278859086</v>
      </c>
      <c r="E51" s="2">
        <f t="shared" si="64"/>
        <v>9067924.3148486074</v>
      </c>
      <c r="F51" s="2">
        <f t="shared" si="64"/>
        <v>8717814.2881862856</v>
      </c>
      <c r="G51" s="2">
        <f t="shared" si="64"/>
        <v>8167161.0302304141</v>
      </c>
      <c r="H51" s="2">
        <f t="shared" si="64"/>
        <v>9105412.1771092527</v>
      </c>
      <c r="I51" s="2">
        <f t="shared" si="64"/>
        <v>10118585.939499438</v>
      </c>
      <c r="J51" s="2">
        <f t="shared" si="64"/>
        <v>10131218.126204057</v>
      </c>
      <c r="K51" s="2">
        <f t="shared" si="64"/>
        <v>8338929.8481950052</v>
      </c>
      <c r="L51" s="2">
        <f t="shared" si="64"/>
        <v>9101698.0656071007</v>
      </c>
      <c r="M51" s="5">
        <f>SUM(B51:L51)</f>
        <v>97222497.376988947</v>
      </c>
    </row>
    <row r="52" spans="1:13">
      <c r="A52" t="s">
        <v>16</v>
      </c>
      <c r="B52" s="2">
        <v>16360714</v>
      </c>
      <c r="C52" s="2">
        <v>16462147</v>
      </c>
      <c r="D52" s="2">
        <v>16559135</v>
      </c>
      <c r="E52" s="2">
        <v>16707526</v>
      </c>
      <c r="F52" s="2">
        <v>16799186</v>
      </c>
      <c r="G52" s="2">
        <v>16941716</v>
      </c>
      <c r="H52" s="2">
        <v>17103428</v>
      </c>
      <c r="I52" s="2">
        <v>17323104</v>
      </c>
      <c r="J52" s="2">
        <v>17434858</v>
      </c>
      <c r="K52" s="2">
        <v>17592120</v>
      </c>
      <c r="L52" s="2">
        <v>17750054</v>
      </c>
      <c r="M52" s="5">
        <f>SUM(B52:L52)</f>
        <v>187033988</v>
      </c>
    </row>
    <row r="53" spans="1:13">
      <c r="A53" t="s">
        <v>17</v>
      </c>
      <c r="B53" s="4">
        <f t="shared" ref="B53:L53" si="65">B17-B35</f>
        <v>0.46430269289924081</v>
      </c>
      <c r="C53" s="4">
        <f t="shared" si="65"/>
        <v>0.50221885342589623</v>
      </c>
      <c r="D53" s="4">
        <f t="shared" si="65"/>
        <v>0.51994439491470468</v>
      </c>
      <c r="E53" s="4">
        <f t="shared" si="65"/>
        <v>0.54274488723516623</v>
      </c>
      <c r="F53" s="4">
        <f t="shared" si="65"/>
        <v>0.51894266116145649</v>
      </c>
      <c r="G53" s="4">
        <f t="shared" si="65"/>
        <v>0.48207401364952723</v>
      </c>
      <c r="H53" s="4">
        <f t="shared" si="65"/>
        <v>0.53237352050765807</v>
      </c>
      <c r="I53" s="4">
        <f t="shared" si="65"/>
        <v>0.58410928777541471</v>
      </c>
      <c r="J53" s="4">
        <f t="shared" si="65"/>
        <v>0.58108979873561661</v>
      </c>
      <c r="K53" s="4">
        <f t="shared" si="65"/>
        <v>0.47401506175463815</v>
      </c>
      <c r="L53" s="4">
        <f t="shared" si="65"/>
        <v>0.51277016202920278</v>
      </c>
      <c r="M53" s="4">
        <f>AVERAGE(B53:L53)</f>
        <v>0.51950775764441115</v>
      </c>
    </row>
    <row r="54" spans="1:13">
      <c r="A54" t="s">
        <v>20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BC2940-063F-4DE7-882F-3EAFA9295472}"/>
</file>

<file path=customXml/itemProps2.xml><?xml version="1.0" encoding="utf-8"?>
<ds:datastoreItem xmlns:ds="http://schemas.openxmlformats.org/officeDocument/2006/customXml" ds:itemID="{4CDE6C4E-C6D4-4FA8-BDD2-607E574E3529}"/>
</file>

<file path=customXml/itemProps3.xml><?xml version="1.0" encoding="utf-8"?>
<ds:datastoreItem xmlns:ds="http://schemas.openxmlformats.org/officeDocument/2006/customXml" ds:itemID="{C3780E14-E219-4174-92FD-8FD773DF82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Kentcuky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Adams</dc:creator>
  <cp:keywords/>
  <dc:description/>
  <cp:lastModifiedBy>Julie Tucker</cp:lastModifiedBy>
  <cp:revision/>
  <dcterms:created xsi:type="dcterms:W3CDTF">2025-02-13T15:10:29Z</dcterms:created>
  <dcterms:modified xsi:type="dcterms:W3CDTF">2025-02-27T00:27:48Z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