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 Power Supply\PSC\RICE\DR3\"/>
    </mc:Choice>
  </mc:AlternateContent>
  <bookViews>
    <workbookView xWindow="-120" yWindow="-120" windowWidth="51840" windowHeight="21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B12" i="1"/>
  <c r="C26" i="1" l="1"/>
  <c r="D26" i="1"/>
  <c r="E26" i="1"/>
  <c r="F26" i="1"/>
  <c r="G26" i="1"/>
  <c r="H26" i="1"/>
  <c r="I26" i="1"/>
  <c r="J26" i="1"/>
  <c r="K26" i="1"/>
  <c r="L26" i="1"/>
  <c r="B26" i="1"/>
  <c r="C10" i="1"/>
  <c r="D10" i="1"/>
  <c r="E10" i="1"/>
  <c r="F10" i="1"/>
  <c r="G10" i="1"/>
  <c r="H10" i="1"/>
  <c r="I10" i="1"/>
  <c r="J10" i="1"/>
  <c r="K10" i="1"/>
  <c r="L10" i="1"/>
  <c r="B10" i="1"/>
  <c r="M46" i="1" l="1"/>
  <c r="M30" i="1"/>
  <c r="M14" i="1"/>
  <c r="J12" i="1"/>
  <c r="M26" i="1"/>
  <c r="B25" i="1"/>
  <c r="C25" i="1"/>
  <c r="D25" i="1"/>
  <c r="E25" i="1"/>
  <c r="F25" i="1"/>
  <c r="G25" i="1"/>
  <c r="H25" i="1"/>
  <c r="I25" i="1"/>
  <c r="J25" i="1"/>
  <c r="K25" i="1"/>
  <c r="L25" i="1"/>
  <c r="B9" i="1"/>
  <c r="C9" i="1"/>
  <c r="D9" i="1"/>
  <c r="E9" i="1"/>
  <c r="F9" i="1"/>
  <c r="G9" i="1"/>
  <c r="H9" i="1"/>
  <c r="I9" i="1"/>
  <c r="J9" i="1"/>
  <c r="K9" i="1"/>
  <c r="L9" i="1"/>
  <c r="B36" i="1"/>
  <c r="C36" i="1"/>
  <c r="D36" i="1"/>
  <c r="E36" i="1"/>
  <c r="F36" i="1"/>
  <c r="G36" i="1"/>
  <c r="H36" i="1"/>
  <c r="I36" i="1"/>
  <c r="J36" i="1"/>
  <c r="K36" i="1"/>
  <c r="L36" i="1"/>
  <c r="B37" i="1"/>
  <c r="C37" i="1"/>
  <c r="D37" i="1"/>
  <c r="E37" i="1"/>
  <c r="F37" i="1"/>
  <c r="G37" i="1"/>
  <c r="H37" i="1"/>
  <c r="I37" i="1"/>
  <c r="J37" i="1"/>
  <c r="K37" i="1"/>
  <c r="L37" i="1"/>
  <c r="B38" i="1"/>
  <c r="C38" i="1"/>
  <c r="D38" i="1"/>
  <c r="E38" i="1"/>
  <c r="F38" i="1"/>
  <c r="G38" i="1"/>
  <c r="H38" i="1"/>
  <c r="I38" i="1"/>
  <c r="J38" i="1"/>
  <c r="K38" i="1"/>
  <c r="L38" i="1"/>
  <c r="B35" i="1"/>
  <c r="C35" i="1"/>
  <c r="D35" i="1"/>
  <c r="E35" i="1"/>
  <c r="F35" i="1"/>
  <c r="G35" i="1"/>
  <c r="H35" i="1"/>
  <c r="I35" i="1"/>
  <c r="J35" i="1"/>
  <c r="K35" i="1"/>
  <c r="L35" i="1"/>
  <c r="L24" i="1"/>
  <c r="K24" i="1"/>
  <c r="J24" i="1"/>
  <c r="I24" i="1"/>
  <c r="H24" i="1"/>
  <c r="G24" i="1"/>
  <c r="F24" i="1"/>
  <c r="E24" i="1"/>
  <c r="D24" i="1"/>
  <c r="C24" i="1"/>
  <c r="B24" i="1"/>
  <c r="M9" i="1" l="1"/>
  <c r="M25" i="1"/>
  <c r="M24" i="1"/>
  <c r="M10" i="1"/>
  <c r="L23" i="1" l="1"/>
  <c r="K23" i="1"/>
  <c r="J23" i="1"/>
  <c r="I23" i="1"/>
  <c r="H23" i="1"/>
  <c r="G23" i="1"/>
  <c r="F23" i="1"/>
  <c r="E23" i="1"/>
  <c r="D23" i="1"/>
  <c r="C23" i="1"/>
  <c r="B23" i="1"/>
  <c r="B8" i="1"/>
  <c r="C8" i="1"/>
  <c r="D8" i="1"/>
  <c r="E8" i="1"/>
  <c r="F8" i="1"/>
  <c r="G8" i="1"/>
  <c r="H8" i="1"/>
  <c r="I8" i="1"/>
  <c r="J8" i="1"/>
  <c r="K8" i="1"/>
  <c r="L8" i="1"/>
  <c r="M8" i="1" l="1"/>
  <c r="M23" i="1"/>
  <c r="C7" i="1"/>
  <c r="C40" i="1"/>
  <c r="B7" i="1"/>
  <c r="B40" i="1"/>
  <c r="I7" i="1"/>
  <c r="I40" i="1"/>
  <c r="K7" i="1"/>
  <c r="K40" i="1"/>
  <c r="J7" i="1"/>
  <c r="J40" i="1"/>
  <c r="G7" i="1"/>
  <c r="G40" i="1"/>
  <c r="F7" i="1"/>
  <c r="F40" i="1"/>
  <c r="H7" i="1"/>
  <c r="H40" i="1"/>
  <c r="E7" i="1"/>
  <c r="E40" i="1"/>
  <c r="L7" i="1"/>
  <c r="L40" i="1"/>
  <c r="D7" i="1"/>
  <c r="D40" i="1"/>
  <c r="M40" i="1" l="1"/>
  <c r="B39" i="1"/>
  <c r="J39" i="1"/>
  <c r="J13" i="1"/>
  <c r="J15" i="1" s="1"/>
  <c r="E39" i="1"/>
  <c r="G39" i="1"/>
  <c r="C39" i="1"/>
  <c r="D39" i="1"/>
  <c r="F39" i="1"/>
  <c r="M7" i="1"/>
  <c r="H39" i="1"/>
  <c r="K39" i="1"/>
  <c r="L39" i="1"/>
  <c r="I39" i="1"/>
  <c r="M39" i="1" l="1"/>
  <c r="F42" i="1" l="1"/>
  <c r="G42" i="1"/>
  <c r="H42" i="1"/>
  <c r="I42" i="1"/>
  <c r="L13" i="1"/>
  <c r="L15" i="1" s="1"/>
  <c r="K12" i="1"/>
  <c r="K13" i="1" s="1"/>
  <c r="K15" i="1" s="1"/>
  <c r="I12" i="1"/>
  <c r="I13" i="1" s="1"/>
  <c r="I15" i="1" s="1"/>
  <c r="H12" i="1"/>
  <c r="H13" i="1" s="1"/>
  <c r="H15" i="1" s="1"/>
  <c r="G12" i="1"/>
  <c r="G13" i="1" s="1"/>
  <c r="G15" i="1" s="1"/>
  <c r="F12" i="1"/>
  <c r="F13" i="1" s="1"/>
  <c r="F15" i="1" s="1"/>
  <c r="E12" i="1"/>
  <c r="E13" i="1" s="1"/>
  <c r="E15" i="1" s="1"/>
  <c r="C12" i="1"/>
  <c r="C13" i="1" s="1"/>
  <c r="C15" i="1" s="1"/>
  <c r="D12" i="1"/>
  <c r="D13" i="1" s="1"/>
  <c r="D15" i="1" s="1"/>
  <c r="B27" i="1"/>
  <c r="C27" i="1"/>
  <c r="D27" i="1"/>
  <c r="E27" i="1"/>
  <c r="F27" i="1"/>
  <c r="G27" i="1"/>
  <c r="H27" i="1"/>
  <c r="H43" i="1" s="1"/>
  <c r="I27" i="1"/>
  <c r="J27" i="1"/>
  <c r="J28" i="1" s="1"/>
  <c r="J29" i="1" s="1"/>
  <c r="J31" i="1" s="1"/>
  <c r="J47" i="1" s="1"/>
  <c r="K27" i="1"/>
  <c r="L27" i="1"/>
  <c r="L28" i="1" s="1"/>
  <c r="B43" i="1" l="1"/>
  <c r="B28" i="1"/>
  <c r="M12" i="1"/>
  <c r="B13" i="1"/>
  <c r="I41" i="1"/>
  <c r="H41" i="1"/>
  <c r="J44" i="1"/>
  <c r="J43" i="1"/>
  <c r="G41" i="1"/>
  <c r="D28" i="1"/>
  <c r="D43" i="1"/>
  <c r="C28" i="1"/>
  <c r="C29" i="1" s="1"/>
  <c r="C31" i="1" s="1"/>
  <c r="C47" i="1" s="1"/>
  <c r="C43" i="1"/>
  <c r="I28" i="1"/>
  <c r="I44" i="1" s="1"/>
  <c r="I43" i="1"/>
  <c r="H28" i="1"/>
  <c r="E42" i="1"/>
  <c r="L43" i="1"/>
  <c r="K28" i="1"/>
  <c r="K29" i="1" s="1"/>
  <c r="K31" i="1" s="1"/>
  <c r="K47" i="1" s="1"/>
  <c r="K43" i="1"/>
  <c r="E41" i="1"/>
  <c r="G28" i="1"/>
  <c r="G44" i="1" s="1"/>
  <c r="G43" i="1"/>
  <c r="L41" i="1"/>
  <c r="D41" i="1"/>
  <c r="L42" i="1"/>
  <c r="D42" i="1"/>
  <c r="F41" i="1"/>
  <c r="C41" i="1"/>
  <c r="C42" i="1"/>
  <c r="F28" i="1"/>
  <c r="F43" i="1"/>
  <c r="K41" i="1"/>
  <c r="K42" i="1"/>
  <c r="E28" i="1"/>
  <c r="E43" i="1"/>
  <c r="J41" i="1"/>
  <c r="B41" i="1"/>
  <c r="J42" i="1"/>
  <c r="B42" i="1"/>
  <c r="C44" i="1" l="1"/>
  <c r="M13" i="1"/>
  <c r="M15" i="1" s="1"/>
  <c r="B15" i="1"/>
  <c r="M41" i="1"/>
  <c r="I29" i="1"/>
  <c r="F29" i="1"/>
  <c r="F31" i="1" s="1"/>
  <c r="F47" i="1" s="1"/>
  <c r="L44" i="1"/>
  <c r="L29" i="1"/>
  <c r="L31" i="1" s="1"/>
  <c r="L47" i="1" s="1"/>
  <c r="D29" i="1"/>
  <c r="D31" i="1" s="1"/>
  <c r="D47" i="1" s="1"/>
  <c r="M28" i="1"/>
  <c r="B29" i="1"/>
  <c r="B31" i="1" s="1"/>
  <c r="E29" i="1"/>
  <c r="G29" i="1"/>
  <c r="G31" i="1" s="1"/>
  <c r="G47" i="1" s="1"/>
  <c r="K44" i="1"/>
  <c r="M42" i="1"/>
  <c r="H29" i="1"/>
  <c r="H31" i="1" s="1"/>
  <c r="H47" i="1" s="1"/>
  <c r="F44" i="1"/>
  <c r="H44" i="1"/>
  <c r="E44" i="1"/>
  <c r="C45" i="1"/>
  <c r="K45" i="1"/>
  <c r="D44" i="1"/>
  <c r="B44" i="1"/>
  <c r="J45" i="1"/>
  <c r="D45" i="1" l="1"/>
  <c r="E45" i="1"/>
  <c r="E31" i="1"/>
  <c r="E47" i="1" s="1"/>
  <c r="B47" i="1"/>
  <c r="M44" i="1"/>
  <c r="I45" i="1"/>
  <c r="I31" i="1"/>
  <c r="I47" i="1" s="1"/>
  <c r="G45" i="1"/>
  <c r="F45" i="1"/>
  <c r="M29" i="1"/>
  <c r="M31" i="1" s="1"/>
  <c r="B45" i="1"/>
  <c r="H45" i="1"/>
  <c r="L45" i="1"/>
  <c r="M45" i="1" l="1"/>
  <c r="M47" i="1"/>
</calcChain>
</file>

<file path=xl/sharedStrings.xml><?xml version="1.0" encoding="utf-8"?>
<sst xmlns="http://schemas.openxmlformats.org/spreadsheetml/2006/main" count="49" uniqueCount="19">
  <si>
    <t>Year</t>
  </si>
  <si>
    <t>Total</t>
  </si>
  <si>
    <t>Market Value of Energy ($)</t>
  </si>
  <si>
    <t>Energy (MWh)</t>
  </si>
  <si>
    <t>Fixed Capital ($)</t>
  </si>
  <si>
    <t>Fixed O&amp;M ($)</t>
  </si>
  <si>
    <t>Capacity Forecast ($/MW-Day)</t>
  </si>
  <si>
    <t>Capacity Value ($)</t>
  </si>
  <si>
    <t>Liberty RICE (214 MWn, 216 MWg)</t>
  </si>
  <si>
    <t>F-Class CT (214 MWm, 216 MWg)</t>
  </si>
  <si>
    <t>Heat Rate</t>
  </si>
  <si>
    <t>Capacity Factor</t>
  </si>
  <si>
    <t>Fuel Cost ($/mmBTU)</t>
  </si>
  <si>
    <t>Energy Forwards ($/MWh)</t>
  </si>
  <si>
    <t>System Load (MWh)</t>
  </si>
  <si>
    <t>Net Revenue/(Cost) ($/MWh)</t>
  </si>
  <si>
    <t>Net Revenue/(Cost) ($)</t>
  </si>
  <si>
    <t>Comparison (RICE - CT)</t>
  </si>
  <si>
    <r>
      <t xml:space="preserve">    </t>
    </r>
    <r>
      <rPr>
        <i/>
        <sz val="11"/>
        <color theme="1"/>
        <rFont val="Calibri"/>
        <family val="2"/>
        <scheme val="minor"/>
      </rPr>
      <t xml:space="preserve"> (Positive value indicates that RICE is of more value than the 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</si>
</sst>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0" borderId="0" xfId="1" applyNumberFormat="1" applyFont="1"/>
    <xf numFmtId="3" fontId="0" fillId="0" borderId="0" xfId="0" applyNumberFormat="1"/>
    <xf numFmtId="43" fontId="0" fillId="0" borderId="0" xfId="1" applyNumberFormat="1" applyFont="1"/>
    <xf numFmtId="16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115" zoomScaleNormal="115" workbookViewId="0"/>
  </sheetViews>
  <sheetFormatPr defaultRowHeight="15" x14ac:dyDescent="0.25"/>
  <cols>
    <col min="1" max="1" width="29.85546875" bestFit="1" customWidth="1"/>
    <col min="2" max="12" width="13.5703125" bestFit="1" customWidth="1"/>
    <col min="13" max="13" width="14" bestFit="1" customWidth="1"/>
  </cols>
  <sheetData>
    <row r="1" spans="1:13" x14ac:dyDescent="0.25">
      <c r="A1" s="1" t="s">
        <v>8</v>
      </c>
    </row>
    <row r="2" spans="1:13" x14ac:dyDescent="0.25">
      <c r="A2" t="s">
        <v>0</v>
      </c>
      <c r="B2" s="8">
        <v>2029</v>
      </c>
      <c r="C2" s="8">
        <v>2030</v>
      </c>
      <c r="D2" s="8">
        <v>2031</v>
      </c>
      <c r="E2" s="8">
        <v>2032</v>
      </c>
      <c r="F2" s="8">
        <v>2033</v>
      </c>
      <c r="G2" s="8">
        <v>2034</v>
      </c>
      <c r="H2" s="8">
        <v>2035</v>
      </c>
      <c r="I2" s="8">
        <v>2036</v>
      </c>
      <c r="J2" s="8">
        <v>2037</v>
      </c>
      <c r="K2" s="8">
        <v>2038</v>
      </c>
      <c r="L2" s="8">
        <v>2039</v>
      </c>
      <c r="M2" s="9" t="s">
        <v>1</v>
      </c>
    </row>
    <row r="3" spans="1:13" x14ac:dyDescent="0.25">
      <c r="A3" t="s">
        <v>10</v>
      </c>
      <c r="B3" s="3">
        <v>8109</v>
      </c>
      <c r="C3" s="3">
        <v>8109</v>
      </c>
      <c r="D3" s="3">
        <v>8109</v>
      </c>
      <c r="E3" s="3">
        <v>8109</v>
      </c>
      <c r="F3" s="3">
        <v>8109</v>
      </c>
      <c r="G3" s="3">
        <v>8109</v>
      </c>
      <c r="H3" s="3">
        <v>8109</v>
      </c>
      <c r="I3" s="3">
        <v>8109</v>
      </c>
      <c r="J3" s="3">
        <v>8109</v>
      </c>
      <c r="K3" s="3">
        <v>8109</v>
      </c>
      <c r="L3" s="3">
        <v>8109</v>
      </c>
    </row>
    <row r="4" spans="1:13" x14ac:dyDescent="0.25">
      <c r="A4" t="s">
        <v>11</v>
      </c>
      <c r="B4">
        <v>0.73740000000000006</v>
      </c>
      <c r="C4">
        <v>0.75170000000000003</v>
      </c>
      <c r="D4">
        <v>0.74019999999999997</v>
      </c>
      <c r="E4">
        <v>0.75180000000000002</v>
      </c>
      <c r="F4">
        <v>0.71719999999999995</v>
      </c>
      <c r="G4">
        <v>0.70069999999999999</v>
      </c>
      <c r="H4">
        <v>0.69620000000000004</v>
      </c>
      <c r="I4">
        <v>0.69969999999999999</v>
      </c>
      <c r="J4">
        <v>0.69779999999999998</v>
      </c>
      <c r="K4">
        <v>0.67130000000000001</v>
      </c>
      <c r="L4">
        <v>0.69699999999999995</v>
      </c>
    </row>
    <row r="5" spans="1:13" x14ac:dyDescent="0.25">
      <c r="A5" t="s">
        <v>12</v>
      </c>
      <c r="B5" s="6">
        <v>3.92</v>
      </c>
      <c r="C5" s="6">
        <v>3.93</v>
      </c>
      <c r="D5" s="6">
        <v>3.97</v>
      </c>
      <c r="E5" s="6">
        <v>3.9</v>
      </c>
      <c r="F5" s="6">
        <v>3.95</v>
      </c>
      <c r="G5" s="6">
        <v>4.03</v>
      </c>
      <c r="H5" s="6">
        <v>4.1900000000000004</v>
      </c>
      <c r="I5" s="6">
        <v>4.3</v>
      </c>
      <c r="J5" s="6">
        <v>4.4000000000000004</v>
      </c>
      <c r="K5" s="6">
        <v>4.51</v>
      </c>
      <c r="L5" s="6">
        <v>4.62</v>
      </c>
    </row>
    <row r="6" spans="1:13" x14ac:dyDescent="0.25">
      <c r="A6" t="s">
        <v>13</v>
      </c>
      <c r="B6" s="4">
        <v>52.190858205556481</v>
      </c>
      <c r="C6" s="4">
        <v>52.947578351393332</v>
      </c>
      <c r="D6" s="4">
        <v>54.055879593569536</v>
      </c>
      <c r="E6" s="4">
        <v>54.253027405828185</v>
      </c>
      <c r="F6" s="4">
        <v>54.422220052048267</v>
      </c>
      <c r="G6" s="4">
        <v>55.067881644579579</v>
      </c>
      <c r="H6" s="4">
        <v>56.766585079068186</v>
      </c>
      <c r="I6" s="4">
        <v>58.421155534371344</v>
      </c>
      <c r="J6" s="4">
        <v>58.589070804995799</v>
      </c>
      <c r="K6" s="4">
        <v>58.490757123602464</v>
      </c>
      <c r="L6" s="4">
        <v>58.171654429951019</v>
      </c>
    </row>
    <row r="7" spans="1:13" x14ac:dyDescent="0.25">
      <c r="A7" t="s">
        <v>2</v>
      </c>
      <c r="B7" s="2">
        <f t="shared" ref="B7:L7" si="0">(B6-((B3/1000)*B5))*B8</f>
        <v>28205080.900972772</v>
      </c>
      <c r="C7" s="2">
        <f t="shared" si="0"/>
        <v>29704122.434036549</v>
      </c>
      <c r="D7" s="2">
        <f t="shared" si="0"/>
        <v>30337492.824976813</v>
      </c>
      <c r="E7" s="2">
        <f t="shared" si="0"/>
        <v>31890767.966144022</v>
      </c>
      <c r="F7" s="2">
        <f t="shared" si="0"/>
        <v>30105416.952417832</v>
      </c>
      <c r="G7" s="2">
        <f t="shared" si="0"/>
        <v>29408790.264229633</v>
      </c>
      <c r="H7" s="2">
        <f t="shared" si="0"/>
        <v>29743621.309367809</v>
      </c>
      <c r="I7" s="2">
        <f t="shared" si="0"/>
        <v>30893416.957494847</v>
      </c>
      <c r="J7" s="2">
        <f t="shared" si="0"/>
        <v>29968423.822144393</v>
      </c>
      <c r="K7" s="2">
        <f t="shared" si="0"/>
        <v>27584084.507608946</v>
      </c>
      <c r="L7" s="2">
        <f t="shared" si="0"/>
        <v>27057668.700606272</v>
      </c>
      <c r="M7" s="5">
        <f>SUM(B7:L7)</f>
        <v>324898886.63999993</v>
      </c>
    </row>
    <row r="8" spans="1:13" x14ac:dyDescent="0.25">
      <c r="A8" t="s">
        <v>3</v>
      </c>
      <c r="B8" s="2">
        <f t="shared" ref="B8:L8" si="1">(214*8760*B4)</f>
        <v>1382359.5360000001</v>
      </c>
      <c r="C8" s="2">
        <f t="shared" si="1"/>
        <v>1409166.888</v>
      </c>
      <c r="D8" s="2">
        <f t="shared" si="1"/>
        <v>1387608.5279999999</v>
      </c>
      <c r="E8" s="2">
        <f t="shared" si="1"/>
        <v>1409354.352</v>
      </c>
      <c r="F8" s="2">
        <f t="shared" si="1"/>
        <v>1344491.808</v>
      </c>
      <c r="G8" s="2">
        <f t="shared" si="1"/>
        <v>1313560.2479999999</v>
      </c>
      <c r="H8" s="2">
        <f t="shared" si="1"/>
        <v>1305124.368</v>
      </c>
      <c r="I8" s="2">
        <f t="shared" si="1"/>
        <v>1311685.608</v>
      </c>
      <c r="J8" s="2">
        <f t="shared" si="1"/>
        <v>1308123.7919999999</v>
      </c>
      <c r="K8" s="2">
        <f t="shared" si="1"/>
        <v>1258445.8319999999</v>
      </c>
      <c r="L8" s="2">
        <f t="shared" si="1"/>
        <v>1306624.0799999998</v>
      </c>
      <c r="M8" s="5">
        <f>SUM(B8:L8)</f>
        <v>14736545.039999999</v>
      </c>
    </row>
    <row r="9" spans="1:13" x14ac:dyDescent="0.25">
      <c r="A9" t="s">
        <v>4</v>
      </c>
      <c r="B9" s="2">
        <f t="shared" ref="B9:L9" si="2">-215500*216</f>
        <v>-46548000</v>
      </c>
      <c r="C9" s="2">
        <f t="shared" si="2"/>
        <v>-46548000</v>
      </c>
      <c r="D9" s="2">
        <f t="shared" si="2"/>
        <v>-46548000</v>
      </c>
      <c r="E9" s="2">
        <f t="shared" si="2"/>
        <v>-46548000</v>
      </c>
      <c r="F9" s="2">
        <f t="shared" si="2"/>
        <v>-46548000</v>
      </c>
      <c r="G9" s="2">
        <f t="shared" si="2"/>
        <v>-46548000</v>
      </c>
      <c r="H9" s="2">
        <f t="shared" si="2"/>
        <v>-46548000</v>
      </c>
      <c r="I9" s="2">
        <f t="shared" si="2"/>
        <v>-46548000</v>
      </c>
      <c r="J9" s="2">
        <f t="shared" si="2"/>
        <v>-46548000</v>
      </c>
      <c r="K9" s="2">
        <f t="shared" si="2"/>
        <v>-46548000</v>
      </c>
      <c r="L9" s="2">
        <f t="shared" si="2"/>
        <v>-46548000</v>
      </c>
      <c r="M9" s="5">
        <f>SUM(B9:L9)</f>
        <v>-512028000</v>
      </c>
    </row>
    <row r="10" spans="1:13" x14ac:dyDescent="0.25">
      <c r="A10" t="s">
        <v>5</v>
      </c>
      <c r="B10" s="2">
        <f>-15*216*1000*1.03</f>
        <v>-3337200</v>
      </c>
      <c r="C10" s="2">
        <f t="shared" ref="C10:L10" si="3">-15*216*1000*1.03</f>
        <v>-3337200</v>
      </c>
      <c r="D10" s="2">
        <f t="shared" si="3"/>
        <v>-3337200</v>
      </c>
      <c r="E10" s="2">
        <f t="shared" si="3"/>
        <v>-3337200</v>
      </c>
      <c r="F10" s="2">
        <f t="shared" si="3"/>
        <v>-3337200</v>
      </c>
      <c r="G10" s="2">
        <f t="shared" si="3"/>
        <v>-3337200</v>
      </c>
      <c r="H10" s="2">
        <f t="shared" si="3"/>
        <v>-3337200</v>
      </c>
      <c r="I10" s="2">
        <f t="shared" si="3"/>
        <v>-3337200</v>
      </c>
      <c r="J10" s="2">
        <f t="shared" si="3"/>
        <v>-3337200</v>
      </c>
      <c r="K10" s="2">
        <f t="shared" si="3"/>
        <v>-3337200</v>
      </c>
      <c r="L10" s="2">
        <f t="shared" si="3"/>
        <v>-3337200</v>
      </c>
      <c r="M10" s="5">
        <f>SUM(B10:L10)</f>
        <v>-36709200</v>
      </c>
    </row>
    <row r="11" spans="1:13" x14ac:dyDescent="0.25">
      <c r="A11" t="s">
        <v>6</v>
      </c>
      <c r="B11" s="2">
        <v>383</v>
      </c>
      <c r="C11" s="2">
        <v>558</v>
      </c>
      <c r="D11" s="2">
        <v>404</v>
      </c>
      <c r="E11" s="2">
        <v>420</v>
      </c>
      <c r="F11" s="2">
        <v>437</v>
      </c>
      <c r="G11" s="2">
        <v>469</v>
      </c>
      <c r="H11" s="2">
        <v>500</v>
      </c>
      <c r="I11" s="2">
        <v>467</v>
      </c>
      <c r="J11" s="2">
        <v>575</v>
      </c>
      <c r="K11" s="2">
        <v>590</v>
      </c>
      <c r="L11" s="2">
        <v>606</v>
      </c>
    </row>
    <row r="12" spans="1:13" x14ac:dyDescent="0.25">
      <c r="A12" t="s">
        <v>7</v>
      </c>
      <c r="B12" s="2">
        <f>B11*(214*0.79)*213</f>
        <v>13791745.74</v>
      </c>
      <c r="C12" s="2">
        <f t="shared" ref="C12:D12" si="4">C11*(214*0.79)*365</f>
        <v>34432450.199999996</v>
      </c>
      <c r="D12" s="2">
        <f t="shared" si="4"/>
        <v>24929587.600000001</v>
      </c>
      <c r="E12" s="2">
        <f>E11*(214*0.79)*366</f>
        <v>25987903.199999999</v>
      </c>
      <c r="F12" s="2">
        <f>F11*(214*0.79)*365</f>
        <v>26965915.300000001</v>
      </c>
      <c r="G12" s="2">
        <f t="shared" ref="G12" si="5">G11*(214*0.79)*365</f>
        <v>28940536.100000001</v>
      </c>
      <c r="H12" s="2">
        <f t="shared" ref="H12" si="6">H11*(214*0.79)*365</f>
        <v>30853450</v>
      </c>
      <c r="I12" s="2">
        <f>I11*(214*0.79)*366</f>
        <v>28896073.32</v>
      </c>
      <c r="J12" s="2">
        <f>J11*(214*0.79)*365</f>
        <v>35481467.5</v>
      </c>
      <c r="K12" s="2">
        <f t="shared" ref="K12" si="7">K11*(214*0.79)*365</f>
        <v>36407071</v>
      </c>
      <c r="L12" s="2">
        <f t="shared" ref="L12" si="8">L11*(214*0.79)*365</f>
        <v>37394381.399999999</v>
      </c>
      <c r="M12" s="5">
        <f>SUM(B12:L12)</f>
        <v>324080581.35999995</v>
      </c>
    </row>
    <row r="13" spans="1:13" x14ac:dyDescent="0.25">
      <c r="A13" t="s">
        <v>16</v>
      </c>
      <c r="B13" s="2">
        <f t="shared" ref="B13:L13" si="9">B7+B12+B9+B10</f>
        <v>-7888373.3590272292</v>
      </c>
      <c r="C13" s="2">
        <f t="shared" si="9"/>
        <v>14251372.634036541</v>
      </c>
      <c r="D13" s="2">
        <f t="shared" si="9"/>
        <v>5381880.4249768108</v>
      </c>
      <c r="E13" s="2">
        <f t="shared" si="9"/>
        <v>7993471.1661440209</v>
      </c>
      <c r="F13" s="2">
        <f t="shared" si="9"/>
        <v>7186132.2524178326</v>
      </c>
      <c r="G13" s="2">
        <f t="shared" si="9"/>
        <v>8464126.3642296344</v>
      </c>
      <c r="H13" s="2">
        <f t="shared" si="9"/>
        <v>10711871.309367806</v>
      </c>
      <c r="I13" s="2">
        <f t="shared" si="9"/>
        <v>9904290.2774948478</v>
      </c>
      <c r="J13" s="2">
        <f t="shared" si="9"/>
        <v>15564691.322144389</v>
      </c>
      <c r="K13" s="2">
        <f t="shared" si="9"/>
        <v>14105955.50760895</v>
      </c>
      <c r="L13" s="2">
        <f t="shared" si="9"/>
        <v>14566850.10060627</v>
      </c>
      <c r="M13" s="5">
        <f>SUM(B13:L13)</f>
        <v>100242267.99999988</v>
      </c>
    </row>
    <row r="14" spans="1:13" x14ac:dyDescent="0.25">
      <c r="A14" t="s">
        <v>14</v>
      </c>
      <c r="B14" s="2">
        <v>16360714</v>
      </c>
      <c r="C14" s="2">
        <v>16462147</v>
      </c>
      <c r="D14" s="2">
        <v>16559135</v>
      </c>
      <c r="E14" s="2">
        <v>16707526</v>
      </c>
      <c r="F14" s="2">
        <v>16799186</v>
      </c>
      <c r="G14" s="2">
        <v>16941716</v>
      </c>
      <c r="H14" s="2">
        <v>17103428</v>
      </c>
      <c r="I14" s="2">
        <v>17323104</v>
      </c>
      <c r="J14" s="2">
        <v>17434858</v>
      </c>
      <c r="K14" s="2">
        <v>17592120</v>
      </c>
      <c r="L14" s="2">
        <v>17750054</v>
      </c>
      <c r="M14" s="5">
        <f>SUM(B14:L14)</f>
        <v>187033988</v>
      </c>
    </row>
    <row r="15" spans="1:13" x14ac:dyDescent="0.25">
      <c r="A15" t="s">
        <v>15</v>
      </c>
      <c r="B15" s="4">
        <f t="shared" ref="B15:M15" si="10">B13/B14</f>
        <v>-0.48215336806371834</v>
      </c>
      <c r="C15" s="4">
        <f t="shared" si="10"/>
        <v>0.86570558712885637</v>
      </c>
      <c r="D15" s="4">
        <f t="shared" si="10"/>
        <v>0.32500975594297715</v>
      </c>
      <c r="E15" s="4">
        <f t="shared" si="10"/>
        <v>0.47843535698487144</v>
      </c>
      <c r="F15" s="4">
        <f t="shared" si="10"/>
        <v>0.42776669372062626</v>
      </c>
      <c r="G15" s="4">
        <f t="shared" si="10"/>
        <v>0.49960265915386814</v>
      </c>
      <c r="H15" s="4">
        <f t="shared" si="10"/>
        <v>0.62629966983038754</v>
      </c>
      <c r="I15" s="4">
        <f t="shared" si="10"/>
        <v>0.57173877600081646</v>
      </c>
      <c r="J15" s="4">
        <f t="shared" si="10"/>
        <v>0.89273404590644723</v>
      </c>
      <c r="K15" s="4">
        <f t="shared" si="10"/>
        <v>0.80183374758749659</v>
      </c>
      <c r="L15" s="4">
        <f t="shared" si="10"/>
        <v>0.82066511463042702</v>
      </c>
      <c r="M15" s="4">
        <f t="shared" si="10"/>
        <v>0.53595749666632719</v>
      </c>
    </row>
    <row r="17" spans="1:13" x14ac:dyDescent="0.25">
      <c r="A17" s="1" t="s">
        <v>9</v>
      </c>
    </row>
    <row r="18" spans="1:13" x14ac:dyDescent="0.25">
      <c r="A18" t="s">
        <v>0</v>
      </c>
      <c r="B18" s="8">
        <v>2029</v>
      </c>
      <c r="C18" s="8">
        <v>2030</v>
      </c>
      <c r="D18" s="8">
        <v>2031</v>
      </c>
      <c r="E18" s="8">
        <v>2032</v>
      </c>
      <c r="F18" s="8">
        <v>2033</v>
      </c>
      <c r="G18" s="8">
        <v>2034</v>
      </c>
      <c r="H18" s="8">
        <v>2035</v>
      </c>
      <c r="I18" s="8">
        <v>2036</v>
      </c>
      <c r="J18" s="8">
        <v>2037</v>
      </c>
      <c r="K18" s="8">
        <v>2038</v>
      </c>
      <c r="L18" s="8">
        <v>2039</v>
      </c>
      <c r="M18" s="9" t="s">
        <v>1</v>
      </c>
    </row>
    <row r="19" spans="1:13" x14ac:dyDescent="0.25">
      <c r="A19" t="s">
        <v>10</v>
      </c>
      <c r="B19" s="3">
        <v>9717</v>
      </c>
      <c r="C19" s="3">
        <v>9717</v>
      </c>
      <c r="D19" s="3">
        <v>9717</v>
      </c>
      <c r="E19" s="3">
        <v>9717</v>
      </c>
      <c r="F19" s="3">
        <v>9717</v>
      </c>
      <c r="G19" s="3">
        <v>9717</v>
      </c>
      <c r="H19" s="3">
        <v>9717</v>
      </c>
      <c r="I19" s="3">
        <v>9717</v>
      </c>
      <c r="J19" s="3">
        <v>9717</v>
      </c>
      <c r="K19" s="3">
        <v>9717</v>
      </c>
      <c r="L19" s="3">
        <v>9717</v>
      </c>
    </row>
    <row r="20" spans="1:13" x14ac:dyDescent="0.25">
      <c r="A20" t="s">
        <v>11</v>
      </c>
      <c r="B20">
        <v>0.37490000000000001</v>
      </c>
      <c r="C20">
        <v>0.38929999999999998</v>
      </c>
      <c r="D20">
        <v>0.38200000000000001</v>
      </c>
      <c r="E20">
        <v>0.39679999999999999</v>
      </c>
      <c r="F20">
        <v>0.35809999999999997</v>
      </c>
      <c r="G20">
        <v>0.35420000000000001</v>
      </c>
      <c r="H20">
        <v>0.33660000000000001</v>
      </c>
      <c r="I20">
        <v>0.3332</v>
      </c>
      <c r="J20">
        <v>0.32129999999999997</v>
      </c>
      <c r="K20">
        <v>0.31869999999999998</v>
      </c>
      <c r="L20">
        <v>0.30990000000000001</v>
      </c>
    </row>
    <row r="21" spans="1:13" x14ac:dyDescent="0.25">
      <c r="A21" t="s">
        <v>12</v>
      </c>
      <c r="B21" s="6">
        <v>3.92</v>
      </c>
      <c r="C21" s="6">
        <v>3.93</v>
      </c>
      <c r="D21" s="6">
        <v>3.97</v>
      </c>
      <c r="E21" s="6">
        <v>3.9</v>
      </c>
      <c r="F21" s="6">
        <v>3.95</v>
      </c>
      <c r="G21" s="6">
        <v>4.03</v>
      </c>
      <c r="H21" s="6">
        <v>4.1900000000000004</v>
      </c>
      <c r="I21" s="6">
        <v>4.3</v>
      </c>
      <c r="J21" s="6">
        <v>4.4000000000000004</v>
      </c>
      <c r="K21" s="6">
        <v>4.51</v>
      </c>
      <c r="L21" s="6">
        <v>4.62</v>
      </c>
    </row>
    <row r="22" spans="1:13" x14ac:dyDescent="0.25">
      <c r="A22" t="s">
        <v>13</v>
      </c>
      <c r="B22" s="7">
        <v>52.190858205556481</v>
      </c>
      <c r="C22" s="7">
        <v>52.947578351393332</v>
      </c>
      <c r="D22" s="7">
        <v>54.055879593569536</v>
      </c>
      <c r="E22" s="7">
        <v>54.253027405828185</v>
      </c>
      <c r="F22" s="7">
        <v>54.422220052048267</v>
      </c>
      <c r="G22" s="7">
        <v>55.067881644579579</v>
      </c>
      <c r="H22" s="7">
        <v>56.766585079068186</v>
      </c>
      <c r="I22" s="7">
        <v>58.421155534371344</v>
      </c>
      <c r="J22" s="7">
        <v>58.589070804995799</v>
      </c>
      <c r="K22" s="7">
        <v>58.490757123602464</v>
      </c>
      <c r="L22" s="7">
        <v>58.171654429951019</v>
      </c>
    </row>
    <row r="23" spans="1:13" x14ac:dyDescent="0.25">
      <c r="A23" t="s">
        <v>2</v>
      </c>
      <c r="B23" s="2">
        <f t="shared" ref="B23" si="11">(B22-((B19/1000)*B21))*B24</f>
        <v>9909669.1130184624</v>
      </c>
      <c r="C23" s="2">
        <f t="shared" ref="C23" si="12">(C22-((C19/1000)*C21))*C24</f>
        <v>10771639.858980255</v>
      </c>
      <c r="D23" s="2">
        <f t="shared" ref="D23" si="13">(D22-((D19/1000)*D21))*D24</f>
        <v>11084984.070737267</v>
      </c>
      <c r="E23" s="2">
        <f t="shared" ref="E23" si="14">(E22-((E19/1000)*E21))*E24</f>
        <v>12167068.664139699</v>
      </c>
      <c r="F23" s="2">
        <f t="shared" ref="F23" si="15">(F22-((F19/1000)*F21))*F24</f>
        <v>10767836.713901326</v>
      </c>
      <c r="G23" s="2">
        <f t="shared" ref="G23" si="16">(G22-((G19/1000)*G21))*G24</f>
        <v>10563118.810171267</v>
      </c>
      <c r="H23" s="2">
        <f t="shared" ref="H23" si="17">(H22-((H19/1000)*H21))*H24</f>
        <v>10129097.439097842</v>
      </c>
      <c r="I23" s="2">
        <f t="shared" ref="I23" si="18">(I22-((I19/1000)*I21))*I24</f>
        <v>10392629.42706104</v>
      </c>
      <c r="J23" s="2">
        <f t="shared" ref="J23" si="19">(J22-((J19/1000)*J21))*J24</f>
        <v>9537326.999649182</v>
      </c>
      <c r="K23" s="2">
        <f t="shared" ref="K23" si="20">(K22-((K19/1000)*K21))*K24</f>
        <v>8762818.4650578313</v>
      </c>
      <c r="L23" s="2">
        <f t="shared" ref="L23" si="21">(L22-((L19/1000)*L21))*L24</f>
        <v>7714513.9573311489</v>
      </c>
      <c r="M23" s="5">
        <f>SUM(B23:L23)</f>
        <v>111800703.51914532</v>
      </c>
    </row>
    <row r="24" spans="1:13" x14ac:dyDescent="0.25">
      <c r="A24" t="s">
        <v>3</v>
      </c>
      <c r="B24" s="2">
        <f t="shared" ref="B24:L24" si="22">(214*8760*B20)</f>
        <v>702802.53599999996</v>
      </c>
      <c r="C24" s="2">
        <f t="shared" si="22"/>
        <v>729797.35199999996</v>
      </c>
      <c r="D24" s="2">
        <f t="shared" si="22"/>
        <v>716112.48</v>
      </c>
      <c r="E24" s="2">
        <f t="shared" si="22"/>
        <v>743857.152</v>
      </c>
      <c r="F24" s="2">
        <f t="shared" si="22"/>
        <v>671308.58399999992</v>
      </c>
      <c r="G24" s="2">
        <f t="shared" si="22"/>
        <v>663997.48800000001</v>
      </c>
      <c r="H24" s="2">
        <f t="shared" si="22"/>
        <v>631003.82400000002</v>
      </c>
      <c r="I24" s="2">
        <f t="shared" si="22"/>
        <v>624630.04799999995</v>
      </c>
      <c r="J24" s="2">
        <f t="shared" si="22"/>
        <v>602321.83199999994</v>
      </c>
      <c r="K24" s="2">
        <f t="shared" si="22"/>
        <v>597447.76799999992</v>
      </c>
      <c r="L24" s="2">
        <f t="shared" si="22"/>
        <v>580950.93599999999</v>
      </c>
      <c r="M24" s="5">
        <f>SUM(B24:L24)</f>
        <v>7264230</v>
      </c>
    </row>
    <row r="25" spans="1:13" x14ac:dyDescent="0.25">
      <c r="A25" t="s">
        <v>4</v>
      </c>
      <c r="B25" s="2">
        <f t="shared" ref="B25:L25" si="23">-143500*216</f>
        <v>-30996000</v>
      </c>
      <c r="C25" s="2">
        <f t="shared" si="23"/>
        <v>-30996000</v>
      </c>
      <c r="D25" s="2">
        <f t="shared" si="23"/>
        <v>-30996000</v>
      </c>
      <c r="E25" s="2">
        <f t="shared" si="23"/>
        <v>-30996000</v>
      </c>
      <c r="F25" s="2">
        <f t="shared" si="23"/>
        <v>-30996000</v>
      </c>
      <c r="G25" s="2">
        <f t="shared" si="23"/>
        <v>-30996000</v>
      </c>
      <c r="H25" s="2">
        <f t="shared" si="23"/>
        <v>-30996000</v>
      </c>
      <c r="I25" s="2">
        <f t="shared" si="23"/>
        <v>-30996000</v>
      </c>
      <c r="J25" s="2">
        <f t="shared" si="23"/>
        <v>-30996000</v>
      </c>
      <c r="K25" s="2">
        <f t="shared" si="23"/>
        <v>-30996000</v>
      </c>
      <c r="L25" s="2">
        <f t="shared" si="23"/>
        <v>-30996000</v>
      </c>
      <c r="M25" s="5">
        <f>SUM(B25:L25)</f>
        <v>-340956000</v>
      </c>
    </row>
    <row r="26" spans="1:13" x14ac:dyDescent="0.25">
      <c r="A26" t="s">
        <v>5</v>
      </c>
      <c r="B26" s="2">
        <f>-26*216*1000*1.03</f>
        <v>-5784480</v>
      </c>
      <c r="C26" s="2">
        <f t="shared" ref="C26:L26" si="24">-26*216*1000*1.03</f>
        <v>-5784480</v>
      </c>
      <c r="D26" s="2">
        <f t="shared" si="24"/>
        <v>-5784480</v>
      </c>
      <c r="E26" s="2">
        <f t="shared" si="24"/>
        <v>-5784480</v>
      </c>
      <c r="F26" s="2">
        <f t="shared" si="24"/>
        <v>-5784480</v>
      </c>
      <c r="G26" s="2">
        <f t="shared" si="24"/>
        <v>-5784480</v>
      </c>
      <c r="H26" s="2">
        <f t="shared" si="24"/>
        <v>-5784480</v>
      </c>
      <c r="I26" s="2">
        <f t="shared" si="24"/>
        <v>-5784480</v>
      </c>
      <c r="J26" s="2">
        <f t="shared" si="24"/>
        <v>-5784480</v>
      </c>
      <c r="K26" s="2">
        <f t="shared" si="24"/>
        <v>-5784480</v>
      </c>
      <c r="L26" s="2">
        <f t="shared" si="24"/>
        <v>-5784480</v>
      </c>
      <c r="M26" s="5">
        <f>SUM(B26:L26)</f>
        <v>-63629280</v>
      </c>
    </row>
    <row r="27" spans="1:13" x14ac:dyDescent="0.25">
      <c r="A27" t="s">
        <v>6</v>
      </c>
      <c r="B27" s="2">
        <f t="shared" ref="B27:L27" si="25">B11</f>
        <v>383</v>
      </c>
      <c r="C27" s="2">
        <f t="shared" si="25"/>
        <v>558</v>
      </c>
      <c r="D27" s="2">
        <f t="shared" si="25"/>
        <v>404</v>
      </c>
      <c r="E27" s="2">
        <f t="shared" si="25"/>
        <v>420</v>
      </c>
      <c r="F27" s="2">
        <f t="shared" si="25"/>
        <v>437</v>
      </c>
      <c r="G27" s="2">
        <f t="shared" si="25"/>
        <v>469</v>
      </c>
      <c r="H27" s="2">
        <f t="shared" si="25"/>
        <v>500</v>
      </c>
      <c r="I27" s="2">
        <f t="shared" si="25"/>
        <v>467</v>
      </c>
      <c r="J27" s="2">
        <f t="shared" si="25"/>
        <v>575</v>
      </c>
      <c r="K27" s="2">
        <f t="shared" si="25"/>
        <v>590</v>
      </c>
      <c r="L27" s="2">
        <f t="shared" si="25"/>
        <v>606</v>
      </c>
    </row>
    <row r="28" spans="1:13" x14ac:dyDescent="0.25">
      <c r="A28" t="s">
        <v>7</v>
      </c>
      <c r="B28" s="2">
        <f>B27*(214*0.79)*213</f>
        <v>13791745.74</v>
      </c>
      <c r="C28" s="2">
        <f t="shared" ref="C28" si="26">C27*(214*0.79)*365</f>
        <v>34432450.199999996</v>
      </c>
      <c r="D28" s="2">
        <f t="shared" ref="D28" si="27">D27*(214*0.79)*365</f>
        <v>24929587.600000001</v>
      </c>
      <c r="E28" s="2">
        <f>E27*(214*0.79)*366</f>
        <v>25987903.199999999</v>
      </c>
      <c r="F28" s="2">
        <f>F27*(214*0.79)*365</f>
        <v>26965915.300000001</v>
      </c>
      <c r="G28" s="2">
        <f t="shared" ref="G28" si="28">G27*(214*0.79)*365</f>
        <v>28940536.100000001</v>
      </c>
      <c r="H28" s="2">
        <f t="shared" ref="H28" si="29">H27*(214*0.79)*365</f>
        <v>30853450</v>
      </c>
      <c r="I28" s="2">
        <f>I27*(214*0.79)*366</f>
        <v>28896073.32</v>
      </c>
      <c r="J28" s="2">
        <f>J27*(214*0.79)*365</f>
        <v>35481467.5</v>
      </c>
      <c r="K28" s="2">
        <f t="shared" ref="K28" si="30">K27*(214*0.79)*365</f>
        <v>36407071</v>
      </c>
      <c r="L28" s="2">
        <f t="shared" ref="L28" si="31">L27*(214*0.79)*365</f>
        <v>37394381.399999999</v>
      </c>
      <c r="M28" s="5">
        <f>SUM(B28:L28)</f>
        <v>324080581.35999995</v>
      </c>
    </row>
    <row r="29" spans="1:13" x14ac:dyDescent="0.25">
      <c r="A29" t="s">
        <v>16</v>
      </c>
      <c r="B29" s="2">
        <f>B23+B28+B25+B26</f>
        <v>-13079065.146981537</v>
      </c>
      <c r="C29" s="2">
        <f t="shared" ref="C29" si="32">C23+C28+C25+C26</f>
        <v>8423610.0589802489</v>
      </c>
      <c r="D29" s="2">
        <f t="shared" ref="D29" si="33">D23+D28+D25+D26</f>
        <v>-765908.32926273346</v>
      </c>
      <c r="E29" s="2">
        <f t="shared" ref="E29" si="34">E23+E28+E25+E26</f>
        <v>1374491.8641396984</v>
      </c>
      <c r="F29" s="2">
        <f t="shared" ref="F29" si="35">F23+F28+F25+F26</f>
        <v>953272.01390132308</v>
      </c>
      <c r="G29" s="2">
        <f t="shared" ref="G29" si="36">G23+G28+G25+G26</f>
        <v>2723174.9101712704</v>
      </c>
      <c r="H29" s="2">
        <f t="shared" ref="H29" si="37">H23+H28+H25+H26</f>
        <v>4202067.4390978441</v>
      </c>
      <c r="I29" s="2">
        <f t="shared" ref="I29" si="38">I23+I28+I25+I26</f>
        <v>2508222.747061044</v>
      </c>
      <c r="J29" s="2">
        <f t="shared" ref="J29" si="39">J23+J28+J25+J26</f>
        <v>8238314.499649182</v>
      </c>
      <c r="K29" s="2">
        <f t="shared" ref="K29" si="40">K23+K28+K25+K26</f>
        <v>8389409.465057835</v>
      </c>
      <c r="L29" s="2">
        <f t="shared" ref="L29" si="41">L23+L28+L25+L26</f>
        <v>8328415.3573311493</v>
      </c>
      <c r="M29" s="5">
        <f>SUM(B29:L29)</f>
        <v>31296004.879145324</v>
      </c>
    </row>
    <row r="30" spans="1:13" x14ac:dyDescent="0.25">
      <c r="A30" t="s">
        <v>14</v>
      </c>
      <c r="B30" s="2">
        <v>16360714</v>
      </c>
      <c r="C30" s="2">
        <v>16462147</v>
      </c>
      <c r="D30" s="2">
        <v>16559135</v>
      </c>
      <c r="E30" s="2">
        <v>16707526</v>
      </c>
      <c r="F30" s="2">
        <v>16799186</v>
      </c>
      <c r="G30" s="2">
        <v>16941716</v>
      </c>
      <c r="H30" s="2">
        <v>17103428</v>
      </c>
      <c r="I30" s="2">
        <v>17323104</v>
      </c>
      <c r="J30" s="2">
        <v>17434858</v>
      </c>
      <c r="K30" s="2">
        <v>17592120</v>
      </c>
      <c r="L30" s="2">
        <v>17750054</v>
      </c>
      <c r="M30" s="5">
        <f>SUM(B30:L30)</f>
        <v>187033988</v>
      </c>
    </row>
    <row r="31" spans="1:13" x14ac:dyDescent="0.25">
      <c r="A31" t="s">
        <v>15</v>
      </c>
      <c r="B31" s="4">
        <f t="shared" ref="B31" si="42">B29/B30</f>
        <v>-0.79941897077239643</v>
      </c>
      <c r="C31" s="4">
        <f t="shared" ref="C31" si="43">C29/C30</f>
        <v>0.51169571374743827</v>
      </c>
      <c r="D31" s="4">
        <f t="shared" ref="D31" si="44">D29/D30</f>
        <v>-4.625291896362542E-2</v>
      </c>
      <c r="E31" s="4">
        <f t="shared" ref="E31" si="45">E29/E30</f>
        <v>8.2267827333603938E-2</v>
      </c>
      <c r="F31" s="4">
        <f t="shared" ref="F31" si="46">F29/F30</f>
        <v>5.6745131216555555E-2</v>
      </c>
      <c r="G31" s="4">
        <f t="shared" ref="G31" si="47">G29/G30</f>
        <v>0.16073784439375979</v>
      </c>
      <c r="H31" s="4">
        <f t="shared" ref="H31" si="48">H29/H30</f>
        <v>0.24568568588109027</v>
      </c>
      <c r="I31" s="4">
        <f t="shared" ref="I31" si="49">I29/I30</f>
        <v>0.14479060721802767</v>
      </c>
      <c r="J31" s="4">
        <f t="shared" ref="J31" si="50">J29/J30</f>
        <v>0.47251973601673053</v>
      </c>
      <c r="K31" s="4">
        <f t="shared" ref="K31" si="51">K29/K30</f>
        <v>0.47688450653234715</v>
      </c>
      <c r="L31" s="4">
        <f t="shared" ref="L31" si="52">L29/L30</f>
        <v>0.46920507156379071</v>
      </c>
      <c r="M31" s="4">
        <f t="shared" ref="M31" si="53">M29/M30</f>
        <v>0.16732790234438741</v>
      </c>
    </row>
    <row r="33" spans="1:13" x14ac:dyDescent="0.25">
      <c r="A33" s="1" t="s">
        <v>17</v>
      </c>
    </row>
    <row r="34" spans="1:13" x14ac:dyDescent="0.25">
      <c r="A34" t="s">
        <v>0</v>
      </c>
      <c r="B34" s="8">
        <v>2029</v>
      </c>
      <c r="C34" s="8">
        <v>2030</v>
      </c>
      <c r="D34" s="8">
        <v>2031</v>
      </c>
      <c r="E34" s="8">
        <v>2032</v>
      </c>
      <c r="F34" s="8">
        <v>2033</v>
      </c>
      <c r="G34" s="8">
        <v>2034</v>
      </c>
      <c r="H34" s="8">
        <v>2035</v>
      </c>
      <c r="I34" s="8">
        <v>2036</v>
      </c>
      <c r="J34" s="8">
        <v>2037</v>
      </c>
      <c r="K34" s="8">
        <v>2038</v>
      </c>
      <c r="L34" s="8">
        <v>2039</v>
      </c>
      <c r="M34" s="9" t="s">
        <v>1</v>
      </c>
    </row>
    <row r="35" spans="1:13" x14ac:dyDescent="0.25">
      <c r="A35" t="s">
        <v>10</v>
      </c>
      <c r="B35" s="2">
        <f t="shared" ref="B35:L35" si="54">B3-B19</f>
        <v>-1608</v>
      </c>
      <c r="C35" s="2">
        <f t="shared" si="54"/>
        <v>-1608</v>
      </c>
      <c r="D35" s="2">
        <f t="shared" si="54"/>
        <v>-1608</v>
      </c>
      <c r="E35" s="2">
        <f t="shared" si="54"/>
        <v>-1608</v>
      </c>
      <c r="F35" s="2">
        <f t="shared" si="54"/>
        <v>-1608</v>
      </c>
      <c r="G35" s="2">
        <f t="shared" si="54"/>
        <v>-1608</v>
      </c>
      <c r="H35" s="2">
        <f t="shared" si="54"/>
        <v>-1608</v>
      </c>
      <c r="I35" s="2">
        <f t="shared" si="54"/>
        <v>-1608</v>
      </c>
      <c r="J35" s="2">
        <f t="shared" si="54"/>
        <v>-1608</v>
      </c>
      <c r="K35" s="2">
        <f t="shared" si="54"/>
        <v>-1608</v>
      </c>
      <c r="L35" s="2">
        <f t="shared" si="54"/>
        <v>-1608</v>
      </c>
    </row>
    <row r="36" spans="1:13" x14ac:dyDescent="0.25">
      <c r="A36" t="s">
        <v>11</v>
      </c>
      <c r="B36" s="2">
        <f t="shared" ref="B36:L36" si="55">B4-B20</f>
        <v>0.36250000000000004</v>
      </c>
      <c r="C36" s="2">
        <f t="shared" si="55"/>
        <v>0.36240000000000006</v>
      </c>
      <c r="D36" s="2">
        <f t="shared" si="55"/>
        <v>0.35819999999999996</v>
      </c>
      <c r="E36" s="2">
        <f t="shared" si="55"/>
        <v>0.35500000000000004</v>
      </c>
      <c r="F36" s="2">
        <f t="shared" si="55"/>
        <v>0.35909999999999997</v>
      </c>
      <c r="G36" s="2">
        <f t="shared" si="55"/>
        <v>0.34649999999999997</v>
      </c>
      <c r="H36" s="2">
        <f t="shared" si="55"/>
        <v>0.35960000000000003</v>
      </c>
      <c r="I36" s="2">
        <f t="shared" si="55"/>
        <v>0.36649999999999999</v>
      </c>
      <c r="J36" s="2">
        <f t="shared" si="55"/>
        <v>0.3765</v>
      </c>
      <c r="K36" s="2">
        <f t="shared" si="55"/>
        <v>0.35260000000000002</v>
      </c>
      <c r="L36" s="2">
        <f t="shared" si="55"/>
        <v>0.38709999999999994</v>
      </c>
    </row>
    <row r="37" spans="1:13" x14ac:dyDescent="0.25">
      <c r="A37" t="s">
        <v>12</v>
      </c>
      <c r="B37" s="2">
        <f t="shared" ref="B37:L37" si="56">B5-B21</f>
        <v>0</v>
      </c>
      <c r="C37" s="2">
        <f t="shared" si="56"/>
        <v>0</v>
      </c>
      <c r="D37" s="2">
        <f t="shared" si="56"/>
        <v>0</v>
      </c>
      <c r="E37" s="2">
        <f t="shared" si="56"/>
        <v>0</v>
      </c>
      <c r="F37" s="2">
        <f t="shared" si="56"/>
        <v>0</v>
      </c>
      <c r="G37" s="2">
        <f t="shared" si="56"/>
        <v>0</v>
      </c>
      <c r="H37" s="2">
        <f t="shared" si="56"/>
        <v>0</v>
      </c>
      <c r="I37" s="2">
        <f t="shared" si="56"/>
        <v>0</v>
      </c>
      <c r="J37" s="2">
        <f t="shared" si="56"/>
        <v>0</v>
      </c>
      <c r="K37" s="2">
        <f t="shared" si="56"/>
        <v>0</v>
      </c>
      <c r="L37" s="2">
        <f t="shared" si="56"/>
        <v>0</v>
      </c>
    </row>
    <row r="38" spans="1:13" x14ac:dyDescent="0.25">
      <c r="A38" t="s">
        <v>13</v>
      </c>
      <c r="B38" s="2">
        <f t="shared" ref="B38:L38" si="57">B6-B22</f>
        <v>0</v>
      </c>
      <c r="C38" s="2">
        <f t="shared" si="57"/>
        <v>0</v>
      </c>
      <c r="D38" s="2">
        <f t="shared" si="57"/>
        <v>0</v>
      </c>
      <c r="E38" s="2">
        <f t="shared" si="57"/>
        <v>0</v>
      </c>
      <c r="F38" s="2">
        <f t="shared" si="57"/>
        <v>0</v>
      </c>
      <c r="G38" s="2">
        <f t="shared" si="57"/>
        <v>0</v>
      </c>
      <c r="H38" s="2">
        <f t="shared" si="57"/>
        <v>0</v>
      </c>
      <c r="I38" s="2">
        <f t="shared" si="57"/>
        <v>0</v>
      </c>
      <c r="J38" s="2">
        <f t="shared" si="57"/>
        <v>0</v>
      </c>
      <c r="K38" s="2">
        <f t="shared" si="57"/>
        <v>0</v>
      </c>
      <c r="L38" s="2">
        <f t="shared" si="57"/>
        <v>0</v>
      </c>
    </row>
    <row r="39" spans="1:13" x14ac:dyDescent="0.25">
      <c r="A39" t="s">
        <v>2</v>
      </c>
      <c r="B39" s="2">
        <f t="shared" ref="B39:L39" si="58">B7-B23</f>
        <v>18295411.787954308</v>
      </c>
      <c r="C39" s="2">
        <f t="shared" si="58"/>
        <v>18932482.575056292</v>
      </c>
      <c r="D39" s="2">
        <f t="shared" si="58"/>
        <v>19252508.754239544</v>
      </c>
      <c r="E39" s="2">
        <f t="shared" si="58"/>
        <v>19723699.302004322</v>
      </c>
      <c r="F39" s="2">
        <f t="shared" si="58"/>
        <v>19337580.238516506</v>
      </c>
      <c r="G39" s="2">
        <f t="shared" si="58"/>
        <v>18845671.454058364</v>
      </c>
      <c r="H39" s="2">
        <f t="shared" si="58"/>
        <v>19614523.870269969</v>
      </c>
      <c r="I39" s="2">
        <f t="shared" si="58"/>
        <v>20500787.530433808</v>
      </c>
      <c r="J39" s="2">
        <f t="shared" si="58"/>
        <v>20431096.822495211</v>
      </c>
      <c r="K39" s="2">
        <f t="shared" si="58"/>
        <v>18821266.042551115</v>
      </c>
      <c r="L39" s="2">
        <f t="shared" si="58"/>
        <v>19343154.743275121</v>
      </c>
      <c r="M39" s="5">
        <f>SUM(B39:L39)</f>
        <v>213098183.12085456</v>
      </c>
    </row>
    <row r="40" spans="1:13" x14ac:dyDescent="0.25">
      <c r="A40" t="s">
        <v>3</v>
      </c>
      <c r="B40" s="2">
        <f t="shared" ref="B40:L40" si="59">B8-B24</f>
        <v>679557.00000000012</v>
      </c>
      <c r="C40" s="2">
        <f t="shared" si="59"/>
        <v>679369.53600000008</v>
      </c>
      <c r="D40" s="2">
        <f t="shared" si="59"/>
        <v>671496.04799999995</v>
      </c>
      <c r="E40" s="2">
        <f t="shared" si="59"/>
        <v>665497.19999999995</v>
      </c>
      <c r="F40" s="2">
        <f t="shared" si="59"/>
        <v>673183.22400000005</v>
      </c>
      <c r="G40" s="2">
        <f t="shared" si="59"/>
        <v>649562.75999999989</v>
      </c>
      <c r="H40" s="2">
        <f t="shared" si="59"/>
        <v>674120.54399999999</v>
      </c>
      <c r="I40" s="2">
        <f t="shared" si="59"/>
        <v>687055.56</v>
      </c>
      <c r="J40" s="2">
        <f t="shared" si="59"/>
        <v>705801.96</v>
      </c>
      <c r="K40" s="2">
        <f t="shared" si="59"/>
        <v>660998.06400000001</v>
      </c>
      <c r="L40" s="2">
        <f t="shared" si="59"/>
        <v>725673.14399999985</v>
      </c>
      <c r="M40" s="5">
        <f>SUM(B40:L40)</f>
        <v>7472315.0399999991</v>
      </c>
    </row>
    <row r="41" spans="1:13" x14ac:dyDescent="0.25">
      <c r="A41" t="s">
        <v>4</v>
      </c>
      <c r="B41" s="2">
        <f t="shared" ref="B41:L41" si="60">B9-B25</f>
        <v>-15552000</v>
      </c>
      <c r="C41" s="2">
        <f t="shared" si="60"/>
        <v>-15552000</v>
      </c>
      <c r="D41" s="2">
        <f t="shared" si="60"/>
        <v>-15552000</v>
      </c>
      <c r="E41" s="2">
        <f t="shared" si="60"/>
        <v>-15552000</v>
      </c>
      <c r="F41" s="2">
        <f t="shared" si="60"/>
        <v>-15552000</v>
      </c>
      <c r="G41" s="2">
        <f t="shared" si="60"/>
        <v>-15552000</v>
      </c>
      <c r="H41" s="2">
        <f t="shared" si="60"/>
        <v>-15552000</v>
      </c>
      <c r="I41" s="2">
        <f t="shared" si="60"/>
        <v>-15552000</v>
      </c>
      <c r="J41" s="2">
        <f t="shared" si="60"/>
        <v>-15552000</v>
      </c>
      <c r="K41" s="2">
        <f t="shared" si="60"/>
        <v>-15552000</v>
      </c>
      <c r="L41" s="2">
        <f t="shared" si="60"/>
        <v>-15552000</v>
      </c>
      <c r="M41" s="5">
        <f>SUM(B41:L41)</f>
        <v>-171072000</v>
      </c>
    </row>
    <row r="42" spans="1:13" x14ac:dyDescent="0.25">
      <c r="A42" t="s">
        <v>5</v>
      </c>
      <c r="B42" s="2">
        <f t="shared" ref="B42:L42" si="61">B10-B26</f>
        <v>2447280</v>
      </c>
      <c r="C42" s="2">
        <f t="shared" si="61"/>
        <v>2447280</v>
      </c>
      <c r="D42" s="2">
        <f t="shared" si="61"/>
        <v>2447280</v>
      </c>
      <c r="E42" s="2">
        <f t="shared" si="61"/>
        <v>2447280</v>
      </c>
      <c r="F42" s="2">
        <f t="shared" si="61"/>
        <v>2447280</v>
      </c>
      <c r="G42" s="2">
        <f t="shared" si="61"/>
        <v>2447280</v>
      </c>
      <c r="H42" s="2">
        <f t="shared" si="61"/>
        <v>2447280</v>
      </c>
      <c r="I42" s="2">
        <f t="shared" si="61"/>
        <v>2447280</v>
      </c>
      <c r="J42" s="2">
        <f t="shared" si="61"/>
        <v>2447280</v>
      </c>
      <c r="K42" s="2">
        <f t="shared" si="61"/>
        <v>2447280</v>
      </c>
      <c r="L42" s="2">
        <f t="shared" si="61"/>
        <v>2447280</v>
      </c>
      <c r="M42" s="5">
        <f>SUM(B42:L42)</f>
        <v>26920080</v>
      </c>
    </row>
    <row r="43" spans="1:13" x14ac:dyDescent="0.25">
      <c r="A43" t="s">
        <v>6</v>
      </c>
      <c r="B43" s="2">
        <f t="shared" ref="B43:L43" si="62">B11-B27</f>
        <v>0</v>
      </c>
      <c r="C43" s="2">
        <f t="shared" si="62"/>
        <v>0</v>
      </c>
      <c r="D43" s="2">
        <f t="shared" si="62"/>
        <v>0</v>
      </c>
      <c r="E43" s="2">
        <f t="shared" si="62"/>
        <v>0</v>
      </c>
      <c r="F43" s="2">
        <f t="shared" si="62"/>
        <v>0</v>
      </c>
      <c r="G43" s="2">
        <f t="shared" si="62"/>
        <v>0</v>
      </c>
      <c r="H43" s="2">
        <f t="shared" si="62"/>
        <v>0</v>
      </c>
      <c r="I43" s="2">
        <f t="shared" si="62"/>
        <v>0</v>
      </c>
      <c r="J43" s="2">
        <f t="shared" si="62"/>
        <v>0</v>
      </c>
      <c r="K43" s="2">
        <f t="shared" si="62"/>
        <v>0</v>
      </c>
      <c r="L43" s="2">
        <f t="shared" si="62"/>
        <v>0</v>
      </c>
    </row>
    <row r="44" spans="1:13" x14ac:dyDescent="0.25">
      <c r="A44" t="s">
        <v>7</v>
      </c>
      <c r="B44" s="2">
        <f t="shared" ref="B44:L44" si="63">B12-B28</f>
        <v>0</v>
      </c>
      <c r="C44" s="2">
        <f t="shared" si="63"/>
        <v>0</v>
      </c>
      <c r="D44" s="2">
        <f t="shared" si="63"/>
        <v>0</v>
      </c>
      <c r="E44" s="2">
        <f t="shared" si="63"/>
        <v>0</v>
      </c>
      <c r="F44" s="2">
        <f t="shared" si="63"/>
        <v>0</v>
      </c>
      <c r="G44" s="2">
        <f t="shared" si="63"/>
        <v>0</v>
      </c>
      <c r="H44" s="2">
        <f t="shared" si="63"/>
        <v>0</v>
      </c>
      <c r="I44" s="2">
        <f t="shared" si="63"/>
        <v>0</v>
      </c>
      <c r="J44" s="2">
        <f t="shared" si="63"/>
        <v>0</v>
      </c>
      <c r="K44" s="2">
        <f t="shared" si="63"/>
        <v>0</v>
      </c>
      <c r="L44" s="2">
        <f t="shared" si="63"/>
        <v>0</v>
      </c>
      <c r="M44" s="5">
        <f>SUM(B44:L44)</f>
        <v>0</v>
      </c>
    </row>
    <row r="45" spans="1:13" x14ac:dyDescent="0.25">
      <c r="A45" t="s">
        <v>16</v>
      </c>
      <c r="B45" s="2">
        <f t="shared" ref="B45:L45" si="64">B13-B29</f>
        <v>5190691.7879543081</v>
      </c>
      <c r="C45" s="2">
        <f t="shared" si="64"/>
        <v>5827762.5750562921</v>
      </c>
      <c r="D45" s="2">
        <f t="shared" si="64"/>
        <v>6147788.7542395443</v>
      </c>
      <c r="E45" s="2">
        <f t="shared" si="64"/>
        <v>6618979.3020043224</v>
      </c>
      <c r="F45" s="2">
        <f t="shared" si="64"/>
        <v>6232860.2385165095</v>
      </c>
      <c r="G45" s="2">
        <f t="shared" si="64"/>
        <v>5740951.454058364</v>
      </c>
      <c r="H45" s="2">
        <f t="shared" si="64"/>
        <v>6509803.8702699617</v>
      </c>
      <c r="I45" s="2">
        <f t="shared" si="64"/>
        <v>7396067.5304338038</v>
      </c>
      <c r="J45" s="2">
        <f t="shared" si="64"/>
        <v>7326376.8224952072</v>
      </c>
      <c r="K45" s="2">
        <f t="shared" si="64"/>
        <v>5716546.0425511152</v>
      </c>
      <c r="L45" s="2">
        <f t="shared" si="64"/>
        <v>6238434.7432751209</v>
      </c>
      <c r="M45" s="5">
        <f>SUM(B45:L45)</f>
        <v>68946263.120854557</v>
      </c>
    </row>
    <row r="46" spans="1:13" x14ac:dyDescent="0.25">
      <c r="A46" t="s">
        <v>14</v>
      </c>
      <c r="B46" s="2">
        <v>16360714</v>
      </c>
      <c r="C46" s="2">
        <v>16462147</v>
      </c>
      <c r="D46" s="2">
        <v>16559135</v>
      </c>
      <c r="E46" s="2">
        <v>16707526</v>
      </c>
      <c r="F46" s="2">
        <v>16799186</v>
      </c>
      <c r="G46" s="2">
        <v>16941716</v>
      </c>
      <c r="H46" s="2">
        <v>17103428</v>
      </c>
      <c r="I46" s="2">
        <v>17323104</v>
      </c>
      <c r="J46" s="2">
        <v>17434858</v>
      </c>
      <c r="K46" s="2">
        <v>17592120</v>
      </c>
      <c r="L46" s="2">
        <v>17750054</v>
      </c>
      <c r="M46" s="5">
        <f>SUM(B46:L46)</f>
        <v>187033988</v>
      </c>
    </row>
    <row r="47" spans="1:13" x14ac:dyDescent="0.25">
      <c r="A47" t="s">
        <v>15</v>
      </c>
      <c r="B47" s="4">
        <f t="shared" ref="B47:L47" si="65">B15-B31</f>
        <v>0.3172656027086781</v>
      </c>
      <c r="C47" s="4">
        <f t="shared" si="65"/>
        <v>0.35400987338141809</v>
      </c>
      <c r="D47" s="4">
        <f t="shared" si="65"/>
        <v>0.37126267490660259</v>
      </c>
      <c r="E47" s="4">
        <f t="shared" si="65"/>
        <v>0.3961675296512675</v>
      </c>
      <c r="F47" s="4">
        <f t="shared" si="65"/>
        <v>0.3710215625040707</v>
      </c>
      <c r="G47" s="4">
        <f t="shared" si="65"/>
        <v>0.33886481476010832</v>
      </c>
      <c r="H47" s="4">
        <f t="shared" si="65"/>
        <v>0.38061398394929724</v>
      </c>
      <c r="I47" s="4">
        <f t="shared" si="65"/>
        <v>0.4269481687827888</v>
      </c>
      <c r="J47" s="4">
        <f t="shared" si="65"/>
        <v>0.4202143098897167</v>
      </c>
      <c r="K47" s="4">
        <f t="shared" si="65"/>
        <v>0.32494924105514944</v>
      </c>
      <c r="L47" s="4">
        <f t="shared" si="65"/>
        <v>0.35146004306663631</v>
      </c>
      <c r="M47" s="4">
        <f>AVERAGE(B47:L47)</f>
        <v>0.368434345877794</v>
      </c>
    </row>
    <row r="48" spans="1:13" x14ac:dyDescent="0.25">
      <c r="A48" t="s">
        <v>18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 Kentcuky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Adams</dc:creator>
  <cp:lastModifiedBy>Chris Adams</cp:lastModifiedBy>
  <dcterms:created xsi:type="dcterms:W3CDTF">2025-02-13T15:10:29Z</dcterms:created>
  <dcterms:modified xsi:type="dcterms:W3CDTF">2025-02-19T13:53:04Z</dcterms:modified>
</cp:coreProperties>
</file>