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penergy.sharepoint.com/sites/RegulatoryServices/OPCO/Kentucky Power/Other Filings/2024-00305 Large Load Tariff/Discovery/01_Staff/"/>
    </mc:Choice>
  </mc:AlternateContent>
  <xr:revisionPtr revIDLastSave="16" documentId="13_ncr:1_{DFF9394F-19E5-4F9A-AD06-80D07F6B0068}" xr6:coauthVersionLast="47" xr6:coauthVersionMax="47" xr10:uidLastSave="{C33A7F48-89BF-4A7C-B95F-23EADECE4FCE}"/>
  <bookViews>
    <workbookView xWindow="28680" yWindow="-120" windowWidth="29040" windowHeight="15720" xr2:uid="{C7709F12-428F-4C51-BA40-9F7CD486A0CF}"/>
  </bookViews>
  <sheets>
    <sheet name="Graph" sheetId="4" r:id="rId1"/>
    <sheet name="Expected" sheetId="1" r:id="rId2"/>
    <sheet name="90% Billing Demand" sheetId="5" r:id="rId3"/>
    <sheet name="60% Billing Demand" sheetId="3" r:id="rId4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4" l="1"/>
  <c r="B2" i="5"/>
  <c r="D14" i="5" s="1"/>
  <c r="H14" i="5" s="1"/>
  <c r="D28" i="5"/>
  <c r="H28" i="5" s="1"/>
  <c r="H29" i="5" s="1"/>
  <c r="H23" i="5"/>
  <c r="D23" i="5"/>
  <c r="D22" i="5"/>
  <c r="H22" i="5" s="1"/>
  <c r="H21" i="5"/>
  <c r="H20" i="5"/>
  <c r="D20" i="5"/>
  <c r="D19" i="5"/>
  <c r="H19" i="5" s="1"/>
  <c r="D18" i="5"/>
  <c r="H18" i="5" s="1"/>
  <c r="H16" i="5"/>
  <c r="D13" i="5"/>
  <c r="H13" i="5" s="1"/>
  <c r="H12" i="5"/>
  <c r="B3" i="5"/>
  <c r="D15" i="5" s="1"/>
  <c r="H15" i="5" s="1"/>
  <c r="D24" i="5"/>
  <c r="H24" i="5" s="1"/>
  <c r="B2" i="3"/>
  <c r="H21" i="3"/>
  <c r="D18" i="3"/>
  <c r="H18" i="3" s="1"/>
  <c r="H16" i="3"/>
  <c r="H12" i="3"/>
  <c r="H21" i="1"/>
  <c r="H16" i="1"/>
  <c r="D24" i="1"/>
  <c r="H24" i="1" s="1"/>
  <c r="D18" i="1"/>
  <c r="H18" i="1" s="1"/>
  <c r="B3" i="1"/>
  <c r="D15" i="1" s="1"/>
  <c r="H15" i="1" s="1"/>
  <c r="H17" i="5" l="1"/>
  <c r="H25" i="5" s="1"/>
  <c r="D14" i="3"/>
  <c r="H14" i="3" s="1"/>
  <c r="D24" i="3"/>
  <c r="H24" i="3" s="1"/>
  <c r="B3" i="3"/>
  <c r="D15" i="3" s="1"/>
  <c r="H15" i="3" s="1"/>
  <c r="D14" i="1"/>
  <c r="H14" i="1" s="1"/>
  <c r="H17" i="1" s="1"/>
  <c r="B4" i="1"/>
  <c r="H12" i="1"/>
  <c r="D34" i="5" l="1"/>
  <c r="H34" i="5" s="1"/>
  <c r="H36" i="5" s="1"/>
  <c r="H31" i="5"/>
  <c r="D35" i="5"/>
  <c r="H35" i="5" s="1"/>
  <c r="H17" i="3"/>
  <c r="D13" i="3"/>
  <c r="H13" i="3" s="1"/>
  <c r="D28" i="3"/>
  <c r="H28" i="3" s="1"/>
  <c r="H29" i="3" s="1"/>
  <c r="D23" i="3"/>
  <c r="H23" i="3" s="1"/>
  <c r="D20" i="3"/>
  <c r="H20" i="3" s="1"/>
  <c r="D22" i="3"/>
  <c r="H22" i="3" s="1"/>
  <c r="D19" i="3"/>
  <c r="H19" i="3" s="1"/>
  <c r="D23" i="1"/>
  <c r="H23" i="1" s="1"/>
  <c r="D28" i="1"/>
  <c r="D20" i="1"/>
  <c r="H20" i="1" s="1"/>
  <c r="D22" i="1"/>
  <c r="H22" i="1" s="1"/>
  <c r="D13" i="1"/>
  <c r="H13" i="1" s="1"/>
  <c r="D19" i="1"/>
  <c r="H19" i="1" s="1"/>
  <c r="H38" i="5" l="1"/>
  <c r="H39" i="5" s="1"/>
  <c r="H25" i="3"/>
  <c r="H25" i="1"/>
  <c r="H28" i="1"/>
  <c r="H29" i="1" s="1"/>
  <c r="D34" i="3" l="1"/>
  <c r="H34" i="3" s="1"/>
  <c r="H31" i="3"/>
  <c r="D35" i="3"/>
  <c r="H35" i="3" s="1"/>
  <c r="H31" i="1"/>
  <c r="D34" i="1"/>
  <c r="H34" i="1" s="1"/>
  <c r="D35" i="1"/>
  <c r="H35" i="1" s="1"/>
  <c r="H36" i="3" l="1"/>
  <c r="H38" i="3" s="1"/>
  <c r="H39" i="3" s="1"/>
  <c r="D7" i="4" s="1"/>
  <c r="H36" i="1"/>
  <c r="H38" i="1" l="1"/>
  <c r="H39" i="1" s="1"/>
  <c r="B7" i="4" s="1"/>
</calcChain>
</file>

<file path=xl/sharedStrings.xml><?xml version="1.0" encoding="utf-8"?>
<sst xmlns="http://schemas.openxmlformats.org/spreadsheetml/2006/main" count="175" uniqueCount="40">
  <si>
    <t>Rate Billing</t>
  </si>
  <si>
    <t>Billing</t>
  </si>
  <si>
    <t>Rate</t>
  </si>
  <si>
    <t>Total</t>
  </si>
  <si>
    <t>Effective Date:</t>
  </si>
  <si>
    <t>Customer Charge</t>
  </si>
  <si>
    <t xml:space="preserve">Energy Charge </t>
  </si>
  <si>
    <t>kWh</t>
  </si>
  <si>
    <t>x</t>
  </si>
  <si>
    <t>On-Peak Demand Charge:</t>
  </si>
  <si>
    <t>kW</t>
  </si>
  <si>
    <t>Off-Peak Demand Charge:</t>
  </si>
  <si>
    <t>Minimum Demand Charge - Total</t>
  </si>
  <si>
    <t>Minimum Demand Charge - Net</t>
  </si>
  <si>
    <t>Reactive Demand Charge</t>
  </si>
  <si>
    <t>kVAR</t>
  </si>
  <si>
    <t>System Sales</t>
  </si>
  <si>
    <t>Demand Side Management Adjustment Clause</t>
  </si>
  <si>
    <t>Economic Development Surcharge</t>
  </si>
  <si>
    <t>Month</t>
  </si>
  <si>
    <t>Federal Tax Cut</t>
  </si>
  <si>
    <t>Purchase Power Adjustment</t>
  </si>
  <si>
    <t>Subtotal KP Billing Charge (A):</t>
  </si>
  <si>
    <t>Fuel Adjustment Clause</t>
  </si>
  <si>
    <t>Fuel Cost</t>
  </si>
  <si>
    <t>Subtotal KP Billing Charge (B):</t>
  </si>
  <si>
    <t>Decommissioning Rider - w/o fuel (%)</t>
  </si>
  <si>
    <t>Environmental Surcharge - w/o fuel (%)</t>
  </si>
  <si>
    <t>Rate Billing - Total</t>
  </si>
  <si>
    <t>Billing Parameters</t>
  </si>
  <si>
    <t>On-Peak Demand:</t>
  </si>
  <si>
    <t>kWh Usage:</t>
  </si>
  <si>
    <t>Excess kVAR</t>
  </si>
  <si>
    <t>Off-Peak Demand:</t>
  </si>
  <si>
    <t>Base Fuel</t>
  </si>
  <si>
    <t>Estimated Annual Billing</t>
  </si>
  <si>
    <t>Expected Bill</t>
  </si>
  <si>
    <t>Min Bill @ 90%</t>
  </si>
  <si>
    <t>Min Bill @ 60%</t>
  </si>
  <si>
    <t>Bill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</si>
</sst>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164" formatCode="_(&quot;$&quot;* #,##0.00000_);_(&quot;$&quot;* \(#,##0.00000\);_(&quot;$&quot;* &quot;-&quot;????_);_(@_)"/>
    <numFmt numFmtId="165" formatCode="_(&quot;$&quot;* #,##0.00_);_(&quot;$&quot;* \(#,##0.00\);_(&quot;$&quot;* &quot;-&quot;????_);_(@_)"/>
    <numFmt numFmtId="166" formatCode="#,##0.0"/>
    <numFmt numFmtId="167" formatCode="_(&quot;$&quot;* #,##0.0000000_);_(&quot;$&quot;* \(#,##0.0000000\);_(&quot;$&quot;* &quot;-&quot;??_);_(@_)"/>
    <numFmt numFmtId="168" formatCode="_(&quot;$&quot;* #,##0.000000_);_(&quot;$&quot;* \(#,##0.000000\);_(&quot;$&quot;* &quot;-&quot;??????_);_(@_)"/>
    <numFmt numFmtId="169" formatCode="_(&quot;$&quot;* #,##0.000000_);_(&quot;$&quot;* \(#,##0.000000\);_(&quot;$&quot;* &quot;-&quot;??_);_(@_)"/>
    <numFmt numFmtId="170" formatCode="0.0000%"/>
    <numFmt numFmtId="171" formatCode="0.0%"/>
    <numFmt numFmtId="172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44" fontId="1" fillId="2" borderId="1" xfId="1" applyFill="1" applyBorder="1"/>
    <xf numFmtId="0" fontId="2" fillId="2" borderId="0" xfId="0" applyFont="1" applyFill="1"/>
    <xf numFmtId="0" fontId="0" fillId="2" borderId="0" xfId="0" applyFill="1"/>
    <xf numFmtId="0" fontId="3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4" fontId="6" fillId="2" borderId="0" xfId="0" quotePrefix="1" applyNumberFormat="1" applyFont="1" applyFill="1" applyAlignment="1">
      <alignment horizontal="center"/>
    </xf>
    <xf numFmtId="3" fontId="0" fillId="2" borderId="0" xfId="0" applyNumberFormat="1" applyFill="1"/>
    <xf numFmtId="3" fontId="6" fillId="2" borderId="0" xfId="0" applyNumberFormat="1" applyFont="1" applyFill="1"/>
    <xf numFmtId="0" fontId="0" fillId="2" borderId="0" xfId="0" applyFill="1" applyAlignment="1">
      <alignment horizontal="center"/>
    </xf>
    <xf numFmtId="164" fontId="1" fillId="2" borderId="1" xfId="1" applyNumberFormat="1" applyFill="1" applyBorder="1"/>
    <xf numFmtId="165" fontId="1" fillId="2" borderId="1" xfId="1" applyNumberFormat="1" applyFill="1" applyBorder="1"/>
    <xf numFmtId="166" fontId="0" fillId="2" borderId="0" xfId="0" applyNumberFormat="1" applyFill="1"/>
    <xf numFmtId="0" fontId="7" fillId="2" borderId="0" xfId="0" applyFont="1" applyFill="1"/>
    <xf numFmtId="167" fontId="0" fillId="2" borderId="1" xfId="1" applyNumberFormat="1" applyFont="1" applyFill="1" applyBorder="1"/>
    <xf numFmtId="168" fontId="0" fillId="2" borderId="1" xfId="1" applyNumberFormat="1" applyFont="1" applyFill="1" applyBorder="1"/>
    <xf numFmtId="44" fontId="0" fillId="2" borderId="1" xfId="1" applyFont="1" applyFill="1" applyBorder="1"/>
    <xf numFmtId="0" fontId="5" fillId="2" borderId="0" xfId="0" applyFont="1" applyFill="1"/>
    <xf numFmtId="0" fontId="2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  <xf numFmtId="169" fontId="0" fillId="2" borderId="1" xfId="1" applyNumberFormat="1" applyFont="1" applyFill="1" applyBorder="1"/>
    <xf numFmtId="0" fontId="9" fillId="2" borderId="0" xfId="0" applyFont="1" applyFill="1"/>
    <xf numFmtId="170" fontId="0" fillId="2" borderId="1" xfId="2" applyNumberFormat="1" applyFont="1" applyFill="1" applyBorder="1"/>
    <xf numFmtId="3" fontId="3" fillId="2" borderId="0" xfId="0" applyNumberFormat="1" applyFont="1" applyFill="1"/>
    <xf numFmtId="0" fontId="3" fillId="2" borderId="0" xfId="0" applyFont="1" applyFill="1"/>
    <xf numFmtId="0" fontId="10" fillId="2" borderId="0" xfId="0" applyFont="1" applyFill="1"/>
    <xf numFmtId="0" fontId="3" fillId="2" borderId="2" xfId="0" applyFont="1" applyFill="1" applyBorder="1"/>
    <xf numFmtId="3" fontId="3" fillId="2" borderId="2" xfId="0" applyNumberFormat="1" applyFont="1" applyFill="1" applyBorder="1"/>
    <xf numFmtId="0" fontId="10" fillId="2" borderId="2" xfId="0" applyFont="1" applyFill="1" applyBorder="1"/>
    <xf numFmtId="0" fontId="2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11" fillId="3" borderId="6" xfId="0" applyFont="1" applyFill="1" applyBorder="1"/>
    <xf numFmtId="3" fontId="9" fillId="3" borderId="0" xfId="0" applyNumberFormat="1" applyFont="1" applyFill="1" applyAlignment="1">
      <alignment horizontal="right"/>
    </xf>
    <xf numFmtId="166" fontId="12" fillId="3" borderId="0" xfId="0" applyNumberFormat="1" applyFont="1" applyFill="1" applyAlignment="1">
      <alignment horizontal="right"/>
    </xf>
    <xf numFmtId="0" fontId="11" fillId="3" borderId="0" xfId="0" applyFont="1" applyFill="1"/>
    <xf numFmtId="171" fontId="9" fillId="3" borderId="7" xfId="2" applyNumberFormat="1" applyFont="1" applyFill="1" applyBorder="1" applyAlignment="1" applyProtection="1">
      <alignment horizontal="center"/>
    </xf>
    <xf numFmtId="3" fontId="12" fillId="3" borderId="0" xfId="0" applyNumberFormat="1" applyFont="1" applyFill="1" applyAlignment="1">
      <alignment horizontal="right"/>
    </xf>
    <xf numFmtId="9" fontId="9" fillId="3" borderId="7" xfId="2" applyFont="1" applyFill="1" applyBorder="1" applyAlignment="1" applyProtection="1">
      <alignment horizontal="center"/>
    </xf>
    <xf numFmtId="0" fontId="11" fillId="3" borderId="8" xfId="0" applyFont="1" applyFill="1" applyBorder="1"/>
    <xf numFmtId="3" fontId="9" fillId="3" borderId="2" xfId="0" applyNumberFormat="1" applyFont="1" applyFill="1" applyBorder="1" applyAlignment="1">
      <alignment horizontal="right"/>
    </xf>
    <xf numFmtId="166" fontId="12" fillId="3" borderId="2" xfId="0" applyNumberFormat="1" applyFont="1" applyFill="1" applyBorder="1" applyAlignment="1">
      <alignment horizontal="right"/>
    </xf>
    <xf numFmtId="0" fontId="11" fillId="3" borderId="2" xfId="0" applyFont="1" applyFill="1" applyBorder="1"/>
    <xf numFmtId="171" fontId="9" fillId="3" borderId="9" xfId="2" applyNumberFormat="1" applyFont="1" applyFill="1" applyBorder="1" applyAlignment="1" applyProtection="1">
      <alignment horizontal="center"/>
    </xf>
    <xf numFmtId="0" fontId="11" fillId="3" borderId="0" xfId="0" applyFont="1" applyFill="1" applyBorder="1"/>
    <xf numFmtId="3" fontId="9" fillId="3" borderId="0" xfId="0" applyNumberFormat="1" applyFont="1" applyFill="1" applyBorder="1" applyAlignment="1">
      <alignment horizontal="right"/>
    </xf>
    <xf numFmtId="166" fontId="12" fillId="3" borderId="0" xfId="0" applyNumberFormat="1" applyFont="1" applyFill="1" applyBorder="1" applyAlignment="1">
      <alignment horizontal="right"/>
    </xf>
    <xf numFmtId="171" fontId="9" fillId="3" borderId="0" xfId="2" applyNumberFormat="1" applyFont="1" applyFill="1" applyBorder="1" applyAlignment="1" applyProtection="1">
      <alignment horizontal="center"/>
    </xf>
    <xf numFmtId="172" fontId="1" fillId="2" borderId="1" xfId="1" applyNumberFormat="1" applyFill="1" applyBorder="1"/>
    <xf numFmtId="172" fontId="3" fillId="2" borderId="0" xfId="1" applyNumberFormat="1" applyFont="1" applyFill="1" applyBorder="1"/>
    <xf numFmtId="172" fontId="5" fillId="2" borderId="1" xfId="1" applyNumberFormat="1" applyFont="1" applyFill="1" applyBorder="1"/>
    <xf numFmtId="172" fontId="8" fillId="2" borderId="0" xfId="0" applyNumberFormat="1" applyFont="1" applyFill="1"/>
    <xf numFmtId="172" fontId="0" fillId="2" borderId="0" xfId="0" applyNumberFormat="1" applyFill="1"/>
    <xf numFmtId="172" fontId="8" fillId="2" borderId="0" xfId="0" applyNumberFormat="1" applyFont="1" applyFill="1" applyAlignment="1">
      <alignment horizontal="center"/>
    </xf>
    <xf numFmtId="172" fontId="8" fillId="2" borderId="0" xfId="1" applyNumberFormat="1" applyFont="1" applyFill="1" applyBorder="1"/>
    <xf numFmtId="172" fontId="8" fillId="2" borderId="2" xfId="1" applyNumberFormat="1" applyFont="1" applyFill="1" applyBorder="1"/>
    <xf numFmtId="0" fontId="0" fillId="2" borderId="0" xfId="0" applyFill="1" applyAlignment="1">
      <alignment horizontal="right"/>
    </xf>
    <xf numFmtId="0" fontId="13" fillId="2" borderId="0" xfId="0" applyFont="1" applyFill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172" fontId="0" fillId="2" borderId="1" xfId="1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1,000 MW Customer - Yearly Minimum Bill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Graph!$A$7</c:f>
              <c:strCache>
                <c:ptCount val="1"/>
                <c:pt idx="0">
                  <c:v>Bill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DF-47E9-8149-7EBDA694807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7DF-47E9-8149-7EBDA694807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7DF-47E9-8149-7EBDA69480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Graph!$B$6:$D$6</c:f>
              <c:strCache>
                <c:ptCount val="3"/>
                <c:pt idx="0">
                  <c:v>Expected Bill</c:v>
                </c:pt>
                <c:pt idx="1">
                  <c:v>Min Bill @ 90%</c:v>
                </c:pt>
                <c:pt idx="2">
                  <c:v>Min Bill @ 60%</c:v>
                </c:pt>
              </c:strCache>
            </c:strRef>
          </c:cat>
          <c:val>
            <c:numRef>
              <c:f>Graph!$B$7:$D$7</c:f>
              <c:numCache>
                <c:formatCode>_("$"* #,##0_);_("$"* \(#,##0\);_("$"* "-"??_);_(@_)</c:formatCode>
                <c:ptCount val="3"/>
                <c:pt idx="0">
                  <c:v>561550336.79999995</c:v>
                </c:pt>
                <c:pt idx="1">
                  <c:v>218137809.47999999</c:v>
                </c:pt>
                <c:pt idx="2">
                  <c:v>145430906.28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DF-47E9-8149-7EBDA6948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8953280"/>
        <c:axId val="2112977248"/>
      </c:barChart>
      <c:catAx>
        <c:axId val="75895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977248"/>
        <c:crosses val="autoZero"/>
        <c:auto val="1"/>
        <c:lblAlgn val="ctr"/>
        <c:lblOffset val="100"/>
        <c:noMultiLvlLbl val="0"/>
      </c:catAx>
      <c:valAx>
        <c:axId val="2112977248"/>
        <c:scaling>
          <c:orientation val="minMax"/>
          <c:min val="1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Bill</a:t>
                </a:r>
              </a:p>
              <a:p>
                <a:pPr>
                  <a:defRPr/>
                </a:pPr>
                <a:r>
                  <a:rPr lang="en-US"/>
                  <a:t>(in millions)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953280"/>
        <c:crosses val="autoZero"/>
        <c:crossBetween val="between"/>
        <c:majorUnit val="100000000"/>
        <c:minorUnit val="500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8</xdr:row>
      <xdr:rowOff>147636</xdr:rowOff>
    </xdr:from>
    <xdr:to>
      <xdr:col>11</xdr:col>
      <xdr:colOff>561975</xdr:colOff>
      <xdr:row>30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EAA0D45-881A-4795-8BDF-71A993499E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87749-84C0-4337-8BE2-77DFB71829F8}">
  <sheetPr>
    <pageSetUpPr fitToPage="1"/>
  </sheetPr>
  <dimension ref="A1:L7"/>
  <sheetViews>
    <sheetView tabSelected="1" zoomScaleNormal="100" workbookViewId="0"/>
  </sheetViews>
  <sheetFormatPr defaultColWidth="9.140625" defaultRowHeight="15" x14ac:dyDescent="0.25"/>
  <cols>
    <col min="1" max="1" width="12.85546875" style="3" bestFit="1" customWidth="1"/>
    <col min="2" max="2" width="13.7109375" style="3" bestFit="1" customWidth="1"/>
    <col min="3" max="4" width="15.28515625" style="3" bestFit="1" customWidth="1"/>
    <col min="5" max="16384" width="9.140625" style="3"/>
  </cols>
  <sheetData>
    <row r="1" spans="1:12" x14ac:dyDescent="0.25">
      <c r="L1" s="56"/>
    </row>
    <row r="2" spans="1:12" x14ac:dyDescent="0.25">
      <c r="L2" s="56"/>
    </row>
    <row r="3" spans="1:12" x14ac:dyDescent="0.25">
      <c r="L3" s="56"/>
    </row>
    <row r="4" spans="1:12" ht="18.75" x14ac:dyDescent="0.3">
      <c r="A4" s="57"/>
    </row>
    <row r="5" spans="1:12" ht="18.75" x14ac:dyDescent="0.3">
      <c r="A5" s="57"/>
    </row>
    <row r="6" spans="1:12" x14ac:dyDescent="0.25">
      <c r="A6" s="58"/>
      <c r="B6" s="59" t="s">
        <v>36</v>
      </c>
      <c r="C6" s="60" t="s">
        <v>37</v>
      </c>
      <c r="D6" s="60" t="s">
        <v>38</v>
      </c>
    </row>
    <row r="7" spans="1:12" x14ac:dyDescent="0.25">
      <c r="A7" s="58" t="s">
        <v>39</v>
      </c>
      <c r="B7" s="61">
        <f>Expected!H39</f>
        <v>561550336.79999995</v>
      </c>
      <c r="C7" s="61">
        <f>'90% Billing Demand'!H39</f>
        <v>218137809.47999999</v>
      </c>
      <c r="D7" s="61">
        <f>'60% Billing Demand'!H39</f>
        <v>145430906.28</v>
      </c>
    </row>
  </sheetData>
  <printOptions horizontalCentered="1"/>
  <pageMargins left="0.25" right="0.25" top="0.25" bottom="0.25" header="0.25" footer="0.25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B38CC-7F26-40CC-9A95-6C8319D5A661}">
  <dimension ref="A1:I42"/>
  <sheetViews>
    <sheetView workbookViewId="0"/>
  </sheetViews>
  <sheetFormatPr defaultColWidth="8.7109375" defaultRowHeight="15" x14ac:dyDescent="0.25"/>
  <cols>
    <col min="1" max="1" width="41.140625" style="3" bestFit="1" customWidth="1"/>
    <col min="2" max="2" width="10.85546875" style="3" bestFit="1" customWidth="1"/>
    <col min="3" max="3" width="8.7109375" style="3"/>
    <col min="4" max="4" width="14.85546875" style="3" bestFit="1" customWidth="1"/>
    <col min="5" max="6" width="8.7109375" style="3"/>
    <col min="7" max="7" width="12.7109375" style="3" bestFit="1" customWidth="1"/>
    <col min="8" max="8" width="14.85546875" style="3" bestFit="1" customWidth="1"/>
    <col min="9" max="9" width="12.5703125" style="3" bestFit="1" customWidth="1"/>
    <col min="10" max="16384" width="8.7109375" style="3"/>
  </cols>
  <sheetData>
    <row r="1" spans="1:9" x14ac:dyDescent="0.25">
      <c r="A1" s="29" t="s">
        <v>29</v>
      </c>
      <c r="B1" s="30"/>
      <c r="C1" s="30"/>
      <c r="D1" s="30"/>
      <c r="E1" s="31"/>
    </row>
    <row r="2" spans="1:9" x14ac:dyDescent="0.25">
      <c r="A2" s="32" t="s">
        <v>30</v>
      </c>
      <c r="B2" s="33">
        <v>1000000</v>
      </c>
      <c r="C2" s="34"/>
      <c r="D2" s="35"/>
      <c r="E2" s="36"/>
    </row>
    <row r="3" spans="1:9" x14ac:dyDescent="0.25">
      <c r="A3" s="32" t="s">
        <v>33</v>
      </c>
      <c r="B3" s="33">
        <f>B2</f>
        <v>1000000</v>
      </c>
      <c r="C3" s="34"/>
      <c r="D3" s="35"/>
      <c r="E3" s="36"/>
    </row>
    <row r="4" spans="1:9" x14ac:dyDescent="0.25">
      <c r="A4" s="32" t="s">
        <v>31</v>
      </c>
      <c r="B4" s="33">
        <f>B2*E4*730</f>
        <v>620500000</v>
      </c>
      <c r="C4" s="37"/>
      <c r="D4" s="35"/>
      <c r="E4" s="38">
        <v>0.85</v>
      </c>
    </row>
    <row r="5" spans="1:9" x14ac:dyDescent="0.25">
      <c r="A5" s="39" t="s">
        <v>32</v>
      </c>
      <c r="B5" s="40">
        <v>0</v>
      </c>
      <c r="C5" s="41"/>
      <c r="D5" s="42"/>
      <c r="E5" s="43"/>
    </row>
    <row r="6" spans="1:9" x14ac:dyDescent="0.25">
      <c r="A6" s="44"/>
      <c r="B6" s="45"/>
      <c r="C6" s="46"/>
      <c r="D6" s="44"/>
      <c r="E6" s="47"/>
    </row>
    <row r="7" spans="1:9" x14ac:dyDescent="0.25">
      <c r="A7" s="44"/>
      <c r="B7" s="45"/>
      <c r="C7" s="46"/>
      <c r="D7" s="44"/>
      <c r="E7" s="47"/>
    </row>
    <row r="8" spans="1:9" x14ac:dyDescent="0.25">
      <c r="A8" s="44"/>
      <c r="B8" s="45"/>
      <c r="C8" s="46"/>
      <c r="D8" s="44"/>
      <c r="E8" s="47"/>
    </row>
    <row r="9" spans="1:9" x14ac:dyDescent="0.25">
      <c r="A9" s="44"/>
      <c r="B9" s="45"/>
      <c r="C9" s="46"/>
      <c r="D9" s="44"/>
      <c r="E9" s="47"/>
    </row>
    <row r="10" spans="1:9" x14ac:dyDescent="0.25">
      <c r="A10" s="2" t="s">
        <v>0</v>
      </c>
      <c r="G10" s="63" t="s">
        <v>1</v>
      </c>
      <c r="H10" s="63"/>
    </row>
    <row r="11" spans="1:9" x14ac:dyDescent="0.25">
      <c r="G11" s="4" t="s">
        <v>2</v>
      </c>
      <c r="H11" s="4" t="s">
        <v>3</v>
      </c>
      <c r="I11" s="5" t="s">
        <v>4</v>
      </c>
    </row>
    <row r="12" spans="1:9" x14ac:dyDescent="0.25">
      <c r="A12" s="3" t="s">
        <v>5</v>
      </c>
      <c r="G12" s="1">
        <v>1353</v>
      </c>
      <c r="H12" s="1">
        <f>G12</f>
        <v>1353</v>
      </c>
      <c r="I12" s="6">
        <v>45307</v>
      </c>
    </row>
    <row r="13" spans="1:9" x14ac:dyDescent="0.25">
      <c r="A13" s="3" t="s">
        <v>6</v>
      </c>
      <c r="D13" s="7">
        <f>B4</f>
        <v>620500000</v>
      </c>
      <c r="E13" s="8" t="s">
        <v>7</v>
      </c>
      <c r="F13" s="9" t="s">
        <v>8</v>
      </c>
      <c r="G13" s="10">
        <v>2.9270000000000001E-2</v>
      </c>
      <c r="H13" s="48">
        <f>ROUND(D13*G13,2)</f>
        <v>18162035</v>
      </c>
      <c r="I13" s="6">
        <v>45307</v>
      </c>
    </row>
    <row r="14" spans="1:9" x14ac:dyDescent="0.25">
      <c r="A14" s="3" t="s">
        <v>9</v>
      </c>
      <c r="D14" s="7">
        <f>B2</f>
        <v>1000000</v>
      </c>
      <c r="E14" s="8" t="s">
        <v>10</v>
      </c>
      <c r="F14" s="9" t="s">
        <v>8</v>
      </c>
      <c r="G14" s="11">
        <v>17</v>
      </c>
      <c r="H14" s="48">
        <f>ROUND(D14*G14,2)</f>
        <v>17000000</v>
      </c>
      <c r="I14" s="6">
        <v>45307</v>
      </c>
    </row>
    <row r="15" spans="1:9" x14ac:dyDescent="0.25">
      <c r="A15" s="3" t="s">
        <v>11</v>
      </c>
      <c r="D15" s="7">
        <f>B3</f>
        <v>1000000</v>
      </c>
      <c r="E15" s="8" t="s">
        <v>10</v>
      </c>
      <c r="F15" s="9" t="s">
        <v>8</v>
      </c>
      <c r="G15" s="11">
        <v>1.73</v>
      </c>
      <c r="H15" s="48">
        <f>ROUND(D15*G15,2)</f>
        <v>1730000</v>
      </c>
      <c r="I15" s="6">
        <v>45307</v>
      </c>
    </row>
    <row r="16" spans="1:9" x14ac:dyDescent="0.25">
      <c r="A16" s="3" t="s">
        <v>12</v>
      </c>
      <c r="D16" s="7">
        <v>0</v>
      </c>
      <c r="E16" s="8" t="s">
        <v>10</v>
      </c>
      <c r="F16" s="9" t="s">
        <v>8</v>
      </c>
      <c r="G16" s="11">
        <v>15.77</v>
      </c>
      <c r="H16" s="1">
        <f>ROUND(D16*G16,2)</f>
        <v>0</v>
      </c>
      <c r="I16" s="6">
        <v>45307</v>
      </c>
    </row>
    <row r="17" spans="1:9" x14ac:dyDescent="0.25">
      <c r="A17" s="3" t="s">
        <v>13</v>
      </c>
      <c r="D17" s="7"/>
      <c r="E17" s="8"/>
      <c r="F17" s="9"/>
      <c r="G17" s="11"/>
      <c r="H17" s="1">
        <f>IF(H16-H15-H14&lt;0,0,H16-H15-H14)</f>
        <v>0</v>
      </c>
      <c r="I17" s="6"/>
    </row>
    <row r="18" spans="1:9" x14ac:dyDescent="0.25">
      <c r="A18" s="3" t="s">
        <v>14</v>
      </c>
      <c r="D18" s="12">
        <f>B5</f>
        <v>0</v>
      </c>
      <c r="E18" s="8" t="s">
        <v>15</v>
      </c>
      <c r="F18" s="9" t="s">
        <v>8</v>
      </c>
      <c r="G18" s="11">
        <v>0.69</v>
      </c>
      <c r="H18" s="1">
        <f>ROUND(D18*G18,2)</f>
        <v>0</v>
      </c>
      <c r="I18" s="6">
        <v>42276</v>
      </c>
    </row>
    <row r="19" spans="1:9" x14ac:dyDescent="0.25">
      <c r="A19" s="3" t="s">
        <v>16</v>
      </c>
      <c r="B19" s="13"/>
      <c r="C19" s="13"/>
      <c r="D19" s="7">
        <f>B4</f>
        <v>620500000</v>
      </c>
      <c r="E19" s="8" t="s">
        <v>7</v>
      </c>
      <c r="F19" s="9" t="s">
        <v>8</v>
      </c>
      <c r="G19" s="14">
        <v>5.8E-4</v>
      </c>
      <c r="H19" s="50">
        <f>ROUND(D19*G19,2)</f>
        <v>359890</v>
      </c>
      <c r="I19" s="6">
        <v>45562</v>
      </c>
    </row>
    <row r="20" spans="1:9" x14ac:dyDescent="0.25">
      <c r="A20" s="3" t="s">
        <v>17</v>
      </c>
      <c r="D20" s="7">
        <f>B4</f>
        <v>620500000</v>
      </c>
      <c r="E20" s="8" t="s">
        <v>7</v>
      </c>
      <c r="F20" s="9" t="s">
        <v>8</v>
      </c>
      <c r="G20" s="15">
        <v>-1.5999999999999999E-5</v>
      </c>
      <c r="H20" s="50">
        <f>ROUND(D20*G20,2)</f>
        <v>-9928</v>
      </c>
      <c r="I20" s="6">
        <v>45293</v>
      </c>
    </row>
    <row r="21" spans="1:9" x14ac:dyDescent="0.25">
      <c r="A21" s="3" t="s">
        <v>18</v>
      </c>
      <c r="B21" s="13"/>
      <c r="C21" s="13"/>
      <c r="D21" s="7">
        <v>1</v>
      </c>
      <c r="E21" s="8" t="s">
        <v>19</v>
      </c>
      <c r="F21" s="9"/>
      <c r="G21" s="16">
        <v>1</v>
      </c>
      <c r="H21" s="50">
        <f>ROUND(D21*G21,2)</f>
        <v>1</v>
      </c>
      <c r="I21" s="6">
        <v>43119</v>
      </c>
    </row>
    <row r="22" spans="1:9" x14ac:dyDescent="0.25">
      <c r="A22" s="3" t="s">
        <v>20</v>
      </c>
      <c r="B22" s="13"/>
      <c r="C22" s="13"/>
      <c r="D22" s="7">
        <f>B4</f>
        <v>620500000</v>
      </c>
      <c r="E22" s="8" t="s">
        <v>7</v>
      </c>
      <c r="F22" s="9" t="s">
        <v>8</v>
      </c>
      <c r="G22" s="14">
        <v>-4.2999999999999999E-4</v>
      </c>
      <c r="H22" s="50">
        <f>D22*G22</f>
        <v>-266815</v>
      </c>
      <c r="I22" s="6">
        <v>45307</v>
      </c>
    </row>
    <row r="23" spans="1:9" x14ac:dyDescent="0.25">
      <c r="A23" s="17" t="s">
        <v>21</v>
      </c>
      <c r="B23" s="13"/>
      <c r="C23" s="13"/>
      <c r="D23" s="7">
        <f>B4</f>
        <v>620500000</v>
      </c>
      <c r="E23" s="8" t="s">
        <v>7</v>
      </c>
      <c r="F23" s="9" t="s">
        <v>8</v>
      </c>
      <c r="G23" s="14">
        <v>7.5000000000000002E-4</v>
      </c>
      <c r="H23" s="50">
        <f>D23*G23</f>
        <v>465375</v>
      </c>
      <c r="I23" s="6">
        <v>45563</v>
      </c>
    </row>
    <row r="24" spans="1:9" x14ac:dyDescent="0.25">
      <c r="A24" s="17" t="s">
        <v>21</v>
      </c>
      <c r="B24" s="13"/>
      <c r="C24" s="13"/>
      <c r="D24" s="7">
        <f>B2</f>
        <v>1000000</v>
      </c>
      <c r="E24" s="8" t="s">
        <v>10</v>
      </c>
      <c r="F24" s="9" t="s">
        <v>8</v>
      </c>
      <c r="G24" s="14">
        <v>0.46</v>
      </c>
      <c r="H24" s="50">
        <f>D24*G24</f>
        <v>460000</v>
      </c>
      <c r="I24" s="6">
        <v>45563</v>
      </c>
    </row>
    <row r="25" spans="1:9" x14ac:dyDescent="0.25">
      <c r="B25" s="13"/>
      <c r="C25" s="18" t="s">
        <v>22</v>
      </c>
      <c r="D25" s="7"/>
      <c r="E25" s="8"/>
      <c r="F25" s="9"/>
      <c r="G25" s="6"/>
      <c r="H25" s="51">
        <f>H12+H13+H14+H15+H17+H18+H19+H20+H21+H22+H23+H24</f>
        <v>37901911</v>
      </c>
      <c r="I25" s="19"/>
    </row>
    <row r="26" spans="1:9" x14ac:dyDescent="0.25">
      <c r="B26" s="13"/>
      <c r="C26" s="13"/>
      <c r="D26" s="7"/>
      <c r="E26" s="8"/>
      <c r="F26" s="9"/>
      <c r="G26" s="6"/>
      <c r="H26" s="52"/>
    </row>
    <row r="27" spans="1:9" x14ac:dyDescent="0.25">
      <c r="H27" s="52"/>
    </row>
    <row r="28" spans="1:9" x14ac:dyDescent="0.25">
      <c r="A28" s="3" t="s">
        <v>23</v>
      </c>
      <c r="B28" s="13"/>
      <c r="C28" s="13"/>
      <c r="D28" s="7">
        <f>B4</f>
        <v>620500000</v>
      </c>
      <c r="E28" s="8" t="s">
        <v>7</v>
      </c>
      <c r="F28" s="9" t="s">
        <v>8</v>
      </c>
      <c r="G28" s="20">
        <v>1.2500000000000001E-2</v>
      </c>
      <c r="H28" s="50">
        <f>ROUND(D28*G28,2)</f>
        <v>7756250</v>
      </c>
      <c r="I28" s="6">
        <v>45593</v>
      </c>
    </row>
    <row r="29" spans="1:9" x14ac:dyDescent="0.25">
      <c r="C29" s="18" t="s">
        <v>24</v>
      </c>
      <c r="H29" s="51">
        <f>SUM(H28:H28)</f>
        <v>7756250</v>
      </c>
    </row>
    <row r="30" spans="1:9" x14ac:dyDescent="0.25">
      <c r="H30" s="52"/>
    </row>
    <row r="31" spans="1:9" x14ac:dyDescent="0.25">
      <c r="C31" s="18" t="s">
        <v>25</v>
      </c>
      <c r="H31" s="51">
        <f>H25+H29</f>
        <v>45658161</v>
      </c>
      <c r="I31" s="19"/>
    </row>
    <row r="32" spans="1:9" x14ac:dyDescent="0.25">
      <c r="H32" s="52"/>
    </row>
    <row r="33" spans="1:9" x14ac:dyDescent="0.25">
      <c r="A33" s="21"/>
      <c r="B33" s="21"/>
      <c r="C33" s="21"/>
      <c r="H33" s="52"/>
    </row>
    <row r="34" spans="1:9" x14ac:dyDescent="0.25">
      <c r="A34" s="3" t="s">
        <v>26</v>
      </c>
      <c r="D34" s="49">
        <f>$H$25-($A$41*$B$4)</f>
        <v>21694451</v>
      </c>
      <c r="E34" s="8"/>
      <c r="F34" s="9" t="s">
        <v>8</v>
      </c>
      <c r="G34" s="22">
        <v>0</v>
      </c>
      <c r="H34" s="50">
        <f>ROUND(D34*G34,2)</f>
        <v>0</v>
      </c>
      <c r="I34" s="6">
        <v>45307</v>
      </c>
    </row>
    <row r="35" spans="1:9" x14ac:dyDescent="0.25">
      <c r="A35" s="17" t="s">
        <v>27</v>
      </c>
      <c r="D35" s="49">
        <f>$H$25-($A$41*$B$4)</f>
        <v>21694451</v>
      </c>
      <c r="E35" s="8"/>
      <c r="F35" s="9" t="s">
        <v>8</v>
      </c>
      <c r="G35" s="22">
        <v>5.2442000000000003E-2</v>
      </c>
      <c r="H35" s="50">
        <f>ROUND(D35*G35,2)</f>
        <v>1137700.3999999999</v>
      </c>
      <c r="I35" s="6">
        <v>45593</v>
      </c>
    </row>
    <row r="36" spans="1:9" x14ac:dyDescent="0.25">
      <c r="A36" s="21"/>
      <c r="B36" s="21"/>
      <c r="C36" s="21"/>
      <c r="D36" s="23"/>
      <c r="E36" s="23"/>
      <c r="F36" s="24"/>
      <c r="G36" s="23"/>
      <c r="H36" s="53">
        <f>SUM(H34:H35)</f>
        <v>1137700.3999999999</v>
      </c>
      <c r="I36" s="25"/>
    </row>
    <row r="37" spans="1:9" x14ac:dyDescent="0.25">
      <c r="A37" s="21"/>
      <c r="B37" s="21"/>
      <c r="C37" s="21"/>
      <c r="D37" s="23"/>
      <c r="E37" s="23"/>
      <c r="F37" s="24"/>
      <c r="G37" s="23"/>
      <c r="H37" s="53"/>
      <c r="I37" s="25"/>
    </row>
    <row r="38" spans="1:9" x14ac:dyDescent="0.25">
      <c r="A38" s="21"/>
      <c r="B38" s="21"/>
      <c r="C38" s="18" t="s">
        <v>28</v>
      </c>
      <c r="D38" s="7"/>
      <c r="E38" s="8"/>
      <c r="F38" s="9"/>
      <c r="G38" s="23"/>
      <c r="H38" s="54">
        <f>H31+H36</f>
        <v>46795861.399999999</v>
      </c>
      <c r="I38" s="6"/>
    </row>
    <row r="39" spans="1:9" x14ac:dyDescent="0.25">
      <c r="A39" s="26"/>
      <c r="B39" s="26" t="s">
        <v>35</v>
      </c>
      <c r="C39" s="26"/>
      <c r="D39" s="27"/>
      <c r="E39" s="27"/>
      <c r="F39" s="26"/>
      <c r="G39" s="27"/>
      <c r="H39" s="55">
        <f>H38*12</f>
        <v>561550336.79999995</v>
      </c>
      <c r="I39" s="28"/>
    </row>
    <row r="41" spans="1:9" x14ac:dyDescent="0.25">
      <c r="A41" s="3">
        <v>2.6120000000000001E-2</v>
      </c>
    </row>
    <row r="42" spans="1:9" x14ac:dyDescent="0.25">
      <c r="A42" s="3" t="s">
        <v>34</v>
      </c>
    </row>
  </sheetData>
  <mergeCells count="1">
    <mergeCell ref="G10:H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A9099-3942-4117-85D7-B88757D54F78}">
  <dimension ref="A1:I42"/>
  <sheetViews>
    <sheetView workbookViewId="0"/>
  </sheetViews>
  <sheetFormatPr defaultColWidth="8.7109375" defaultRowHeight="15" x14ac:dyDescent="0.25"/>
  <cols>
    <col min="1" max="1" width="41.140625" style="3" bestFit="1" customWidth="1"/>
    <col min="2" max="2" width="10.85546875" style="3" bestFit="1" customWidth="1"/>
    <col min="3" max="3" width="8.7109375" style="3"/>
    <col min="4" max="4" width="14.85546875" style="3" bestFit="1" customWidth="1"/>
    <col min="5" max="6" width="8.7109375" style="3"/>
    <col min="7" max="7" width="12.7109375" style="3" bestFit="1" customWidth="1"/>
    <col min="8" max="8" width="14.85546875" style="3" bestFit="1" customWidth="1"/>
    <col min="9" max="9" width="12.5703125" style="3" bestFit="1" customWidth="1"/>
    <col min="10" max="16384" width="8.7109375" style="3"/>
  </cols>
  <sheetData>
    <row r="1" spans="1:9" x14ac:dyDescent="0.25">
      <c r="A1" s="29" t="s">
        <v>29</v>
      </c>
      <c r="B1" s="30"/>
      <c r="C1" s="30"/>
      <c r="D1" s="30"/>
      <c r="E1" s="31"/>
    </row>
    <row r="2" spans="1:9" x14ac:dyDescent="0.25">
      <c r="A2" s="32" t="s">
        <v>30</v>
      </c>
      <c r="B2" s="33">
        <f>1000000*0.9</f>
        <v>900000</v>
      </c>
      <c r="C2" s="34"/>
      <c r="D2" s="35"/>
      <c r="E2" s="36"/>
    </row>
    <row r="3" spans="1:9" x14ac:dyDescent="0.25">
      <c r="A3" s="32" t="s">
        <v>33</v>
      </c>
      <c r="B3" s="33">
        <f>B2</f>
        <v>900000</v>
      </c>
      <c r="C3" s="34"/>
      <c r="D3" s="35"/>
      <c r="E3" s="36"/>
    </row>
    <row r="4" spans="1:9" x14ac:dyDescent="0.25">
      <c r="A4" s="32" t="s">
        <v>31</v>
      </c>
      <c r="B4" s="33"/>
      <c r="C4" s="37"/>
      <c r="D4" s="35"/>
      <c r="E4" s="38">
        <v>0.85</v>
      </c>
    </row>
    <row r="5" spans="1:9" x14ac:dyDescent="0.25">
      <c r="A5" s="39" t="s">
        <v>32</v>
      </c>
      <c r="B5" s="40">
        <v>0</v>
      </c>
      <c r="C5" s="41"/>
      <c r="D5" s="42"/>
      <c r="E5" s="43"/>
    </row>
    <row r="6" spans="1:9" x14ac:dyDescent="0.25">
      <c r="A6" s="44"/>
      <c r="B6" s="45"/>
      <c r="C6" s="46"/>
      <c r="D6" s="44"/>
      <c r="E6" s="47"/>
    </row>
    <row r="7" spans="1:9" x14ac:dyDescent="0.25">
      <c r="A7" s="44"/>
      <c r="B7" s="45"/>
      <c r="C7" s="46"/>
      <c r="D7" s="44"/>
      <c r="E7" s="47"/>
    </row>
    <row r="8" spans="1:9" x14ac:dyDescent="0.25">
      <c r="A8" s="44"/>
      <c r="B8" s="45"/>
      <c r="C8" s="46"/>
      <c r="D8" s="44"/>
      <c r="E8" s="47"/>
    </row>
    <row r="9" spans="1:9" x14ac:dyDescent="0.25">
      <c r="A9" s="44"/>
      <c r="B9" s="45"/>
      <c r="C9" s="46"/>
      <c r="D9" s="44"/>
      <c r="E9" s="47"/>
    </row>
    <row r="10" spans="1:9" x14ac:dyDescent="0.25">
      <c r="A10" s="2" t="s">
        <v>0</v>
      </c>
      <c r="G10" s="63" t="s">
        <v>1</v>
      </c>
      <c r="H10" s="63"/>
    </row>
    <row r="11" spans="1:9" x14ac:dyDescent="0.25">
      <c r="G11" s="62" t="s">
        <v>2</v>
      </c>
      <c r="H11" s="62" t="s">
        <v>3</v>
      </c>
      <c r="I11" s="5" t="s">
        <v>4</v>
      </c>
    </row>
    <row r="12" spans="1:9" x14ac:dyDescent="0.25">
      <c r="A12" s="3" t="s">
        <v>5</v>
      </c>
      <c r="G12" s="1">
        <v>1353</v>
      </c>
      <c r="H12" s="1">
        <f>G12</f>
        <v>1353</v>
      </c>
      <c r="I12" s="6">
        <v>45307</v>
      </c>
    </row>
    <row r="13" spans="1:9" x14ac:dyDescent="0.25">
      <c r="A13" s="3" t="s">
        <v>6</v>
      </c>
      <c r="D13" s="7">
        <f>B4</f>
        <v>0</v>
      </c>
      <c r="E13" s="8" t="s">
        <v>7</v>
      </c>
      <c r="F13" s="9" t="s">
        <v>8</v>
      </c>
      <c r="G13" s="10">
        <v>2.9270000000000001E-2</v>
      </c>
      <c r="H13" s="48">
        <f>ROUND(D13*G13,2)</f>
        <v>0</v>
      </c>
      <c r="I13" s="6">
        <v>45307</v>
      </c>
    </row>
    <row r="14" spans="1:9" x14ac:dyDescent="0.25">
      <c r="A14" s="3" t="s">
        <v>9</v>
      </c>
      <c r="D14" s="7">
        <f>B2</f>
        <v>900000</v>
      </c>
      <c r="E14" s="8" t="s">
        <v>10</v>
      </c>
      <c r="F14" s="9" t="s">
        <v>8</v>
      </c>
      <c r="G14" s="11">
        <v>17</v>
      </c>
      <c r="H14" s="48">
        <f>ROUND(D14*G14,2)</f>
        <v>15300000</v>
      </c>
      <c r="I14" s="6">
        <v>45307</v>
      </c>
    </row>
    <row r="15" spans="1:9" x14ac:dyDescent="0.25">
      <c r="A15" s="3" t="s">
        <v>11</v>
      </c>
      <c r="D15" s="7">
        <f>B3</f>
        <v>900000</v>
      </c>
      <c r="E15" s="8" t="s">
        <v>10</v>
      </c>
      <c r="F15" s="9" t="s">
        <v>8</v>
      </c>
      <c r="G15" s="11">
        <v>1.73</v>
      </c>
      <c r="H15" s="48">
        <f>ROUND(D15*G15,2)</f>
        <v>1557000</v>
      </c>
      <c r="I15" s="6">
        <v>45307</v>
      </c>
    </row>
    <row r="16" spans="1:9" x14ac:dyDescent="0.25">
      <c r="A16" s="3" t="s">
        <v>12</v>
      </c>
      <c r="D16" s="7">
        <v>0</v>
      </c>
      <c r="E16" s="8" t="s">
        <v>10</v>
      </c>
      <c r="F16" s="9" t="s">
        <v>8</v>
      </c>
      <c r="G16" s="11">
        <v>15.77</v>
      </c>
      <c r="H16" s="1">
        <f>ROUND(D16*G16,2)</f>
        <v>0</v>
      </c>
      <c r="I16" s="6">
        <v>45307</v>
      </c>
    </row>
    <row r="17" spans="1:9" x14ac:dyDescent="0.25">
      <c r="A17" s="3" t="s">
        <v>13</v>
      </c>
      <c r="D17" s="7"/>
      <c r="E17" s="8"/>
      <c r="F17" s="9"/>
      <c r="G17" s="11"/>
      <c r="H17" s="1">
        <f>IF(H16-H15-H14&lt;0,0,H16-H15-H14)</f>
        <v>0</v>
      </c>
      <c r="I17" s="6"/>
    </row>
    <row r="18" spans="1:9" x14ac:dyDescent="0.25">
      <c r="A18" s="3" t="s">
        <v>14</v>
      </c>
      <c r="D18" s="12">
        <f>B5</f>
        <v>0</v>
      </c>
      <c r="E18" s="8" t="s">
        <v>15</v>
      </c>
      <c r="F18" s="9" t="s">
        <v>8</v>
      </c>
      <c r="G18" s="11">
        <v>0.69</v>
      </c>
      <c r="H18" s="1">
        <f>ROUND(D18*G18,2)</f>
        <v>0</v>
      </c>
      <c r="I18" s="6">
        <v>42276</v>
      </c>
    </row>
    <row r="19" spans="1:9" x14ac:dyDescent="0.25">
      <c r="A19" s="3" t="s">
        <v>16</v>
      </c>
      <c r="B19" s="13"/>
      <c r="C19" s="13"/>
      <c r="D19" s="7">
        <f>B4</f>
        <v>0</v>
      </c>
      <c r="E19" s="8" t="s">
        <v>7</v>
      </c>
      <c r="F19" s="9" t="s">
        <v>8</v>
      </c>
      <c r="G19" s="14">
        <v>5.8E-4</v>
      </c>
      <c r="H19" s="50">
        <f>ROUND(D19*G19,2)</f>
        <v>0</v>
      </c>
      <c r="I19" s="6">
        <v>45562</v>
      </c>
    </row>
    <row r="20" spans="1:9" x14ac:dyDescent="0.25">
      <c r="A20" s="3" t="s">
        <v>17</v>
      </c>
      <c r="D20" s="7">
        <f>B4</f>
        <v>0</v>
      </c>
      <c r="E20" s="8" t="s">
        <v>7</v>
      </c>
      <c r="F20" s="9" t="s">
        <v>8</v>
      </c>
      <c r="G20" s="15">
        <v>-1.5999999999999999E-5</v>
      </c>
      <c r="H20" s="50">
        <f>ROUND(D20*G20,2)</f>
        <v>0</v>
      </c>
      <c r="I20" s="6">
        <v>45293</v>
      </c>
    </row>
    <row r="21" spans="1:9" x14ac:dyDescent="0.25">
      <c r="A21" s="3" t="s">
        <v>18</v>
      </c>
      <c r="B21" s="13"/>
      <c r="C21" s="13"/>
      <c r="D21" s="7">
        <v>1</v>
      </c>
      <c r="E21" s="8" t="s">
        <v>19</v>
      </c>
      <c r="F21" s="9"/>
      <c r="G21" s="16">
        <v>1</v>
      </c>
      <c r="H21" s="50">
        <f>ROUND(D21*G21,2)</f>
        <v>1</v>
      </c>
      <c r="I21" s="6">
        <v>43119</v>
      </c>
    </row>
    <row r="22" spans="1:9" x14ac:dyDescent="0.25">
      <c r="A22" s="3" t="s">
        <v>20</v>
      </c>
      <c r="B22" s="13"/>
      <c r="C22" s="13"/>
      <c r="D22" s="7">
        <f>B4</f>
        <v>0</v>
      </c>
      <c r="E22" s="8" t="s">
        <v>7</v>
      </c>
      <c r="F22" s="9" t="s">
        <v>8</v>
      </c>
      <c r="G22" s="14">
        <v>-4.2999999999999999E-4</v>
      </c>
      <c r="H22" s="50">
        <f>D22*G22</f>
        <v>0</v>
      </c>
      <c r="I22" s="6">
        <v>45307</v>
      </c>
    </row>
    <row r="23" spans="1:9" x14ac:dyDescent="0.25">
      <c r="A23" s="17" t="s">
        <v>21</v>
      </c>
      <c r="B23" s="13"/>
      <c r="C23" s="13"/>
      <c r="D23" s="7">
        <f>B4</f>
        <v>0</v>
      </c>
      <c r="E23" s="8" t="s">
        <v>7</v>
      </c>
      <c r="F23" s="9" t="s">
        <v>8</v>
      </c>
      <c r="G23" s="14">
        <v>7.5000000000000002E-4</v>
      </c>
      <c r="H23" s="50">
        <f>D23*G23</f>
        <v>0</v>
      </c>
      <c r="I23" s="6">
        <v>45563</v>
      </c>
    </row>
    <row r="24" spans="1:9" x14ac:dyDescent="0.25">
      <c r="A24" s="17" t="s">
        <v>21</v>
      </c>
      <c r="B24" s="13"/>
      <c r="C24" s="13"/>
      <c r="D24" s="7">
        <f>B2</f>
        <v>900000</v>
      </c>
      <c r="E24" s="8" t="s">
        <v>10</v>
      </c>
      <c r="F24" s="9" t="s">
        <v>8</v>
      </c>
      <c r="G24" s="14">
        <v>0.46</v>
      </c>
      <c r="H24" s="50">
        <f>D24*G24</f>
        <v>414000</v>
      </c>
      <c r="I24" s="6">
        <v>45563</v>
      </c>
    </row>
    <row r="25" spans="1:9" x14ac:dyDescent="0.25">
      <c r="B25" s="13"/>
      <c r="C25" s="18" t="s">
        <v>22</v>
      </c>
      <c r="D25" s="7"/>
      <c r="E25" s="8"/>
      <c r="F25" s="9"/>
      <c r="G25" s="6"/>
      <c r="H25" s="51">
        <f>H12+H13+H14+H15+H17+H18+H19+H20+H21+H22+H23+H24</f>
        <v>17272354</v>
      </c>
      <c r="I25" s="19"/>
    </row>
    <row r="26" spans="1:9" x14ac:dyDescent="0.25">
      <c r="B26" s="13"/>
      <c r="C26" s="13"/>
      <c r="D26" s="7"/>
      <c r="E26" s="8"/>
      <c r="F26" s="9"/>
      <c r="G26" s="6"/>
      <c r="H26" s="52"/>
    </row>
    <row r="27" spans="1:9" x14ac:dyDescent="0.25">
      <c r="H27" s="52"/>
    </row>
    <row r="28" spans="1:9" x14ac:dyDescent="0.25">
      <c r="A28" s="3" t="s">
        <v>23</v>
      </c>
      <c r="B28" s="13"/>
      <c r="C28" s="13"/>
      <c r="D28" s="7">
        <f>B4</f>
        <v>0</v>
      </c>
      <c r="E28" s="8" t="s">
        <v>7</v>
      </c>
      <c r="F28" s="9" t="s">
        <v>8</v>
      </c>
      <c r="G28" s="20">
        <v>1.2500000000000001E-2</v>
      </c>
      <c r="H28" s="50">
        <f>ROUND(D28*G28,2)</f>
        <v>0</v>
      </c>
      <c r="I28" s="6">
        <v>45593</v>
      </c>
    </row>
    <row r="29" spans="1:9" x14ac:dyDescent="0.25">
      <c r="C29" s="18" t="s">
        <v>24</v>
      </c>
      <c r="H29" s="51">
        <f>SUM(H28:H28)</f>
        <v>0</v>
      </c>
    </row>
    <row r="30" spans="1:9" x14ac:dyDescent="0.25">
      <c r="H30" s="52"/>
    </row>
    <row r="31" spans="1:9" x14ac:dyDescent="0.25">
      <c r="C31" s="18" t="s">
        <v>25</v>
      </c>
      <c r="H31" s="51">
        <f>H25+H29</f>
        <v>17272354</v>
      </c>
      <c r="I31" s="19"/>
    </row>
    <row r="32" spans="1:9" x14ac:dyDescent="0.25">
      <c r="H32" s="52"/>
    </row>
    <row r="33" spans="1:9" x14ac:dyDescent="0.25">
      <c r="A33" s="21"/>
      <c r="B33" s="21"/>
      <c r="C33" s="21"/>
      <c r="H33" s="52"/>
    </row>
    <row r="34" spans="1:9" x14ac:dyDescent="0.25">
      <c r="A34" s="3" t="s">
        <v>26</v>
      </c>
      <c r="D34" s="49">
        <f>$H$25-($A$41*$B$4)</f>
        <v>17272354</v>
      </c>
      <c r="E34" s="8"/>
      <c r="F34" s="9" t="s">
        <v>8</v>
      </c>
      <c r="G34" s="22">
        <v>0</v>
      </c>
      <c r="H34" s="50">
        <f>ROUND(D34*G34,2)</f>
        <v>0</v>
      </c>
      <c r="I34" s="6">
        <v>45307</v>
      </c>
    </row>
    <row r="35" spans="1:9" x14ac:dyDescent="0.25">
      <c r="A35" s="17" t="s">
        <v>27</v>
      </c>
      <c r="D35" s="49">
        <f>$H$25-($A$41*$B$4)</f>
        <v>17272354</v>
      </c>
      <c r="E35" s="8"/>
      <c r="F35" s="9" t="s">
        <v>8</v>
      </c>
      <c r="G35" s="22">
        <v>5.2442000000000003E-2</v>
      </c>
      <c r="H35" s="50">
        <f>ROUND(D35*G35,2)</f>
        <v>905796.79</v>
      </c>
      <c r="I35" s="6">
        <v>45593</v>
      </c>
    </row>
    <row r="36" spans="1:9" x14ac:dyDescent="0.25">
      <c r="A36" s="21"/>
      <c r="B36" s="21"/>
      <c r="C36" s="21"/>
      <c r="D36" s="23"/>
      <c r="E36" s="23"/>
      <c r="F36" s="24"/>
      <c r="G36" s="23"/>
      <c r="H36" s="53">
        <f>SUM(H34:H35)</f>
        <v>905796.79</v>
      </c>
      <c r="I36" s="25"/>
    </row>
    <row r="37" spans="1:9" x14ac:dyDescent="0.25">
      <c r="A37" s="21"/>
      <c r="B37" s="21"/>
      <c r="C37" s="21"/>
      <c r="D37" s="23"/>
      <c r="E37" s="23"/>
      <c r="F37" s="24"/>
      <c r="G37" s="23"/>
      <c r="H37" s="53"/>
      <c r="I37" s="25"/>
    </row>
    <row r="38" spans="1:9" x14ac:dyDescent="0.25">
      <c r="A38" s="21"/>
      <c r="B38" s="21"/>
      <c r="C38" s="18" t="s">
        <v>28</v>
      </c>
      <c r="D38" s="7"/>
      <c r="E38" s="8"/>
      <c r="F38" s="9"/>
      <c r="G38" s="23"/>
      <c r="H38" s="54">
        <f>H31+H36</f>
        <v>18178150.789999999</v>
      </c>
      <c r="I38" s="6"/>
    </row>
    <row r="39" spans="1:9" x14ac:dyDescent="0.25">
      <c r="A39" s="26"/>
      <c r="B39" s="26" t="s">
        <v>35</v>
      </c>
      <c r="C39" s="26"/>
      <c r="D39" s="27"/>
      <c r="E39" s="27"/>
      <c r="F39" s="26"/>
      <c r="G39" s="27"/>
      <c r="H39" s="55">
        <f>H38*12</f>
        <v>218137809.47999999</v>
      </c>
      <c r="I39" s="28"/>
    </row>
    <row r="41" spans="1:9" x14ac:dyDescent="0.25">
      <c r="A41" s="3">
        <v>2.6120000000000001E-2</v>
      </c>
    </row>
    <row r="42" spans="1:9" x14ac:dyDescent="0.25">
      <c r="A42" s="3" t="s">
        <v>34</v>
      </c>
    </row>
  </sheetData>
  <mergeCells count="1">
    <mergeCell ref="G10:H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93528-6E01-4A6B-868F-C254B223ECC1}">
  <dimension ref="A1:I42"/>
  <sheetViews>
    <sheetView workbookViewId="0"/>
  </sheetViews>
  <sheetFormatPr defaultColWidth="8.7109375" defaultRowHeight="15" x14ac:dyDescent="0.25"/>
  <cols>
    <col min="1" max="1" width="41.140625" style="3" bestFit="1" customWidth="1"/>
    <col min="2" max="2" width="10.85546875" style="3" bestFit="1" customWidth="1"/>
    <col min="3" max="3" width="8.7109375" style="3"/>
    <col min="4" max="4" width="14.85546875" style="3" bestFit="1" customWidth="1"/>
    <col min="5" max="6" width="8.7109375" style="3"/>
    <col min="7" max="7" width="12.7109375" style="3" bestFit="1" customWidth="1"/>
    <col min="8" max="8" width="14.85546875" style="3" bestFit="1" customWidth="1"/>
    <col min="9" max="9" width="12.5703125" style="3" bestFit="1" customWidth="1"/>
    <col min="10" max="16384" width="8.7109375" style="3"/>
  </cols>
  <sheetData>
    <row r="1" spans="1:9" x14ac:dyDescent="0.25">
      <c r="A1" s="29" t="s">
        <v>29</v>
      </c>
      <c r="B1" s="30"/>
      <c r="C1" s="30"/>
      <c r="D1" s="30"/>
      <c r="E1" s="31"/>
    </row>
    <row r="2" spans="1:9" x14ac:dyDescent="0.25">
      <c r="A2" s="32" t="s">
        <v>30</v>
      </c>
      <c r="B2" s="33">
        <f>1000000*0.6</f>
        <v>600000</v>
      </c>
      <c r="C2" s="34"/>
      <c r="D2" s="35"/>
      <c r="E2" s="36"/>
    </row>
    <row r="3" spans="1:9" x14ac:dyDescent="0.25">
      <c r="A3" s="32" t="s">
        <v>33</v>
      </c>
      <c r="B3" s="33">
        <f>B2</f>
        <v>600000</v>
      </c>
      <c r="C3" s="34"/>
      <c r="D3" s="35"/>
      <c r="E3" s="36"/>
    </row>
    <row r="4" spans="1:9" x14ac:dyDescent="0.25">
      <c r="A4" s="32" t="s">
        <v>31</v>
      </c>
      <c r="B4" s="33"/>
      <c r="C4" s="37"/>
      <c r="D4" s="35"/>
      <c r="E4" s="38">
        <v>0.85</v>
      </c>
    </row>
    <row r="5" spans="1:9" x14ac:dyDescent="0.25">
      <c r="A5" s="39" t="s">
        <v>32</v>
      </c>
      <c r="B5" s="40">
        <v>0</v>
      </c>
      <c r="C5" s="41"/>
      <c r="D5" s="42"/>
      <c r="E5" s="43"/>
    </row>
    <row r="6" spans="1:9" x14ac:dyDescent="0.25">
      <c r="A6" s="44"/>
      <c r="B6" s="45"/>
      <c r="C6" s="46"/>
      <c r="D6" s="44"/>
      <c r="E6" s="47"/>
    </row>
    <row r="7" spans="1:9" x14ac:dyDescent="0.25">
      <c r="A7" s="44"/>
      <c r="B7" s="45"/>
      <c r="C7" s="46"/>
      <c r="D7" s="44"/>
      <c r="E7" s="47"/>
    </row>
    <row r="8" spans="1:9" x14ac:dyDescent="0.25">
      <c r="A8" s="44"/>
      <c r="B8" s="45"/>
      <c r="C8" s="46"/>
      <c r="D8" s="44"/>
      <c r="E8" s="47"/>
    </row>
    <row r="9" spans="1:9" x14ac:dyDescent="0.25">
      <c r="A9" s="44"/>
      <c r="B9" s="45"/>
      <c r="C9" s="46"/>
      <c r="D9" s="44"/>
      <c r="E9" s="47"/>
    </row>
    <row r="10" spans="1:9" x14ac:dyDescent="0.25">
      <c r="A10" s="2" t="s">
        <v>0</v>
      </c>
      <c r="G10" s="63" t="s">
        <v>1</v>
      </c>
      <c r="H10" s="63"/>
    </row>
    <row r="11" spans="1:9" x14ac:dyDescent="0.25">
      <c r="G11" s="4" t="s">
        <v>2</v>
      </c>
      <c r="H11" s="4" t="s">
        <v>3</v>
      </c>
      <c r="I11" s="5" t="s">
        <v>4</v>
      </c>
    </row>
    <row r="12" spans="1:9" x14ac:dyDescent="0.25">
      <c r="A12" s="3" t="s">
        <v>5</v>
      </c>
      <c r="G12" s="1">
        <v>1353</v>
      </c>
      <c r="H12" s="1">
        <f>G12</f>
        <v>1353</v>
      </c>
      <c r="I12" s="6">
        <v>45307</v>
      </c>
    </row>
    <row r="13" spans="1:9" x14ac:dyDescent="0.25">
      <c r="A13" s="3" t="s">
        <v>6</v>
      </c>
      <c r="D13" s="7">
        <f>B4</f>
        <v>0</v>
      </c>
      <c r="E13" s="8" t="s">
        <v>7</v>
      </c>
      <c r="F13" s="9" t="s">
        <v>8</v>
      </c>
      <c r="G13" s="10">
        <v>2.9270000000000001E-2</v>
      </c>
      <c r="H13" s="48">
        <f>ROUND(D13*G13,2)</f>
        <v>0</v>
      </c>
      <c r="I13" s="6">
        <v>45307</v>
      </c>
    </row>
    <row r="14" spans="1:9" x14ac:dyDescent="0.25">
      <c r="A14" s="3" t="s">
        <v>9</v>
      </c>
      <c r="D14" s="7">
        <f>B2</f>
        <v>600000</v>
      </c>
      <c r="E14" s="8" t="s">
        <v>10</v>
      </c>
      <c r="F14" s="9" t="s">
        <v>8</v>
      </c>
      <c r="G14" s="11">
        <v>17</v>
      </c>
      <c r="H14" s="48">
        <f>ROUND(D14*G14,2)</f>
        <v>10200000</v>
      </c>
      <c r="I14" s="6">
        <v>45307</v>
      </c>
    </row>
    <row r="15" spans="1:9" x14ac:dyDescent="0.25">
      <c r="A15" s="3" t="s">
        <v>11</v>
      </c>
      <c r="D15" s="7">
        <f>B3</f>
        <v>600000</v>
      </c>
      <c r="E15" s="8" t="s">
        <v>10</v>
      </c>
      <c r="F15" s="9" t="s">
        <v>8</v>
      </c>
      <c r="G15" s="11">
        <v>1.73</v>
      </c>
      <c r="H15" s="48">
        <f>ROUND(D15*G15,2)</f>
        <v>1038000</v>
      </c>
      <c r="I15" s="6">
        <v>45307</v>
      </c>
    </row>
    <row r="16" spans="1:9" x14ac:dyDescent="0.25">
      <c r="A16" s="3" t="s">
        <v>12</v>
      </c>
      <c r="D16" s="7">
        <v>0</v>
      </c>
      <c r="E16" s="8" t="s">
        <v>10</v>
      </c>
      <c r="F16" s="9" t="s">
        <v>8</v>
      </c>
      <c r="G16" s="11">
        <v>15.77</v>
      </c>
      <c r="H16" s="1">
        <f>ROUND(D16*G16,2)</f>
        <v>0</v>
      </c>
      <c r="I16" s="6">
        <v>45307</v>
      </c>
    </row>
    <row r="17" spans="1:9" x14ac:dyDescent="0.25">
      <c r="A17" s="3" t="s">
        <v>13</v>
      </c>
      <c r="D17" s="7"/>
      <c r="E17" s="8"/>
      <c r="F17" s="9"/>
      <c r="G17" s="11"/>
      <c r="H17" s="1">
        <f>IF(H16-H15-H14&lt;0,0,H16-H15-H14)</f>
        <v>0</v>
      </c>
      <c r="I17" s="6"/>
    </row>
    <row r="18" spans="1:9" x14ac:dyDescent="0.25">
      <c r="A18" s="3" t="s">
        <v>14</v>
      </c>
      <c r="D18" s="12">
        <f>B5</f>
        <v>0</v>
      </c>
      <c r="E18" s="8" t="s">
        <v>15</v>
      </c>
      <c r="F18" s="9" t="s">
        <v>8</v>
      </c>
      <c r="G18" s="11">
        <v>0.69</v>
      </c>
      <c r="H18" s="1">
        <f>ROUND(D18*G18,2)</f>
        <v>0</v>
      </c>
      <c r="I18" s="6">
        <v>42276</v>
      </c>
    </row>
    <row r="19" spans="1:9" x14ac:dyDescent="0.25">
      <c r="A19" s="3" t="s">
        <v>16</v>
      </c>
      <c r="B19" s="13"/>
      <c r="C19" s="13"/>
      <c r="D19" s="7">
        <f>B4</f>
        <v>0</v>
      </c>
      <c r="E19" s="8" t="s">
        <v>7</v>
      </c>
      <c r="F19" s="9" t="s">
        <v>8</v>
      </c>
      <c r="G19" s="14">
        <v>5.8E-4</v>
      </c>
      <c r="H19" s="50">
        <f>ROUND(D19*G19,2)</f>
        <v>0</v>
      </c>
      <c r="I19" s="6">
        <v>45562</v>
      </c>
    </row>
    <row r="20" spans="1:9" x14ac:dyDescent="0.25">
      <c r="A20" s="3" t="s">
        <v>17</v>
      </c>
      <c r="D20" s="7">
        <f>B4</f>
        <v>0</v>
      </c>
      <c r="E20" s="8" t="s">
        <v>7</v>
      </c>
      <c r="F20" s="9" t="s">
        <v>8</v>
      </c>
      <c r="G20" s="15">
        <v>-1.5999999999999999E-5</v>
      </c>
      <c r="H20" s="50">
        <f>ROUND(D20*G20,2)</f>
        <v>0</v>
      </c>
      <c r="I20" s="6">
        <v>45293</v>
      </c>
    </row>
    <row r="21" spans="1:9" x14ac:dyDescent="0.25">
      <c r="A21" s="3" t="s">
        <v>18</v>
      </c>
      <c r="B21" s="13"/>
      <c r="C21" s="13"/>
      <c r="D21" s="7">
        <v>1</v>
      </c>
      <c r="E21" s="8" t="s">
        <v>19</v>
      </c>
      <c r="F21" s="9"/>
      <c r="G21" s="16">
        <v>1</v>
      </c>
      <c r="H21" s="50">
        <f>ROUND(D21*G21,2)</f>
        <v>1</v>
      </c>
      <c r="I21" s="6">
        <v>43119</v>
      </c>
    </row>
    <row r="22" spans="1:9" x14ac:dyDescent="0.25">
      <c r="A22" s="3" t="s">
        <v>20</v>
      </c>
      <c r="B22" s="13"/>
      <c r="C22" s="13"/>
      <c r="D22" s="7">
        <f>B4</f>
        <v>0</v>
      </c>
      <c r="E22" s="8" t="s">
        <v>7</v>
      </c>
      <c r="F22" s="9" t="s">
        <v>8</v>
      </c>
      <c r="G22" s="14">
        <v>-4.2999999999999999E-4</v>
      </c>
      <c r="H22" s="50">
        <f>D22*G22</f>
        <v>0</v>
      </c>
      <c r="I22" s="6">
        <v>45307</v>
      </c>
    </row>
    <row r="23" spans="1:9" x14ac:dyDescent="0.25">
      <c r="A23" s="17" t="s">
        <v>21</v>
      </c>
      <c r="B23" s="13"/>
      <c r="C23" s="13"/>
      <c r="D23" s="7">
        <f>B4</f>
        <v>0</v>
      </c>
      <c r="E23" s="8" t="s">
        <v>7</v>
      </c>
      <c r="F23" s="9" t="s">
        <v>8</v>
      </c>
      <c r="G23" s="14">
        <v>7.5000000000000002E-4</v>
      </c>
      <c r="H23" s="50">
        <f>D23*G23</f>
        <v>0</v>
      </c>
      <c r="I23" s="6">
        <v>45563</v>
      </c>
    </row>
    <row r="24" spans="1:9" x14ac:dyDescent="0.25">
      <c r="A24" s="17" t="s">
        <v>21</v>
      </c>
      <c r="B24" s="13"/>
      <c r="C24" s="13"/>
      <c r="D24" s="7">
        <f>B2</f>
        <v>600000</v>
      </c>
      <c r="E24" s="8" t="s">
        <v>10</v>
      </c>
      <c r="F24" s="9" t="s">
        <v>8</v>
      </c>
      <c r="G24" s="14">
        <v>0.46</v>
      </c>
      <c r="H24" s="50">
        <f>D24*G24</f>
        <v>276000</v>
      </c>
      <c r="I24" s="6">
        <v>45563</v>
      </c>
    </row>
    <row r="25" spans="1:9" x14ac:dyDescent="0.25">
      <c r="B25" s="13"/>
      <c r="C25" s="18" t="s">
        <v>22</v>
      </c>
      <c r="D25" s="7"/>
      <c r="E25" s="8"/>
      <c r="F25" s="9"/>
      <c r="G25" s="6"/>
      <c r="H25" s="51">
        <f>H12+H13+H14+H15+H17+H18+H19+H20+H21+H22+H23+H24</f>
        <v>11515354</v>
      </c>
      <c r="I25" s="19"/>
    </row>
    <row r="26" spans="1:9" x14ac:dyDescent="0.25">
      <c r="B26" s="13"/>
      <c r="C26" s="13"/>
      <c r="D26" s="7"/>
      <c r="E26" s="8"/>
      <c r="F26" s="9"/>
      <c r="G26" s="6"/>
      <c r="H26" s="52"/>
    </row>
    <row r="27" spans="1:9" x14ac:dyDescent="0.25">
      <c r="H27" s="52"/>
    </row>
    <row r="28" spans="1:9" x14ac:dyDescent="0.25">
      <c r="A28" s="3" t="s">
        <v>23</v>
      </c>
      <c r="B28" s="13"/>
      <c r="C28" s="13"/>
      <c r="D28" s="7">
        <f>B4</f>
        <v>0</v>
      </c>
      <c r="E28" s="8" t="s">
        <v>7</v>
      </c>
      <c r="F28" s="9" t="s">
        <v>8</v>
      </c>
      <c r="G28" s="20">
        <v>1.2500000000000001E-2</v>
      </c>
      <c r="H28" s="50">
        <f>ROUND(D28*G28,2)</f>
        <v>0</v>
      </c>
      <c r="I28" s="6">
        <v>45593</v>
      </c>
    </row>
    <row r="29" spans="1:9" x14ac:dyDescent="0.25">
      <c r="C29" s="18" t="s">
        <v>24</v>
      </c>
      <c r="H29" s="51">
        <f>SUM(H28:H28)</f>
        <v>0</v>
      </c>
    </row>
    <row r="30" spans="1:9" x14ac:dyDescent="0.25">
      <c r="H30" s="52"/>
    </row>
    <row r="31" spans="1:9" x14ac:dyDescent="0.25">
      <c r="C31" s="18" t="s">
        <v>25</v>
      </c>
      <c r="H31" s="51">
        <f>H25+H29</f>
        <v>11515354</v>
      </c>
      <c r="I31" s="19"/>
    </row>
    <row r="32" spans="1:9" x14ac:dyDescent="0.25">
      <c r="H32" s="52"/>
    </row>
    <row r="33" spans="1:9" x14ac:dyDescent="0.25">
      <c r="A33" s="21"/>
      <c r="B33" s="21"/>
      <c r="C33" s="21"/>
      <c r="H33" s="52"/>
    </row>
    <row r="34" spans="1:9" x14ac:dyDescent="0.25">
      <c r="A34" s="3" t="s">
        <v>26</v>
      </c>
      <c r="D34" s="49">
        <f>$H$25-($A$41*$B$4)</f>
        <v>11515354</v>
      </c>
      <c r="E34" s="8"/>
      <c r="F34" s="9" t="s">
        <v>8</v>
      </c>
      <c r="G34" s="22">
        <v>0</v>
      </c>
      <c r="H34" s="50">
        <f>ROUND(D34*G34,2)</f>
        <v>0</v>
      </c>
      <c r="I34" s="6">
        <v>45307</v>
      </c>
    </row>
    <row r="35" spans="1:9" x14ac:dyDescent="0.25">
      <c r="A35" s="17" t="s">
        <v>27</v>
      </c>
      <c r="D35" s="49">
        <f>$H$25-($A$41*$B$4)</f>
        <v>11515354</v>
      </c>
      <c r="E35" s="8"/>
      <c r="F35" s="9" t="s">
        <v>8</v>
      </c>
      <c r="G35" s="22">
        <v>5.2442000000000003E-2</v>
      </c>
      <c r="H35" s="50">
        <f>ROUND(D35*G35,2)</f>
        <v>603888.18999999994</v>
      </c>
      <c r="I35" s="6">
        <v>45593</v>
      </c>
    </row>
    <row r="36" spans="1:9" x14ac:dyDescent="0.25">
      <c r="A36" s="21"/>
      <c r="B36" s="21"/>
      <c r="C36" s="21"/>
      <c r="D36" s="23"/>
      <c r="E36" s="23"/>
      <c r="F36" s="24"/>
      <c r="G36" s="23"/>
      <c r="H36" s="53">
        <f>SUM(H34:H35)</f>
        <v>603888.18999999994</v>
      </c>
      <c r="I36" s="25"/>
    </row>
    <row r="37" spans="1:9" x14ac:dyDescent="0.25">
      <c r="A37" s="21"/>
      <c r="B37" s="21"/>
      <c r="C37" s="21"/>
      <c r="D37" s="23"/>
      <c r="E37" s="23"/>
      <c r="F37" s="24"/>
      <c r="G37" s="23"/>
      <c r="H37" s="53"/>
      <c r="I37" s="25"/>
    </row>
    <row r="38" spans="1:9" x14ac:dyDescent="0.25">
      <c r="A38" s="21"/>
      <c r="B38" s="21"/>
      <c r="C38" s="18" t="s">
        <v>28</v>
      </c>
      <c r="D38" s="7"/>
      <c r="E38" s="8"/>
      <c r="F38" s="9"/>
      <c r="G38" s="23"/>
      <c r="H38" s="54">
        <f>H31+H36</f>
        <v>12119242.189999999</v>
      </c>
      <c r="I38" s="6"/>
    </row>
    <row r="39" spans="1:9" x14ac:dyDescent="0.25">
      <c r="A39" s="26"/>
      <c r="B39" s="26" t="s">
        <v>35</v>
      </c>
      <c r="C39" s="26"/>
      <c r="D39" s="27"/>
      <c r="E39" s="27"/>
      <c r="F39" s="26"/>
      <c r="G39" s="27"/>
      <c r="H39" s="55">
        <f>H38*12</f>
        <v>145430906.28</v>
      </c>
      <c r="I39" s="28"/>
    </row>
    <row r="41" spans="1:9" x14ac:dyDescent="0.25">
      <c r="A41" s="3">
        <v>2.6120000000000001E-2</v>
      </c>
    </row>
    <row r="42" spans="1:9" x14ac:dyDescent="0.25">
      <c r="A42" s="3" t="s">
        <v>34</v>
      </c>
    </row>
  </sheetData>
  <mergeCells count="1">
    <mergeCell ref="G10:H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17" ma:contentTypeDescription="Create a new document." ma:contentTypeScope="" ma:versionID="81faa06ba1568ca7c427ab21e68d9eda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627953a9ec9bbb9f77d67bbc3330a37c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iAvPjxVc2VyTmFtZT5DT1JQXHMyOTA3OTI8L1VzZXJOYW1lPjxEYXRlVGltZT4xMC8zMC8yMDI0IDY6MDM6NTggUE08L0RhdGVUaW1lPjxMYWJlbFN0cmluZz5VbmNsYXNzaWZpZWQ8L0xhYmVsU3RyaW5nPjwvaXRlbT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OTA3OTI8L1VzZXJOYW1lPjxEYXRlVGltZT4xMC8zMS8yMDI0IDExOjU4OjMyIEFNPC9EYXRlVGltZT48TGFiZWxTdHJpbmc+QUVQIEludGVybmFsPC9MYWJlbFN0cmluZz48L2l0ZW0+PC9sYWJlbEhpc3Rvcnk+</Value>
</WrappedLabelHistory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Props1.xml><?xml version="1.0" encoding="utf-8"?>
<ds:datastoreItem xmlns:ds="http://schemas.openxmlformats.org/officeDocument/2006/customXml" ds:itemID="{7133CD7B-18F6-4FF2-91DF-A051D2C4E2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C045DA-4DAF-4436-A1BD-842B22DC3992}">
  <ds:schemaRefs>
    <ds:schemaRef ds:uri="http://purl.org/dc/terms/"/>
    <ds:schemaRef ds:uri="b6888f76-1100-40b0-929b-1efe9044426d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f88ffb1c-9230-4705-a789-27bae69f5829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FA4E659-DED9-4807-8BD9-D6DF5F10477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E2D34D9-7AE3-4F6C-90FA-252D603C04B5}">
  <ds:schemaRefs>
    <ds:schemaRef ds:uri="http://www.w3.org/2001/XMLSchema"/>
    <ds:schemaRef ds:uri="http://www.boldonjames.com/2016/02/Classifier/internal/wrappedLabelHistory"/>
  </ds:schemaRefs>
</ds:datastoreItem>
</file>

<file path=customXml/itemProps5.xml><?xml version="1.0" encoding="utf-8"?>
<ds:datastoreItem xmlns:ds="http://schemas.openxmlformats.org/officeDocument/2006/customXml" ds:itemID="{6573633B-A577-43F5-B342-97333151782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Graph</vt:lpstr>
      <vt:lpstr>Expected</vt:lpstr>
      <vt:lpstr>90% Billing Demand</vt:lpstr>
      <vt:lpstr>60% Billing Demand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Katharine I Walsh</dc:creator>
  <cp:lastModifiedBy>Lerah M Kahn</cp:lastModifiedBy>
  <dcterms:created xsi:type="dcterms:W3CDTF">2024-10-24T19:29:32Z</dcterms:created>
  <dcterms:modified xsi:type="dcterms:W3CDTF">2024-10-31T12:01:29Z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0x0101004DF805D1E1DA4A49A223477D3B105720</vt:lpwstr>
  </property>
  <property fmtid="{D5CDD505-2E9C-101B-9397-08002B2CF9AE}" pid="3" name="docIndexRef">
    <vt:lpwstr>1420394c-2d07-4e2c-9ce2-9c721d493eaa</vt:lpwstr>
  </property>
  <property fmtid="{D5CDD505-2E9C-101B-9397-08002B2CF9AE}" pid="4" name="bjSaver">
    <vt:lpwstr>Yzo6iu4RCOp5VcJWjy40zzIEO7NbA0wx</vt:lpwstr>
  </property>
  <property fmtid="{D5CDD505-2E9C-101B-9397-08002B2CF9AE}" pid="5" name="bjClsUserRVM">
    <vt:lpwstr>[]</vt:lpwstr>
  </property>
  <property fmtid="{D5CDD505-2E9C-101B-9397-08002B2CF9AE}" pid="6" name="MediaServiceImageTags">
    <vt:lpwstr/>
  </property>
  <property fmtid="{D5CDD505-2E9C-101B-9397-08002B2CF9AE}" pid="7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8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9" name="bjDocumentSecurityLabel">
    <vt:lpwstr>AEP Internal</vt:lpwstr>
  </property>
  <property fmtid="{D5CDD505-2E9C-101B-9397-08002B2CF9AE}" pid="10" name="MSIP_Label_69f43042-6bda-44b2-91eb-eca3d3d484f4_SiteId">
    <vt:lpwstr>15f3c881-6b03-4ff6-8559-77bf5177818f</vt:lpwstr>
  </property>
  <property fmtid="{D5CDD505-2E9C-101B-9397-08002B2CF9AE}" pid="11" name="MSIP_Label_69f43042-6bda-44b2-91eb-eca3d3d484f4_Name">
    <vt:lpwstr>AEP Internal</vt:lpwstr>
  </property>
  <property fmtid="{D5CDD505-2E9C-101B-9397-08002B2CF9AE}" pid="12" name="MSIP_Label_69f43042-6bda-44b2-91eb-eca3d3d484f4_Enabled">
    <vt:lpwstr>true</vt:lpwstr>
  </property>
  <property fmtid="{D5CDD505-2E9C-101B-9397-08002B2CF9AE}" pid="13" name="bjLabelHistoryID">
    <vt:lpwstr>{FE2D34D9-7AE3-4F6C-90FA-252D603C04B5}</vt:lpwstr>
  </property>
</Properties>
</file>