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Other Filings/2024-00305 Large Load Tariff/Discovery/01_Staff/"/>
    </mc:Choice>
  </mc:AlternateContent>
  <xr:revisionPtr revIDLastSave="4" documentId="13_ncr:1_{485E8A56-DA10-4C1F-BB39-72807351A35B}" xr6:coauthVersionLast="47" xr6:coauthVersionMax="47" xr10:uidLastSave="{AAB585D8-DEC5-43F3-AB0B-575968E399F3}"/>
  <bookViews>
    <workbookView xWindow="-120" yWindow="-120" windowWidth="29040" windowHeight="15720" xr2:uid="{FEF124E8-EDB6-4222-ACB2-139D925860B9}"/>
  </bookViews>
  <sheets>
    <sheet name="Figure -1" sheetId="11" r:id="rId1"/>
    <sheet name="Figure -2" sheetId="13" r:id="rId2"/>
    <sheet name="Figure-1 Calculation" sheetId="7" r:id="rId3"/>
    <sheet name="Figure-2 Calculation" sheetId="14" r:id="rId4"/>
    <sheet name="90% Billing Demand" sheetId="17" r:id="rId5"/>
    <sheet name="Support" sheetId="2" r:id="rId6"/>
    <sheet name="East T Cost Allocation" sheetId="12" r:id="rId7"/>
    <sheet name="LMP" sheetId="3" r:id="rId8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6">'East T Cost Allocation'!$A$1:$F$38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4" l="1"/>
  <c r="F30" i="14"/>
  <c r="F31" i="14"/>
  <c r="D41" i="14"/>
  <c r="C41" i="7"/>
  <c r="C38" i="7"/>
  <c r="F31" i="7"/>
  <c r="F30" i="7"/>
  <c r="F29" i="7"/>
  <c r="F28" i="7"/>
  <c r="F25" i="7"/>
  <c r="D38" i="7" s="1"/>
  <c r="D25" i="7"/>
  <c r="D24" i="7"/>
  <c r="D23" i="7"/>
  <c r="F38" i="7"/>
  <c r="D38" i="14"/>
  <c r="N32" i="14"/>
  <c r="N28" i="14"/>
  <c r="F29" i="14"/>
  <c r="C41" i="14"/>
  <c r="F32" i="7" l="1"/>
  <c r="B2" i="17"/>
  <c r="B3" i="17" s="1"/>
  <c r="D15" i="17" s="1"/>
  <c r="H15" i="17" s="1"/>
  <c r="H12" i="17"/>
  <c r="D13" i="17"/>
  <c r="H13" i="17" s="1"/>
  <c r="H16" i="17"/>
  <c r="D18" i="17"/>
  <c r="H18" i="17" s="1"/>
  <c r="D19" i="17"/>
  <c r="H19" i="17" s="1"/>
  <c r="D20" i="17"/>
  <c r="H20" i="17" s="1"/>
  <c r="H21" i="17"/>
  <c r="D22" i="17"/>
  <c r="H22" i="17" s="1"/>
  <c r="D23" i="17"/>
  <c r="H23" i="17" s="1"/>
  <c r="D28" i="17"/>
  <c r="H28" i="17" s="1"/>
  <c r="H29" i="17" s="1"/>
  <c r="D14" i="17" l="1"/>
  <c r="H14" i="17" s="1"/>
  <c r="D24" i="17"/>
  <c r="H24" i="17" s="1"/>
  <c r="H17" i="17" l="1"/>
  <c r="H25" i="17" s="1"/>
  <c r="H31" i="17" l="1"/>
  <c r="D34" i="17"/>
  <c r="H34" i="17" s="1"/>
  <c r="D35" i="17"/>
  <c r="H35" i="17" s="1"/>
  <c r="H36" i="17" l="1"/>
  <c r="H38" i="17" s="1"/>
  <c r="H38" i="7" l="1"/>
  <c r="H41" i="7" s="1"/>
  <c r="H38" i="14"/>
  <c r="H41" i="14" s="1"/>
  <c r="H39" i="17"/>
  <c r="L38" i="17"/>
  <c r="H39" i="14" l="1"/>
  <c r="H40" i="14"/>
  <c r="H39" i="7"/>
  <c r="H40" i="7"/>
  <c r="C12" i="3" l="1"/>
  <c r="B12" i="3"/>
  <c r="D16" i="12"/>
  <c r="E16" i="12" s="1"/>
  <c r="E6" i="12"/>
  <c r="M19" i="14" l="1"/>
  <c r="I19" i="14"/>
  <c r="E19" i="14"/>
  <c r="M19" i="7"/>
  <c r="I19" i="7"/>
  <c r="E19" i="7"/>
  <c r="B6" i="14" l="1"/>
  <c r="B4" i="14"/>
  <c r="B3" i="14"/>
  <c r="D32" i="14"/>
  <c r="H32" i="14" s="1"/>
  <c r="D31" i="14"/>
  <c r="L31" i="14" s="1"/>
  <c r="D30" i="14"/>
  <c r="C40" i="14" s="1"/>
  <c r="D29" i="14"/>
  <c r="L29" i="14" s="1"/>
  <c r="D28" i="14"/>
  <c r="H28" i="14" s="1"/>
  <c r="E15" i="12"/>
  <c r="D5" i="12"/>
  <c r="E5" i="12" s="1"/>
  <c r="B26" i="12"/>
  <c r="B19" i="12"/>
  <c r="C18" i="12" s="1"/>
  <c r="E18" i="12"/>
  <c r="E17" i="12"/>
  <c r="E14" i="12"/>
  <c r="E13" i="12"/>
  <c r="B7" i="12"/>
  <c r="C5" i="12" s="1"/>
  <c r="B29" i="12" s="1"/>
  <c r="L18" i="7"/>
  <c r="D18" i="7"/>
  <c r="B30" i="12" l="1"/>
  <c r="C15" i="12"/>
  <c r="C14" i="12"/>
  <c r="C16" i="12"/>
  <c r="L28" i="14"/>
  <c r="L32" i="14"/>
  <c r="H31" i="14"/>
  <c r="D24" i="14"/>
  <c r="L24" i="14" s="1"/>
  <c r="L13" i="14" s="1"/>
  <c r="B5" i="14"/>
  <c r="E24" i="14" s="1"/>
  <c r="C39" i="14"/>
  <c r="C38" i="14"/>
  <c r="H29" i="14"/>
  <c r="L30" i="14"/>
  <c r="H30" i="14"/>
  <c r="C17" i="12"/>
  <c r="E7" i="12"/>
  <c r="E9" i="12" s="1"/>
  <c r="E19" i="12"/>
  <c r="F16" i="12" s="1"/>
  <c r="C6" i="12"/>
  <c r="C13" i="12"/>
  <c r="L15" i="7"/>
  <c r="L23" i="7" s="1"/>
  <c r="H15" i="7"/>
  <c r="H15" i="14" l="1"/>
  <c r="D15" i="14" s="1"/>
  <c r="F5" i="12"/>
  <c r="B36" i="12"/>
  <c r="B33" i="12"/>
  <c r="B37" i="12"/>
  <c r="B38" i="12"/>
  <c r="B35" i="12"/>
  <c r="B34" i="12"/>
  <c r="D13" i="14"/>
  <c r="H24" i="14"/>
  <c r="H13" i="14" s="1"/>
  <c r="M24" i="14"/>
  <c r="M14" i="14" s="1"/>
  <c r="I24" i="14"/>
  <c r="I14" i="14" s="1"/>
  <c r="E14" i="14"/>
  <c r="F17" i="12"/>
  <c r="F15" i="12"/>
  <c r="F14" i="12"/>
  <c r="F18" i="12"/>
  <c r="F13" i="12"/>
  <c r="F6" i="12"/>
  <c r="H12" i="14" l="1"/>
  <c r="L15" i="14"/>
  <c r="L12" i="14" s="1"/>
  <c r="C29" i="12"/>
  <c r="C30" i="12" s="1"/>
  <c r="D30" i="12" s="1"/>
  <c r="B39" i="12"/>
  <c r="D12" i="14"/>
  <c r="D32" i="7"/>
  <c r="D31" i="7"/>
  <c r="D30" i="7"/>
  <c r="D29" i="7"/>
  <c r="D28" i="7"/>
  <c r="D29" i="12" l="1"/>
  <c r="C35" i="12"/>
  <c r="D35" i="12" s="1"/>
  <c r="C37" i="12"/>
  <c r="D37" i="12" s="1"/>
  <c r="C36" i="12"/>
  <c r="D36" i="12" s="1"/>
  <c r="C33" i="12"/>
  <c r="C34" i="12"/>
  <c r="D34" i="12" s="1"/>
  <c r="C38" i="12"/>
  <c r="D38" i="12" s="1"/>
  <c r="H28" i="7"/>
  <c r="L28" i="7"/>
  <c r="C39" i="7"/>
  <c r="H29" i="7"/>
  <c r="L29" i="7"/>
  <c r="C40" i="7"/>
  <c r="H30" i="7"/>
  <c r="L30" i="7"/>
  <c r="H31" i="7"/>
  <c r="L31" i="7"/>
  <c r="H32" i="7"/>
  <c r="L32" i="7"/>
  <c r="L24" i="7"/>
  <c r="H24" i="7"/>
  <c r="B34" i="14" l="1"/>
  <c r="B34" i="7"/>
  <c r="C39" i="12"/>
  <c r="D33" i="12"/>
  <c r="L13" i="7"/>
  <c r="L12" i="7" s="1"/>
  <c r="L25" i="7"/>
  <c r="H13" i="7"/>
  <c r="H12" i="7" s="1"/>
  <c r="D13" i="7"/>
  <c r="B5" i="7"/>
  <c r="E24" i="7" s="1"/>
  <c r="D39" i="12" l="1"/>
  <c r="M24" i="7"/>
  <c r="I24" i="7"/>
  <c r="E14" i="7"/>
  <c r="E12" i="7" s="1"/>
  <c r="D12" i="7"/>
  <c r="I14" i="7" l="1"/>
  <c r="M14" i="7"/>
  <c r="N20" i="7"/>
  <c r="B9" i="2"/>
  <c r="H18" i="7" l="1"/>
  <c r="L18" i="14"/>
  <c r="D18" i="14"/>
  <c r="H18" i="14"/>
  <c r="F20" i="7"/>
  <c r="H23" i="14" l="1"/>
  <c r="H25" i="14" s="1"/>
  <c r="J20" i="14"/>
  <c r="F20" i="14"/>
  <c r="D23" i="14"/>
  <c r="D25" i="14" s="1"/>
  <c r="N20" i="14"/>
  <c r="L23" i="14"/>
  <c r="L25" i="14" s="1"/>
  <c r="H23" i="7"/>
  <c r="H25" i="7" s="1"/>
  <c r="J20" i="7"/>
  <c r="F15" i="7" l="1"/>
  <c r="I15" i="7"/>
  <c r="J15" i="7" s="1"/>
  <c r="M15" i="7"/>
  <c r="M12" i="7" s="1"/>
  <c r="E23" i="7"/>
  <c r="E25" i="7" s="1"/>
  <c r="I12" i="7" l="1"/>
  <c r="I15" i="14"/>
  <c r="J15" i="14" s="1"/>
  <c r="I23" i="7"/>
  <c r="I25" i="7" s="1"/>
  <c r="J25" i="7" s="1"/>
  <c r="J28" i="7" s="1"/>
  <c r="E38" i="7" s="1"/>
  <c r="D41" i="7"/>
  <c r="D39" i="7"/>
  <c r="D40" i="7"/>
  <c r="N15" i="7"/>
  <c r="M23" i="7"/>
  <c r="M25" i="7" s="1"/>
  <c r="N25" i="7" s="1"/>
  <c r="I12" i="14" l="1"/>
  <c r="J32" i="7"/>
  <c r="J30" i="7"/>
  <c r="E40" i="7" s="1"/>
  <c r="J31" i="7"/>
  <c r="E41" i="7" s="1"/>
  <c r="J29" i="7"/>
  <c r="E39" i="7" s="1"/>
  <c r="M15" i="14"/>
  <c r="N15" i="14" s="1"/>
  <c r="E15" i="14"/>
  <c r="E12" i="14" s="1"/>
  <c r="I23" i="14"/>
  <c r="I25" i="14" s="1"/>
  <c r="J25" i="14" s="1"/>
  <c r="J29" i="14" s="1"/>
  <c r="E39" i="14" s="1"/>
  <c r="N28" i="7"/>
  <c r="N31" i="7"/>
  <c r="F41" i="7" s="1"/>
  <c r="N29" i="7"/>
  <c r="F39" i="7" s="1"/>
  <c r="N32" i="7"/>
  <c r="N30" i="7"/>
  <c r="F40" i="7" s="1"/>
  <c r="E23" i="14" l="1"/>
  <c r="E25" i="14" s="1"/>
  <c r="F25" i="14" s="1"/>
  <c r="F15" i="14"/>
  <c r="J28" i="14"/>
  <c r="E38" i="14" s="1"/>
  <c r="J30" i="14"/>
  <c r="E40" i="14" s="1"/>
  <c r="J32" i="14"/>
  <c r="J31" i="14"/>
  <c r="E41" i="14" s="1"/>
  <c r="M12" i="14"/>
  <c r="M23" i="14"/>
  <c r="M25" i="14" s="1"/>
  <c r="N25" i="14" s="1"/>
  <c r="N29" i="14" s="1"/>
  <c r="F39" i="14" s="1"/>
  <c r="F32" i="14" l="1"/>
  <c r="D40" i="14"/>
  <c r="D39" i="14"/>
  <c r="F38" i="14"/>
  <c r="N31" i="14"/>
  <c r="F41" i="14" s="1"/>
  <c r="N30" i="14"/>
  <c r="F40" i="14" s="1"/>
</calcChain>
</file>

<file path=xl/sharedStrings.xml><?xml version="1.0" encoding="utf-8"?>
<sst xmlns="http://schemas.openxmlformats.org/spreadsheetml/2006/main" count="215" uniqueCount="124">
  <si>
    <t>Capacity</t>
  </si>
  <si>
    <t>Energy</t>
  </si>
  <si>
    <t>Total</t>
  </si>
  <si>
    <t>Unit Cost ($/MW-Day and $/MWh)</t>
  </si>
  <si>
    <t>Market Values:</t>
  </si>
  <si>
    <t>Cost of Generation - Production Demand ($)</t>
  </si>
  <si>
    <t>Net Energy (MWh)</t>
  </si>
  <si>
    <t>Annual Difference ($)</t>
  </si>
  <si>
    <t>Calculation:</t>
  </si>
  <si>
    <t>2024 / 2025</t>
  </si>
  <si>
    <t>Generation Capability (2025/26 UCAP MW)</t>
  </si>
  <si>
    <t>Final Zonal Capacity Price</t>
  </si>
  <si>
    <t>Average</t>
  </si>
  <si>
    <t>2023 / 2024</t>
  </si>
  <si>
    <t>2022 / 2023</t>
  </si>
  <si>
    <t>2021 / 2022</t>
  </si>
  <si>
    <t>2020 / 2021</t>
  </si>
  <si>
    <t>DA LMP</t>
  </si>
  <si>
    <t># of Hours</t>
  </si>
  <si>
    <t>Grand Total</t>
  </si>
  <si>
    <t>Load Addition</t>
  </si>
  <si>
    <t>MW</t>
  </si>
  <si>
    <t>Load Factor</t>
  </si>
  <si>
    <t>Reserve Margin</t>
  </si>
  <si>
    <t>Customer Load Obligation (MW and MWh)</t>
  </si>
  <si>
    <t>MWh</t>
  </si>
  <si>
    <t>Contract Year</t>
  </si>
  <si>
    <t>Years</t>
  </si>
  <si>
    <t>x</t>
  </si>
  <si>
    <t>kW</t>
  </si>
  <si>
    <t>kWh</t>
  </si>
  <si>
    <t>Reactive Demand Charge</t>
  </si>
  <si>
    <t>Excess kVAR</t>
  </si>
  <si>
    <t>kWh Usage:</t>
  </si>
  <si>
    <t>On-Peak Demand:</t>
  </si>
  <si>
    <t>Billing Parameters</t>
  </si>
  <si>
    <t>Difference (Asset Cost - Spot Market)</t>
  </si>
  <si>
    <t>New Resource Costs</t>
  </si>
  <si>
    <t>Liquidation Years</t>
  </si>
  <si>
    <t>Liquidation Cost</t>
  </si>
  <si>
    <t>High Market</t>
  </si>
  <si>
    <t>Low Market</t>
  </si>
  <si>
    <t>RPM Capacity Price ($/MW-day)</t>
  </si>
  <si>
    <t>Medium Market</t>
  </si>
  <si>
    <t>1 Year of Transmission Costs</t>
  </si>
  <si>
    <t xml:space="preserve">AEP LSE OATT PJM Incremental Cost Estimate </t>
  </si>
  <si>
    <t>Existing</t>
  </si>
  <si>
    <t>NSPL</t>
  </si>
  <si>
    <t>Adjusted</t>
  </si>
  <si>
    <t>%</t>
  </si>
  <si>
    <t>Change</t>
  </si>
  <si>
    <t>AEP (Including CRES)</t>
  </si>
  <si>
    <t>Non-Affiliate</t>
  </si>
  <si>
    <t>% Increase</t>
  </si>
  <si>
    <t>12 CP</t>
  </si>
  <si>
    <t>12CP</t>
  </si>
  <si>
    <t>AP - 12CP</t>
  </si>
  <si>
    <t>OP - 12CP</t>
  </si>
  <si>
    <t>IM - 12CP</t>
  </si>
  <si>
    <t>KP - 12CP</t>
  </si>
  <si>
    <t>WPC - 12CP</t>
  </si>
  <si>
    <t>KGP - 12CP</t>
  </si>
  <si>
    <t>Operating Company Sum</t>
  </si>
  <si>
    <t>NITS Expense</t>
  </si>
  <si>
    <t>OpCo ATRR</t>
  </si>
  <si>
    <t>2024 PTRR</t>
  </si>
  <si>
    <t>Transco ATRR</t>
  </si>
  <si>
    <t>AMP Transmission</t>
  </si>
  <si>
    <t>Schedule 12 Expense (RTEP)</t>
  </si>
  <si>
    <t>Total Zonal ATRR</t>
  </si>
  <si>
    <t>Add Project</t>
  </si>
  <si>
    <t>Increase/(Decrease)</t>
  </si>
  <si>
    <t>Allocated to AEP %</t>
  </si>
  <si>
    <t>Allocated to AEP $</t>
  </si>
  <si>
    <t>This Section Demonstrates the AEP Transmission Agreement Allocation Impact from a Load Addition</t>
  </si>
  <si>
    <t>Allocated to APCo</t>
  </si>
  <si>
    <t>Allocated to OPCo</t>
  </si>
  <si>
    <t>Allocated to I&amp;M</t>
  </si>
  <si>
    <t xml:space="preserve">Allocated to KPCo </t>
  </si>
  <si>
    <t xml:space="preserve">Allocated to WPCo </t>
  </si>
  <si>
    <t xml:space="preserve">Allocated to KGPCo </t>
  </si>
  <si>
    <t>Chart 1 Data</t>
  </si>
  <si>
    <t>Low Asset</t>
  </si>
  <si>
    <t>Medium Asset</t>
  </si>
  <si>
    <t>High Asset</t>
  </si>
  <si>
    <t>Year</t>
  </si>
  <si>
    <t>Contract Termination Fee</t>
  </si>
  <si>
    <t>Estimated Early Termination Costs</t>
  </si>
  <si>
    <t>less</t>
  </si>
  <si>
    <t>Medium Asset ("average")</t>
  </si>
  <si>
    <t>Low Asset (25% less "average")</t>
  </si>
  <si>
    <t>High Asset (25% above "average")</t>
  </si>
  <si>
    <t>PJM Base Residual Auction Clearing Price</t>
  </si>
  <si>
    <t>Average PJM Day-Ahead LMP Prices for KY Residual Aggregate</t>
  </si>
  <si>
    <t>LMP - AEPKY_RESID_AGG ($/MWh)</t>
  </si>
  <si>
    <t>Figure 1 Support</t>
  </si>
  <si>
    <t>Figure 2 Support</t>
  </si>
  <si>
    <t>Base Fuel</t>
  </si>
  <si>
    <t>Estimated Annual Billing</t>
  </si>
  <si>
    <t>Rate Billing - Total</t>
  </si>
  <si>
    <t>Environmental Surcharge - w/o fuel (%)</t>
  </si>
  <si>
    <t>Decommissioning Rider - w/o fuel (%)</t>
  </si>
  <si>
    <t>Subtotal KP Billing Charge (B):</t>
  </si>
  <si>
    <t>Fuel Cost</t>
  </si>
  <si>
    <t>Fuel Adjustment Clause</t>
  </si>
  <si>
    <t>Subtotal KP Billing Charge (A):</t>
  </si>
  <si>
    <t>Purchase Power Adjustment</t>
  </si>
  <si>
    <t>Federal Tax Cut</t>
  </si>
  <si>
    <t>Month</t>
  </si>
  <si>
    <t>Economic Development Surcharge</t>
  </si>
  <si>
    <t>Demand Side Management Adjustment Clause</t>
  </si>
  <si>
    <t>System Sales</t>
  </si>
  <si>
    <t>kVAR</t>
  </si>
  <si>
    <t>Minimum Demand Charge - Net</t>
  </si>
  <si>
    <t>Minimum Demand Charge - Total</t>
  </si>
  <si>
    <t>Off-Peak Demand Charge:</t>
  </si>
  <si>
    <t>On-Peak Demand Charge:</t>
  </si>
  <si>
    <t xml:space="preserve">Energy Charge </t>
  </si>
  <si>
    <t>Customer Charge</t>
  </si>
  <si>
    <t>Effective Date:</t>
  </si>
  <si>
    <t>Rate</t>
  </si>
  <si>
    <t>Billing</t>
  </si>
  <si>
    <t>Rate Billing</t>
  </si>
  <si>
    <t>Off-Peak Demand: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</si>
</sst>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????_);_(@_)"/>
    <numFmt numFmtId="166" formatCode="#,##0.0"/>
    <numFmt numFmtId="167" formatCode="0.0%"/>
    <numFmt numFmtId="168" formatCode="_(* #,##0_);_(* \(#,##0\);_(* &quot;-&quot;??_);_(@_)"/>
    <numFmt numFmtId="169" formatCode="0.000%"/>
    <numFmt numFmtId="170" formatCode="0.0000%"/>
    <numFmt numFmtId="171" formatCode="_(&quot;$&quot;* #,##0.000000_);_(&quot;$&quot;* \(#,##0.000000\);_(&quot;$&quot;* &quot;-&quot;??_);_(@_)"/>
    <numFmt numFmtId="172" formatCode="_(&quot;$&quot;* #,##0.0000000_);_(&quot;$&quot;* \(#,##0.0000000\);_(&quot;$&quot;* &quot;-&quot;??_);_(@_)"/>
    <numFmt numFmtId="173" formatCode="_(&quot;$&quot;* #,##0.00_);_(&quot;$&quot;* \(#,##0.00\);_(&quot;$&quot;* &quot;-&quot;????_);_(@_)"/>
    <numFmt numFmtId="174" formatCode="_(&quot;$&quot;* #,##0.00000_);_(&quot;$&quot;* \(#,##0.00000\);_(&quot;$&quot;* &quot;-&quot;????_);_(@_)"/>
  </numFmts>
  <fonts count="2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0"/>
      <color indexed="17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4">
    <xf numFmtId="0" fontId="0" fillId="0" borderId="0" xfId="0"/>
    <xf numFmtId="38" fontId="0" fillId="0" borderId="0" xfId="0" applyNumberFormat="1"/>
    <xf numFmtId="8" fontId="0" fillId="0" borderId="0" xfId="0" applyNumberFormat="1"/>
    <xf numFmtId="0" fontId="1" fillId="0" borderId="0" xfId="0" applyFont="1"/>
    <xf numFmtId="6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/>
    <xf numFmtId="38" fontId="0" fillId="0" borderId="1" xfId="0" applyNumberFormat="1" applyBorder="1"/>
    <xf numFmtId="0" fontId="0" fillId="0" borderId="0" xfId="0" applyAlignment="1">
      <alignment horizontal="center"/>
    </xf>
    <xf numFmtId="8" fontId="0" fillId="0" borderId="1" xfId="0" applyNumberFormat="1" applyBorder="1"/>
    <xf numFmtId="43" fontId="0" fillId="0" borderId="0" xfId="14" applyFont="1"/>
    <xf numFmtId="0" fontId="5" fillId="0" borderId="0" xfId="0" applyFont="1"/>
    <xf numFmtId="6" fontId="0" fillId="0" borderId="0" xfId="0" applyNumberFormat="1" applyFont="1" applyBorder="1"/>
    <xf numFmtId="0" fontId="0" fillId="0" borderId="6" xfId="0" applyBorder="1"/>
    <xf numFmtId="38" fontId="0" fillId="0" borderId="7" xfId="0" applyNumberFormat="1" applyBorder="1"/>
    <xf numFmtId="0" fontId="0" fillId="0" borderId="8" xfId="0" applyBorder="1"/>
    <xf numFmtId="0" fontId="0" fillId="0" borderId="9" xfId="0" applyBorder="1"/>
    <xf numFmtId="9" fontId="0" fillId="0" borderId="0" xfId="1" applyFont="1" applyBorder="1"/>
    <xf numFmtId="0" fontId="0" fillId="0" borderId="10" xfId="0" applyBorder="1"/>
    <xf numFmtId="38" fontId="0" fillId="0" borderId="0" xfId="0" applyNumberFormat="1" applyBorder="1"/>
    <xf numFmtId="0" fontId="0" fillId="0" borderId="11" xfId="0" applyBorder="1"/>
    <xf numFmtId="9" fontId="0" fillId="0" borderId="12" xfId="1" applyFont="1" applyBorder="1"/>
    <xf numFmtId="0" fontId="0" fillId="0" borderId="13" xfId="0" applyBorder="1"/>
    <xf numFmtId="6" fontId="2" fillId="0" borderId="2" xfId="0" applyNumberFormat="1" applyFont="1" applyBorder="1" applyAlignment="1">
      <alignment horizontal="center"/>
    </xf>
    <xf numFmtId="2" fontId="0" fillId="0" borderId="0" xfId="0" applyNumberFormat="1"/>
    <xf numFmtId="0" fontId="10" fillId="2" borderId="0" xfId="0" applyFont="1" applyFill="1"/>
    <xf numFmtId="3" fontId="9" fillId="2" borderId="0" xfId="0" applyNumberFormat="1" applyFont="1" applyFill="1" applyAlignment="1">
      <alignment horizontal="right"/>
    </xf>
    <xf numFmtId="167" fontId="9" fillId="2" borderId="14" xfId="1" applyNumberFormat="1" applyFont="1" applyFill="1" applyBorder="1" applyAlignment="1" applyProtection="1">
      <alignment horizontal="center"/>
    </xf>
    <xf numFmtId="0" fontId="10" fillId="2" borderId="1" xfId="0" applyFont="1" applyFill="1" applyBorder="1"/>
    <xf numFmtId="166" fontId="11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0" fontId="10" fillId="2" borderId="15" xfId="0" applyFont="1" applyFill="1" applyBorder="1"/>
    <xf numFmtId="167" fontId="9" fillId="2" borderId="16" xfId="1" applyNumberFormat="1" applyFont="1" applyFill="1" applyBorder="1" applyAlignment="1" applyProtection="1">
      <alignment horizontal="center"/>
    </xf>
    <xf numFmtId="3" fontId="11" fillId="2" borderId="0" xfId="0" applyNumberFormat="1" applyFont="1" applyFill="1" applyAlignment="1">
      <alignment horizontal="right"/>
    </xf>
    <xf numFmtId="0" fontId="10" fillId="2" borderId="17" xfId="0" applyFont="1" applyFill="1" applyBorder="1"/>
    <xf numFmtId="166" fontId="11" fillId="2" borderId="0" xfId="0" applyNumberFormat="1" applyFont="1" applyFill="1" applyAlignment="1">
      <alignment horizontal="right"/>
    </xf>
    <xf numFmtId="0" fontId="0" fillId="2" borderId="18" xfId="0" applyFill="1" applyBorder="1"/>
    <xf numFmtId="0" fontId="0" fillId="2" borderId="19" xfId="0" applyFill="1" applyBorder="1"/>
    <xf numFmtId="0" fontId="7" fillId="2" borderId="20" xfId="0" applyFont="1" applyFill="1" applyBorder="1"/>
    <xf numFmtId="168" fontId="0" fillId="0" borderId="0" xfId="14" applyNumberFormat="1" applyFont="1" applyFill="1"/>
    <xf numFmtId="10" fontId="0" fillId="0" borderId="0" xfId="1" applyNumberFormat="1" applyFont="1" applyFill="1"/>
    <xf numFmtId="168" fontId="0" fillId="0" borderId="0" xfId="0" applyNumberFormat="1"/>
    <xf numFmtId="168" fontId="0" fillId="0" borderId="0" xfId="14" applyNumberFormat="1" applyFont="1" applyBorder="1"/>
    <xf numFmtId="164" fontId="0" fillId="0" borderId="0" xfId="15" applyNumberFormat="1" applyFont="1" applyFill="1" applyBorder="1"/>
    <xf numFmtId="164" fontId="0" fillId="0" borderId="1" xfId="15" applyNumberFormat="1" applyFont="1" applyFill="1" applyBorder="1"/>
    <xf numFmtId="0" fontId="14" fillId="0" borderId="0" xfId="0" applyFont="1" applyAlignment="1">
      <alignment horizontal="center"/>
    </xf>
    <xf numFmtId="10" fontId="0" fillId="0" borderId="0" xfId="0" applyNumberFormat="1"/>
    <xf numFmtId="169" fontId="0" fillId="0" borderId="0" xfId="0" applyNumberFormat="1"/>
    <xf numFmtId="168" fontId="0" fillId="0" borderId="0" xfId="14" applyNumberFormat="1" applyFont="1" applyFill="1" applyBorder="1"/>
    <xf numFmtId="44" fontId="0" fillId="0" borderId="0" xfId="15" applyFont="1" applyFill="1" applyBorder="1"/>
    <xf numFmtId="168" fontId="12" fillId="0" borderId="0" xfId="14" applyNumberFormat="1" applyFont="1" applyFill="1" applyBorder="1"/>
    <xf numFmtId="43" fontId="0" fillId="0" borderId="0" xfId="14" applyFont="1" applyFill="1"/>
    <xf numFmtId="43" fontId="0" fillId="0" borderId="0" xfId="0" applyNumberFormat="1"/>
    <xf numFmtId="168" fontId="0" fillId="0" borderId="1" xfId="0" applyNumberFormat="1" applyBorder="1"/>
    <xf numFmtId="168" fontId="12" fillId="0" borderId="1" xfId="14" applyNumberFormat="1" applyFont="1" applyFill="1" applyBorder="1"/>
    <xf numFmtId="0" fontId="0" fillId="0" borderId="0" xfId="0" applyFill="1"/>
    <xf numFmtId="0" fontId="16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6" fillId="0" borderId="0" xfId="0" applyFont="1" applyFill="1"/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25" xfId="0" applyFill="1" applyBorder="1"/>
    <xf numFmtId="2" fontId="0" fillId="0" borderId="21" xfId="0" applyNumberFormat="1" applyFill="1" applyBorder="1"/>
    <xf numFmtId="0" fontId="0" fillId="0" borderId="26" xfId="0" applyFill="1" applyBorder="1"/>
    <xf numFmtId="2" fontId="0" fillId="0" borderId="0" xfId="0" applyNumberFormat="1" applyFill="1"/>
    <xf numFmtId="0" fontId="0" fillId="0" borderId="27" xfId="0" applyFill="1" applyBorder="1"/>
    <xf numFmtId="2" fontId="0" fillId="0" borderId="28" xfId="0" applyNumberFormat="1" applyFill="1" applyBorder="1"/>
    <xf numFmtId="0" fontId="0" fillId="0" borderId="29" xfId="0" applyFill="1" applyBorder="1"/>
    <xf numFmtId="0" fontId="5" fillId="0" borderId="30" xfId="0" applyFont="1" applyFill="1" applyBorder="1"/>
    <xf numFmtId="2" fontId="5" fillId="0" borderId="31" xfId="0" applyNumberFormat="1" applyFont="1" applyFill="1" applyBorder="1"/>
    <xf numFmtId="168" fontId="5" fillId="0" borderId="32" xfId="18" applyNumberFormat="1" applyFont="1" applyFill="1" applyBorder="1"/>
    <xf numFmtId="0" fontId="0" fillId="4" borderId="0" xfId="0" applyFill="1"/>
    <xf numFmtId="0" fontId="17" fillId="4" borderId="1" xfId="0" applyFont="1" applyFill="1" applyBorder="1"/>
    <xf numFmtId="164" fontId="18" fillId="4" borderId="1" xfId="16" applyNumberFormat="1" applyFont="1" applyFill="1" applyBorder="1"/>
    <xf numFmtId="3" fontId="6" fillId="4" borderId="1" xfId="0" applyNumberFormat="1" applyFont="1" applyFill="1" applyBorder="1"/>
    <xf numFmtId="0" fontId="6" fillId="4" borderId="1" xfId="0" applyFont="1" applyFill="1" applyBorder="1"/>
    <xf numFmtId="14" fontId="8" fillId="4" borderId="0" xfId="0" quotePrefix="1" applyNumberFormat="1" applyFont="1" applyFill="1" applyAlignment="1">
      <alignment horizontal="center"/>
    </xf>
    <xf numFmtId="164" fontId="18" fillId="4" borderId="0" xfId="16" applyNumberFormat="1" applyFont="1" applyFill="1" applyBorder="1"/>
    <xf numFmtId="3" fontId="6" fillId="4" borderId="0" xfId="0" applyNumberFormat="1" applyFont="1" applyFill="1"/>
    <xf numFmtId="0" fontId="0" fillId="4" borderId="0" xfId="0" applyFill="1" applyAlignment="1">
      <alignment horizontal="center"/>
    </xf>
    <xf numFmtId="3" fontId="8" fillId="4" borderId="0" xfId="0" applyNumberFormat="1" applyFont="1" applyFill="1"/>
    <xf numFmtId="3" fontId="0" fillId="4" borderId="0" xfId="0" applyNumberFormat="1" applyFill="1"/>
    <xf numFmtId="0" fontId="7" fillId="4" borderId="0" xfId="0" applyFont="1" applyFill="1" applyAlignment="1">
      <alignment horizontal="right"/>
    </xf>
    <xf numFmtId="0" fontId="9" fillId="4" borderId="0" xfId="0" applyFont="1" applyFill="1"/>
    <xf numFmtId="0" fontId="17" fillId="4" borderId="0" xfId="0" applyFont="1" applyFill="1"/>
    <xf numFmtId="164" fontId="18" fillId="4" borderId="0" xfId="0" applyNumberFormat="1" applyFont="1" applyFill="1" applyAlignment="1">
      <alignment horizontal="center"/>
    </xf>
    <xf numFmtId="0" fontId="6" fillId="4" borderId="0" xfId="0" applyFont="1" applyFill="1"/>
    <xf numFmtId="164" fontId="4" fillId="4" borderId="21" xfId="16" applyNumberFormat="1" applyFont="1" applyFill="1" applyBorder="1"/>
    <xf numFmtId="170" fontId="0" fillId="4" borderId="21" xfId="1" applyNumberFormat="1" applyFont="1" applyFill="1" applyBorder="1"/>
    <xf numFmtId="164" fontId="6" fillId="4" borderId="0" xfId="16" applyNumberFormat="1" applyFont="1" applyFill="1" applyBorder="1"/>
    <xf numFmtId="0" fontId="4" fillId="4" borderId="0" xfId="0" applyFont="1" applyFill="1"/>
    <xf numFmtId="164" fontId="0" fillId="4" borderId="0" xfId="0" applyNumberFormat="1" applyFill="1"/>
    <xf numFmtId="0" fontId="18" fillId="4" borderId="0" xfId="0" applyFont="1" applyFill="1" applyAlignment="1">
      <alignment horizontal="center"/>
    </xf>
    <xf numFmtId="164" fontId="18" fillId="4" borderId="0" xfId="0" applyNumberFormat="1" applyFont="1" applyFill="1"/>
    <xf numFmtId="171" fontId="0" fillId="4" borderId="21" xfId="16" applyNumberFormat="1" applyFont="1" applyFill="1" applyBorder="1"/>
    <xf numFmtId="0" fontId="19" fillId="4" borderId="0" xfId="0" applyFont="1" applyFill="1"/>
    <xf numFmtId="172" fontId="0" fillId="4" borderId="21" xfId="16" applyNumberFormat="1" applyFont="1" applyFill="1" applyBorder="1"/>
    <xf numFmtId="44" fontId="0" fillId="4" borderId="21" xfId="16" applyFont="1" applyFill="1" applyBorder="1"/>
    <xf numFmtId="165" fontId="0" fillId="4" borderId="21" xfId="16" applyNumberFormat="1" applyFont="1" applyFill="1" applyBorder="1"/>
    <xf numFmtId="44" fontId="3" fillId="4" borderId="21" xfId="16" applyFill="1" applyBorder="1"/>
    <xf numFmtId="173" fontId="3" fillId="4" borderId="21" xfId="16" applyNumberFormat="1" applyFill="1" applyBorder="1"/>
    <xf numFmtId="166" fontId="0" fillId="4" borderId="0" xfId="0" applyNumberFormat="1" applyFill="1"/>
    <xf numFmtId="164" fontId="3" fillId="4" borderId="21" xfId="16" applyNumberFormat="1" applyFill="1" applyBorder="1"/>
    <xf numFmtId="174" fontId="3" fillId="4" borderId="21" xfId="16" applyNumberFormat="1" applyFill="1" applyBorder="1"/>
    <xf numFmtId="0" fontId="20" fillId="4" borderId="0" xfId="0" applyFont="1" applyFill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7" fillId="4" borderId="0" xfId="0" applyFont="1" applyFill="1"/>
    <xf numFmtId="167" fontId="9" fillId="2" borderId="0" xfId="1" applyNumberFormat="1" applyFont="1" applyFill="1" applyBorder="1" applyAlignment="1" applyProtection="1">
      <alignment horizontal="center"/>
    </xf>
    <xf numFmtId="9" fontId="9" fillId="2" borderId="16" xfId="1" applyFont="1" applyFill="1" applyBorder="1" applyAlignment="1" applyProtection="1">
      <alignment horizontal="center"/>
    </xf>
    <xf numFmtId="44" fontId="0" fillId="4" borderId="0" xfId="0" applyNumberFormat="1" applyFill="1"/>
    <xf numFmtId="8" fontId="0" fillId="0" borderId="0" xfId="0" applyNumberFormat="1" applyFill="1"/>
    <xf numFmtId="6" fontId="0" fillId="0" borderId="0" xfId="0" applyNumberFormat="1" applyFill="1"/>
    <xf numFmtId="0" fontId="1" fillId="0" borderId="0" xfId="0" applyFont="1" applyFill="1"/>
    <xf numFmtId="164" fontId="0" fillId="0" borderId="0" xfId="16" applyNumberFormat="1" applyFont="1" applyFill="1"/>
    <xf numFmtId="0" fontId="5" fillId="0" borderId="0" xfId="0" applyFont="1" applyFill="1"/>
    <xf numFmtId="38" fontId="0" fillId="0" borderId="0" xfId="0" applyNumberFormat="1" applyFill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3" borderId="0" xfId="0" applyFont="1" applyFill="1" applyAlignment="1">
      <alignment horizontal="left"/>
    </xf>
  </cellXfs>
  <cellStyles count="19">
    <cellStyle name="Comma" xfId="18" builtinId="3"/>
    <cellStyle name="Comma 2" xfId="5" xr:uid="{C7A3B375-1FFD-4573-BBD3-B6C18517B90B}"/>
    <cellStyle name="Comma 2 2" xfId="11" xr:uid="{95EBE0F6-5939-4A2F-B8A8-439735CC7162}"/>
    <cellStyle name="Comma 3" xfId="4" xr:uid="{2797B9E0-E446-4020-B65E-5C0C38AF818B}"/>
    <cellStyle name="Comma 4" xfId="14" xr:uid="{5FC51BF2-42EA-4E32-90B1-22B8506923DE}"/>
    <cellStyle name="Currency" xfId="16" builtinId="4"/>
    <cellStyle name="Currency 2" xfId="6" xr:uid="{85F19697-01A9-40F4-9D3D-A4F40B14BFF0}"/>
    <cellStyle name="Currency 2 2" xfId="2" xr:uid="{1CFB81FE-0E3A-4522-B4AF-802DC899433B}"/>
    <cellStyle name="Currency 3" xfId="15" xr:uid="{602E4A7D-B486-46CA-88B6-AF163C050DBD}"/>
    <cellStyle name="Hyperlink 2" xfId="17" xr:uid="{76E98FC4-17BB-45C8-9014-7467A00B97B8}"/>
    <cellStyle name="Normal" xfId="0" builtinId="0"/>
    <cellStyle name="Normal 2" xfId="7" xr:uid="{6EAF367F-E6A4-48F3-B2A0-4B97715EC315}"/>
    <cellStyle name="Normal 3" xfId="3" xr:uid="{92ABDD59-E171-45AD-9942-2FF8058E1AAA}"/>
    <cellStyle name="Percent" xfId="1" builtinId="5"/>
    <cellStyle name="Percent 2" xfId="9" xr:uid="{A0D64665-BA53-4333-98A0-E0740827A276}"/>
    <cellStyle name="Percent 2 2" xfId="10" xr:uid="{5CF49152-46B1-4374-BDD8-4492C9D70256}"/>
    <cellStyle name="Percent 2 2 2" xfId="13" xr:uid="{2B2C47DA-878F-4F7A-B8F2-1977033E2C9B}"/>
    <cellStyle name="Percent 2 3" xfId="12" xr:uid="{CA940C8E-2D29-4BBD-8782-17A63F2A0654}"/>
    <cellStyle name="Percent 3" xfId="8" xr:uid="{0E0E72FF-9F72-4921-86C1-48A366DD4102}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Benefit / </a:t>
            </a:r>
            <a:r>
              <a:rPr lang="en-US">
                <a:solidFill>
                  <a:srgbClr val="FF0000"/>
                </a:solidFill>
              </a:rPr>
              <a:t>(Cost)</a:t>
            </a:r>
            <a:endParaRPr lang="en-US" baseline="0">
              <a:solidFill>
                <a:srgbClr val="595959"/>
              </a:solidFill>
            </a:endParaRPr>
          </a:p>
          <a:p>
            <a:pPr>
              <a:defRPr/>
            </a:pPr>
            <a:r>
              <a:rPr lang="en-US"/>
              <a:t>At Assumed</a:t>
            </a:r>
            <a:r>
              <a:rPr lang="en-US" baseline="0"/>
              <a:t> Average Resource Cost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'Figure-1 Calculation'!$D$37</c:f>
              <c:strCache>
                <c:ptCount val="1"/>
                <c:pt idx="0">
                  <c:v>Low Market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'Figure-1 Calculation'!$C$38:$C$41</c:f>
              <c:numCache>
                <c:formatCode>General</c:formatCode>
                <c:ptCount val="4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</c:numCache>
            </c:numRef>
          </c:cat>
          <c:val>
            <c:numRef>
              <c:f>'Figure-1 Calculation'!$D$38:$D$41</c:f>
              <c:numCache>
                <c:formatCode>"$"#,##0_);[Red]\("$"#,##0\)</c:formatCode>
                <c:ptCount val="4"/>
                <c:pt idx="0">
                  <c:v>-3030283861.5169363</c:v>
                </c:pt>
                <c:pt idx="1">
                  <c:v>-2035631415.7717497</c:v>
                </c:pt>
                <c:pt idx="2">
                  <c:v>-1040978970.0265636</c:v>
                </c:pt>
                <c:pt idx="3">
                  <c:v>-46326524.281377316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2-4366-8DC1-2052A3E56FE8}"/>
            </c:ext>
          </c:extLst>
        </c:ser>
        <c:ser>
          <c:idx val="1"/>
          <c:order val="1"/>
          <c:tx>
            <c:strRef>
              <c:f>'Figure-1 Calculation'!$E$37</c:f>
              <c:strCache>
                <c:ptCount val="1"/>
                <c:pt idx="0">
                  <c:v>Medium Market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'Figure-1 Calculation'!$C$38:$C$41</c:f>
              <c:numCache>
                <c:formatCode>General</c:formatCode>
                <c:ptCount val="4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</c:numCache>
            </c:numRef>
          </c:cat>
          <c:val>
            <c:numRef>
              <c:f>'Figure-1 Calculation'!$E$38:$E$41</c:f>
              <c:numCache>
                <c:formatCode>"$"#,##0_);[Red]\("$"#,##0\)</c:formatCode>
                <c:ptCount val="4"/>
                <c:pt idx="0">
                  <c:v>-582015339.63113332</c:v>
                </c:pt>
                <c:pt idx="1">
                  <c:v>-199430024.35739779</c:v>
                </c:pt>
                <c:pt idx="2">
                  <c:v>183155290.91633785</c:v>
                </c:pt>
                <c:pt idx="3">
                  <c:v>565740606.19007337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2-4366-8DC1-2052A3E56FE8}"/>
            </c:ext>
          </c:extLst>
        </c:ser>
        <c:ser>
          <c:idx val="2"/>
          <c:order val="2"/>
          <c:tx>
            <c:strRef>
              <c:f>'Figure-1 Calculation'!$F$37</c:f>
              <c:strCache>
                <c:ptCount val="1"/>
                <c:pt idx="0">
                  <c:v>High Market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'Figure-1 Calculation'!$C$38:$C$41</c:f>
              <c:numCache>
                <c:formatCode>General</c:formatCode>
                <c:ptCount val="4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</c:numCache>
            </c:numRef>
          </c:cat>
          <c:val>
            <c:numRef>
              <c:f>'Figure-1 Calculation'!$F$38:$F$41</c:f>
              <c:numCache>
                <c:formatCode>"$"#,##0_);[Red]\("$"#,##0\)</c:formatCode>
                <c:ptCount val="4"/>
                <c:pt idx="0">
                  <c:v>5525367802.0753698</c:v>
                </c:pt>
                <c:pt idx="1">
                  <c:v>4381107331.9224796</c:v>
                </c:pt>
                <c:pt idx="2">
                  <c:v>3236846861.7695894</c:v>
                </c:pt>
                <c:pt idx="3">
                  <c:v>2092586391.6166992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22-4366-8DC1-2052A3E56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6391632"/>
        <c:axId val="1582978080"/>
        <c:extLst/>
      </c:barChart>
      <c:catAx>
        <c:axId val="1606391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978080"/>
        <c:crosses val="autoZero"/>
        <c:auto val="1"/>
        <c:lblAlgn val="ctr"/>
        <c:lblOffset val="100"/>
        <c:noMultiLvlLbl val="0"/>
      </c:catAx>
      <c:valAx>
        <c:axId val="1582978080"/>
        <c:scaling>
          <c:orientation val="minMax"/>
          <c:max val="5000000000"/>
          <c:min val="-3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Net</a:t>
                </a:r>
                <a:r>
                  <a:rPr lang="en-US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(Cost)</a:t>
                </a:r>
                <a:r>
                  <a:rPr lang="en-US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/ Benefit</a:t>
                </a:r>
              </a:p>
              <a:p>
                <a:pPr>
                  <a:defRPr/>
                </a:pPr>
                <a:r>
                  <a:rPr lang="en-US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(in billions)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_);[Red]\(&quot;$&quot;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391632"/>
        <c:crosses val="autoZero"/>
        <c:crossBetween val="between"/>
        <c:majorUnit val="1000000000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</a:t>
            </a:r>
            <a:r>
              <a:rPr lang="en-US" baseline="0"/>
              <a:t> Benefit / </a:t>
            </a:r>
            <a:r>
              <a:rPr lang="en-US" baseline="0">
                <a:solidFill>
                  <a:srgbClr val="FF0000"/>
                </a:solidFill>
              </a:rPr>
              <a:t>(Cost)</a:t>
            </a:r>
            <a:endParaRPr lang="en-US">
              <a:solidFill>
                <a:srgbClr val="FF0000"/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/>
              <a:t>At Assumed Average Market Value of Generation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'Figure-2 Calculation'!$D$37</c:f>
              <c:strCache>
                <c:ptCount val="1"/>
                <c:pt idx="0">
                  <c:v>Low Asset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'Figure-2 Calculation'!$C$38:$C$41</c:f>
              <c:numCache>
                <c:formatCode>General</c:formatCode>
                <c:ptCount val="4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</c:numCache>
            </c:numRef>
          </c:cat>
          <c:val>
            <c:numRef>
              <c:f>'Figure-2 Calculation'!$D$38:$D$41</c:f>
              <c:numCache>
                <c:formatCode>"$"#,##0_);[Red]\("$"#,##0\)</c:formatCode>
                <c:ptCount val="4"/>
                <c:pt idx="0">
                  <c:v>1281229360.3688667</c:v>
                </c:pt>
                <c:pt idx="1">
                  <c:v>1198003500.6426022</c:v>
                </c:pt>
                <c:pt idx="2">
                  <c:v>1114777640.9163377</c:v>
                </c:pt>
                <c:pt idx="3">
                  <c:v>1031551781.1900733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4-41D9-ADD5-DDEEA4864C54}"/>
            </c:ext>
          </c:extLst>
        </c:ser>
        <c:ser>
          <c:idx val="1"/>
          <c:order val="1"/>
          <c:tx>
            <c:strRef>
              <c:f>'Figure-2 Calculation'!$E$37</c:f>
              <c:strCache>
                <c:ptCount val="1"/>
                <c:pt idx="0">
                  <c:v>Medium Asset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'Figure-2 Calculation'!$C$38:$C$41</c:f>
              <c:numCache>
                <c:formatCode>General</c:formatCode>
                <c:ptCount val="4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</c:numCache>
            </c:numRef>
          </c:cat>
          <c:val>
            <c:numRef>
              <c:f>'Figure-2 Calculation'!$E$38:$E$41</c:f>
              <c:numCache>
                <c:formatCode>"$"#,##0_);[Red]\("$"#,##0\)</c:formatCode>
                <c:ptCount val="4"/>
                <c:pt idx="0">
                  <c:v>-582015339.63113332</c:v>
                </c:pt>
                <c:pt idx="1">
                  <c:v>-199430024.35739779</c:v>
                </c:pt>
                <c:pt idx="2">
                  <c:v>183155290.91633785</c:v>
                </c:pt>
                <c:pt idx="3">
                  <c:v>565740606.19007337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4-41D9-ADD5-DDEEA4864C54}"/>
            </c:ext>
          </c:extLst>
        </c:ser>
        <c:ser>
          <c:idx val="2"/>
          <c:order val="2"/>
          <c:tx>
            <c:strRef>
              <c:f>'Figure-2 Calculation'!$F$37</c:f>
              <c:strCache>
                <c:ptCount val="1"/>
                <c:pt idx="0">
                  <c:v>High Asset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'Figure-2 Calculation'!$C$38:$C$41</c:f>
              <c:numCache>
                <c:formatCode>General</c:formatCode>
                <c:ptCount val="4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</c:numCache>
            </c:numRef>
          </c:cat>
          <c:val>
            <c:numRef>
              <c:f>'Figure-2 Calculation'!$F$38:$F$41</c:f>
              <c:numCache>
                <c:formatCode>"$"#,##0_);[Red]\("$"#,##0\)</c:formatCode>
                <c:ptCount val="4"/>
                <c:pt idx="0">
                  <c:v>-2445260039.6311331</c:v>
                </c:pt>
                <c:pt idx="1">
                  <c:v>-1596863549.3573973</c:v>
                </c:pt>
                <c:pt idx="2">
                  <c:v>-748467059.08366203</c:v>
                </c:pt>
                <c:pt idx="3">
                  <c:v>99929431.19007349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F4-41D9-ADD5-DDEEA4864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6391632"/>
        <c:axId val="1582978080"/>
        <c:extLst/>
      </c:barChart>
      <c:catAx>
        <c:axId val="1606391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978080"/>
        <c:crosses val="autoZero"/>
        <c:auto val="0"/>
        <c:lblAlgn val="ctr"/>
        <c:lblOffset val="100"/>
        <c:noMultiLvlLbl val="0"/>
      </c:catAx>
      <c:valAx>
        <c:axId val="1582978080"/>
        <c:scaling>
          <c:orientation val="minMax"/>
          <c:max val="1500000000"/>
          <c:min val="-25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Net </a:t>
                </a:r>
                <a:r>
                  <a:rPr lang="en-US" sz="1000" b="0" i="0" u="none" strike="noStrike" kern="1200" baseline="0">
                    <a:solidFill>
                      <a:srgbClr val="FF0000"/>
                    </a:solidFill>
                  </a:rPr>
                  <a:t>(Cost)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/ Benefit</a:t>
                </a:r>
              </a:p>
              <a:p>
                <a:pPr>
                  <a:defRPr/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(in billions)</a:t>
                </a:r>
                <a:endParaRPr lang="en-US" sz="1000" b="0" i="0" u="none" strike="noStrike" kern="1200" baseline="0">
                  <a:solidFill>
                    <a:srgbClr val="FF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_);[Red]\(&quot;$&quot;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391632"/>
        <c:crossesAt val="0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E7621E-E6CC-4435-94ED-5F06943C59A7}">
  <sheetPr/>
  <sheetViews>
    <sheetView tabSelected="1" workbookViewId="0"/>
  </sheetViews>
  <pageMargins left="0.7" right="0.7" top="0.75" bottom="0.75" header="0.3" footer="0.3"/>
  <pageSetup orientation="landscape" r:id="rId1"/>
  <headerFooter>
    <oddHeader>&amp;R&amp;10Indiana Michigan Power Company
Workpaper AJW-1
Page &amp;P of &amp;N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21965A-CA61-48C6-9B50-CBCD664F9B5A}">
  <sheetPr/>
  <sheetViews>
    <sheetView zoomScale="105" workbookViewId="0" zoomToFit="1"/>
  </sheetViews>
  <pageMargins left="0.7" right="0.7" top="0.75" bottom="0.75" header="0.3" footer="0.3"/>
  <pageSetup orientation="landscape" r:id="rId1"/>
  <headerFooter>
    <oddHeader>&amp;R&amp;10Indiana Michigan Power Company
Workpaper AJW-1
Page &amp;P of &amp;N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E56D69-2DF5-B2F9-7ADD-EEEF8A59B6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286" cy="6295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0C104B-C2C9-59D2-BB18-5C81081F55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B5E6-E8AD-4E1A-878F-90F2CFB6195C}">
  <sheetPr>
    <pageSetUpPr fitToPage="1"/>
  </sheetPr>
  <dimension ref="A1:N41"/>
  <sheetViews>
    <sheetView view="pageBreakPreview" zoomScale="85" zoomScaleNormal="100" zoomScaleSheetLayoutView="85" workbookViewId="0">
      <selection activeCell="H38" sqref="H38"/>
    </sheetView>
  </sheetViews>
  <sheetFormatPr defaultRowHeight="15" x14ac:dyDescent="0.25"/>
  <cols>
    <col min="1" max="1" width="36.85546875" customWidth="1"/>
    <col min="2" max="2" width="12.85546875" customWidth="1"/>
    <col min="3" max="3" width="5.85546875" customWidth="1"/>
    <col min="4" max="4" width="16.28515625" bestFit="1" customWidth="1"/>
    <col min="5" max="5" width="14.5703125" bestFit="1" customWidth="1"/>
    <col min="6" max="6" width="15.42578125" bestFit="1" customWidth="1"/>
    <col min="7" max="7" width="5.42578125" customWidth="1"/>
    <col min="8" max="8" width="16.28515625" bestFit="1" customWidth="1"/>
    <col min="9" max="9" width="13.7109375" bestFit="1" customWidth="1"/>
    <col min="10" max="10" width="15.42578125" bestFit="1" customWidth="1"/>
    <col min="11" max="11" width="3.7109375" customWidth="1"/>
    <col min="12" max="12" width="16.28515625" bestFit="1" customWidth="1"/>
    <col min="13" max="13" width="14.5703125" bestFit="1" customWidth="1"/>
    <col min="14" max="14" width="16.140625" bestFit="1" customWidth="1"/>
    <col min="15" max="15" width="15.28515625" bestFit="1" customWidth="1"/>
  </cols>
  <sheetData>
    <row r="1" spans="1:14" ht="18.75" x14ac:dyDescent="0.3">
      <c r="A1" s="59" t="s">
        <v>95</v>
      </c>
    </row>
    <row r="2" spans="1:14" ht="15.75" thickBot="1" x14ac:dyDescent="0.3"/>
    <row r="3" spans="1:14" x14ac:dyDescent="0.25">
      <c r="A3" s="13" t="s">
        <v>20</v>
      </c>
      <c r="B3" s="14">
        <v>1000</v>
      </c>
      <c r="C3" s="15" t="s">
        <v>21</v>
      </c>
    </row>
    <row r="4" spans="1:14" x14ac:dyDescent="0.25">
      <c r="A4" s="16" t="s">
        <v>22</v>
      </c>
      <c r="B4" s="17">
        <v>0.85</v>
      </c>
      <c r="C4" s="18"/>
    </row>
    <row r="5" spans="1:14" x14ac:dyDescent="0.25">
      <c r="A5" s="16" t="s">
        <v>1</v>
      </c>
      <c r="B5" s="19">
        <f>B3*B4*8760</f>
        <v>7446000</v>
      </c>
      <c r="C5" s="18" t="s">
        <v>25</v>
      </c>
    </row>
    <row r="6" spans="1:14" ht="15.75" thickBot="1" x14ac:dyDescent="0.3">
      <c r="A6" s="20" t="s">
        <v>23</v>
      </c>
      <c r="B6" s="21">
        <v>0.18</v>
      </c>
      <c r="C6" s="22"/>
    </row>
    <row r="7" spans="1:14" ht="15.75" thickBot="1" x14ac:dyDescent="0.3"/>
    <row r="8" spans="1:14" ht="15.75" thickBot="1" x14ac:dyDescent="0.3">
      <c r="D8" s="118" t="s">
        <v>41</v>
      </c>
      <c r="E8" s="119"/>
      <c r="F8" s="120"/>
      <c r="H8" s="118" t="s">
        <v>43</v>
      </c>
      <c r="I8" s="119"/>
      <c r="J8" s="120"/>
      <c r="L8" s="118" t="s">
        <v>40</v>
      </c>
      <c r="M8" s="119"/>
      <c r="N8" s="120"/>
    </row>
    <row r="10" spans="1:14" x14ac:dyDescent="0.25">
      <c r="D10" s="5" t="s">
        <v>0</v>
      </c>
      <c r="E10" s="5" t="s">
        <v>1</v>
      </c>
      <c r="F10" s="5" t="s">
        <v>2</v>
      </c>
      <c r="H10" s="5" t="s">
        <v>0</v>
      </c>
      <c r="I10" s="5" t="s">
        <v>1</v>
      </c>
      <c r="J10" s="5" t="s">
        <v>2</v>
      </c>
      <c r="L10" s="5" t="s">
        <v>0</v>
      </c>
      <c r="M10" s="5" t="s">
        <v>1</v>
      </c>
      <c r="N10" s="5" t="s">
        <v>2</v>
      </c>
    </row>
    <row r="11" spans="1:14" x14ac:dyDescent="0.25">
      <c r="A11" s="3" t="s">
        <v>37</v>
      </c>
      <c r="B11" s="3"/>
      <c r="C11" s="3"/>
    </row>
    <row r="12" spans="1:14" x14ac:dyDescent="0.25">
      <c r="A12" t="s">
        <v>5</v>
      </c>
      <c r="D12" s="4">
        <f>D15*D13*365</f>
        <v>118442500</v>
      </c>
      <c r="E12" s="4">
        <f>E14*E15</f>
        <v>254206440</v>
      </c>
      <c r="H12" s="4">
        <f>H15*H13*365</f>
        <v>118442500</v>
      </c>
      <c r="I12" s="4">
        <f>I14*I15</f>
        <v>254206440</v>
      </c>
      <c r="L12" s="4">
        <f>L15*L13*365</f>
        <v>118442500</v>
      </c>
      <c r="M12" s="4">
        <f>M14*M15</f>
        <v>254206440</v>
      </c>
    </row>
    <row r="13" spans="1:14" x14ac:dyDescent="0.25">
      <c r="A13" t="s">
        <v>10</v>
      </c>
      <c r="D13" s="1">
        <f>D24</f>
        <v>1180</v>
      </c>
      <c r="E13" s="1"/>
      <c r="H13" s="1">
        <f>H24</f>
        <v>1180</v>
      </c>
      <c r="I13" s="1"/>
      <c r="L13" s="1">
        <f>L24</f>
        <v>1180</v>
      </c>
      <c r="M13" s="1"/>
    </row>
    <row r="14" spans="1:14" x14ac:dyDescent="0.25">
      <c r="A14" s="6" t="s">
        <v>6</v>
      </c>
      <c r="B14" s="6"/>
      <c r="C14" s="6"/>
      <c r="D14" s="7"/>
      <c r="E14" s="7">
        <f>E24</f>
        <v>7446000</v>
      </c>
      <c r="F14" s="6"/>
      <c r="H14" s="7"/>
      <c r="I14" s="7">
        <f>I24</f>
        <v>7446000</v>
      </c>
      <c r="J14" s="6"/>
      <c r="L14" s="7"/>
      <c r="M14" s="7">
        <f>M24</f>
        <v>7446000</v>
      </c>
      <c r="N14" s="6"/>
    </row>
    <row r="15" spans="1:14" x14ac:dyDescent="0.25">
      <c r="A15" s="55" t="s">
        <v>3</v>
      </c>
      <c r="B15" s="55"/>
      <c r="C15" s="55"/>
      <c r="D15" s="112">
        <v>275</v>
      </c>
      <c r="E15" s="112">
        <v>34.14</v>
      </c>
      <c r="F15" s="113">
        <f>D15*D24*365+E15*E24</f>
        <v>372648940</v>
      </c>
      <c r="G15" s="55"/>
      <c r="H15" s="112">
        <f>D15</f>
        <v>275</v>
      </c>
      <c r="I15" s="112">
        <f>E15</f>
        <v>34.14</v>
      </c>
      <c r="J15" s="113">
        <f>H15*H24*365+I15*I24</f>
        <v>372648940</v>
      </c>
      <c r="K15" s="55"/>
      <c r="L15" s="112">
        <f>D15</f>
        <v>275</v>
      </c>
      <c r="M15" s="112">
        <f>E15</f>
        <v>34.14</v>
      </c>
      <c r="N15" s="113">
        <f>L15*L24*365+M15*M24</f>
        <v>372648940</v>
      </c>
    </row>
    <row r="16" spans="1:14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x14ac:dyDescent="0.25">
      <c r="A17" s="114" t="s">
        <v>4</v>
      </c>
      <c r="B17" s="114"/>
      <c r="C17" s="114"/>
      <c r="D17" s="55"/>
      <c r="E17" s="112"/>
      <c r="F17" s="55"/>
      <c r="G17" s="55"/>
      <c r="H17" s="55"/>
      <c r="I17" s="55"/>
      <c r="J17" s="55"/>
      <c r="K17" s="55"/>
      <c r="L17" s="55"/>
      <c r="M17" s="55"/>
      <c r="N17" s="55"/>
    </row>
    <row r="18" spans="1:14" x14ac:dyDescent="0.25">
      <c r="A18" s="55" t="s">
        <v>42</v>
      </c>
      <c r="B18" s="55"/>
      <c r="C18" s="55"/>
      <c r="D18" s="112">
        <f>MIN(Support!$B4:$B8)</f>
        <v>29.39551241917157</v>
      </c>
      <c r="E18" s="112"/>
      <c r="F18" s="55"/>
      <c r="G18" s="55"/>
      <c r="H18" s="112">
        <f>Support!$B9</f>
        <v>66.61935533381272</v>
      </c>
      <c r="I18" s="112"/>
      <c r="J18" s="55"/>
      <c r="K18" s="55"/>
      <c r="L18" s="112">
        <f>MAX(Support!$B4:$B8)</f>
        <v>142.16406348311304</v>
      </c>
      <c r="M18" s="112"/>
      <c r="N18" s="55"/>
    </row>
    <row r="19" spans="1:14" x14ac:dyDescent="0.25">
      <c r="A19" s="55" t="s">
        <v>94</v>
      </c>
      <c r="B19" s="55"/>
      <c r="C19" s="55"/>
      <c r="D19" s="112"/>
      <c r="E19" s="112">
        <f>MIN(LMP!$B$4:$B$11)</f>
        <v>21.63011061671039</v>
      </c>
      <c r="F19" s="55"/>
      <c r="G19" s="55"/>
      <c r="H19" s="112"/>
      <c r="I19" s="112">
        <f>AVERAGE(LMP!$B$4:$B$11)</f>
        <v>35.917126054657501</v>
      </c>
      <c r="J19" s="55"/>
      <c r="K19" s="55"/>
      <c r="L19" s="112"/>
      <c r="M19" s="112">
        <f>MAX(LMP!$B$4:$B$11)</f>
        <v>72.55855115342483</v>
      </c>
      <c r="N19" s="55"/>
    </row>
    <row r="20" spans="1:14" x14ac:dyDescent="0.25">
      <c r="D20" s="2"/>
      <c r="E20" s="2"/>
      <c r="F20" s="4">
        <f>D18*D24*365+E19*E24</f>
        <v>173718450.85096276</v>
      </c>
      <c r="H20" s="2"/>
      <c r="I20" s="2"/>
      <c r="J20" s="4">
        <f>H18*H24*365+I19*I24</f>
        <v>296131876.9452529</v>
      </c>
      <c r="L20" s="2"/>
      <c r="M20" s="2"/>
      <c r="N20" s="4">
        <f>L18*L24*365+M19*M24</f>
        <v>601501034.03057802</v>
      </c>
    </row>
    <row r="22" spans="1:14" x14ac:dyDescent="0.25">
      <c r="A22" s="3" t="s">
        <v>8</v>
      </c>
      <c r="B22" s="3"/>
      <c r="C22" s="3"/>
    </row>
    <row r="23" spans="1:14" x14ac:dyDescent="0.25">
      <c r="A23" t="s">
        <v>36</v>
      </c>
      <c r="D23" s="2">
        <f>D15-D18</f>
        <v>245.60448758082842</v>
      </c>
      <c r="E23" s="2">
        <f>E15-E19</f>
        <v>12.509889383289611</v>
      </c>
      <c r="H23" s="2">
        <f>H15-H18</f>
        <v>208.38064466618727</v>
      </c>
      <c r="I23" s="2">
        <f>I15-I19</f>
        <v>-1.7771260546575007</v>
      </c>
      <c r="L23" s="2">
        <f>L15-L18</f>
        <v>132.83593651688696</v>
      </c>
      <c r="M23" s="2">
        <f>M15-M19</f>
        <v>-38.418551153424829</v>
      </c>
    </row>
    <row r="24" spans="1:14" x14ac:dyDescent="0.25">
      <c r="A24" s="6" t="s">
        <v>24</v>
      </c>
      <c r="B24" s="6"/>
      <c r="C24" s="6"/>
      <c r="D24" s="7">
        <f>B3*(1+B6)</f>
        <v>1180</v>
      </c>
      <c r="E24" s="7">
        <f>B5</f>
        <v>7446000</v>
      </c>
      <c r="F24" s="6"/>
      <c r="H24" s="7">
        <f>D24</f>
        <v>1180</v>
      </c>
      <c r="I24" s="7">
        <f>E24</f>
        <v>7446000</v>
      </c>
      <c r="J24" s="6"/>
      <c r="L24" s="7">
        <f>D24</f>
        <v>1180</v>
      </c>
      <c r="M24" s="7">
        <f>E24</f>
        <v>7446000</v>
      </c>
      <c r="N24" s="6"/>
    </row>
    <row r="25" spans="1:14" x14ac:dyDescent="0.25">
      <c r="A25" t="s">
        <v>7</v>
      </c>
      <c r="D25" s="4">
        <f>D23*D24*365</f>
        <v>105781852.80106279</v>
      </c>
      <c r="E25" s="4">
        <f>E23*E24</f>
        <v>93148636.347974449</v>
      </c>
      <c r="F25" s="12">
        <f>SUM(D25:E25)</f>
        <v>198930489.14903724</v>
      </c>
      <c r="H25" s="4">
        <f>H23*H24*365</f>
        <v>89749543.657726854</v>
      </c>
      <c r="I25" s="4">
        <f>I23*I24</f>
        <v>-13232480.602979751</v>
      </c>
      <c r="J25" s="12">
        <f>SUM(H25:I25)</f>
        <v>76517063.054747105</v>
      </c>
      <c r="L25" s="4">
        <f>L23*L24*365</f>
        <v>57212437.857823215</v>
      </c>
      <c r="M25" s="4">
        <f>M23*M24</f>
        <v>-286064531.88840127</v>
      </c>
      <c r="N25" s="12">
        <f>SUM(L25:M25)</f>
        <v>-228852094.03057805</v>
      </c>
    </row>
    <row r="26" spans="1:14" ht="15.75" thickBot="1" x14ac:dyDescent="0.3"/>
    <row r="27" spans="1:14" ht="15.75" thickBot="1" x14ac:dyDescent="0.3">
      <c r="A27" s="11" t="s">
        <v>87</v>
      </c>
      <c r="B27" s="5" t="s">
        <v>26</v>
      </c>
      <c r="C27" s="5"/>
      <c r="D27" s="5" t="s">
        <v>38</v>
      </c>
      <c r="E27" s="5"/>
      <c r="F27" s="23" t="s">
        <v>39</v>
      </c>
      <c r="H27" s="5" t="s">
        <v>38</v>
      </c>
      <c r="I27" s="5"/>
      <c r="J27" s="23" t="s">
        <v>39</v>
      </c>
      <c r="L27" s="5" t="s">
        <v>38</v>
      </c>
      <c r="M27" s="5"/>
      <c r="N27" s="23" t="s">
        <v>39</v>
      </c>
    </row>
    <row r="28" spans="1:14" x14ac:dyDescent="0.25">
      <c r="B28" s="8">
        <v>0</v>
      </c>
      <c r="C28" s="8"/>
      <c r="D28" s="8">
        <f>MAX(20-B28,5)</f>
        <v>20</v>
      </c>
      <c r="E28" s="4"/>
      <c r="F28" s="4">
        <f>$F$25*D28+$B$34</f>
        <v>4120972908.9169359</v>
      </c>
      <c r="H28" s="8">
        <f>D28</f>
        <v>20</v>
      </c>
      <c r="I28" s="4"/>
      <c r="J28" s="4">
        <f>$J$25*H28+$B$34</f>
        <v>1672704387.0311332</v>
      </c>
      <c r="L28" s="8">
        <f>D28</f>
        <v>20</v>
      </c>
      <c r="M28" s="4"/>
      <c r="N28" s="4">
        <f>$N$25*L28+$B$34</f>
        <v>-4434678754.6753702</v>
      </c>
    </row>
    <row r="29" spans="1:14" x14ac:dyDescent="0.25">
      <c r="B29" s="8">
        <v>5</v>
      </c>
      <c r="C29" s="8"/>
      <c r="D29" s="8">
        <f t="shared" ref="D29:D32" si="0">MAX(20-B29,5)</f>
        <v>15</v>
      </c>
      <c r="E29" s="4"/>
      <c r="F29" s="4">
        <f>$F$25*D29+$B$34</f>
        <v>3126320463.1717496</v>
      </c>
      <c r="H29" s="8">
        <f t="shared" ref="H29:H32" si="1">D29</f>
        <v>15</v>
      </c>
      <c r="I29" s="4"/>
      <c r="J29" s="4">
        <f t="shared" ref="J29:J32" si="2">$J$25*H29+$B$34</f>
        <v>1290119071.7573977</v>
      </c>
      <c r="L29" s="8">
        <f t="shared" ref="L29:L32" si="3">D29</f>
        <v>15</v>
      </c>
      <c r="M29" s="4"/>
      <c r="N29" s="4">
        <f t="shared" ref="N29:N32" si="4">$N$25*L29+$B$34</f>
        <v>-3290418284.5224795</v>
      </c>
    </row>
    <row r="30" spans="1:14" x14ac:dyDescent="0.25">
      <c r="B30" s="8">
        <v>10</v>
      </c>
      <c r="C30" s="8"/>
      <c r="D30" s="8">
        <f t="shared" si="0"/>
        <v>10</v>
      </c>
      <c r="E30" s="4"/>
      <c r="F30" s="4">
        <f>$F$25*D30+$B$34</f>
        <v>2131668017.4265635</v>
      </c>
      <c r="H30" s="8">
        <f t="shared" si="1"/>
        <v>10</v>
      </c>
      <c r="I30" s="4"/>
      <c r="J30" s="4">
        <f t="shared" si="2"/>
        <v>907533756.48366201</v>
      </c>
      <c r="L30" s="8">
        <f t="shared" si="3"/>
        <v>10</v>
      </c>
      <c r="M30" s="4"/>
      <c r="N30" s="4">
        <f t="shared" si="4"/>
        <v>-2146157814.3695893</v>
      </c>
    </row>
    <row r="31" spans="1:14" x14ac:dyDescent="0.25">
      <c r="B31" s="8">
        <v>15</v>
      </c>
      <c r="C31" s="8"/>
      <c r="D31" s="8">
        <f t="shared" si="0"/>
        <v>5</v>
      </c>
      <c r="E31" s="4"/>
      <c r="F31" s="4">
        <f>$F$25*D31+$B$34</f>
        <v>1137015571.6813772</v>
      </c>
      <c r="H31" s="8">
        <f t="shared" si="1"/>
        <v>5</v>
      </c>
      <c r="I31" s="4"/>
      <c r="J31" s="4">
        <f t="shared" si="2"/>
        <v>524948441.20992649</v>
      </c>
      <c r="L31" s="8">
        <f t="shared" si="3"/>
        <v>5</v>
      </c>
      <c r="M31" s="4"/>
      <c r="N31" s="4">
        <f t="shared" si="4"/>
        <v>-1001897344.2166992</v>
      </c>
    </row>
    <row r="32" spans="1:14" x14ac:dyDescent="0.25">
      <c r="B32" s="8">
        <v>20</v>
      </c>
      <c r="C32" s="8"/>
      <c r="D32" s="8">
        <f t="shared" si="0"/>
        <v>5</v>
      </c>
      <c r="E32" s="4"/>
      <c r="F32" s="4">
        <f>$F$25*D32+$B$34</f>
        <v>1137015571.6813772</v>
      </c>
      <c r="H32" s="8">
        <f t="shared" si="1"/>
        <v>5</v>
      </c>
      <c r="I32" s="4"/>
      <c r="J32" s="4">
        <f t="shared" si="2"/>
        <v>524948441.20992649</v>
      </c>
      <c r="L32" s="8">
        <f t="shared" si="3"/>
        <v>5</v>
      </c>
      <c r="M32" s="4"/>
      <c r="N32" s="4">
        <f t="shared" si="4"/>
        <v>-1001897344.2166992</v>
      </c>
    </row>
    <row r="34" spans="1:8" x14ac:dyDescent="0.25">
      <c r="A34" s="116" t="s">
        <v>44</v>
      </c>
      <c r="B34" s="113">
        <f>'East T Cost Allocation'!D36</f>
        <v>142363125.93619099</v>
      </c>
    </row>
    <row r="36" spans="1:8" x14ac:dyDescent="0.25">
      <c r="C36" s="3" t="s">
        <v>81</v>
      </c>
    </row>
    <row r="37" spans="1:8" ht="30" x14ac:dyDescent="0.25">
      <c r="B37" s="8"/>
      <c r="C37" s="8" t="s">
        <v>27</v>
      </c>
      <c r="D37" s="8" t="s">
        <v>41</v>
      </c>
      <c r="E37" s="8" t="s">
        <v>43</v>
      </c>
      <c r="F37" s="8" t="s">
        <v>40</v>
      </c>
      <c r="G37" s="8" t="s">
        <v>88</v>
      </c>
      <c r="H37" s="57" t="s">
        <v>86</v>
      </c>
    </row>
    <row r="38" spans="1:8" x14ac:dyDescent="0.25">
      <c r="C38">
        <f>D28</f>
        <v>20</v>
      </c>
      <c r="D38" s="4">
        <f>(F28-H38)*-1</f>
        <v>-3030283861.5169363</v>
      </c>
      <c r="E38" s="4">
        <f>(J28-H38)*-1</f>
        <v>-582015339.63113332</v>
      </c>
      <c r="F38" s="4">
        <f>(N28-H38)*-1</f>
        <v>5525367802.0753698</v>
      </c>
      <c r="H38" s="115">
        <f>'90% Billing Demand'!H38*60</f>
        <v>1090689047.3999999</v>
      </c>
    </row>
    <row r="39" spans="1:8" x14ac:dyDescent="0.25">
      <c r="C39">
        <f t="shared" ref="C39:C40" si="5">D29</f>
        <v>15</v>
      </c>
      <c r="D39" s="4">
        <f>(F29-H39)*-1</f>
        <v>-2035631415.7717497</v>
      </c>
      <c r="E39" s="4">
        <f>(J29-H39)*-1</f>
        <v>-199430024.35739779</v>
      </c>
      <c r="F39" s="4">
        <f>(N29-H39)*-1</f>
        <v>4381107331.9224796</v>
      </c>
      <c r="H39" s="115">
        <f>H38</f>
        <v>1090689047.3999999</v>
      </c>
    </row>
    <row r="40" spans="1:8" x14ac:dyDescent="0.25">
      <c r="C40">
        <f t="shared" si="5"/>
        <v>10</v>
      </c>
      <c r="D40" s="4">
        <f>(F30-H40)*-1</f>
        <v>-1040978970.0265636</v>
      </c>
      <c r="E40" s="4">
        <f>(J30-H40)*-1</f>
        <v>183155290.91633785</v>
      </c>
      <c r="F40" s="4">
        <f>(N30-H40)*-1</f>
        <v>3236846861.7695894</v>
      </c>
      <c r="H40" s="115">
        <f>H38</f>
        <v>1090689047.3999999</v>
      </c>
    </row>
    <row r="41" spans="1:8" x14ac:dyDescent="0.25">
      <c r="C41">
        <f>D31</f>
        <v>5</v>
      </c>
      <c r="D41" s="4">
        <f>(F31-H41)*-1</f>
        <v>-46326524.281377316</v>
      </c>
      <c r="E41" s="4">
        <f>(J31-H41)*-1</f>
        <v>565740606.19007337</v>
      </c>
      <c r="F41" s="4">
        <f>(N31-H41)*-1</f>
        <v>2092586391.6166992</v>
      </c>
      <c r="H41" s="115">
        <f>H38</f>
        <v>1090689047.3999999</v>
      </c>
    </row>
  </sheetData>
  <mergeCells count="3">
    <mergeCell ref="L8:N8"/>
    <mergeCell ref="D8:F8"/>
    <mergeCell ref="H8:J8"/>
  </mergeCells>
  <pageMargins left="0.7" right="0.7" top="0.75" bottom="0.75" header="0.3" footer="0.3"/>
  <pageSetup scale="60" orientation="landscape" r:id="rId1"/>
  <headerFooter>
    <oddHeader>&amp;R&amp;10Indiana Michigan Power Company
Workpaper AJW-1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0C59-92CA-4524-90EA-35E670888958}">
  <sheetPr>
    <pageSetUpPr fitToPage="1"/>
  </sheetPr>
  <dimension ref="A1:O41"/>
  <sheetViews>
    <sheetView view="pageBreakPreview" zoomScale="85" zoomScaleNormal="100" zoomScaleSheetLayoutView="85" workbookViewId="0">
      <selection activeCell="I18" sqref="I18"/>
    </sheetView>
  </sheetViews>
  <sheetFormatPr defaultRowHeight="15" x14ac:dyDescent="0.25"/>
  <cols>
    <col min="1" max="1" width="36.85546875" customWidth="1"/>
    <col min="2" max="2" width="12.85546875" customWidth="1"/>
    <col min="3" max="3" width="5.85546875" customWidth="1"/>
    <col min="4" max="4" width="16.28515625" bestFit="1" customWidth="1"/>
    <col min="5" max="5" width="14.5703125" bestFit="1" customWidth="1"/>
    <col min="6" max="6" width="15.42578125" bestFit="1" customWidth="1"/>
    <col min="7" max="7" width="5.42578125" customWidth="1"/>
    <col min="8" max="8" width="16.28515625" bestFit="1" customWidth="1"/>
    <col min="9" max="9" width="13.7109375" bestFit="1" customWidth="1"/>
    <col min="10" max="10" width="15.42578125" bestFit="1" customWidth="1"/>
    <col min="11" max="11" width="3.7109375" customWidth="1"/>
    <col min="12" max="12" width="16.28515625" bestFit="1" customWidth="1"/>
    <col min="13" max="13" width="13.7109375" bestFit="1" customWidth="1"/>
    <col min="14" max="14" width="15.42578125" bestFit="1" customWidth="1"/>
    <col min="15" max="15" width="15.28515625" bestFit="1" customWidth="1"/>
  </cols>
  <sheetData>
    <row r="1" spans="1:15" ht="18.75" x14ac:dyDescent="0.3">
      <c r="A1" s="59" t="s">
        <v>96</v>
      </c>
    </row>
    <row r="2" spans="1:15" ht="15.75" thickBot="1" x14ac:dyDescent="0.3"/>
    <row r="3" spans="1:15" x14ac:dyDescent="0.25">
      <c r="A3" s="13" t="s">
        <v>20</v>
      </c>
      <c r="B3" s="14">
        <f>'Figure-1 Calculation'!B3</f>
        <v>1000</v>
      </c>
      <c r="C3" s="15" t="s">
        <v>21</v>
      </c>
    </row>
    <row r="4" spans="1:15" x14ac:dyDescent="0.25">
      <c r="A4" s="16" t="s">
        <v>22</v>
      </c>
      <c r="B4" s="17">
        <f>'Figure-1 Calculation'!B4</f>
        <v>0.85</v>
      </c>
      <c r="C4" s="18"/>
    </row>
    <row r="5" spans="1:15" x14ac:dyDescent="0.25">
      <c r="A5" s="16" t="s">
        <v>1</v>
      </c>
      <c r="B5" s="19">
        <f>B3*B4*8760</f>
        <v>7446000</v>
      </c>
      <c r="C5" s="18" t="s">
        <v>25</v>
      </c>
    </row>
    <row r="6" spans="1:15" ht="15.75" thickBot="1" x14ac:dyDescent="0.3">
      <c r="A6" s="20" t="s">
        <v>23</v>
      </c>
      <c r="B6" s="21">
        <f>'Figure-1 Calculation'!B6</f>
        <v>0.18</v>
      </c>
      <c r="C6" s="22"/>
    </row>
    <row r="7" spans="1:15" ht="15.75" thickBot="1" x14ac:dyDescent="0.3"/>
    <row r="8" spans="1:15" ht="15.75" thickBot="1" x14ac:dyDescent="0.3">
      <c r="D8" s="118" t="s">
        <v>90</v>
      </c>
      <c r="E8" s="119"/>
      <c r="F8" s="120"/>
      <c r="H8" s="118" t="s">
        <v>89</v>
      </c>
      <c r="I8" s="119"/>
      <c r="J8" s="120"/>
      <c r="L8" s="118" t="s">
        <v>91</v>
      </c>
      <c r="M8" s="119"/>
      <c r="N8" s="120"/>
    </row>
    <row r="10" spans="1:15" x14ac:dyDescent="0.25">
      <c r="D10" s="5" t="s">
        <v>0</v>
      </c>
      <c r="E10" s="5" t="s">
        <v>1</v>
      </c>
      <c r="F10" s="5" t="s">
        <v>2</v>
      </c>
      <c r="H10" s="5" t="s">
        <v>0</v>
      </c>
      <c r="I10" s="5" t="s">
        <v>1</v>
      </c>
      <c r="J10" s="5" t="s">
        <v>2</v>
      </c>
      <c r="L10" s="5" t="s">
        <v>0</v>
      </c>
      <c r="M10" s="5" t="s">
        <v>1</v>
      </c>
      <c r="N10" s="5" t="s">
        <v>2</v>
      </c>
    </row>
    <row r="11" spans="1:15" x14ac:dyDescent="0.25">
      <c r="A11" s="3" t="s">
        <v>37</v>
      </c>
      <c r="B11" s="3"/>
      <c r="C11" s="3"/>
    </row>
    <row r="12" spans="1:15" x14ac:dyDescent="0.25">
      <c r="A12" t="s">
        <v>5</v>
      </c>
      <c r="D12" s="4">
        <f>D15*D13*365</f>
        <v>88831875</v>
      </c>
      <c r="E12" s="4">
        <f>E14*E15</f>
        <v>190654830</v>
      </c>
      <c r="H12" s="4">
        <f>H15*H13*365</f>
        <v>118442500</v>
      </c>
      <c r="I12" s="4">
        <f>I14*I15</f>
        <v>254206440</v>
      </c>
      <c r="L12" s="4">
        <f>L15*L13*365</f>
        <v>148053125</v>
      </c>
      <c r="M12" s="4">
        <f>M14*M15</f>
        <v>317758050</v>
      </c>
    </row>
    <row r="13" spans="1:15" x14ac:dyDescent="0.25">
      <c r="A13" t="s">
        <v>10</v>
      </c>
      <c r="D13" s="1">
        <f>D24</f>
        <v>1180</v>
      </c>
      <c r="E13" s="1"/>
      <c r="H13" s="1">
        <f>H24</f>
        <v>1180</v>
      </c>
      <c r="I13" s="1"/>
      <c r="L13" s="1">
        <f>L24</f>
        <v>1180</v>
      </c>
      <c r="M13" s="1"/>
    </row>
    <row r="14" spans="1:15" x14ac:dyDescent="0.25">
      <c r="A14" s="6" t="s">
        <v>6</v>
      </c>
      <c r="B14" s="6"/>
      <c r="C14" s="6"/>
      <c r="D14" s="7"/>
      <c r="E14" s="7">
        <f>E24</f>
        <v>7446000</v>
      </c>
      <c r="F14" s="6"/>
      <c r="H14" s="7"/>
      <c r="I14" s="7">
        <f>I24</f>
        <v>7446000</v>
      </c>
      <c r="J14" s="6"/>
      <c r="L14" s="7"/>
      <c r="M14" s="7">
        <f>M24</f>
        <v>7446000</v>
      </c>
      <c r="N14" s="6"/>
    </row>
    <row r="15" spans="1:15" x14ac:dyDescent="0.25">
      <c r="A15" t="s">
        <v>3</v>
      </c>
      <c r="D15" s="112">
        <f>0.75*H15</f>
        <v>206.25</v>
      </c>
      <c r="E15" s="112">
        <f>0.75*I15</f>
        <v>25.605</v>
      </c>
      <c r="F15" s="113">
        <f>D15*D24*365+E15*E24</f>
        <v>279486705</v>
      </c>
      <c r="G15" s="55"/>
      <c r="H15" s="112">
        <f>'Figure-1 Calculation'!H15</f>
        <v>275</v>
      </c>
      <c r="I15" s="112">
        <f>'Figure-1 Calculation'!I15</f>
        <v>34.14</v>
      </c>
      <c r="J15" s="113">
        <f>H15*H24*365+I15*I24</f>
        <v>372648940</v>
      </c>
      <c r="K15" s="55"/>
      <c r="L15" s="112">
        <f>1.25*H15</f>
        <v>343.75</v>
      </c>
      <c r="M15" s="112">
        <f>1.25*I15</f>
        <v>42.674999999999997</v>
      </c>
      <c r="N15" s="113">
        <f>L15*L24*365+M15*M24</f>
        <v>465811175</v>
      </c>
      <c r="O15" s="55"/>
    </row>
    <row r="17" spans="1:14" x14ac:dyDescent="0.25">
      <c r="A17" s="3" t="s">
        <v>4</v>
      </c>
      <c r="B17" s="3"/>
      <c r="C17" s="3"/>
    </row>
    <row r="18" spans="1:14" x14ac:dyDescent="0.25">
      <c r="A18" t="s">
        <v>42</v>
      </c>
      <c r="D18" s="2">
        <f>Support!$B9</f>
        <v>66.61935533381272</v>
      </c>
      <c r="E18" s="2"/>
      <c r="H18" s="2">
        <f>Support!$B9</f>
        <v>66.61935533381272</v>
      </c>
      <c r="I18" s="2"/>
      <c r="L18" s="2">
        <f>Support!$B9</f>
        <v>66.61935533381272</v>
      </c>
      <c r="M18" s="2"/>
    </row>
    <row r="19" spans="1:14" x14ac:dyDescent="0.25">
      <c r="A19" s="55" t="s">
        <v>94</v>
      </c>
      <c r="B19" s="55"/>
      <c r="C19" s="55"/>
      <c r="D19" s="112"/>
      <c r="E19" s="112">
        <f>AVERAGE(LMP!$B$4:$B$11)</f>
        <v>35.917126054657501</v>
      </c>
      <c r="F19" s="55"/>
      <c r="G19" s="55"/>
      <c r="H19" s="112"/>
      <c r="I19" s="112">
        <f>AVERAGE(LMP!$B$4:$B$11)</f>
        <v>35.917126054657501</v>
      </c>
      <c r="J19" s="55"/>
      <c r="K19" s="55"/>
      <c r="L19" s="112"/>
      <c r="M19" s="112">
        <f>AVERAGE(LMP!$B$4:$B$11)</f>
        <v>35.917126054657501</v>
      </c>
      <c r="N19" s="55"/>
    </row>
    <row r="20" spans="1:14" x14ac:dyDescent="0.25">
      <c r="D20" s="2"/>
      <c r="E20" s="2"/>
      <c r="F20" s="4">
        <f>D18*D24*365+E19*E24</f>
        <v>296131876.9452529</v>
      </c>
      <c r="H20" s="2"/>
      <c r="I20" s="2"/>
      <c r="J20" s="4">
        <f>H18*H24*365+I19*I24</f>
        <v>296131876.9452529</v>
      </c>
      <c r="L20" s="2"/>
      <c r="M20" s="2"/>
      <c r="N20" s="4">
        <f>L18*L24*365+M19*M24</f>
        <v>296131876.9452529</v>
      </c>
    </row>
    <row r="22" spans="1:14" x14ac:dyDescent="0.25">
      <c r="A22" s="3" t="s">
        <v>8</v>
      </c>
      <c r="B22" s="3"/>
      <c r="C22" s="3"/>
    </row>
    <row r="23" spans="1:14" x14ac:dyDescent="0.25">
      <c r="A23" t="s">
        <v>36</v>
      </c>
      <c r="D23" s="2">
        <f>D15-D18</f>
        <v>139.63064466618727</v>
      </c>
      <c r="E23" s="2">
        <f>E15-E19</f>
        <v>-10.312126054657501</v>
      </c>
      <c r="H23" s="2">
        <f>H15-H18</f>
        <v>208.38064466618727</v>
      </c>
      <c r="I23" s="2">
        <f>I15-I19</f>
        <v>-1.7771260546575007</v>
      </c>
      <c r="L23" s="2">
        <f>L15-L18</f>
        <v>277.13064466618727</v>
      </c>
      <c r="M23" s="2">
        <f>M15-M19</f>
        <v>6.7578739453424959</v>
      </c>
    </row>
    <row r="24" spans="1:14" x14ac:dyDescent="0.25">
      <c r="A24" s="6" t="s">
        <v>24</v>
      </c>
      <c r="B24" s="6"/>
      <c r="C24" s="6"/>
      <c r="D24" s="7">
        <f>B3*(1+B6)</f>
        <v>1180</v>
      </c>
      <c r="E24" s="7">
        <f>B5</f>
        <v>7446000</v>
      </c>
      <c r="F24" s="6"/>
      <c r="H24" s="7">
        <f>D24</f>
        <v>1180</v>
      </c>
      <c r="I24" s="7">
        <f>E24</f>
        <v>7446000</v>
      </c>
      <c r="J24" s="6"/>
      <c r="L24" s="7">
        <f>D24</f>
        <v>1180</v>
      </c>
      <c r="M24" s="7">
        <f>E24</f>
        <v>7446000</v>
      </c>
      <c r="N24" s="6"/>
    </row>
    <row r="25" spans="1:14" x14ac:dyDescent="0.25">
      <c r="A25" t="s">
        <v>7</v>
      </c>
      <c r="D25" s="4">
        <f>D23*D24*365</f>
        <v>60138918.657726862</v>
      </c>
      <c r="E25" s="4">
        <f>E23*E24</f>
        <v>-76784090.602979749</v>
      </c>
      <c r="F25" s="12">
        <f>SUM(D25:E25)</f>
        <v>-16645171.945252888</v>
      </c>
      <c r="H25" s="4">
        <f>H23*H24*365</f>
        <v>89749543.657726854</v>
      </c>
      <c r="I25" s="4">
        <f>I23*I24</f>
        <v>-13232480.602979751</v>
      </c>
      <c r="J25" s="12">
        <f>SUM(H25:I25)</f>
        <v>76517063.054747105</v>
      </c>
      <c r="L25" s="4">
        <f>L23*L24*365</f>
        <v>119360168.65772685</v>
      </c>
      <c r="M25" s="4">
        <f>M23*M24</f>
        <v>50319129.397020221</v>
      </c>
      <c r="N25" s="12">
        <f>SUM(L25:M25)</f>
        <v>169679298.05474707</v>
      </c>
    </row>
    <row r="26" spans="1:14" ht="15.75" thickBot="1" x14ac:dyDescent="0.3"/>
    <row r="27" spans="1:14" ht="15.75" thickBot="1" x14ac:dyDescent="0.3">
      <c r="A27" s="11" t="s">
        <v>87</v>
      </c>
      <c r="B27" s="5" t="s">
        <v>26</v>
      </c>
      <c r="C27" s="5"/>
      <c r="D27" s="5" t="s">
        <v>38</v>
      </c>
      <c r="E27" s="5"/>
      <c r="F27" s="23" t="s">
        <v>39</v>
      </c>
      <c r="H27" s="5" t="s">
        <v>38</v>
      </c>
      <c r="I27" s="5"/>
      <c r="J27" s="23" t="s">
        <v>39</v>
      </c>
      <c r="L27" s="5" t="s">
        <v>38</v>
      </c>
      <c r="M27" s="5"/>
      <c r="N27" s="23" t="s">
        <v>39</v>
      </c>
    </row>
    <row r="28" spans="1:14" x14ac:dyDescent="0.25">
      <c r="B28" s="8">
        <v>0</v>
      </c>
      <c r="C28" s="8"/>
      <c r="D28" s="8">
        <f>MAX(20-B28,5)</f>
        <v>20</v>
      </c>
      <c r="E28" s="4"/>
      <c r="F28" s="4">
        <f>$F$25*D28+$B$34</f>
        <v>-190540312.9688668</v>
      </c>
      <c r="H28" s="8">
        <f>D28</f>
        <v>20</v>
      </c>
      <c r="I28" s="4"/>
      <c r="J28" s="4">
        <f>$J$25*H28+$B$34</f>
        <v>1672704387.0311332</v>
      </c>
      <c r="L28" s="8">
        <f>D28</f>
        <v>20</v>
      </c>
      <c r="M28" s="4"/>
      <c r="N28" s="4">
        <f>$N$25*L28+$B$34</f>
        <v>3535949087.0311327</v>
      </c>
    </row>
    <row r="29" spans="1:14" x14ac:dyDescent="0.25">
      <c r="B29" s="8">
        <v>5</v>
      </c>
      <c r="C29" s="8"/>
      <c r="D29" s="8">
        <f t="shared" ref="D29:D32" si="0">MAX(20-B29,5)</f>
        <v>15</v>
      </c>
      <c r="E29" s="4"/>
      <c r="F29" s="4">
        <f>$F$25*D29+$B$34</f>
        <v>-107314453.24260232</v>
      </c>
      <c r="H29" s="8">
        <f t="shared" ref="H29:H32" si="1">D29</f>
        <v>15</v>
      </c>
      <c r="I29" s="4"/>
      <c r="J29" s="4">
        <f t="shared" ref="J29:J32" si="2">$J$25*H29+$B$34</f>
        <v>1290119071.7573977</v>
      </c>
      <c r="L29" s="8">
        <f t="shared" ref="L29:L32" si="3">D29</f>
        <v>15</v>
      </c>
      <c r="M29" s="4"/>
      <c r="N29" s="4">
        <f t="shared" ref="N29:N31" si="4">$N$25*L29+$B$34</f>
        <v>2687552596.7573972</v>
      </c>
    </row>
    <row r="30" spans="1:14" x14ac:dyDescent="0.25">
      <c r="B30" s="8">
        <v>10</v>
      </c>
      <c r="C30" s="8"/>
      <c r="D30" s="8">
        <f t="shared" si="0"/>
        <v>10</v>
      </c>
      <c r="E30" s="4"/>
      <c r="F30" s="4">
        <f>$F$25*D30+$B$34</f>
        <v>-24088593.516337901</v>
      </c>
      <c r="H30" s="8">
        <f t="shared" si="1"/>
        <v>10</v>
      </c>
      <c r="I30" s="4"/>
      <c r="J30" s="4">
        <f t="shared" si="2"/>
        <v>907533756.48366201</v>
      </c>
      <c r="L30" s="8">
        <f t="shared" si="3"/>
        <v>10</v>
      </c>
      <c r="M30" s="4"/>
      <c r="N30" s="4">
        <f t="shared" si="4"/>
        <v>1839156106.4836619</v>
      </c>
    </row>
    <row r="31" spans="1:14" x14ac:dyDescent="0.25">
      <c r="B31" s="8">
        <v>15</v>
      </c>
      <c r="C31" s="8"/>
      <c r="D31" s="8">
        <f t="shared" si="0"/>
        <v>5</v>
      </c>
      <c r="E31" s="4"/>
      <c r="F31" s="4">
        <f>$F$25*D31+$B$34</f>
        <v>59137266.209926546</v>
      </c>
      <c r="H31" s="8">
        <f t="shared" si="1"/>
        <v>5</v>
      </c>
      <c r="I31" s="4"/>
      <c r="J31" s="4">
        <f t="shared" si="2"/>
        <v>524948441.20992649</v>
      </c>
      <c r="L31" s="8">
        <f t="shared" si="3"/>
        <v>5</v>
      </c>
      <c r="M31" s="4"/>
      <c r="N31" s="4">
        <f t="shared" si="4"/>
        <v>990759616.20992637</v>
      </c>
    </row>
    <row r="32" spans="1:14" x14ac:dyDescent="0.25">
      <c r="B32" s="8">
        <v>20</v>
      </c>
      <c r="C32" s="8"/>
      <c r="D32" s="8">
        <f t="shared" si="0"/>
        <v>5</v>
      </c>
      <c r="E32" s="4"/>
      <c r="F32" s="4">
        <f t="shared" ref="F32" si="5">$F$25*D32+$B$34</f>
        <v>59137266.209926546</v>
      </c>
      <c r="H32" s="8">
        <f t="shared" si="1"/>
        <v>5</v>
      </c>
      <c r="I32" s="4"/>
      <c r="J32" s="4">
        <f t="shared" si="2"/>
        <v>524948441.20992649</v>
      </c>
      <c r="L32" s="8">
        <f t="shared" si="3"/>
        <v>5</v>
      </c>
      <c r="M32" s="4"/>
      <c r="N32" s="4">
        <f>$N$25*L32+$B$34</f>
        <v>990759616.20992637</v>
      </c>
    </row>
    <row r="34" spans="1:8" x14ac:dyDescent="0.25">
      <c r="A34" s="116" t="s">
        <v>44</v>
      </c>
      <c r="B34" s="113">
        <f>'East T Cost Allocation'!D36</f>
        <v>142363125.93619099</v>
      </c>
    </row>
    <row r="36" spans="1:8" x14ac:dyDescent="0.25">
      <c r="C36" s="3" t="s">
        <v>81</v>
      </c>
    </row>
    <row r="37" spans="1:8" ht="30" x14ac:dyDescent="0.25">
      <c r="B37" s="8"/>
      <c r="C37" s="8" t="s">
        <v>27</v>
      </c>
      <c r="D37" s="8" t="s">
        <v>82</v>
      </c>
      <c r="E37" s="8" t="s">
        <v>83</v>
      </c>
      <c r="F37" s="8" t="s">
        <v>84</v>
      </c>
      <c r="G37" s="8" t="s">
        <v>88</v>
      </c>
      <c r="H37" s="57" t="s">
        <v>86</v>
      </c>
    </row>
    <row r="38" spans="1:8" x14ac:dyDescent="0.25">
      <c r="C38">
        <f>D28</f>
        <v>20</v>
      </c>
      <c r="D38" s="4">
        <f>(F28-H38)*-1</f>
        <v>1281229360.3688667</v>
      </c>
      <c r="E38" s="4">
        <f>(J28-H38)*-1</f>
        <v>-582015339.63113332</v>
      </c>
      <c r="F38" s="4">
        <f>(N28-H38)*-1</f>
        <v>-2445260039.6311331</v>
      </c>
      <c r="H38" s="115">
        <f>'90% Billing Demand'!H38*60</f>
        <v>1090689047.3999999</v>
      </c>
    </row>
    <row r="39" spans="1:8" x14ac:dyDescent="0.25">
      <c r="C39">
        <f t="shared" ref="C39:C40" si="6">D29</f>
        <v>15</v>
      </c>
      <c r="D39" s="4">
        <f>(F29-H39)*-1</f>
        <v>1198003500.6426022</v>
      </c>
      <c r="E39" s="4">
        <f>(J29-H39)*-1</f>
        <v>-199430024.35739779</v>
      </c>
      <c r="F39" s="4">
        <f>(N29-H39)*-1</f>
        <v>-1596863549.3573973</v>
      </c>
      <c r="H39" s="115">
        <f>H38</f>
        <v>1090689047.3999999</v>
      </c>
    </row>
    <row r="40" spans="1:8" x14ac:dyDescent="0.25">
      <c r="C40">
        <f t="shared" si="6"/>
        <v>10</v>
      </c>
      <c r="D40" s="4">
        <f>(F30-H40)*-1</f>
        <v>1114777640.9163377</v>
      </c>
      <c r="E40" s="4">
        <f>(J30-H40)*-1</f>
        <v>183155290.91633785</v>
      </c>
      <c r="F40" s="4">
        <f>(N30-H40)*-1</f>
        <v>-748467059.08366203</v>
      </c>
      <c r="H40" s="115">
        <f>H38</f>
        <v>1090689047.3999999</v>
      </c>
    </row>
    <row r="41" spans="1:8" x14ac:dyDescent="0.25">
      <c r="C41">
        <f>D31</f>
        <v>5</v>
      </c>
      <c r="D41" s="4">
        <f>(F31-H41)*-1</f>
        <v>1031551781.1900733</v>
      </c>
      <c r="E41" s="4">
        <f>(J31-H41)*-1</f>
        <v>565740606.19007337</v>
      </c>
      <c r="F41" s="4">
        <f>(N31-H41)*-1</f>
        <v>99929431.19007349</v>
      </c>
      <c r="H41" s="115">
        <f>H38</f>
        <v>1090689047.3999999</v>
      </c>
    </row>
  </sheetData>
  <mergeCells count="3">
    <mergeCell ref="D8:F8"/>
    <mergeCell ref="H8:J8"/>
    <mergeCell ref="L8:N8"/>
  </mergeCells>
  <pageMargins left="0.7" right="0.7" top="0.75" bottom="0.75" header="0.3" footer="0.3"/>
  <pageSetup scale="60" orientation="landscape" r:id="rId1"/>
  <headerFooter>
    <oddHeader>&amp;R&amp;10Indiana Michigan Power Company
Workpaper AJW-1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3424-2F00-42FE-A239-FE392AFF66DD}">
  <dimension ref="A1:L42"/>
  <sheetViews>
    <sheetView workbookViewId="0"/>
  </sheetViews>
  <sheetFormatPr defaultColWidth="8.7109375" defaultRowHeight="15" x14ac:dyDescent="0.25"/>
  <cols>
    <col min="1" max="1" width="41.140625" style="73" bestFit="1" customWidth="1"/>
    <col min="2" max="2" width="10.85546875" style="73" bestFit="1" customWidth="1"/>
    <col min="3" max="3" width="8.7109375" style="73"/>
    <col min="4" max="4" width="14.85546875" style="73" bestFit="1" customWidth="1"/>
    <col min="5" max="6" width="8.7109375" style="73"/>
    <col min="7" max="7" width="12.7109375" style="73" bestFit="1" customWidth="1"/>
    <col min="8" max="8" width="14.85546875" style="73" bestFit="1" customWidth="1"/>
    <col min="9" max="9" width="12.5703125" style="73" bestFit="1" customWidth="1"/>
    <col min="10" max="11" width="8.7109375" style="73"/>
    <col min="12" max="12" width="17.140625" style="73" bestFit="1" customWidth="1"/>
    <col min="13" max="16384" width="8.7109375" style="73"/>
  </cols>
  <sheetData>
    <row r="1" spans="1:9" x14ac:dyDescent="0.25">
      <c r="A1" s="38" t="s">
        <v>35</v>
      </c>
      <c r="B1" s="37"/>
      <c r="C1" s="37"/>
      <c r="D1" s="37"/>
      <c r="E1" s="36"/>
    </row>
    <row r="2" spans="1:9" x14ac:dyDescent="0.25">
      <c r="A2" s="34" t="s">
        <v>34</v>
      </c>
      <c r="B2" s="26">
        <f>1000000*0.9</f>
        <v>900000</v>
      </c>
      <c r="C2" s="35"/>
      <c r="D2" s="25"/>
      <c r="E2" s="32"/>
    </row>
    <row r="3" spans="1:9" x14ac:dyDescent="0.25">
      <c r="A3" s="34" t="s">
        <v>123</v>
      </c>
      <c r="B3" s="26">
        <f>B2</f>
        <v>900000</v>
      </c>
      <c r="C3" s="35"/>
      <c r="D3" s="25"/>
      <c r="E3" s="32"/>
    </row>
    <row r="4" spans="1:9" x14ac:dyDescent="0.25">
      <c r="A4" s="34" t="s">
        <v>33</v>
      </c>
      <c r="B4" s="26"/>
      <c r="C4" s="33"/>
      <c r="D4" s="25"/>
      <c r="E4" s="110">
        <v>0.85</v>
      </c>
    </row>
    <row r="5" spans="1:9" x14ac:dyDescent="0.25">
      <c r="A5" s="31" t="s">
        <v>32</v>
      </c>
      <c r="B5" s="30">
        <v>0</v>
      </c>
      <c r="C5" s="29"/>
      <c r="D5" s="28"/>
      <c r="E5" s="27"/>
    </row>
    <row r="6" spans="1:9" x14ac:dyDescent="0.25">
      <c r="A6" s="25"/>
      <c r="B6" s="26"/>
      <c r="C6" s="35"/>
      <c r="D6" s="25"/>
      <c r="E6" s="109"/>
    </row>
    <row r="7" spans="1:9" x14ac:dyDescent="0.25">
      <c r="A7" s="25"/>
      <c r="B7" s="26"/>
      <c r="C7" s="35"/>
      <c r="D7" s="25"/>
      <c r="E7" s="109"/>
    </row>
    <row r="8" spans="1:9" x14ac:dyDescent="0.25">
      <c r="A8" s="25"/>
      <c r="B8" s="26"/>
      <c r="C8" s="35"/>
      <c r="D8" s="25"/>
      <c r="E8" s="109"/>
    </row>
    <row r="9" spans="1:9" x14ac:dyDescent="0.25">
      <c r="A9" s="25"/>
      <c r="B9" s="26"/>
      <c r="C9" s="35"/>
      <c r="D9" s="25"/>
      <c r="E9" s="109"/>
    </row>
    <row r="10" spans="1:9" x14ac:dyDescent="0.25">
      <c r="A10" s="108" t="s">
        <v>122</v>
      </c>
      <c r="G10" s="121" t="s">
        <v>121</v>
      </c>
      <c r="H10" s="121"/>
    </row>
    <row r="11" spans="1:9" x14ac:dyDescent="0.25">
      <c r="G11" s="107" t="s">
        <v>120</v>
      </c>
      <c r="H11" s="107" t="s">
        <v>2</v>
      </c>
      <c r="I11" s="106" t="s">
        <v>119</v>
      </c>
    </row>
    <row r="12" spans="1:9" x14ac:dyDescent="0.25">
      <c r="A12" s="73" t="s">
        <v>118</v>
      </c>
      <c r="G12" s="101">
        <v>1353</v>
      </c>
      <c r="H12" s="101">
        <f>G12</f>
        <v>1353</v>
      </c>
      <c r="I12" s="78">
        <v>45307</v>
      </c>
    </row>
    <row r="13" spans="1:9" x14ac:dyDescent="0.25">
      <c r="A13" s="73" t="s">
        <v>117</v>
      </c>
      <c r="D13" s="83">
        <f>B4</f>
        <v>0</v>
      </c>
      <c r="E13" s="82" t="s">
        <v>30</v>
      </c>
      <c r="F13" s="81" t="s">
        <v>28</v>
      </c>
      <c r="G13" s="105">
        <v>2.9270000000000001E-2</v>
      </c>
      <c r="H13" s="104">
        <f>ROUND(D13*G13,2)</f>
        <v>0</v>
      </c>
      <c r="I13" s="78">
        <v>45307</v>
      </c>
    </row>
    <row r="14" spans="1:9" x14ac:dyDescent="0.25">
      <c r="A14" s="73" t="s">
        <v>116</v>
      </c>
      <c r="D14" s="83">
        <f>B2</f>
        <v>900000</v>
      </c>
      <c r="E14" s="82" t="s">
        <v>29</v>
      </c>
      <c r="F14" s="81" t="s">
        <v>28</v>
      </c>
      <c r="G14" s="102">
        <v>17</v>
      </c>
      <c r="H14" s="104">
        <f>ROUND(D14*G14,2)</f>
        <v>15300000</v>
      </c>
      <c r="I14" s="78">
        <v>45307</v>
      </c>
    </row>
    <row r="15" spans="1:9" x14ac:dyDescent="0.25">
      <c r="A15" s="73" t="s">
        <v>115</v>
      </c>
      <c r="D15" s="83">
        <f>B3</f>
        <v>900000</v>
      </c>
      <c r="E15" s="82" t="s">
        <v>29</v>
      </c>
      <c r="F15" s="81" t="s">
        <v>28</v>
      </c>
      <c r="G15" s="102">
        <v>1.73</v>
      </c>
      <c r="H15" s="104">
        <f>ROUND(D15*G15,2)</f>
        <v>1557000</v>
      </c>
      <c r="I15" s="78">
        <v>45307</v>
      </c>
    </row>
    <row r="16" spans="1:9" x14ac:dyDescent="0.25">
      <c r="A16" s="73" t="s">
        <v>114</v>
      </c>
      <c r="D16" s="83">
        <v>0</v>
      </c>
      <c r="E16" s="82" t="s">
        <v>29</v>
      </c>
      <c r="F16" s="81" t="s">
        <v>28</v>
      </c>
      <c r="G16" s="102">
        <v>15.77</v>
      </c>
      <c r="H16" s="101">
        <f>ROUND(D16*G16,2)</f>
        <v>0</v>
      </c>
      <c r="I16" s="78">
        <v>45307</v>
      </c>
    </row>
    <row r="17" spans="1:9" x14ac:dyDescent="0.25">
      <c r="A17" s="73" t="s">
        <v>113</v>
      </c>
      <c r="D17" s="83"/>
      <c r="E17" s="82"/>
      <c r="F17" s="81"/>
      <c r="G17" s="102"/>
      <c r="H17" s="101">
        <f>IF(H16-H15-H14&lt;0,0,H16-H15-H14)</f>
        <v>0</v>
      </c>
      <c r="I17" s="78"/>
    </row>
    <row r="18" spans="1:9" x14ac:dyDescent="0.25">
      <c r="A18" s="73" t="s">
        <v>31</v>
      </c>
      <c r="D18" s="103">
        <f>B5</f>
        <v>0</v>
      </c>
      <c r="E18" s="82" t="s">
        <v>112</v>
      </c>
      <c r="F18" s="81" t="s">
        <v>28</v>
      </c>
      <c r="G18" s="102">
        <v>0.69</v>
      </c>
      <c r="H18" s="101">
        <f>ROUND(D18*G18,2)</f>
        <v>0</v>
      </c>
      <c r="I18" s="78">
        <v>42276</v>
      </c>
    </row>
    <row r="19" spans="1:9" x14ac:dyDescent="0.25">
      <c r="A19" s="73" t="s">
        <v>111</v>
      </c>
      <c r="B19" s="97"/>
      <c r="C19" s="97"/>
      <c r="D19" s="83">
        <f>B4</f>
        <v>0</v>
      </c>
      <c r="E19" s="82" t="s">
        <v>30</v>
      </c>
      <c r="F19" s="81" t="s">
        <v>28</v>
      </c>
      <c r="G19" s="98">
        <v>5.8E-4</v>
      </c>
      <c r="H19" s="89">
        <f>ROUND(D19*G19,2)</f>
        <v>0</v>
      </c>
      <c r="I19" s="78">
        <v>45562</v>
      </c>
    </row>
    <row r="20" spans="1:9" x14ac:dyDescent="0.25">
      <c r="A20" s="73" t="s">
        <v>110</v>
      </c>
      <c r="D20" s="83">
        <f>B4</f>
        <v>0</v>
      </c>
      <c r="E20" s="82" t="s">
        <v>30</v>
      </c>
      <c r="F20" s="81" t="s">
        <v>28</v>
      </c>
      <c r="G20" s="100">
        <v>-1.5999999999999999E-5</v>
      </c>
      <c r="H20" s="89">
        <f>ROUND(D20*G20,2)</f>
        <v>0</v>
      </c>
      <c r="I20" s="78">
        <v>45293</v>
      </c>
    </row>
    <row r="21" spans="1:9" x14ac:dyDescent="0.25">
      <c r="A21" s="73" t="s">
        <v>109</v>
      </c>
      <c r="B21" s="97"/>
      <c r="C21" s="97"/>
      <c r="D21" s="83">
        <v>1</v>
      </c>
      <c r="E21" s="82" t="s">
        <v>108</v>
      </c>
      <c r="F21" s="81"/>
      <c r="G21" s="99">
        <v>1</v>
      </c>
      <c r="H21" s="89">
        <f>ROUND(D21*G21,2)</f>
        <v>1</v>
      </c>
      <c r="I21" s="78">
        <v>43119</v>
      </c>
    </row>
    <row r="22" spans="1:9" x14ac:dyDescent="0.25">
      <c r="A22" s="73" t="s">
        <v>107</v>
      </c>
      <c r="B22" s="97"/>
      <c r="C22" s="97"/>
      <c r="D22" s="83">
        <f>B4</f>
        <v>0</v>
      </c>
      <c r="E22" s="82" t="s">
        <v>30</v>
      </c>
      <c r="F22" s="81" t="s">
        <v>28</v>
      </c>
      <c r="G22" s="98">
        <v>-4.2999999999999999E-4</v>
      </c>
      <c r="H22" s="89">
        <f>D22*G22</f>
        <v>0</v>
      </c>
      <c r="I22" s="78">
        <v>45307</v>
      </c>
    </row>
    <row r="23" spans="1:9" x14ac:dyDescent="0.25">
      <c r="A23" s="92" t="s">
        <v>106</v>
      </c>
      <c r="B23" s="97"/>
      <c r="C23" s="97"/>
      <c r="D23" s="83">
        <f>B4</f>
        <v>0</v>
      </c>
      <c r="E23" s="82" t="s">
        <v>30</v>
      </c>
      <c r="F23" s="81" t="s">
        <v>28</v>
      </c>
      <c r="G23" s="98">
        <v>7.5000000000000002E-4</v>
      </c>
      <c r="H23" s="89">
        <f>D23*G23</f>
        <v>0</v>
      </c>
      <c r="I23" s="78">
        <v>45563</v>
      </c>
    </row>
    <row r="24" spans="1:9" x14ac:dyDescent="0.25">
      <c r="A24" s="92" t="s">
        <v>106</v>
      </c>
      <c r="B24" s="97"/>
      <c r="C24" s="97"/>
      <c r="D24" s="83">
        <f>B2</f>
        <v>900000</v>
      </c>
      <c r="E24" s="82" t="s">
        <v>29</v>
      </c>
      <c r="F24" s="81" t="s">
        <v>28</v>
      </c>
      <c r="G24" s="98">
        <v>0.46</v>
      </c>
      <c r="H24" s="89">
        <f>D24*G24</f>
        <v>414000</v>
      </c>
      <c r="I24" s="78">
        <v>45563</v>
      </c>
    </row>
    <row r="25" spans="1:9" x14ac:dyDescent="0.25">
      <c r="B25" s="97"/>
      <c r="C25" s="84" t="s">
        <v>105</v>
      </c>
      <c r="D25" s="83"/>
      <c r="E25" s="82"/>
      <c r="F25" s="81"/>
      <c r="G25" s="78"/>
      <c r="H25" s="95">
        <f>H12+H13+H14+H15+H17+H18+H19+H20+H21+H22+H23+H24</f>
        <v>17272354</v>
      </c>
      <c r="I25" s="94"/>
    </row>
    <row r="26" spans="1:9" x14ac:dyDescent="0.25">
      <c r="B26" s="97"/>
      <c r="C26" s="97"/>
      <c r="D26" s="83"/>
      <c r="E26" s="82"/>
      <c r="F26" s="81"/>
      <c r="G26" s="78"/>
      <c r="H26" s="93"/>
    </row>
    <row r="27" spans="1:9" x14ac:dyDescent="0.25">
      <c r="H27" s="93"/>
    </row>
    <row r="28" spans="1:9" x14ac:dyDescent="0.25">
      <c r="A28" s="73" t="s">
        <v>104</v>
      </c>
      <c r="B28" s="97"/>
      <c r="C28" s="97"/>
      <c r="D28" s="83">
        <f>B4</f>
        <v>0</v>
      </c>
      <c r="E28" s="82" t="s">
        <v>30</v>
      </c>
      <c r="F28" s="81" t="s">
        <v>28</v>
      </c>
      <c r="G28" s="96">
        <v>1.2500000000000001E-2</v>
      </c>
      <c r="H28" s="89">
        <f>ROUND(D28*G28,2)</f>
        <v>0</v>
      </c>
      <c r="I28" s="78">
        <v>45593</v>
      </c>
    </row>
    <row r="29" spans="1:9" x14ac:dyDescent="0.25">
      <c r="C29" s="84" t="s">
        <v>103</v>
      </c>
      <c r="H29" s="95">
        <f>SUM(H28:H28)</f>
        <v>0</v>
      </c>
    </row>
    <row r="30" spans="1:9" x14ac:dyDescent="0.25">
      <c r="H30" s="93"/>
    </row>
    <row r="31" spans="1:9" x14ac:dyDescent="0.25">
      <c r="C31" s="84" t="s">
        <v>102</v>
      </c>
      <c r="H31" s="95">
        <f>H25+H29</f>
        <v>17272354</v>
      </c>
      <c r="I31" s="94"/>
    </row>
    <row r="32" spans="1:9" x14ac:dyDescent="0.25">
      <c r="H32" s="93"/>
    </row>
    <row r="33" spans="1:12" x14ac:dyDescent="0.25">
      <c r="A33" s="85"/>
      <c r="B33" s="85"/>
      <c r="C33" s="85"/>
      <c r="H33" s="93"/>
    </row>
    <row r="34" spans="1:12" x14ac:dyDescent="0.25">
      <c r="A34" s="73" t="s">
        <v>101</v>
      </c>
      <c r="D34" s="91">
        <f>$H$25-($A$41*$B$4)</f>
        <v>17272354</v>
      </c>
      <c r="E34" s="82"/>
      <c r="F34" s="81" t="s">
        <v>28</v>
      </c>
      <c r="G34" s="90">
        <v>0</v>
      </c>
      <c r="H34" s="89">
        <f>ROUND(D34*G34,2)</f>
        <v>0</v>
      </c>
      <c r="I34" s="78">
        <v>45307</v>
      </c>
    </row>
    <row r="35" spans="1:12" x14ac:dyDescent="0.25">
      <c r="A35" s="92" t="s">
        <v>100</v>
      </c>
      <c r="D35" s="91">
        <f>$H$25-($A$41*$B$4)</f>
        <v>17272354</v>
      </c>
      <c r="E35" s="82"/>
      <c r="F35" s="81" t="s">
        <v>28</v>
      </c>
      <c r="G35" s="90">
        <v>5.2442000000000003E-2</v>
      </c>
      <c r="H35" s="89">
        <f>ROUND(D35*G35,2)</f>
        <v>905796.79</v>
      </c>
      <c r="I35" s="78">
        <v>45593</v>
      </c>
    </row>
    <row r="36" spans="1:12" x14ac:dyDescent="0.25">
      <c r="A36" s="85"/>
      <c r="B36" s="85"/>
      <c r="C36" s="85"/>
      <c r="D36" s="80"/>
      <c r="E36" s="80"/>
      <c r="F36" s="88"/>
      <c r="G36" s="80"/>
      <c r="H36" s="87">
        <f>SUM(H34:H35)</f>
        <v>905796.79</v>
      </c>
      <c r="I36" s="86"/>
    </row>
    <row r="37" spans="1:12" x14ac:dyDescent="0.25">
      <c r="A37" s="85"/>
      <c r="B37" s="85"/>
      <c r="C37" s="85"/>
      <c r="D37" s="80"/>
      <c r="E37" s="80"/>
      <c r="F37" s="88"/>
      <c r="G37" s="80"/>
      <c r="H37" s="87"/>
      <c r="I37" s="86"/>
    </row>
    <row r="38" spans="1:12" x14ac:dyDescent="0.25">
      <c r="A38" s="85"/>
      <c r="B38" s="85"/>
      <c r="C38" s="84" t="s">
        <v>99</v>
      </c>
      <c r="D38" s="83"/>
      <c r="E38" s="82"/>
      <c r="F38" s="81"/>
      <c r="G38" s="80"/>
      <c r="H38" s="79">
        <f>H31+H36</f>
        <v>18178150.789999999</v>
      </c>
      <c r="I38" s="78"/>
      <c r="L38" s="111">
        <f>H38*60</f>
        <v>1090689047.3999999</v>
      </c>
    </row>
    <row r="39" spans="1:12" x14ac:dyDescent="0.25">
      <c r="A39" s="77"/>
      <c r="B39" s="77" t="s">
        <v>98</v>
      </c>
      <c r="C39" s="77"/>
      <c r="D39" s="76"/>
      <c r="E39" s="76"/>
      <c r="F39" s="77"/>
      <c r="G39" s="76"/>
      <c r="H39" s="75">
        <f>H38*12</f>
        <v>218137809.47999999</v>
      </c>
      <c r="I39" s="74"/>
    </row>
    <row r="41" spans="1:12" x14ac:dyDescent="0.25">
      <c r="A41" s="73">
        <v>2.6120000000000001E-2</v>
      </c>
    </row>
    <row r="42" spans="1:12" x14ac:dyDescent="0.25">
      <c r="A42" s="73" t="s">
        <v>97</v>
      </c>
    </row>
  </sheetData>
  <mergeCells count="1">
    <mergeCell ref="G10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FA1B-FE33-4F5B-A8F0-7E114CAB3E3D}">
  <sheetPr>
    <pageSetUpPr fitToPage="1"/>
  </sheetPr>
  <dimension ref="A1:B9"/>
  <sheetViews>
    <sheetView zoomScaleNormal="100" workbookViewId="0">
      <selection activeCell="B9" sqref="B9"/>
    </sheetView>
  </sheetViews>
  <sheetFormatPr defaultRowHeight="15" x14ac:dyDescent="0.25"/>
  <cols>
    <col min="1" max="1" width="20.140625" customWidth="1"/>
    <col min="2" max="3" width="11.85546875" bestFit="1" customWidth="1"/>
    <col min="4" max="4" width="13.5703125" bestFit="1" customWidth="1"/>
    <col min="5" max="5" width="10.85546875" bestFit="1" customWidth="1"/>
  </cols>
  <sheetData>
    <row r="1" spans="1:2" ht="18.75" x14ac:dyDescent="0.3">
      <c r="A1" s="56" t="s">
        <v>92</v>
      </c>
    </row>
    <row r="3" spans="1:2" x14ac:dyDescent="0.25">
      <c r="A3" s="3" t="s">
        <v>11</v>
      </c>
    </row>
    <row r="4" spans="1:2" x14ac:dyDescent="0.25">
      <c r="A4" t="s">
        <v>16</v>
      </c>
      <c r="B4" s="2">
        <v>77.308670354820435</v>
      </c>
    </row>
    <row r="5" spans="1:2" x14ac:dyDescent="0.25">
      <c r="A5" t="s">
        <v>15</v>
      </c>
      <c r="B5" s="2">
        <v>142.16406348311304</v>
      </c>
    </row>
    <row r="6" spans="1:2" x14ac:dyDescent="0.25">
      <c r="A6" t="s">
        <v>14</v>
      </c>
      <c r="B6" s="2">
        <v>50.04866568366144</v>
      </c>
    </row>
    <row r="7" spans="1:2" x14ac:dyDescent="0.25">
      <c r="A7" t="s">
        <v>13</v>
      </c>
      <c r="B7" s="2">
        <v>34.179864728297147</v>
      </c>
    </row>
    <row r="8" spans="1:2" x14ac:dyDescent="0.25">
      <c r="A8" s="6" t="s">
        <v>9</v>
      </c>
      <c r="B8" s="9">
        <v>29.39551241917157</v>
      </c>
    </row>
    <row r="9" spans="1:2" x14ac:dyDescent="0.25">
      <c r="A9" t="s">
        <v>12</v>
      </c>
      <c r="B9" s="112">
        <f>AVERAGE(B4:B8)</f>
        <v>66.61935533381272</v>
      </c>
    </row>
  </sheetData>
  <pageMargins left="0.7" right="0.7" top="0.75" bottom="0.75" header="0.3" footer="0.3"/>
  <pageSetup orientation="landscape" r:id="rId1"/>
  <headerFooter>
    <oddHeader>&amp;R&amp;10Indiana Michigan Power Company
Workpaper AJW-1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1A7B7-957F-4790-95CC-ADD70B5DFFEC}">
  <sheetPr>
    <pageSetUpPr fitToPage="1"/>
  </sheetPr>
  <dimension ref="A1:H39"/>
  <sheetViews>
    <sheetView zoomScaleNormal="100" workbookViewId="0">
      <selection activeCell="I29" sqref="I29"/>
    </sheetView>
  </sheetViews>
  <sheetFormatPr defaultRowHeight="15" x14ac:dyDescent="0.25"/>
  <cols>
    <col min="1" max="1" width="25.42578125" customWidth="1"/>
    <col min="2" max="2" width="28.28515625" customWidth="1"/>
    <col min="3" max="3" width="14.42578125" bestFit="1" customWidth="1"/>
    <col min="4" max="4" width="17.28515625" customWidth="1"/>
    <col min="5" max="5" width="13.5703125" customWidth="1"/>
    <col min="6" max="6" width="12" customWidth="1"/>
    <col min="7" max="7" width="26.140625" bestFit="1" customWidth="1"/>
    <col min="8" max="8" width="14.28515625" bestFit="1" customWidth="1"/>
    <col min="9" max="9" width="25.7109375" customWidth="1"/>
    <col min="10" max="10" width="19.140625" bestFit="1" customWidth="1"/>
  </cols>
  <sheetData>
    <row r="1" spans="1:6" ht="18.75" x14ac:dyDescent="0.3">
      <c r="A1" s="56" t="s">
        <v>45</v>
      </c>
    </row>
    <row r="3" spans="1:6" x14ac:dyDescent="0.25">
      <c r="B3" s="122" t="s">
        <v>46</v>
      </c>
      <c r="C3" s="122"/>
      <c r="D3" s="8" t="s">
        <v>47</v>
      </c>
      <c r="E3" s="8" t="s">
        <v>48</v>
      </c>
    </row>
    <row r="4" spans="1:6" x14ac:dyDescent="0.25">
      <c r="A4" s="3" t="s">
        <v>47</v>
      </c>
      <c r="B4" s="8" t="s">
        <v>21</v>
      </c>
      <c r="C4" s="8" t="s">
        <v>49</v>
      </c>
      <c r="D4" s="8" t="s">
        <v>50</v>
      </c>
      <c r="E4" s="8" t="s">
        <v>21</v>
      </c>
      <c r="F4" s="8" t="s">
        <v>49</v>
      </c>
    </row>
    <row r="5" spans="1:6" x14ac:dyDescent="0.25">
      <c r="A5" t="s">
        <v>51</v>
      </c>
      <c r="B5" s="39">
        <v>19332.3</v>
      </c>
      <c r="C5" s="40">
        <f>B5/B7</f>
        <v>0.84695692555726909</v>
      </c>
      <c r="D5" s="1">
        <f>'Figure-1 Calculation'!B3</f>
        <v>1000</v>
      </c>
      <c r="E5" s="39">
        <f>B5+D5</f>
        <v>20332.3</v>
      </c>
      <c r="F5" s="40">
        <f>E5/E7</f>
        <v>0.85338039755557049</v>
      </c>
    </row>
    <row r="6" spans="1:6" x14ac:dyDescent="0.25">
      <c r="A6" t="s">
        <v>52</v>
      </c>
      <c r="B6" s="39">
        <v>3493.3</v>
      </c>
      <c r="C6" s="40">
        <f>B6/B7</f>
        <v>0.15304307444273099</v>
      </c>
      <c r="E6" s="39">
        <f>B6+D6</f>
        <v>3493.3</v>
      </c>
      <c r="F6" s="40">
        <f>E6/E7</f>
        <v>0.14661960244442954</v>
      </c>
    </row>
    <row r="7" spans="1:6" x14ac:dyDescent="0.25">
      <c r="B7" s="39">
        <f>SUM(B5:B6)</f>
        <v>22825.599999999999</v>
      </c>
      <c r="C7" s="40"/>
      <c r="E7" s="39">
        <f>SUM(E5:E6)</f>
        <v>23825.599999999999</v>
      </c>
    </row>
    <row r="9" spans="1:6" x14ac:dyDescent="0.25">
      <c r="C9" t="s">
        <v>53</v>
      </c>
      <c r="E9" s="40">
        <f>(E7-B7)/B7</f>
        <v>4.3810458432637041E-2</v>
      </c>
    </row>
    <row r="10" spans="1:6" x14ac:dyDescent="0.25">
      <c r="E10" s="40"/>
    </row>
    <row r="11" spans="1:6" x14ac:dyDescent="0.25">
      <c r="B11" s="122" t="s">
        <v>46</v>
      </c>
      <c r="C11" s="122"/>
      <c r="D11" s="8" t="s">
        <v>54</v>
      </c>
      <c r="E11" s="8" t="s">
        <v>48</v>
      </c>
    </row>
    <row r="12" spans="1:6" x14ac:dyDescent="0.25">
      <c r="A12" s="3" t="s">
        <v>55</v>
      </c>
      <c r="B12" s="8" t="s">
        <v>21</v>
      </c>
      <c r="C12" s="8" t="s">
        <v>49</v>
      </c>
      <c r="D12" s="8" t="s">
        <v>50</v>
      </c>
      <c r="E12" s="8" t="s">
        <v>21</v>
      </c>
      <c r="F12" s="8" t="s">
        <v>49</v>
      </c>
    </row>
    <row r="13" spans="1:6" x14ac:dyDescent="0.25">
      <c r="A13" t="s">
        <v>56</v>
      </c>
      <c r="B13" s="39">
        <v>4588.0590000000002</v>
      </c>
      <c r="C13" s="40">
        <f t="shared" ref="C13:C18" si="0">B13/$B$19</f>
        <v>0.27888952579056692</v>
      </c>
      <c r="E13" s="41">
        <f>B13+D13</f>
        <v>4588.0590000000002</v>
      </c>
      <c r="F13" s="40">
        <f t="shared" ref="F13:F18" si="1">E13/$E$19</f>
        <v>0.26290838952345319</v>
      </c>
    </row>
    <row r="14" spans="1:6" x14ac:dyDescent="0.25">
      <c r="A14" t="s">
        <v>57</v>
      </c>
      <c r="B14" s="39">
        <v>7180.1369999999997</v>
      </c>
      <c r="C14" s="40">
        <f t="shared" si="0"/>
        <v>0.43645144995766261</v>
      </c>
      <c r="E14" s="41">
        <f t="shared" ref="E14:E18" si="2">B14+D14</f>
        <v>7180.1369999999997</v>
      </c>
      <c r="F14" s="40">
        <f t="shared" si="1"/>
        <v>0.41144158242685164</v>
      </c>
    </row>
    <row r="15" spans="1:6" x14ac:dyDescent="0.25">
      <c r="A15" t="s">
        <v>58</v>
      </c>
      <c r="B15" s="39">
        <v>2837.5970000000002</v>
      </c>
      <c r="C15" s="40">
        <f t="shared" si="0"/>
        <v>0.17248602986900022</v>
      </c>
      <c r="D15" s="1"/>
      <c r="E15" s="41">
        <f t="shared" si="2"/>
        <v>2837.5970000000002</v>
      </c>
      <c r="F15" s="40">
        <f t="shared" si="1"/>
        <v>0.16260210633441771</v>
      </c>
    </row>
    <row r="16" spans="1:6" x14ac:dyDescent="0.25">
      <c r="A16" t="s">
        <v>59</v>
      </c>
      <c r="B16" s="39">
        <v>924.36699999999996</v>
      </c>
      <c r="C16" s="40">
        <f t="shared" si="0"/>
        <v>5.6188526408759987E-2</v>
      </c>
      <c r="D16" s="117">
        <f>'Figure-1 Calculation'!B3</f>
        <v>1000</v>
      </c>
      <c r="E16" s="41">
        <f>B16+D16</f>
        <v>1924.367</v>
      </c>
      <c r="F16" s="40">
        <f>E16/$E$19</f>
        <v>0.11027151761171315</v>
      </c>
    </row>
    <row r="17" spans="1:8" x14ac:dyDescent="0.25">
      <c r="A17" t="s">
        <v>60</v>
      </c>
      <c r="B17" s="39">
        <v>605.11699999999996</v>
      </c>
      <c r="C17" s="40">
        <f t="shared" si="0"/>
        <v>3.6782611814235706E-2</v>
      </c>
      <c r="E17" s="41">
        <f t="shared" si="2"/>
        <v>605.11699999999996</v>
      </c>
      <c r="F17" s="40">
        <f t="shared" si="1"/>
        <v>3.4674867071949902E-2</v>
      </c>
    </row>
    <row r="18" spans="1:8" x14ac:dyDescent="0.25">
      <c r="A18" t="s">
        <v>61</v>
      </c>
      <c r="B18" s="39">
        <v>315.89299999999997</v>
      </c>
      <c r="C18" s="40">
        <f t="shared" si="0"/>
        <v>1.9201856159774655E-2</v>
      </c>
      <c r="E18" s="41">
        <f t="shared" si="2"/>
        <v>315.89299999999997</v>
      </c>
      <c r="F18" s="40">
        <f t="shared" si="1"/>
        <v>1.81015370316145E-2</v>
      </c>
    </row>
    <row r="19" spans="1:8" x14ac:dyDescent="0.25">
      <c r="A19" t="s">
        <v>62</v>
      </c>
      <c r="B19" s="39">
        <f>SUM(B13:B18)</f>
        <v>16451.169999999998</v>
      </c>
      <c r="C19" s="40">
        <v>0.99999999999999989</v>
      </c>
      <c r="E19" s="39">
        <f>SUM(E13:E18)</f>
        <v>17451.169999999998</v>
      </c>
      <c r="F19" s="40">
        <v>0.99999999999999989</v>
      </c>
      <c r="G19" s="11"/>
      <c r="H19" s="42"/>
    </row>
    <row r="21" spans="1:8" x14ac:dyDescent="0.25">
      <c r="A21" s="11" t="s">
        <v>63</v>
      </c>
    </row>
    <row r="22" spans="1:8" x14ac:dyDescent="0.25">
      <c r="A22" t="s">
        <v>64</v>
      </c>
      <c r="B22" s="43">
        <v>1287054780</v>
      </c>
      <c r="C22" t="s">
        <v>65</v>
      </c>
    </row>
    <row r="23" spans="1:8" x14ac:dyDescent="0.25">
      <c r="A23" t="s">
        <v>66</v>
      </c>
      <c r="B23" s="43">
        <v>1576044856</v>
      </c>
      <c r="C23" t="s">
        <v>65</v>
      </c>
    </row>
    <row r="24" spans="1:8" x14ac:dyDescent="0.25">
      <c r="A24" t="s">
        <v>67</v>
      </c>
      <c r="B24" s="43">
        <v>750621</v>
      </c>
      <c r="C24" t="s">
        <v>65</v>
      </c>
      <c r="D24" s="55"/>
    </row>
    <row r="25" spans="1:8" x14ac:dyDescent="0.25">
      <c r="A25" s="11" t="s">
        <v>68</v>
      </c>
      <c r="B25" s="44">
        <v>196781778</v>
      </c>
    </row>
    <row r="26" spans="1:8" x14ac:dyDescent="0.25">
      <c r="A26" t="s">
        <v>69</v>
      </c>
      <c r="B26" s="41">
        <f>SUM(B22:B25)</f>
        <v>3060632035</v>
      </c>
      <c r="G26" s="42"/>
    </row>
    <row r="27" spans="1:8" x14ac:dyDescent="0.25">
      <c r="B27" s="41"/>
      <c r="G27" s="41"/>
    </row>
    <row r="28" spans="1:8" x14ac:dyDescent="0.25">
      <c r="B28" s="8" t="s">
        <v>46</v>
      </c>
      <c r="C28" s="45" t="s">
        <v>70</v>
      </c>
      <c r="D28" t="s">
        <v>71</v>
      </c>
    </row>
    <row r="29" spans="1:8" x14ac:dyDescent="0.25">
      <c r="A29" t="s">
        <v>72</v>
      </c>
      <c r="B29" s="46">
        <f>C5</f>
        <v>0.84695692555726909</v>
      </c>
      <c r="C29" s="46">
        <f>F5</f>
        <v>0.85338039755557049</v>
      </c>
      <c r="D29" s="47">
        <f>C29-B29</f>
        <v>6.4234719983013999E-3</v>
      </c>
    </row>
    <row r="30" spans="1:8" x14ac:dyDescent="0.25">
      <c r="A30" t="s">
        <v>73</v>
      </c>
      <c r="B30" s="41">
        <f>B26*B29</f>
        <v>2592223498.6256881</v>
      </c>
      <c r="C30" s="41">
        <f>B26*C29</f>
        <v>2611883382.7996149</v>
      </c>
      <c r="D30" s="48">
        <f>C30-B30</f>
        <v>19659884.17392683</v>
      </c>
    </row>
    <row r="31" spans="1:8" x14ac:dyDescent="0.25">
      <c r="B31" s="49"/>
    </row>
    <row r="32" spans="1:8" ht="15.75" x14ac:dyDescent="0.25">
      <c r="A32" s="123" t="s">
        <v>74</v>
      </c>
      <c r="B32" s="123"/>
      <c r="C32" s="123"/>
      <c r="D32" s="123"/>
      <c r="E32" s="123"/>
    </row>
    <row r="33" spans="1:6" x14ac:dyDescent="0.25">
      <c r="A33" t="s">
        <v>75</v>
      </c>
      <c r="B33" s="41">
        <f t="shared" ref="B33:B38" si="3">$B$30*C13</f>
        <v>722943982.27488244</v>
      </c>
      <c r="C33" s="41">
        <f t="shared" ref="C33:C38" si="4">$C$30*F13</f>
        <v>686686053.7949158</v>
      </c>
      <c r="D33" s="50">
        <f t="shared" ref="D33:D38" si="5">C33-B33</f>
        <v>-36257928.47996664</v>
      </c>
    </row>
    <row r="34" spans="1:6" x14ac:dyDescent="0.25">
      <c r="A34" t="s">
        <v>76</v>
      </c>
      <c r="B34" s="41">
        <f t="shared" si="3"/>
        <v>1131379704.5895066</v>
      </c>
      <c r="C34" s="41">
        <f t="shared" si="4"/>
        <v>1074637432.1334717</v>
      </c>
      <c r="D34" s="50">
        <f t="shared" si="5"/>
        <v>-56742272.456034899</v>
      </c>
    </row>
    <row r="35" spans="1:6" x14ac:dyDescent="0.25">
      <c r="A35" t="s">
        <v>77</v>
      </c>
      <c r="B35" s="41">
        <f t="shared" si="3"/>
        <v>447122339.81107467</v>
      </c>
      <c r="C35" s="41">
        <f>$C$30*F15</f>
        <v>424697739.54308164</v>
      </c>
      <c r="D35" s="50">
        <f>C35-B35</f>
        <v>-22424600.267993033</v>
      </c>
      <c r="E35" s="51"/>
      <c r="F35" s="10"/>
    </row>
    <row r="36" spans="1:6" x14ac:dyDescent="0.25">
      <c r="A36" t="s">
        <v>78</v>
      </c>
      <c r="B36" s="41">
        <f t="shared" si="3"/>
        <v>145653218.50993767</v>
      </c>
      <c r="C36" s="41">
        <f t="shared" si="4"/>
        <v>288016344.44612867</v>
      </c>
      <c r="D36" s="50">
        <f t="shared" si="5"/>
        <v>142363125.93619099</v>
      </c>
      <c r="F36" s="52"/>
    </row>
    <row r="37" spans="1:6" x14ac:dyDescent="0.25">
      <c r="A37" t="s">
        <v>79</v>
      </c>
      <c r="B37" s="41">
        <f t="shared" si="3"/>
        <v>95348750.685688645</v>
      </c>
      <c r="C37" s="41">
        <f t="shared" si="4"/>
        <v>90566709.106011495</v>
      </c>
      <c r="D37" s="50">
        <f t="shared" si="5"/>
        <v>-4782041.5796771497</v>
      </c>
    </row>
    <row r="38" spans="1:6" x14ac:dyDescent="0.25">
      <c r="A38" s="6" t="s">
        <v>80</v>
      </c>
      <c r="B38" s="53">
        <f t="shared" si="3"/>
        <v>49775502.754598275</v>
      </c>
      <c r="C38" s="53">
        <f t="shared" si="4"/>
        <v>47279103.776005782</v>
      </c>
      <c r="D38" s="54">
        <f t="shared" si="5"/>
        <v>-2496398.9785924926</v>
      </c>
    </row>
    <row r="39" spans="1:6" x14ac:dyDescent="0.25">
      <c r="A39" t="s">
        <v>2</v>
      </c>
      <c r="B39" s="41">
        <f>SUM(B33:B38)</f>
        <v>2592223498.6256881</v>
      </c>
      <c r="C39" s="41">
        <f>SUM(C33:C38)</f>
        <v>2611883382.7996154</v>
      </c>
      <c r="D39" s="41">
        <f>SUM(D33:D38)</f>
        <v>19659884.173926778</v>
      </c>
    </row>
  </sheetData>
  <mergeCells count="3">
    <mergeCell ref="B3:C3"/>
    <mergeCell ref="B11:C11"/>
    <mergeCell ref="A32:E32"/>
  </mergeCells>
  <pageMargins left="0.7" right="0.7" top="0.75" bottom="0.75" header="0.3" footer="0.3"/>
  <pageSetup scale="90" orientation="landscape" r:id="rId1"/>
  <headerFooter>
    <oddHeader>&amp;R&amp;10Indiana Michigan Power Company
Workpaper AJW-1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BFB0-FFFA-4987-B7C9-06879A6B3399}">
  <sheetPr>
    <pageSetUpPr fitToPage="1"/>
  </sheetPr>
  <dimension ref="A1:G85"/>
  <sheetViews>
    <sheetView view="pageBreakPreview" zoomScale="160" zoomScaleNormal="100" zoomScaleSheetLayoutView="160" zoomScalePageLayoutView="85" workbookViewId="0">
      <selection activeCell="B4" sqref="B4"/>
    </sheetView>
  </sheetViews>
  <sheetFormatPr defaultRowHeight="15" x14ac:dyDescent="0.25"/>
  <cols>
    <col min="1" max="1" width="11.140625" bestFit="1" customWidth="1"/>
    <col min="2" max="2" width="12" bestFit="1" customWidth="1"/>
    <col min="3" max="3" width="10.5703125" bestFit="1" customWidth="1"/>
    <col min="5" max="5" width="11.42578125" bestFit="1" customWidth="1"/>
  </cols>
  <sheetData>
    <row r="1" spans="1:7" ht="18.75" x14ac:dyDescent="0.3">
      <c r="A1" s="59" t="s">
        <v>93</v>
      </c>
      <c r="B1" s="55"/>
      <c r="C1" s="55"/>
      <c r="D1" s="55"/>
      <c r="E1" s="55"/>
      <c r="F1" s="55"/>
      <c r="G1" s="55"/>
    </row>
    <row r="2" spans="1:7" ht="15.75" thickBot="1" x14ac:dyDescent="0.3">
      <c r="A2" s="55"/>
      <c r="B2" s="55"/>
      <c r="C2" s="55"/>
      <c r="D2" s="55"/>
      <c r="E2" s="55"/>
      <c r="F2" s="55"/>
      <c r="G2" s="55"/>
    </row>
    <row r="3" spans="1:7" x14ac:dyDescent="0.25">
      <c r="A3" s="60" t="s">
        <v>85</v>
      </c>
      <c r="B3" s="61" t="s">
        <v>17</v>
      </c>
      <c r="C3" s="62" t="s">
        <v>18</v>
      </c>
      <c r="D3" s="55"/>
      <c r="E3" s="58"/>
      <c r="F3" s="55"/>
      <c r="G3" s="55"/>
    </row>
    <row r="4" spans="1:7" x14ac:dyDescent="0.25">
      <c r="A4" s="63">
        <v>2016</v>
      </c>
      <c r="B4" s="64">
        <v>28.186591794733726</v>
      </c>
      <c r="C4" s="65">
        <v>8784</v>
      </c>
      <c r="D4" s="55"/>
      <c r="E4" s="66"/>
      <c r="F4" s="55"/>
      <c r="G4" s="55"/>
    </row>
    <row r="5" spans="1:7" x14ac:dyDescent="0.25">
      <c r="A5" s="63">
        <v>2017</v>
      </c>
      <c r="B5" s="64">
        <v>29.642043152072155</v>
      </c>
      <c r="C5" s="65">
        <v>8760</v>
      </c>
      <c r="D5" s="55"/>
      <c r="E5" s="66"/>
      <c r="F5" s="55"/>
      <c r="G5" s="55"/>
    </row>
    <row r="6" spans="1:7" x14ac:dyDescent="0.25">
      <c r="A6" s="63">
        <v>2018</v>
      </c>
      <c r="B6" s="64">
        <v>35.705979690375614</v>
      </c>
      <c r="C6" s="65">
        <v>8760</v>
      </c>
      <c r="D6" s="55"/>
      <c r="E6" s="66"/>
      <c r="F6" s="55"/>
      <c r="G6" s="55"/>
    </row>
    <row r="7" spans="1:7" x14ac:dyDescent="0.25">
      <c r="A7" s="63">
        <v>2019</v>
      </c>
      <c r="B7" s="64">
        <v>27.86224915903642</v>
      </c>
      <c r="C7" s="65">
        <v>8760</v>
      </c>
      <c r="D7" s="55"/>
      <c r="E7" s="66"/>
      <c r="F7" s="55"/>
      <c r="G7" s="55"/>
    </row>
    <row r="8" spans="1:7" x14ac:dyDescent="0.25">
      <c r="A8" s="63">
        <v>2020</v>
      </c>
      <c r="B8" s="64">
        <v>21.63011061671039</v>
      </c>
      <c r="C8" s="65">
        <v>8784</v>
      </c>
      <c r="D8" s="55"/>
      <c r="E8" s="66"/>
      <c r="F8" s="55"/>
      <c r="G8" s="55"/>
    </row>
    <row r="9" spans="1:7" x14ac:dyDescent="0.25">
      <c r="A9" s="63">
        <v>2021</v>
      </c>
      <c r="B9" s="64">
        <v>39.886497267139731</v>
      </c>
      <c r="C9" s="65">
        <v>8760</v>
      </c>
      <c r="D9" s="55"/>
      <c r="E9" s="66"/>
      <c r="F9" s="55"/>
      <c r="G9" s="55"/>
    </row>
    <row r="10" spans="1:7" x14ac:dyDescent="0.25">
      <c r="A10" s="63">
        <v>2022</v>
      </c>
      <c r="B10" s="64">
        <v>72.55855115342483</v>
      </c>
      <c r="C10" s="65">
        <v>8760</v>
      </c>
      <c r="D10" s="55"/>
      <c r="E10" s="66"/>
      <c r="F10" s="55"/>
      <c r="G10" s="55"/>
    </row>
    <row r="11" spans="1:7" ht="15.75" thickBot="1" x14ac:dyDescent="0.3">
      <c r="A11" s="67">
        <v>2023</v>
      </c>
      <c r="B11" s="68">
        <v>31.864985603767156</v>
      </c>
      <c r="C11" s="69">
        <v>8760</v>
      </c>
      <c r="D11" s="55"/>
      <c r="E11" s="66"/>
      <c r="F11" s="55"/>
      <c r="G11" s="55"/>
    </row>
    <row r="12" spans="1:7" ht="15.75" thickBot="1" x14ac:dyDescent="0.3">
      <c r="A12" s="70" t="s">
        <v>19</v>
      </c>
      <c r="B12" s="71">
        <f>AVERAGE(B4:B11)</f>
        <v>35.917126054657501</v>
      </c>
      <c r="C12" s="72">
        <f>SUM(C4:C11)</f>
        <v>70128</v>
      </c>
      <c r="D12" s="55"/>
      <c r="E12" s="55"/>
      <c r="F12" s="55"/>
      <c r="G12" s="55"/>
    </row>
    <row r="85" spans="1:1" x14ac:dyDescent="0.25">
      <c r="A85" s="24"/>
    </row>
  </sheetData>
  <pageMargins left="0.7" right="0.7" top="0.75" bottom="0.75" header="0.3" footer="0.3"/>
  <pageSetup orientation="landscape" r:id="rId1"/>
  <headerFooter>
    <oddHeader>&amp;R&amp;10Indiana Michigan Power Company
Workpaper AJW-1
Page &amp;P of &amp;N</oddHeader>
  </headerFooter>
  <rowBreaks count="1" manualBreakCount="1">
    <brk id="1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UwYzMxODI0LTA3ODAtNDkxMC04N2QxLWVhYWZmZDE4MmQ0MiIgdmFsdWU9IiIgeG1sbnM9Imh0dHA6Ly93d3cuYm9sZG9uamFtZXMuY29tLzIwMDgvMDEvc2llL2ludGVybmFsL2xhYmVsIiAvPjwvc2lzbD48VXNlck5hbWU+Q09SUFxzNzYwMTE1PC9Vc2VyTmFtZT48RGF0ZVRpbWU+NC8xNS8yMDI0IDg6MTQ6MjMgUE08L0RhdGVUaW1lPjxMYWJlbFN0cmluZz5BRVAgSW50ZXJuYWw8L0xhYmVsU3RyaW5nPjwvaXRlbT48L2xhYmVsSGlzdG9yeT4=</Value>
</WrappedLabelHistor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f88ffb1c-9230-4705-a789-27bae69f5829" xsi:nil="true"/>
    <Owner xmlns="f88ffb1c-9230-4705-a789-27bae69f5829">
      <UserInfo>
        <DisplayName/>
        <AccountId xsi:nil="true"/>
        <AccountType/>
      </UserInfo>
    </Owner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OriginalFileDate xmlns="f88ffb1c-9230-4705-a789-27bae69f58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kwNzkyPC9Vc2VyTmFtZT48RGF0ZVRpbWU+MTAvMzEvMjAyNCAxMjowMDozNyBQTTwvRGF0ZVRpbWU+PExhYmVsU3RyaW5nPkFFUCBJbnRlcm5hbDwvTGFiZWxTdHJpbmc+PC9pdGVtPjwvbGFiZWxIaXN0b3J5Pg==</Value>
</WrappedLabelHistory>
</file>

<file path=customXml/item6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C6B5EB42-AECC-44E8-A3E1-45AD665D259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4C55848-61AA-4FC5-8834-105BEDD7745B}">
  <ds:schemaRefs>
    <ds:schemaRef ds:uri="b6888f76-1100-40b0-929b-1efe9044426d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f88ffb1c-9230-4705-a789-27bae69f5829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F0D7EA5-6599-4D26-98C5-9F731DCC6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0245A1-6678-4851-95BF-EA25D92B278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F7719C4-00F7-453C-BAFB-6A17C879652F}">
  <ds:schemaRefs>
    <ds:schemaRef ds:uri="http://www.w3.org/2001/XMLSchema"/>
    <ds:schemaRef ds:uri="http://www.boldonjames.com/2016/02/Classifier/internal/wrappedLabelHistory"/>
  </ds:schemaRefs>
</ds:datastoreItem>
</file>

<file path=customXml/itemProps6.xml><?xml version="1.0" encoding="utf-8"?>
<ds:datastoreItem xmlns:ds="http://schemas.openxmlformats.org/officeDocument/2006/customXml" ds:itemID="{F0EBFDCE-159C-426B-B2F9-4D593982BC1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Figure-1 Calculation</vt:lpstr>
      <vt:lpstr>Figure-2 Calculation</vt:lpstr>
      <vt:lpstr>90% Billing Demand</vt:lpstr>
      <vt:lpstr>Support</vt:lpstr>
      <vt:lpstr>East T Cost Allocation</vt:lpstr>
      <vt:lpstr>LMP</vt:lpstr>
      <vt:lpstr>Figure -1</vt:lpstr>
      <vt:lpstr>Figure -2</vt:lpstr>
      <vt:lpstr>'East T Cost Allocation'!Print_Area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Lerah M Kahn</cp:lastModifiedBy>
  <cp:lastPrinted>1900-01-01T05:00:00Z</cp:lastPrinted>
  <dcterms:created xsi:type="dcterms:W3CDTF">1900-01-01T05:00:00Z</dcterms:created>
  <dcterms:modified xsi:type="dcterms:W3CDTF">2024-10-31T12:01:57Z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f43042-6bda-44b2-91eb-eca3d3d484f4_SiteId">
    <vt:lpwstr>15f3c881-6b03-4ff6-8559-77bf5177818f</vt:lpwstr>
  </property>
  <property fmtid="{D5CDD505-2E9C-101B-9397-08002B2CF9AE}" pid="3" name="MSIP_Label_69f43042-6bda-44b2-91eb-eca3d3d484f4_Name">
    <vt:lpwstr>AEP Internal</vt:lpwstr>
  </property>
  <property fmtid="{D5CDD505-2E9C-101B-9397-08002B2CF9AE}" pid="4" name="MSIP_Label_69f43042-6bda-44b2-91eb-eca3d3d484f4_Enabled">
    <vt:lpwstr>true</vt:lpwstr>
  </property>
  <property fmtid="{D5CDD505-2E9C-101B-9397-08002B2CF9AE}" pid="5" name="ContentTypeId">
    <vt:lpwstr>0x0101004DF805D1E1DA4A49A223477D3B105720</vt:lpwstr>
  </property>
  <property fmtid="{D5CDD505-2E9C-101B-9397-08002B2CF9AE}" pid="6" name="docIndexRef">
    <vt:lpwstr>68077c89-292e-4088-aebb-525f6b1f04c1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8" name="bjDocumentLabelXML-0">
    <vt:lpwstr>ames.com/2008/01/sie/internal/label"&gt;&lt;element uid="50c31824-0780-4910-87d1-eaaffd182d42" value="" /&gt;&lt;/sisl&gt;</vt:lpwstr>
  </property>
  <property fmtid="{D5CDD505-2E9C-101B-9397-08002B2CF9AE}" pid="9" name="bjDocumentSecurityLabel">
    <vt:lpwstr>AEP Internal</vt:lpwstr>
  </property>
  <property fmtid="{D5CDD505-2E9C-101B-9397-08002B2CF9AE}" pid="10" name="bjSaver">
    <vt:lpwstr>Yzo6iu4RCOp5VcJWjy40zzIEO7NbA0wx</vt:lpwstr>
  </property>
  <property fmtid="{D5CDD505-2E9C-101B-9397-08002B2CF9AE}" pid="11" name="bjClsUserRVM">
    <vt:lpwstr>[]</vt:lpwstr>
  </property>
  <property fmtid="{D5CDD505-2E9C-101B-9397-08002B2CF9AE}" pid="12" name="bjLabelHistoryID">
    <vt:lpwstr>{1F7719C4-00F7-453C-BAFB-6A17C879652F}</vt:lpwstr>
  </property>
  <property fmtid="{D5CDD505-2E9C-101B-9397-08002B2CF9AE}" pid="13" name="MediaServiceImageTags">
    <vt:lpwstr/>
  </property>
</Properties>
</file>