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Angela.Goad\Documents\Electric Rate Cases\RECC Rate Cases\Big Sandy RECC\Case No. 2024-00287\"/>
    </mc:Choice>
  </mc:AlternateContent>
  <xr:revisionPtr revIDLastSave="0" documentId="8_{F9829CB4-3F99-42A0-8880-575604B9ED46}" xr6:coauthVersionLast="47" xr6:coauthVersionMax="47" xr10:uidLastSave="{00000000-0000-0000-0000-000000000000}"/>
  <bookViews>
    <workbookView xWindow="-108" yWindow="-108" windowWidth="23256" windowHeight="12456" activeTab="4" xr2:uid="{25967541-A0DA-42E2-9894-B29607F8BFE1}"/>
  </bookViews>
  <sheets>
    <sheet name="Adj" sheetId="2" r:id="rId1"/>
    <sheet name="Exhibit GRM-2 Balance" sheetId="1" r:id="rId2"/>
    <sheet name="Adj 1.03Depr" sheetId="5" r:id="rId3"/>
    <sheet name="Original 1.03Depr" sheetId="3" r:id="rId4"/>
    <sheet name="Historical" sheetId="6" r:id="rId5"/>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0">Adj!$A$1:$G$47</definedName>
    <definedName name="_xlnm.Print_Area" localSheetId="2">'Adj 1.03Depr'!$A$1:$J$57</definedName>
    <definedName name="_xlnm.Print_Area" localSheetId="3">'Original 1.03Depr'!$A$1:$J$57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39" i="5" l="1"/>
  <c r="T37" i="5"/>
  <c r="D19" i="6"/>
  <c r="I37" i="5" s="1"/>
  <c r="O39" i="5"/>
  <c r="O37" i="5"/>
  <c r="B25" i="2"/>
  <c r="B27" i="2" s="1"/>
  <c r="B29" i="2" s="1"/>
  <c r="F19" i="2"/>
  <c r="F15" i="2"/>
  <c r="E55" i="5"/>
  <c r="E51" i="5"/>
  <c r="E57" i="5" s="1"/>
  <c r="H37" i="5"/>
  <c r="I34" i="5"/>
  <c r="F33" i="5"/>
  <c r="E33" i="5"/>
  <c r="H32" i="5"/>
  <c r="H31" i="5"/>
  <c r="H30" i="5"/>
  <c r="H29" i="5"/>
  <c r="H28" i="5"/>
  <c r="H27" i="5"/>
  <c r="H26" i="5"/>
  <c r="H25" i="5"/>
  <c r="H33" i="5" s="1"/>
  <c r="J33" i="5" s="1"/>
  <c r="F21" i="5"/>
  <c r="E21" i="5"/>
  <c r="E34" i="5" s="1"/>
  <c r="E39" i="5" s="1"/>
  <c r="H20" i="5"/>
  <c r="H19" i="5"/>
  <c r="H18" i="5"/>
  <c r="H17" i="5"/>
  <c r="H16" i="5"/>
  <c r="H15" i="5"/>
  <c r="H14" i="5"/>
  <c r="H13" i="5"/>
  <c r="H12" i="5"/>
  <c r="A12" i="5"/>
  <c r="A13" i="5" s="1"/>
  <c r="A14" i="5" s="1"/>
  <c r="A15" i="5" s="1"/>
  <c r="A16" i="5" s="1"/>
  <c r="A17" i="5" s="1"/>
  <c r="A18" i="5" s="1"/>
  <c r="A19" i="5" s="1"/>
  <c r="A20" i="5" s="1"/>
  <c r="A21" i="5" s="1"/>
  <c r="A22" i="5" s="1"/>
  <c r="A23" i="5" s="1"/>
  <c r="A24" i="5" s="1"/>
  <c r="A25" i="5" s="1"/>
  <c r="A26" i="5" s="1"/>
  <c r="A27" i="5" s="1"/>
  <c r="A28" i="5" s="1"/>
  <c r="A29" i="5" s="1"/>
  <c r="A30" i="5" s="1"/>
  <c r="A31" i="5" s="1"/>
  <c r="A32" i="5" s="1"/>
  <c r="A33" i="5" s="1"/>
  <c r="A35" i="5" s="1"/>
  <c r="A36" i="5" s="1"/>
  <c r="A37" i="5" s="1"/>
  <c r="A38" i="5" s="1"/>
  <c r="A39" i="5" s="1"/>
  <c r="E55" i="3"/>
  <c r="H37" i="3"/>
  <c r="J37" i="3" s="1"/>
  <c r="F50" i="3" s="1"/>
  <c r="I34" i="3"/>
  <c r="I39" i="3" s="1"/>
  <c r="F34" i="3"/>
  <c r="F39" i="3" s="1"/>
  <c r="F33" i="3"/>
  <c r="E33" i="3"/>
  <c r="H32" i="3"/>
  <c r="H31" i="3"/>
  <c r="H30" i="3"/>
  <c r="H29" i="3"/>
  <c r="H28" i="3"/>
  <c r="H27" i="3"/>
  <c r="H26" i="3"/>
  <c r="H25" i="3"/>
  <c r="H33" i="3" s="1"/>
  <c r="J33" i="3" s="1"/>
  <c r="F21" i="3"/>
  <c r="E21" i="3"/>
  <c r="E34" i="3" s="1"/>
  <c r="E39" i="3" s="1"/>
  <c r="H20" i="3"/>
  <c r="H19" i="3"/>
  <c r="H18" i="3"/>
  <c r="H17" i="3"/>
  <c r="H16" i="3"/>
  <c r="H15" i="3"/>
  <c r="H14" i="3"/>
  <c r="H13" i="3"/>
  <c r="H21" i="3" s="1"/>
  <c r="A13" i="3"/>
  <c r="A14" i="3" s="1"/>
  <c r="A15" i="3" s="1"/>
  <c r="A16" i="3" s="1"/>
  <c r="A17" i="3" s="1"/>
  <c r="A18" i="3" s="1"/>
  <c r="A19" i="3" s="1"/>
  <c r="A20" i="3" s="1"/>
  <c r="A21" i="3" s="1"/>
  <c r="A22" i="3" s="1"/>
  <c r="A23" i="3" s="1"/>
  <c r="A24" i="3" s="1"/>
  <c r="A25" i="3" s="1"/>
  <c r="A26" i="3" s="1"/>
  <c r="A27" i="3" s="1"/>
  <c r="A28" i="3" s="1"/>
  <c r="A29" i="3" s="1"/>
  <c r="A30" i="3" s="1"/>
  <c r="A31" i="3" s="1"/>
  <c r="A32" i="3" s="1"/>
  <c r="A33" i="3" s="1"/>
  <c r="A35" i="3" s="1"/>
  <c r="A36" i="3" s="1"/>
  <c r="A37" i="3" s="1"/>
  <c r="A38" i="3" s="1"/>
  <c r="A39" i="3" s="1"/>
  <c r="H12" i="3"/>
  <c r="A12" i="3"/>
  <c r="F27" i="2" l="1"/>
  <c r="F29" i="2" s="1"/>
  <c r="F21" i="2"/>
  <c r="I39" i="5"/>
  <c r="F34" i="5"/>
  <c r="F39" i="5" s="1"/>
  <c r="H21" i="5"/>
  <c r="H34" i="5" s="1"/>
  <c r="H39" i="5" s="1"/>
  <c r="F46" i="3"/>
  <c r="J21" i="3"/>
  <c r="J34" i="3" s="1"/>
  <c r="J39" i="3" s="1"/>
  <c r="H34" i="3"/>
  <c r="H39" i="3" s="1"/>
  <c r="F49" i="3"/>
  <c r="F48" i="3"/>
  <c r="F47" i="3"/>
  <c r="F54" i="3"/>
  <c r="E51" i="3"/>
  <c r="E57" i="3" s="1"/>
  <c r="F53" i="3"/>
  <c r="F55" i="3" s="1"/>
  <c r="F33" i="2" l="1"/>
  <c r="F37" i="2" s="1"/>
  <c r="F40" i="2" s="1"/>
  <c r="F49" i="5"/>
  <c r="F48" i="5"/>
  <c r="F54" i="5"/>
  <c r="U37" i="5"/>
  <c r="R37" i="5"/>
  <c r="F50" i="5"/>
  <c r="F47" i="5"/>
  <c r="F53" i="5"/>
  <c r="F46" i="5"/>
  <c r="J21" i="5"/>
  <c r="J34" i="5" s="1"/>
  <c r="J39" i="5" s="1"/>
  <c r="F51" i="3"/>
  <c r="F57" i="3" s="1"/>
  <c r="F51" i="5" l="1"/>
  <c r="F55" i="5"/>
  <c r="F57" i="5" s="1"/>
  <c r="U39" i="5"/>
  <c r="R39" i="5"/>
  <c r="W37" i="5"/>
  <c r="J19" i="1"/>
  <c r="J17" i="1"/>
  <c r="J15" i="1"/>
  <c r="J13" i="1"/>
  <c r="J11" i="1"/>
  <c r="J9" i="1"/>
  <c r="L9" i="1" s="1"/>
  <c r="W39" i="5" l="1"/>
  <c r="D11" i="1"/>
  <c r="N11" i="1" s="1"/>
  <c r="N9" i="1"/>
  <c r="P9" i="1" s="1"/>
  <c r="R9" i="1" s="1"/>
  <c r="J39" i="1"/>
  <c r="J37" i="1"/>
  <c r="J35" i="1"/>
  <c r="J33" i="1"/>
  <c r="J31" i="1"/>
  <c r="J29" i="1"/>
  <c r="J27" i="1"/>
  <c r="J25" i="1"/>
  <c r="J23" i="1"/>
  <c r="J21" i="1"/>
  <c r="L11" i="1" l="1"/>
  <c r="D13" i="1"/>
  <c r="P11" i="1"/>
  <c r="R11" i="1" l="1"/>
  <c r="N13" i="1"/>
  <c r="P13" i="1" s="1"/>
  <c r="L13" i="1"/>
  <c r="D15" i="1" l="1"/>
  <c r="R13" i="1"/>
  <c r="N15" i="1" l="1"/>
  <c r="P15" i="1" s="1"/>
  <c r="L15" i="1"/>
  <c r="D17" i="1" l="1"/>
  <c r="R15" i="1"/>
  <c r="N17" i="1" l="1"/>
  <c r="P17" i="1" s="1"/>
  <c r="L17" i="1"/>
  <c r="R17" i="1" l="1"/>
  <c r="D19" i="1"/>
  <c r="N19" i="1" l="1"/>
  <c r="P19" i="1" s="1"/>
  <c r="L19" i="1"/>
  <c r="D21" i="1" s="1"/>
  <c r="N21" i="1" l="1"/>
  <c r="L21" i="1"/>
  <c r="D23" i="1" s="1"/>
  <c r="P21" i="1"/>
  <c r="R19" i="1"/>
  <c r="R21" i="1"/>
  <c r="L23" i="1" l="1"/>
  <c r="D25" i="1" s="1"/>
  <c r="N23" i="1"/>
  <c r="P23" i="1" s="1"/>
  <c r="R23" i="1" s="1"/>
  <c r="L25" i="1" l="1"/>
  <c r="D27" i="1" s="1"/>
  <c r="N25" i="1"/>
  <c r="P25" i="1" s="1"/>
  <c r="R25" i="1" l="1"/>
  <c r="L27" i="1"/>
  <c r="D29" i="1" s="1"/>
  <c r="N27" i="1"/>
  <c r="P27" i="1" s="1"/>
  <c r="R27" i="1" l="1"/>
  <c r="N29" i="1"/>
  <c r="P29" i="1" s="1"/>
  <c r="L29" i="1"/>
  <c r="D31" i="1" s="1"/>
  <c r="R29" i="1" l="1"/>
  <c r="L31" i="1"/>
  <c r="D33" i="1" s="1"/>
  <c r="N31" i="1"/>
  <c r="P31" i="1" s="1"/>
  <c r="N33" i="1" l="1"/>
  <c r="P33" i="1" s="1"/>
  <c r="L33" i="1"/>
  <c r="D35" i="1" s="1"/>
  <c r="R31" i="1"/>
  <c r="R33" i="1" l="1"/>
  <c r="N35" i="1"/>
  <c r="P35" i="1" s="1"/>
  <c r="L35" i="1"/>
  <c r="D37" i="1" s="1"/>
  <c r="R35" i="1" l="1"/>
  <c r="N37" i="1"/>
  <c r="P37" i="1" s="1"/>
  <c r="L37" i="1"/>
  <c r="D39" i="1" s="1"/>
  <c r="R37" i="1" l="1"/>
  <c r="L39" i="1"/>
  <c r="N39" i="1"/>
  <c r="P39" i="1" s="1"/>
  <c r="R39" i="1" s="1"/>
</calcChain>
</file>

<file path=xl/sharedStrings.xml><?xml version="1.0" encoding="utf-8"?>
<sst xmlns="http://schemas.openxmlformats.org/spreadsheetml/2006/main" count="192" uniqueCount="118">
  <si>
    <t>Original Cost</t>
  </si>
  <si>
    <t>Additions</t>
  </si>
  <si>
    <t>Retirements</t>
  </si>
  <si>
    <t>Net Additions</t>
  </si>
  <si>
    <t>Beg. Year</t>
  </si>
  <si>
    <t>End Year</t>
  </si>
  <si>
    <t xml:space="preserve">Depreciation </t>
  </si>
  <si>
    <t>Expense</t>
  </si>
  <si>
    <t>Accum.</t>
  </si>
  <si>
    <t>Depre.</t>
  </si>
  <si>
    <t>Future</t>
  </si>
  <si>
    <t>Accruals</t>
  </si>
  <si>
    <t>Year</t>
  </si>
  <si>
    <t>Recalculated Accumulated Depreciation Balance For Transportation</t>
  </si>
  <si>
    <t>Big Sandy RECC</t>
  </si>
  <si>
    <t>Reference Schedule:  1.03</t>
  </si>
  <si>
    <t>BIG SANDY RECC</t>
  </si>
  <si>
    <t>Line</t>
  </si>
  <si>
    <t>Acct #</t>
  </si>
  <si>
    <t>Description</t>
  </si>
  <si>
    <t>Test Yr Ending Bal</t>
  </si>
  <si>
    <t>Fully Depr Items</t>
  </si>
  <si>
    <t>Rate</t>
  </si>
  <si>
    <t>Normalized Expense</t>
  </si>
  <si>
    <t>Test Year Expense</t>
  </si>
  <si>
    <t>Pro Forma Adj</t>
  </si>
  <si>
    <t>#</t>
  </si>
  <si>
    <t>(1)</t>
  </si>
  <si>
    <t>(2)</t>
  </si>
  <si>
    <t>(3)</t>
  </si>
  <si>
    <t>(4)</t>
  </si>
  <si>
    <t>(5)</t>
  </si>
  <si>
    <t>(6)</t>
  </si>
  <si>
    <t>(7)</t>
  </si>
  <si>
    <t>(8)</t>
  </si>
  <si>
    <t>Distribution Plant</t>
  </si>
  <si>
    <t>Station equipment</t>
  </si>
  <si>
    <t>Poles, towers &amp; fixtures</t>
  </si>
  <si>
    <t>Overhead conductors &amp; devices</t>
  </si>
  <si>
    <t>Underground conduit</t>
  </si>
  <si>
    <t>Underground conductor &amp; devices</t>
  </si>
  <si>
    <t>Line transformers</t>
  </si>
  <si>
    <t>Services</t>
  </si>
  <si>
    <t>Meters</t>
  </si>
  <si>
    <t>371</t>
  </si>
  <si>
    <t>Installations on customer premises</t>
  </si>
  <si>
    <t>Subtotal</t>
  </si>
  <si>
    <t>General Plant</t>
  </si>
  <si>
    <t>Land</t>
  </si>
  <si>
    <t>Structures and improvements</t>
  </si>
  <si>
    <t>Office furn and eqt</t>
  </si>
  <si>
    <t>Stores</t>
  </si>
  <si>
    <t>Tools, shop and garage</t>
  </si>
  <si>
    <t>Laboratory</t>
  </si>
  <si>
    <t>Power operated</t>
  </si>
  <si>
    <t>Communications</t>
  </si>
  <si>
    <t>Miscellaneous</t>
  </si>
  <si>
    <t>Distribution &amp; General Subtotal</t>
  </si>
  <si>
    <t>Transporation Charged to Clearing</t>
  </si>
  <si>
    <t>Transportation</t>
  </si>
  <si>
    <t>TOTAL</t>
  </si>
  <si>
    <t>This adjustment normalizes depreciation expenses by replacing test year actual expenses with test year end balances (less any fully depreciated items) at approved depreciation rates.</t>
  </si>
  <si>
    <t>Allocation of Clearing to O&amp;M</t>
  </si>
  <si>
    <t>Alloc</t>
  </si>
  <si>
    <t>Depr $</t>
  </si>
  <si>
    <t>Operations</t>
  </si>
  <si>
    <t>Maintenance</t>
  </si>
  <si>
    <t>Consumer Accounts</t>
  </si>
  <si>
    <t>Customer Service</t>
  </si>
  <si>
    <t>Administrative &amp; General</t>
  </si>
  <si>
    <t>CWIP &amp; RWIP</t>
  </si>
  <si>
    <t>Other</t>
  </si>
  <si>
    <t>Total</t>
  </si>
  <si>
    <t>For the 12 Months Ended December 31, 2023</t>
  </si>
  <si>
    <t>Depreciation Expense</t>
  </si>
  <si>
    <t>Big Sandy R.E.C.C.</t>
  </si>
  <si>
    <t>Depreciation for Transporation Charged to Clearing Adjustment</t>
  </si>
  <si>
    <t>Amount</t>
  </si>
  <si>
    <t xml:space="preserve"> </t>
  </si>
  <si>
    <t>Depreciation Rate Applied Adjustment</t>
  </si>
  <si>
    <t>Company Proposed Normalize Expense (Line 1 x Line 2)</t>
  </si>
  <si>
    <t>OAG Proposed Normalized Expense (Line 1 x Line 4)</t>
  </si>
  <si>
    <t>Historical Clearing Adjustment</t>
  </si>
  <si>
    <t>Company Proposed</t>
  </si>
  <si>
    <t>OAG Rate Adjustment Level</t>
  </si>
  <si>
    <t>OAG Rate Adjustment</t>
  </si>
  <si>
    <t>OAG TY Adjustment Level</t>
  </si>
  <si>
    <t>OAG TY Adjustment</t>
  </si>
  <si>
    <t>OAG Over Accumulated  Adjustment Level</t>
  </si>
  <si>
    <t>OAG Over Accumulated Adjustment</t>
  </si>
  <si>
    <t>OAG Total Adjustment</t>
  </si>
  <si>
    <t>Historical Transportation Clearing</t>
  </si>
  <si>
    <t>5 Year Average</t>
  </si>
  <si>
    <t>____________________</t>
  </si>
  <si>
    <t>Source:</t>
  </si>
  <si>
    <t>Big Sandy Annual Reports for 2014 to 2023.</t>
  </si>
  <si>
    <t>OAG Proposed Adjustment to Revenue Requirement (Line 7 - Line 8)</t>
  </si>
  <si>
    <t>OAG Proposed Transportation Clearing Expense After Adjustments</t>
  </si>
  <si>
    <t>Over Accumulated Adjustment</t>
  </si>
  <si>
    <t>OAG Proposed Adjustment to Revenue Requirement (Line 11 - Line 10)</t>
  </si>
  <si>
    <t>__________________</t>
  </si>
  <si>
    <t>OAG Proposed Adjustment to Revenue Requirement (Line 5 - Line 3)</t>
  </si>
  <si>
    <t>Sources and Note:</t>
  </si>
  <si>
    <t>ProForma Transportation Clearing Expense After Adjustments (Line 5 - Line 8)</t>
  </si>
  <si>
    <t>Total OAG Proposed Adjustment to Revenue Requirement (Line 6 + Line 9 + Line 12)</t>
  </si>
  <si>
    <t>___________________________</t>
  </si>
  <si>
    <t>Sources:</t>
  </si>
  <si>
    <t>Original cost, additions and retirements are found in each year's annual reports to the Kentucky PSC.</t>
  </si>
  <si>
    <t xml:space="preserve">2008 accumulated depreciation calculated as the balance found in Exhibit 3, page 6 from 2008-00401 application (PDF page 341 of 555), which is the balance as of August 31, 2008, plus four months of depreciation expense - calculated by taking the depreciation expense from column 6, dividing by 12 to get the monthly expense, then multiplying the monthly expense by four to get the remaining four months for 2008. </t>
  </si>
  <si>
    <t>16% depreciation rate was requested on Schedule 3, page 2 from 2008-00401 application (PDF page 337 of 555).</t>
  </si>
  <si>
    <r>
      <t>Transportation Test Year Ending Balance</t>
    </r>
    <r>
      <rPr>
        <vertAlign val="superscript"/>
        <sz val="11"/>
        <color theme="1"/>
        <rFont val="Times New Roman"/>
        <family val="1"/>
      </rPr>
      <t>1</t>
    </r>
  </si>
  <si>
    <r>
      <t>Company Proposed Depreciation Rate</t>
    </r>
    <r>
      <rPr>
        <vertAlign val="superscript"/>
        <sz val="11"/>
        <color theme="1"/>
        <rFont val="Times New Roman"/>
        <family val="1"/>
      </rPr>
      <t>1</t>
    </r>
  </si>
  <si>
    <r>
      <t>OAG Proposed Depreciation Rate</t>
    </r>
    <r>
      <rPr>
        <vertAlign val="superscript"/>
        <sz val="11"/>
        <color theme="1"/>
        <rFont val="Times New Roman"/>
        <family val="1"/>
      </rPr>
      <t>2</t>
    </r>
  </si>
  <si>
    <r>
      <t>Company Proposed Test Year Expense</t>
    </r>
    <r>
      <rPr>
        <vertAlign val="superscript"/>
        <sz val="11"/>
        <color theme="1"/>
        <rFont val="Times New Roman"/>
        <family val="1"/>
      </rPr>
      <t>1</t>
    </r>
  </si>
  <si>
    <r>
      <t>OAG Proposed Test Year Expense</t>
    </r>
    <r>
      <rPr>
        <vertAlign val="superscript"/>
        <sz val="11"/>
        <color theme="1"/>
        <rFont val="Times New Roman"/>
        <family val="1"/>
      </rPr>
      <t>3</t>
    </r>
  </si>
  <si>
    <r>
      <rPr>
        <vertAlign val="superscript"/>
        <sz val="10"/>
        <color theme="1"/>
        <rFont val="Times New Roman"/>
        <family val="1"/>
      </rPr>
      <t>1</t>
    </r>
    <r>
      <rPr>
        <sz val="10"/>
        <color theme="1"/>
        <rFont val="Times New Roman"/>
        <family val="1"/>
      </rPr>
      <t>Company Reference Schedule 1.03 Depre from Updated Rev Req Model in Response to OAG Data Request Set 2 Question 26.</t>
    </r>
  </si>
  <si>
    <r>
      <rPr>
        <vertAlign val="superscript"/>
        <sz val="10"/>
        <color theme="1"/>
        <rFont val="Times New Roman"/>
        <family val="1"/>
      </rPr>
      <t>2</t>
    </r>
    <r>
      <rPr>
        <sz val="10"/>
        <color theme="1"/>
        <rFont val="Times New Roman"/>
        <family val="1"/>
      </rPr>
      <t>Case No. 2008-00401 Schedule 3 Page 2 of 6 Transportation Rate.</t>
    </r>
  </si>
  <si>
    <r>
      <rPr>
        <vertAlign val="superscript"/>
        <sz val="10"/>
        <color theme="1"/>
        <rFont val="Times New Roman"/>
        <family val="1"/>
      </rPr>
      <t>3</t>
    </r>
    <r>
      <rPr>
        <sz val="10"/>
        <color theme="1"/>
        <rFont val="Times New Roman"/>
        <family val="1"/>
      </rPr>
      <t>Five Year Average of Historical Transportation Clearing Expense from Big Sandy's Annual Reports from 2019 to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</si>
</sst>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0.0%"/>
  </numFmts>
  <fonts count="24" x14ac:knownFonts="1">
    <font>
      <sz val="11"/>
      <color theme="1"/>
      <name val="Arial"/>
      <family val="2"/>
    </font>
    <font>
      <sz val="11"/>
      <color theme="1"/>
      <name val="Arial"/>
      <family val="2"/>
    </font>
    <font>
      <sz val="11"/>
      <color rgb="FF0000FF"/>
      <name val="Arial"/>
      <family val="2"/>
    </font>
    <font>
      <b/>
      <u/>
      <sz val="11"/>
      <color theme="1"/>
      <name val="Arial"/>
      <family val="2"/>
    </font>
    <font>
      <b/>
      <sz val="18"/>
      <color theme="1"/>
      <name val="Arial"/>
      <family val="2"/>
    </font>
    <font>
      <b/>
      <sz val="11"/>
      <color theme="1"/>
      <name val="Arial"/>
      <family val="2"/>
    </font>
    <font>
      <sz val="11"/>
      <color theme="1"/>
      <name val="Calibri"/>
      <family val="2"/>
      <scheme val="minor"/>
    </font>
    <font>
      <sz val="10"/>
      <name val="Arial"/>
      <family val="2"/>
    </font>
    <font>
      <sz val="12"/>
      <color theme="1"/>
      <name val="Arial"/>
      <family val="2"/>
    </font>
    <font>
      <b/>
      <sz val="10"/>
      <name val="Arial"/>
      <family val="2"/>
    </font>
    <font>
      <b/>
      <u/>
      <sz val="10"/>
      <name val="Arial"/>
      <family val="2"/>
    </font>
    <font>
      <u/>
      <sz val="10"/>
      <name val="Arial"/>
      <family val="2"/>
    </font>
    <font>
      <b/>
      <sz val="14"/>
      <color theme="1"/>
      <name val="Arial"/>
      <family val="2"/>
    </font>
    <font>
      <b/>
      <u/>
      <sz val="12"/>
      <color theme="1"/>
      <name val="Arial"/>
      <family val="2"/>
    </font>
    <font>
      <sz val="10"/>
      <color theme="1"/>
      <name val="Arial"/>
      <family val="2"/>
    </font>
    <font>
      <sz val="9"/>
      <color theme="1"/>
      <name val="Arial"/>
      <family val="2"/>
    </font>
    <font>
      <b/>
      <sz val="14"/>
      <color theme="1"/>
      <name val="Times New Roman"/>
      <family val="1"/>
    </font>
    <font>
      <sz val="11"/>
      <color theme="1"/>
      <name val="Times New Roman"/>
      <family val="1"/>
    </font>
    <font>
      <b/>
      <u/>
      <sz val="12"/>
      <color theme="1"/>
      <name val="Times New Roman"/>
      <family val="1"/>
    </font>
    <font>
      <b/>
      <sz val="11"/>
      <color theme="1"/>
      <name val="Times New Roman"/>
      <family val="1"/>
    </font>
    <font>
      <b/>
      <u/>
      <sz val="11"/>
      <color theme="1"/>
      <name val="Times New Roman"/>
      <family val="1"/>
    </font>
    <font>
      <vertAlign val="superscript"/>
      <sz val="11"/>
      <color theme="1"/>
      <name val="Times New Roman"/>
      <family val="1"/>
    </font>
    <font>
      <sz val="10"/>
      <color theme="1"/>
      <name val="Times New Roman"/>
      <family val="1"/>
    </font>
    <font>
      <vertAlign val="superscript"/>
      <sz val="10"/>
      <color theme="1"/>
      <name val="Times New Roman"/>
      <family val="1"/>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6">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s>
  <cellStyleXfs count="8">
    <xf numFmtId="0" fontId="0" fillId="0" borderId="0"/>
    <xf numFmtId="44" fontId="1" fillId="0" borderId="0" applyFont="0" applyFill="0" applyBorder="0" applyAlignment="0" applyProtection="0"/>
    <xf numFmtId="9" fontId="1" fillId="0" borderId="0" applyFont="0" applyFill="0" applyBorder="0" applyAlignment="0" applyProtection="0"/>
    <xf numFmtId="0" fontId="6" fillId="0" borderId="0"/>
    <xf numFmtId="0" fontId="8" fillId="0" borderId="0"/>
    <xf numFmtId="44" fontId="6"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cellStyleXfs>
  <cellXfs count="88">
    <xf numFmtId="0" fontId="0" fillId="0" borderId="0" xfId="0"/>
    <xf numFmtId="164" fontId="0" fillId="0" borderId="0" xfId="1" applyNumberFormat="1" applyFont="1"/>
    <xf numFmtId="0" fontId="0" fillId="0" borderId="0" xfId="0" applyAlignment="1">
      <alignment horizontal="center"/>
    </xf>
    <xf numFmtId="0" fontId="0" fillId="0" borderId="1" xfId="0" applyBorder="1" applyAlignment="1">
      <alignment horizontal="center"/>
    </xf>
    <xf numFmtId="164" fontId="2" fillId="0" borderId="0" xfId="1" applyNumberFormat="1" applyFont="1"/>
    <xf numFmtId="0" fontId="2" fillId="0" borderId="0" xfId="0" applyFont="1"/>
    <xf numFmtId="0" fontId="7" fillId="0" borderId="0" xfId="3" applyFont="1"/>
    <xf numFmtId="0" fontId="9" fillId="0" borderId="0" xfId="4" applyFont="1" applyAlignment="1">
      <alignment horizontal="right"/>
    </xf>
    <xf numFmtId="0" fontId="7" fillId="0" borderId="0" xfId="4" applyFont="1"/>
    <xf numFmtId="0" fontId="7" fillId="0" borderId="0" xfId="3" applyFont="1" applyAlignment="1">
      <alignment horizontal="center" wrapText="1"/>
    </xf>
    <xf numFmtId="0" fontId="7" fillId="0" borderId="1" xfId="3" applyFont="1" applyBorder="1" applyAlignment="1">
      <alignment horizontal="center"/>
    </xf>
    <xf numFmtId="0" fontId="7" fillId="0" borderId="0" xfId="3" applyFont="1" applyAlignment="1">
      <alignment horizontal="center"/>
    </xf>
    <xf numFmtId="0" fontId="7" fillId="0" borderId="1" xfId="3" quotePrefix="1" applyFont="1" applyBorder="1" applyAlignment="1">
      <alignment horizontal="center"/>
    </xf>
    <xf numFmtId="0" fontId="11" fillId="0" borderId="0" xfId="3" applyFont="1" applyAlignment="1">
      <alignment horizontal="left"/>
    </xf>
    <xf numFmtId="0" fontId="7" fillId="0" borderId="0" xfId="3" applyFont="1" applyAlignment="1">
      <alignment horizontal="left"/>
    </xf>
    <xf numFmtId="41" fontId="7" fillId="0" borderId="0" xfId="3" applyNumberFormat="1" applyFont="1"/>
    <xf numFmtId="10" fontId="7" fillId="0" borderId="0" xfId="3" applyNumberFormat="1" applyFont="1"/>
    <xf numFmtId="41" fontId="7" fillId="2" borderId="0" xfId="3" applyNumberFormat="1" applyFont="1" applyFill="1"/>
    <xf numFmtId="164" fontId="7" fillId="2" borderId="0" xfId="5" applyNumberFormat="1" applyFont="1" applyFill="1" applyBorder="1"/>
    <xf numFmtId="0" fontId="7" fillId="0" borderId="2" xfId="3" applyFont="1" applyBorder="1" applyAlignment="1">
      <alignment horizontal="right"/>
    </xf>
    <xf numFmtId="41" fontId="7" fillId="0" borderId="2" xfId="3" applyNumberFormat="1" applyFont="1" applyBorder="1"/>
    <xf numFmtId="165" fontId="7" fillId="0" borderId="0" xfId="3" applyNumberFormat="1" applyFont="1"/>
    <xf numFmtId="164" fontId="7" fillId="0" borderId="0" xfId="5" applyNumberFormat="1" applyFont="1" applyBorder="1"/>
    <xf numFmtId="0" fontId="7" fillId="0" borderId="3" xfId="3" applyFont="1" applyBorder="1"/>
    <xf numFmtId="0" fontId="7" fillId="0" borderId="3" xfId="3" applyFont="1" applyBorder="1" applyAlignment="1">
      <alignment horizontal="right"/>
    </xf>
    <xf numFmtId="41" fontId="7" fillId="0" borderId="3" xfId="3" applyNumberFormat="1" applyFont="1" applyBorder="1"/>
    <xf numFmtId="0" fontId="7" fillId="0" borderId="0" xfId="3" applyFont="1" applyAlignment="1">
      <alignment horizontal="right"/>
    </xf>
    <xf numFmtId="0" fontId="7" fillId="0" borderId="4" xfId="3" applyFont="1" applyBorder="1"/>
    <xf numFmtId="41" fontId="7" fillId="0" borderId="4" xfId="3" applyNumberFormat="1" applyFont="1" applyBorder="1"/>
    <xf numFmtId="41" fontId="9" fillId="0" borderId="4" xfId="3" applyNumberFormat="1" applyFont="1" applyBorder="1"/>
    <xf numFmtId="43" fontId="7" fillId="0" borderId="0" xfId="6" applyFont="1"/>
    <xf numFmtId="0" fontId="7" fillId="0" borderId="0" xfId="3" applyFont="1" applyAlignment="1">
      <alignment horizontal="center" vertical="center"/>
    </xf>
    <xf numFmtId="0" fontId="7" fillId="0" borderId="0" xfId="3" applyFont="1" applyAlignment="1">
      <alignment vertical="top" wrapText="1"/>
    </xf>
    <xf numFmtId="0" fontId="7" fillId="0" borderId="0" xfId="3" applyFont="1" applyAlignment="1">
      <alignment horizontal="left" vertical="top" wrapText="1"/>
    </xf>
    <xf numFmtId="0" fontId="11" fillId="0" borderId="0" xfId="3" applyFont="1" applyAlignment="1">
      <alignment horizontal="right" wrapText="1"/>
    </xf>
    <xf numFmtId="10" fontId="7" fillId="0" borderId="0" xfId="7" applyNumberFormat="1" applyFont="1" applyFill="1" applyBorder="1" applyProtection="1"/>
    <xf numFmtId="164" fontId="7" fillId="0" borderId="0" xfId="5" applyNumberFormat="1" applyFont="1" applyBorder="1" applyProtection="1"/>
    <xf numFmtId="0" fontId="7" fillId="0" borderId="2" xfId="3" applyFont="1" applyBorder="1" applyAlignment="1">
      <alignment horizontal="center"/>
    </xf>
    <xf numFmtId="0" fontId="7" fillId="0" borderId="2" xfId="3" applyFont="1" applyBorder="1"/>
    <xf numFmtId="165" fontId="7" fillId="0" borderId="2" xfId="7" applyNumberFormat="1" applyFont="1" applyFill="1" applyBorder="1" applyProtection="1"/>
    <xf numFmtId="164" fontId="7" fillId="0" borderId="5" xfId="5" applyNumberFormat="1" applyFont="1" applyBorder="1" applyAlignment="1" applyProtection="1">
      <alignment horizontal="center"/>
    </xf>
    <xf numFmtId="165" fontId="7" fillId="0" borderId="0" xfId="7" applyNumberFormat="1" applyFont="1" applyFill="1" applyBorder="1" applyProtection="1"/>
    <xf numFmtId="164" fontId="7" fillId="0" borderId="0" xfId="5" applyNumberFormat="1" applyFont="1" applyBorder="1" applyAlignment="1" applyProtection="1">
      <alignment horizontal="center"/>
    </xf>
    <xf numFmtId="164" fontId="7" fillId="0" borderId="2" xfId="5" applyNumberFormat="1" applyFont="1" applyBorder="1" applyAlignment="1" applyProtection="1">
      <alignment horizontal="center"/>
    </xf>
    <xf numFmtId="165" fontId="7" fillId="0" borderId="0" xfId="7" applyNumberFormat="1" applyFont="1" applyBorder="1" applyProtection="1"/>
    <xf numFmtId="0" fontId="7" fillId="0" borderId="4" xfId="3" applyFont="1" applyBorder="1" applyAlignment="1">
      <alignment horizontal="center"/>
    </xf>
    <xf numFmtId="165" fontId="7" fillId="0" borderId="4" xfId="7" applyNumberFormat="1" applyFont="1" applyBorder="1" applyProtection="1"/>
    <xf numFmtId="164" fontId="7" fillId="0" borderId="4" xfId="5" applyNumberFormat="1" applyFont="1" applyBorder="1" applyAlignment="1" applyProtection="1">
      <alignment horizontal="center"/>
    </xf>
    <xf numFmtId="0" fontId="5" fillId="0" borderId="1" xfId="0" applyFont="1" applyBorder="1" applyAlignment="1">
      <alignment horizontal="center"/>
    </xf>
    <xf numFmtId="0" fontId="5" fillId="0" borderId="0" xfId="0" quotePrefix="1" applyFont="1" applyAlignment="1">
      <alignment horizontal="center"/>
    </xf>
    <xf numFmtId="44" fontId="0" fillId="0" borderId="0" xfId="1" applyFont="1"/>
    <xf numFmtId="164" fontId="7" fillId="0" borderId="0" xfId="3" applyNumberFormat="1" applyFont="1"/>
    <xf numFmtId="164" fontId="7" fillId="0" borderId="0" xfId="1" applyNumberFormat="1" applyFont="1" applyAlignment="1">
      <alignment horizontal="center" wrapText="1"/>
    </xf>
    <xf numFmtId="164" fontId="7" fillId="0" borderId="0" xfId="1" applyNumberFormat="1" applyFont="1"/>
    <xf numFmtId="10" fontId="7" fillId="3" borderId="0" xfId="3" applyNumberFormat="1" applyFont="1" applyFill="1"/>
    <xf numFmtId="0" fontId="14" fillId="0" borderId="0" xfId="0" applyFont="1" applyAlignment="1">
      <alignment horizontal="left"/>
    </xf>
    <xf numFmtId="44" fontId="7" fillId="0" borderId="0" xfId="3" applyNumberFormat="1" applyFont="1"/>
    <xf numFmtId="41" fontId="7" fillId="3" borderId="0" xfId="3" applyNumberFormat="1" applyFont="1" applyFill="1"/>
    <xf numFmtId="164" fontId="7" fillId="3" borderId="0" xfId="5" applyNumberFormat="1" applyFont="1" applyFill="1" applyBorder="1"/>
    <xf numFmtId="0" fontId="15" fillId="0" borderId="0" xfId="0" applyFont="1" applyAlignment="1">
      <alignment horizontal="left"/>
    </xf>
    <xf numFmtId="0" fontId="17" fillId="0" borderId="0" xfId="0" applyFont="1"/>
    <xf numFmtId="0" fontId="19" fillId="0" borderId="1" xfId="0" applyFont="1" applyBorder="1" applyAlignment="1">
      <alignment horizontal="center"/>
    </xf>
    <xf numFmtId="0" fontId="17" fillId="0" borderId="0" xfId="0" applyFont="1" applyAlignment="1">
      <alignment horizontal="center"/>
    </xf>
    <xf numFmtId="0" fontId="19" fillId="0" borderId="0" xfId="0" quotePrefix="1" applyFont="1" applyAlignment="1">
      <alignment horizontal="center"/>
    </xf>
    <xf numFmtId="164" fontId="17" fillId="0" borderId="0" xfId="1" applyNumberFormat="1" applyFont="1"/>
    <xf numFmtId="10" fontId="17" fillId="0" borderId="1" xfId="2" applyNumberFormat="1" applyFont="1" applyBorder="1"/>
    <xf numFmtId="164" fontId="17" fillId="0" borderId="0" xfId="0" applyNumberFormat="1" applyFont="1"/>
    <xf numFmtId="0" fontId="17" fillId="0" borderId="0" xfId="0" applyFont="1" applyFill="1"/>
    <xf numFmtId="10" fontId="17" fillId="0" borderId="1" xfId="2" applyNumberFormat="1" applyFont="1" applyFill="1" applyBorder="1"/>
    <xf numFmtId="164" fontId="17" fillId="0" borderId="0" xfId="0" applyNumberFormat="1" applyFont="1" applyBorder="1"/>
    <xf numFmtId="164" fontId="17" fillId="0" borderId="1" xfId="0" applyNumberFormat="1" applyFont="1" applyBorder="1"/>
    <xf numFmtId="164" fontId="17" fillId="0" borderId="1" xfId="1" applyNumberFormat="1" applyFont="1" applyBorder="1"/>
    <xf numFmtId="164" fontId="17" fillId="0" borderId="4" xfId="0" applyNumberFormat="1" applyFont="1" applyBorder="1"/>
    <xf numFmtId="0" fontId="22" fillId="0" borderId="0" xfId="0" applyFont="1" applyAlignment="1">
      <alignment horizontal="left"/>
    </xf>
    <xf numFmtId="0" fontId="22" fillId="0" borderId="0" xfId="0" applyFont="1" applyFill="1" applyAlignment="1"/>
    <xf numFmtId="0" fontId="22" fillId="0" borderId="0" xfId="0" applyFont="1" applyFill="1" applyAlignment="1">
      <alignment horizontal="left"/>
    </xf>
    <xf numFmtId="0" fontId="22" fillId="0" borderId="0" xfId="0" applyFont="1" applyAlignment="1"/>
    <xf numFmtId="0" fontId="16" fillId="0" borderId="0" xfId="0" applyFont="1" applyAlignment="1">
      <alignment horizontal="center"/>
    </xf>
    <xf numFmtId="0" fontId="18" fillId="0" borderId="0" xfId="0" applyFont="1" applyAlignment="1">
      <alignment horizontal="center"/>
    </xf>
    <xf numFmtId="0" fontId="20"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15" fillId="0" borderId="0" xfId="0" applyFont="1" applyAlignment="1">
      <alignment horizontal="left" wrapText="1"/>
    </xf>
    <xf numFmtId="0" fontId="9" fillId="0" borderId="0" xfId="4" applyFont="1" applyAlignment="1">
      <alignment horizontal="center"/>
    </xf>
    <xf numFmtId="0" fontId="10" fillId="0" borderId="0" xfId="3" applyFont="1" applyAlignment="1">
      <alignment horizontal="center"/>
    </xf>
    <xf numFmtId="0" fontId="7" fillId="0" borderId="0" xfId="3" applyFont="1" applyAlignment="1">
      <alignment horizontal="left" vertical="top" wrapText="1"/>
    </xf>
    <xf numFmtId="0" fontId="12" fillId="0" borderId="0" xfId="0" applyFont="1" applyAlignment="1">
      <alignment horizontal="center"/>
    </xf>
    <xf numFmtId="0" fontId="13" fillId="0" borderId="0" xfId="0" applyFont="1" applyAlignment="1">
      <alignment horizontal="center"/>
    </xf>
  </cellXfs>
  <cellStyles count="8">
    <cellStyle name="Comma 2" xfId="6" xr:uid="{C5D921B4-B298-419B-A5ED-F01EB387B823}"/>
    <cellStyle name="Currency" xfId="1" builtinId="4"/>
    <cellStyle name="Currency 2" xfId="5" xr:uid="{6FA8F333-FAA4-410F-B4A6-E6EF9427D0C2}"/>
    <cellStyle name="Normal" xfId="0" builtinId="0"/>
    <cellStyle name="Normal 2" xfId="3" xr:uid="{11EEEDB6-C799-480C-A598-6A85A38EC76F}"/>
    <cellStyle name="Normal 2 2" xfId="4" xr:uid="{74F8E3B8-6FC3-4034-A18D-E293F77E8413}"/>
    <cellStyle name="Percent" xfId="2" builtinId="5"/>
    <cellStyle name="Percent 2" xfId="7" xr:uid="{1911261E-DD44-417A-BAB5-B68F2C29144C}"/>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B65A4-C5C4-4E6D-B5A9-E0B2525AF6EC}">
  <dimension ref="B2:H46"/>
  <sheetViews>
    <sheetView topLeftCell="A18" zoomScaleNormal="100" workbookViewId="0">
      <selection activeCell="B1" sqref="B1"/>
    </sheetView>
  </sheetViews>
  <sheetFormatPr defaultColWidth="9" defaultRowHeight="13.8" x14ac:dyDescent="0.25"/>
  <cols>
    <col min="1" max="1" width="1.59765625" style="60" customWidth="1"/>
    <col min="2" max="2" width="4.69921875" style="62" bestFit="1" customWidth="1"/>
    <col min="3" max="3" width="1.59765625" style="60" customWidth="1"/>
    <col min="4" max="4" width="66.3984375" style="60" customWidth="1"/>
    <col min="5" max="5" width="1.59765625" style="60" customWidth="1"/>
    <col min="6" max="6" width="13.3984375" style="60" customWidth="1"/>
    <col min="7" max="7" width="1.59765625" style="60" customWidth="1"/>
    <col min="8" max="8" width="9.59765625" style="60" bestFit="1" customWidth="1"/>
    <col min="9" max="16384" width="9" style="60"/>
  </cols>
  <sheetData>
    <row r="2" spans="2:6" ht="17.399999999999999" x14ac:dyDescent="0.3">
      <c r="B2" s="77" t="s">
        <v>75</v>
      </c>
      <c r="C2" s="77"/>
      <c r="D2" s="77"/>
      <c r="E2" s="77"/>
      <c r="F2" s="77"/>
    </row>
    <row r="4" spans="2:6" ht="15.6" x14ac:dyDescent="0.3">
      <c r="B4" s="78" t="s">
        <v>76</v>
      </c>
      <c r="C4" s="78"/>
      <c r="D4" s="78"/>
      <c r="E4" s="78"/>
      <c r="F4" s="78"/>
    </row>
    <row r="6" spans="2:6" x14ac:dyDescent="0.25">
      <c r="B6" s="61" t="s">
        <v>17</v>
      </c>
      <c r="D6" s="61" t="s">
        <v>19</v>
      </c>
      <c r="F6" s="61" t="s">
        <v>77</v>
      </c>
    </row>
    <row r="7" spans="2:6" x14ac:dyDescent="0.25">
      <c r="F7" s="63" t="s">
        <v>27</v>
      </c>
    </row>
    <row r="9" spans="2:6" x14ac:dyDescent="0.25">
      <c r="B9" s="79" t="s">
        <v>79</v>
      </c>
      <c r="C9" s="79"/>
      <c r="D9" s="79"/>
      <c r="E9" s="79"/>
      <c r="F9" s="79"/>
    </row>
    <row r="11" spans="2:6" ht="16.8" x14ac:dyDescent="0.25">
      <c r="B11" s="62">
        <v>1</v>
      </c>
      <c r="D11" s="60" t="s">
        <v>110</v>
      </c>
      <c r="F11" s="64">
        <v>2315565.42</v>
      </c>
    </row>
    <row r="13" spans="2:6" ht="16.8" x14ac:dyDescent="0.25">
      <c r="B13" s="62">
        <v>2</v>
      </c>
      <c r="D13" s="60" t="s">
        <v>111</v>
      </c>
      <c r="F13" s="65">
        <v>0.192</v>
      </c>
    </row>
    <row r="14" spans="2:6" x14ac:dyDescent="0.25">
      <c r="B14" s="62" t="s">
        <v>78</v>
      </c>
    </row>
    <row r="15" spans="2:6" x14ac:dyDescent="0.25">
      <c r="B15" s="62">
        <v>3</v>
      </c>
      <c r="D15" s="60" t="s">
        <v>80</v>
      </c>
      <c r="F15" s="66">
        <f>F11*F13</f>
        <v>444588.56063999998</v>
      </c>
    </row>
    <row r="16" spans="2:6" x14ac:dyDescent="0.25">
      <c r="D16" s="67"/>
    </row>
    <row r="17" spans="2:6" ht="16.8" x14ac:dyDescent="0.25">
      <c r="B17" s="62">
        <v>4</v>
      </c>
      <c r="D17" s="67" t="s">
        <v>112</v>
      </c>
      <c r="F17" s="68">
        <v>0.16</v>
      </c>
    </row>
    <row r="19" spans="2:6" x14ac:dyDescent="0.25">
      <c r="B19" s="62">
        <v>5</v>
      </c>
      <c r="D19" s="60" t="s">
        <v>81</v>
      </c>
      <c r="F19" s="69">
        <f>F11*F17</f>
        <v>370490.46720000001</v>
      </c>
    </row>
    <row r="21" spans="2:6" x14ac:dyDescent="0.25">
      <c r="B21" s="62">
        <v>6</v>
      </c>
      <c r="D21" s="60" t="s">
        <v>101</v>
      </c>
      <c r="F21" s="69">
        <f>F19-F15</f>
        <v>-74098.093439999968</v>
      </c>
    </row>
    <row r="23" spans="2:6" x14ac:dyDescent="0.25">
      <c r="B23" s="79" t="s">
        <v>82</v>
      </c>
      <c r="C23" s="79"/>
      <c r="D23" s="79"/>
      <c r="E23" s="79"/>
      <c r="F23" s="79"/>
    </row>
    <row r="25" spans="2:6" ht="16.8" x14ac:dyDescent="0.25">
      <c r="B25" s="62">
        <f>B21+1</f>
        <v>7</v>
      </c>
      <c r="D25" s="60" t="s">
        <v>113</v>
      </c>
      <c r="F25" s="64">
        <v>196451</v>
      </c>
    </row>
    <row r="27" spans="2:6" ht="16.8" x14ac:dyDescent="0.25">
      <c r="B27" s="62">
        <f>B25+1</f>
        <v>8</v>
      </c>
      <c r="D27" s="60" t="s">
        <v>114</v>
      </c>
      <c r="F27" s="70">
        <f>Historical!D19</f>
        <v>263656.16200000001</v>
      </c>
    </row>
    <row r="29" spans="2:6" x14ac:dyDescent="0.25">
      <c r="B29" s="62">
        <f>B27+1</f>
        <v>9</v>
      </c>
      <c r="D29" s="60" t="s">
        <v>96</v>
      </c>
      <c r="F29" s="66">
        <f>F25-F27</f>
        <v>-67205.162000000011</v>
      </c>
    </row>
    <row r="31" spans="2:6" x14ac:dyDescent="0.25">
      <c r="B31" s="79" t="s">
        <v>98</v>
      </c>
      <c r="C31" s="79"/>
      <c r="D31" s="79"/>
      <c r="E31" s="79"/>
      <c r="F31" s="79"/>
    </row>
    <row r="33" spans="2:8" x14ac:dyDescent="0.25">
      <c r="B33" s="62">
        <v>10</v>
      </c>
      <c r="D33" s="60" t="s">
        <v>103</v>
      </c>
      <c r="F33" s="64">
        <f>F19-F27</f>
        <v>106834.3052</v>
      </c>
      <c r="H33" s="66"/>
    </row>
    <row r="35" spans="2:8" x14ac:dyDescent="0.25">
      <c r="B35" s="62">
        <v>11</v>
      </c>
      <c r="D35" s="60" t="s">
        <v>97</v>
      </c>
      <c r="F35" s="71">
        <v>0</v>
      </c>
    </row>
    <row r="37" spans="2:8" x14ac:dyDescent="0.25">
      <c r="B37" s="62">
        <v>12</v>
      </c>
      <c r="D37" s="60" t="s">
        <v>99</v>
      </c>
      <c r="F37" s="66">
        <f>F35-F33</f>
        <v>-106834.3052</v>
      </c>
    </row>
    <row r="40" spans="2:8" ht="14.4" thickBot="1" x14ac:dyDescent="0.3">
      <c r="B40" s="62">
        <v>13</v>
      </c>
      <c r="D40" s="60" t="s">
        <v>104</v>
      </c>
      <c r="F40" s="72">
        <f>SUM(F21,F29,F37)</f>
        <v>-248137.56063999998</v>
      </c>
    </row>
    <row r="41" spans="2:8" ht="14.4" thickTop="1" x14ac:dyDescent="0.25"/>
    <row r="42" spans="2:8" x14ac:dyDescent="0.25">
      <c r="B42" s="73" t="s">
        <v>100</v>
      </c>
    </row>
    <row r="43" spans="2:8" x14ac:dyDescent="0.25">
      <c r="B43" s="73" t="s">
        <v>102</v>
      </c>
    </row>
    <row r="44" spans="2:8" ht="14.25" customHeight="1" x14ac:dyDescent="0.25">
      <c r="B44" s="74" t="s">
        <v>115</v>
      </c>
      <c r="C44" s="74"/>
      <c r="D44" s="74"/>
      <c r="E44" s="74"/>
      <c r="F44" s="74"/>
    </row>
    <row r="45" spans="2:8" ht="15.6" x14ac:dyDescent="0.25">
      <c r="B45" s="75" t="s">
        <v>116</v>
      </c>
      <c r="C45" s="67"/>
      <c r="D45" s="67"/>
      <c r="E45" s="67"/>
      <c r="F45" s="67"/>
    </row>
    <row r="46" spans="2:8" ht="14.25" customHeight="1" x14ac:dyDescent="0.25">
      <c r="B46" s="76" t="s">
        <v>117</v>
      </c>
      <c r="C46" s="76"/>
      <c r="D46" s="76"/>
      <c r="E46" s="76"/>
      <c r="F46" s="76"/>
    </row>
  </sheetData>
  <mergeCells count="5">
    <mergeCell ref="B2:F2"/>
    <mergeCell ref="B4:F4"/>
    <mergeCell ref="B9:F9"/>
    <mergeCell ref="B23:F23"/>
    <mergeCell ref="B31:F31"/>
  </mergeCells>
  <pageMargins left="0.7" right="0.7" top="0.75" bottom="0.75" header="0.3" footer="0.3"/>
  <ignoredErrors>
    <ignoredError sqref="F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058E8-C7D2-4887-9BF5-C6C8E9D8FB3E}">
  <sheetPr>
    <pageSetUpPr fitToPage="1"/>
  </sheetPr>
  <dimension ref="B2:R48"/>
  <sheetViews>
    <sheetView topLeftCell="A6" zoomScaleNormal="100" workbookViewId="0">
      <selection activeCell="R14" sqref="R14"/>
    </sheetView>
  </sheetViews>
  <sheetFormatPr defaultRowHeight="13.8" x14ac:dyDescent="0.25"/>
  <cols>
    <col min="1" max="1" width="1.59765625" customWidth="1"/>
    <col min="2" max="2" width="8.09765625" style="2" customWidth="1"/>
    <col min="3" max="3" width="1.59765625" customWidth="1"/>
    <col min="4" max="4" width="12.09765625" customWidth="1"/>
    <col min="5" max="5" width="1.59765625" customWidth="1"/>
    <col min="6" max="6" width="11.5" customWidth="1"/>
    <col min="7" max="7" width="1.59765625" customWidth="1"/>
    <col min="8" max="8" width="11.09765625" customWidth="1"/>
    <col min="9" max="9" width="1.59765625" customWidth="1"/>
    <col min="10" max="10" width="11.8984375" customWidth="1"/>
    <col min="11" max="11" width="1.59765625" customWidth="1"/>
    <col min="12" max="12" width="11.59765625" customWidth="1"/>
    <col min="13" max="13" width="1.59765625" customWidth="1"/>
    <col min="14" max="14" width="11.59765625" customWidth="1"/>
    <col min="15" max="15" width="1.59765625" customWidth="1"/>
    <col min="16" max="16" width="12" bestFit="1" customWidth="1"/>
    <col min="17" max="17" width="1.59765625" customWidth="1"/>
    <col min="18" max="18" width="11.69921875" bestFit="1" customWidth="1"/>
    <col min="19" max="19" width="1.59765625" customWidth="1"/>
  </cols>
  <sheetData>
    <row r="2" spans="2:18" ht="22.8" x14ac:dyDescent="0.4">
      <c r="B2" s="81" t="s">
        <v>14</v>
      </c>
      <c r="C2" s="81"/>
      <c r="D2" s="81"/>
      <c r="E2" s="81"/>
      <c r="F2" s="81"/>
      <c r="G2" s="81"/>
      <c r="H2" s="81"/>
      <c r="I2" s="81"/>
      <c r="J2" s="81"/>
      <c r="K2" s="81"/>
      <c r="L2" s="81"/>
      <c r="M2" s="81"/>
      <c r="N2" s="81"/>
      <c r="O2" s="81"/>
      <c r="P2" s="81"/>
      <c r="Q2" s="81"/>
      <c r="R2" s="81"/>
    </row>
    <row r="4" spans="2:18" x14ac:dyDescent="0.25">
      <c r="B4" s="80" t="s">
        <v>13</v>
      </c>
      <c r="C4" s="80"/>
      <c r="D4" s="80"/>
      <c r="E4" s="80"/>
      <c r="F4" s="80"/>
      <c r="G4" s="80"/>
      <c r="H4" s="80"/>
      <c r="I4" s="80"/>
      <c r="J4" s="80"/>
      <c r="K4" s="80"/>
      <c r="L4" s="80"/>
      <c r="M4" s="80"/>
      <c r="N4" s="80"/>
      <c r="O4" s="80"/>
      <c r="P4" s="80"/>
      <c r="Q4" s="80"/>
      <c r="R4" s="80"/>
    </row>
    <row r="6" spans="2:18" x14ac:dyDescent="0.25">
      <c r="D6" s="2" t="s">
        <v>0</v>
      </c>
      <c r="E6" s="2"/>
      <c r="F6" s="2"/>
      <c r="G6" s="2"/>
      <c r="H6" s="2"/>
      <c r="I6" s="2"/>
      <c r="J6" s="2"/>
      <c r="K6" s="2"/>
      <c r="L6" s="2" t="s">
        <v>0</v>
      </c>
      <c r="M6" s="2"/>
      <c r="N6" s="2" t="s">
        <v>6</v>
      </c>
      <c r="O6" s="2"/>
      <c r="P6" s="2" t="s">
        <v>8</v>
      </c>
      <c r="Q6" s="2"/>
      <c r="R6" s="2" t="s">
        <v>10</v>
      </c>
    </row>
    <row r="7" spans="2:18" x14ac:dyDescent="0.25">
      <c r="B7" s="3" t="s">
        <v>12</v>
      </c>
      <c r="D7" s="3" t="s">
        <v>4</v>
      </c>
      <c r="E7" s="2"/>
      <c r="F7" s="3" t="s">
        <v>1</v>
      </c>
      <c r="G7" s="2"/>
      <c r="H7" s="3" t="s">
        <v>2</v>
      </c>
      <c r="I7" s="2"/>
      <c r="J7" s="3" t="s">
        <v>3</v>
      </c>
      <c r="K7" s="2"/>
      <c r="L7" s="3" t="s">
        <v>5</v>
      </c>
      <c r="M7" s="2"/>
      <c r="N7" s="3" t="s">
        <v>7</v>
      </c>
      <c r="O7" s="2"/>
      <c r="P7" s="3" t="s">
        <v>9</v>
      </c>
      <c r="Q7" s="2"/>
      <c r="R7" s="3" t="s">
        <v>11</v>
      </c>
    </row>
    <row r="9" spans="2:18" x14ac:dyDescent="0.25">
      <c r="B9" s="2">
        <v>2008</v>
      </c>
      <c r="D9" s="4">
        <v>1279581.69</v>
      </c>
      <c r="E9" s="1"/>
      <c r="F9" s="4">
        <v>19581.66</v>
      </c>
      <c r="G9" s="4"/>
      <c r="H9" s="4">
        <v>43101.78</v>
      </c>
      <c r="I9" s="1"/>
      <c r="J9" s="1">
        <f>F9-H9</f>
        <v>-23520.12</v>
      </c>
      <c r="K9" s="1"/>
      <c r="L9" s="1">
        <f>J9+D9</f>
        <v>1256061.5699999998</v>
      </c>
      <c r="M9" s="1"/>
      <c r="N9" s="1">
        <f>(D9*0.16)+(J9/2*0.16)</f>
        <v>202851.4608</v>
      </c>
      <c r="O9" s="1"/>
      <c r="P9" s="4">
        <f>833594+4*(N9/12)</f>
        <v>901211.15359999996</v>
      </c>
      <c r="Q9" s="1"/>
      <c r="R9" s="1">
        <f>L9-P9</f>
        <v>354850.41639999987</v>
      </c>
    </row>
    <row r="10" spans="2:18" x14ac:dyDescent="0.25">
      <c r="F10" s="5"/>
      <c r="G10" s="5"/>
      <c r="H10" s="5"/>
    </row>
    <row r="11" spans="2:18" x14ac:dyDescent="0.25">
      <c r="B11" s="2">
        <v>2009</v>
      </c>
      <c r="D11" s="1">
        <f>L9</f>
        <v>1256061.5699999998</v>
      </c>
      <c r="E11" s="1"/>
      <c r="F11" s="4">
        <v>281180.37</v>
      </c>
      <c r="G11" s="4"/>
      <c r="H11" s="4">
        <v>83984.26</v>
      </c>
      <c r="I11" s="1"/>
      <c r="J11" s="1">
        <f>F11-H11</f>
        <v>197196.11</v>
      </c>
      <c r="K11" s="1"/>
      <c r="L11" s="1">
        <f>J11+D11</f>
        <v>1453257.6799999997</v>
      </c>
      <c r="M11" s="1"/>
      <c r="N11" s="1">
        <f>(D11*0.16)+(J11/2*0.16)</f>
        <v>216745.53999999998</v>
      </c>
      <c r="O11" s="1"/>
      <c r="P11" s="1">
        <f>P9+N11-H11</f>
        <v>1033972.4335999999</v>
      </c>
      <c r="Q11" s="1"/>
      <c r="R11" s="1">
        <f>L11-P11</f>
        <v>419285.24639999983</v>
      </c>
    </row>
    <row r="12" spans="2:18" x14ac:dyDescent="0.25">
      <c r="F12" s="5"/>
      <c r="G12" s="5"/>
      <c r="H12" s="5"/>
    </row>
    <row r="13" spans="2:18" x14ac:dyDescent="0.25">
      <c r="B13" s="2">
        <v>2010</v>
      </c>
      <c r="D13" s="1">
        <f>L11</f>
        <v>1453257.6799999997</v>
      </c>
      <c r="E13" s="1"/>
      <c r="F13" s="4">
        <v>197285.09</v>
      </c>
      <c r="G13" s="4"/>
      <c r="H13" s="4">
        <v>144032.79</v>
      </c>
      <c r="I13" s="1"/>
      <c r="J13" s="1">
        <f>F13-H13</f>
        <v>53252.299999999988</v>
      </c>
      <c r="K13" s="1"/>
      <c r="L13" s="1">
        <f>J13+D13</f>
        <v>1506509.9799999997</v>
      </c>
      <c r="M13" s="1"/>
      <c r="N13" s="1">
        <f>(D13*0.16)+(J13/2*0.16)</f>
        <v>236781.41279999996</v>
      </c>
      <c r="O13" s="1"/>
      <c r="P13" s="1">
        <f>P11+N13-H13</f>
        <v>1126721.0563999999</v>
      </c>
      <c r="Q13" s="1"/>
      <c r="R13" s="1">
        <f>L13-P13</f>
        <v>379788.92359999986</v>
      </c>
    </row>
    <row r="14" spans="2:18" x14ac:dyDescent="0.25">
      <c r="F14" s="5"/>
      <c r="G14" s="5"/>
      <c r="H14" s="5"/>
    </row>
    <row r="15" spans="2:18" x14ac:dyDescent="0.25">
      <c r="B15" s="2">
        <v>2011</v>
      </c>
      <c r="D15" s="1">
        <f>L13</f>
        <v>1506509.9799999997</v>
      </c>
      <c r="E15" s="1"/>
      <c r="F15" s="4">
        <v>227828.72</v>
      </c>
      <c r="G15" s="4"/>
      <c r="H15" s="4">
        <v>199008.77</v>
      </c>
      <c r="I15" s="1"/>
      <c r="J15" s="1">
        <f>F15-H15</f>
        <v>28819.950000000012</v>
      </c>
      <c r="K15" s="1"/>
      <c r="L15" s="1">
        <f>J15+D15</f>
        <v>1535329.9299999997</v>
      </c>
      <c r="M15" s="1"/>
      <c r="N15" s="1">
        <f>(D15*0.16)+(J15/2*0.16)</f>
        <v>243347.19279999996</v>
      </c>
      <c r="O15" s="1"/>
      <c r="P15" s="1">
        <f>P13+N15-H15</f>
        <v>1171059.4791999999</v>
      </c>
      <c r="Q15" s="1"/>
      <c r="R15" s="1">
        <f>L15-P15</f>
        <v>364270.45079999976</v>
      </c>
    </row>
    <row r="16" spans="2:18" x14ac:dyDescent="0.25">
      <c r="F16" s="5"/>
      <c r="G16" s="5"/>
      <c r="H16" s="5"/>
      <c r="R16" s="1"/>
    </row>
    <row r="17" spans="2:18" x14ac:dyDescent="0.25">
      <c r="B17" s="2">
        <v>2012</v>
      </c>
      <c r="D17" s="1">
        <f>L15</f>
        <v>1535329.9299999997</v>
      </c>
      <c r="E17" s="1"/>
      <c r="F17" s="4">
        <v>116252.47</v>
      </c>
      <c r="G17" s="4"/>
      <c r="H17" s="4">
        <v>126295.1</v>
      </c>
      <c r="I17" s="1"/>
      <c r="J17" s="1">
        <f>F17-H17</f>
        <v>-10042.630000000005</v>
      </c>
      <c r="K17" s="1"/>
      <c r="L17" s="1">
        <f>J17+D17</f>
        <v>1525287.2999999998</v>
      </c>
      <c r="M17" s="1"/>
      <c r="N17" s="1">
        <f>(D17*0.16)+(J17/2*0.16)</f>
        <v>244849.37839999996</v>
      </c>
      <c r="O17" s="1"/>
      <c r="P17" s="1">
        <f>P15+N17-H17</f>
        <v>1289613.7575999999</v>
      </c>
      <c r="Q17" s="1"/>
      <c r="R17" s="1">
        <f>L17-P17</f>
        <v>235673.54239999992</v>
      </c>
    </row>
    <row r="18" spans="2:18" x14ac:dyDescent="0.25">
      <c r="F18" s="5"/>
      <c r="G18" s="5"/>
      <c r="H18" s="5"/>
    </row>
    <row r="19" spans="2:18" x14ac:dyDescent="0.25">
      <c r="B19" s="2">
        <v>2013</v>
      </c>
      <c r="D19" s="1">
        <f>L17</f>
        <v>1525287.2999999998</v>
      </c>
      <c r="E19" s="1"/>
      <c r="F19" s="4">
        <v>87950.24</v>
      </c>
      <c r="G19" s="4"/>
      <c r="H19" s="4">
        <v>92156.76</v>
      </c>
      <c r="I19" s="1"/>
      <c r="J19" s="1">
        <f>F19-H19</f>
        <v>-4206.5199999999895</v>
      </c>
      <c r="K19" s="1"/>
      <c r="L19" s="1">
        <f>J19+D19</f>
        <v>1521080.7799999998</v>
      </c>
      <c r="M19" s="1"/>
      <c r="N19" s="1">
        <f>(D19*0.16)+(J19/2*0.16)</f>
        <v>243709.44639999996</v>
      </c>
      <c r="O19" s="1"/>
      <c r="P19" s="1">
        <f>P17+N19-H19</f>
        <v>1441166.4439999999</v>
      </c>
      <c r="Q19" s="1"/>
      <c r="R19" s="1">
        <f>L19-P19</f>
        <v>79914.335999999894</v>
      </c>
    </row>
    <row r="20" spans="2:18" x14ac:dyDescent="0.25">
      <c r="F20" s="5"/>
      <c r="G20" s="5"/>
      <c r="H20" s="5"/>
    </row>
    <row r="21" spans="2:18" x14ac:dyDescent="0.25">
      <c r="B21" s="2">
        <v>2014</v>
      </c>
      <c r="D21" s="1">
        <f>L19</f>
        <v>1521080.7799999998</v>
      </c>
      <c r="E21" s="1"/>
      <c r="F21" s="4">
        <v>189066.7</v>
      </c>
      <c r="G21" s="4"/>
      <c r="H21" s="4">
        <v>252681.62</v>
      </c>
      <c r="I21" s="1"/>
      <c r="J21" s="1">
        <f>F21-H21</f>
        <v>-63614.919999999984</v>
      </c>
      <c r="K21" s="1"/>
      <c r="L21" s="1">
        <f>J21+D21</f>
        <v>1457465.8599999999</v>
      </c>
      <c r="M21" s="1"/>
      <c r="N21" s="1">
        <f>(D21*0.16)+(J21/2*0.16)</f>
        <v>238283.73119999998</v>
      </c>
      <c r="O21" s="1"/>
      <c r="P21" s="1">
        <f>P19+N21-H21</f>
        <v>1426768.5551999998</v>
      </c>
      <c r="Q21" s="1"/>
      <c r="R21" s="1">
        <f>L21-P21</f>
        <v>30697.304800000042</v>
      </c>
    </row>
    <row r="22" spans="2:18" x14ac:dyDescent="0.25">
      <c r="D22" s="1"/>
      <c r="E22" s="1"/>
      <c r="F22" s="4"/>
      <c r="G22" s="4"/>
      <c r="H22" s="4"/>
      <c r="I22" s="1"/>
      <c r="J22" s="1"/>
      <c r="K22" s="1"/>
      <c r="L22" s="1"/>
      <c r="M22" s="1"/>
      <c r="N22" s="1"/>
      <c r="O22" s="1"/>
      <c r="P22" s="1"/>
      <c r="Q22" s="1"/>
      <c r="R22" s="1"/>
    </row>
    <row r="23" spans="2:18" x14ac:dyDescent="0.25">
      <c r="B23" s="2">
        <v>2015</v>
      </c>
      <c r="D23" s="1">
        <f>L21</f>
        <v>1457465.8599999999</v>
      </c>
      <c r="E23" s="1"/>
      <c r="F23" s="4">
        <v>319403.31</v>
      </c>
      <c r="G23" s="4"/>
      <c r="H23" s="4">
        <v>63361.599999999999</v>
      </c>
      <c r="I23" s="1"/>
      <c r="J23" s="1">
        <f>F23-H23</f>
        <v>256041.71</v>
      </c>
      <c r="K23" s="1"/>
      <c r="L23" s="1">
        <f>J23+D23</f>
        <v>1713507.5699999998</v>
      </c>
      <c r="M23" s="1"/>
      <c r="N23" s="1">
        <f>(D23*0.16)+(J23/2*0.16)</f>
        <v>253677.87439999997</v>
      </c>
      <c r="O23" s="1"/>
      <c r="P23" s="1">
        <f>P21+N23-H23</f>
        <v>1617084.8295999998</v>
      </c>
      <c r="Q23" s="1"/>
      <c r="R23" s="1">
        <f>L23-P23</f>
        <v>96422.74040000001</v>
      </c>
    </row>
    <row r="24" spans="2:18" x14ac:dyDescent="0.25">
      <c r="D24" s="1"/>
      <c r="E24" s="1"/>
      <c r="F24" s="4"/>
      <c r="G24" s="4"/>
      <c r="H24" s="4"/>
      <c r="I24" s="1"/>
      <c r="J24" s="1"/>
      <c r="K24" s="1"/>
      <c r="L24" s="1"/>
      <c r="M24" s="1"/>
      <c r="N24" s="1"/>
      <c r="O24" s="1"/>
      <c r="P24" s="1"/>
      <c r="Q24" s="1"/>
      <c r="R24" s="1"/>
    </row>
    <row r="25" spans="2:18" x14ac:dyDescent="0.25">
      <c r="B25" s="2">
        <v>2016</v>
      </c>
      <c r="D25" s="1">
        <f>L23</f>
        <v>1713507.5699999998</v>
      </c>
      <c r="E25" s="1"/>
      <c r="F25" s="4">
        <v>305272.67</v>
      </c>
      <c r="G25" s="4"/>
      <c r="H25" s="4">
        <v>347422.42</v>
      </c>
      <c r="I25" s="1"/>
      <c r="J25" s="1">
        <f>F25-H25</f>
        <v>-42149.75</v>
      </c>
      <c r="K25" s="1"/>
      <c r="L25" s="1">
        <f>J25+D25</f>
        <v>1671357.8199999998</v>
      </c>
      <c r="M25" s="1"/>
      <c r="N25" s="1">
        <f>(D25*0.16)+(J25/2*0.16)</f>
        <v>270789.23119999998</v>
      </c>
      <c r="O25" s="1"/>
      <c r="P25" s="1">
        <f>P23+N25-H25</f>
        <v>1540451.6407999999</v>
      </c>
      <c r="Q25" s="1"/>
      <c r="R25" s="1">
        <f>L25-P25</f>
        <v>130906.1791999999</v>
      </c>
    </row>
    <row r="26" spans="2:18" x14ac:dyDescent="0.25">
      <c r="D26" s="1"/>
      <c r="E26" s="1"/>
      <c r="F26" s="4"/>
      <c r="G26" s="4"/>
      <c r="H26" s="4"/>
      <c r="I26" s="1"/>
      <c r="J26" s="1"/>
      <c r="K26" s="1"/>
      <c r="L26" s="1"/>
      <c r="M26" s="1"/>
      <c r="N26" s="1"/>
      <c r="O26" s="1"/>
      <c r="P26" s="1"/>
      <c r="Q26" s="1"/>
      <c r="R26" s="1"/>
    </row>
    <row r="27" spans="2:18" x14ac:dyDescent="0.25">
      <c r="B27" s="2">
        <v>2017</v>
      </c>
      <c r="D27" s="1">
        <f>L25</f>
        <v>1671357.8199999998</v>
      </c>
      <c r="E27" s="1"/>
      <c r="F27" s="4">
        <v>414915.99</v>
      </c>
      <c r="G27" s="4"/>
      <c r="H27" s="4">
        <v>107062.19</v>
      </c>
      <c r="I27" s="1"/>
      <c r="J27" s="1">
        <f>F27-H27</f>
        <v>307853.8</v>
      </c>
      <c r="K27" s="1"/>
      <c r="L27" s="1">
        <f>J27+D27</f>
        <v>1979211.6199999999</v>
      </c>
      <c r="M27" s="1"/>
      <c r="N27" s="1">
        <f>(D27*0.16)+(J27/2*0.16)</f>
        <v>292045.5552</v>
      </c>
      <c r="O27" s="1"/>
      <c r="P27" s="1">
        <f>P25+N27-H27</f>
        <v>1725435.0060000001</v>
      </c>
      <c r="Q27" s="1"/>
      <c r="R27" s="1">
        <f>L27-P27</f>
        <v>253776.61399999983</v>
      </c>
    </row>
    <row r="28" spans="2:18" x14ac:dyDescent="0.25">
      <c r="D28" s="1"/>
      <c r="E28" s="1"/>
      <c r="F28" s="4"/>
      <c r="G28" s="4"/>
      <c r="H28" s="4"/>
      <c r="I28" s="1"/>
      <c r="J28" s="1"/>
      <c r="K28" s="1"/>
      <c r="L28" s="1"/>
      <c r="M28" s="1"/>
      <c r="N28" s="1"/>
      <c r="O28" s="1"/>
      <c r="P28" s="1"/>
      <c r="Q28" s="1"/>
      <c r="R28" s="1"/>
    </row>
    <row r="29" spans="2:18" x14ac:dyDescent="0.25">
      <c r="B29" s="2">
        <v>2018</v>
      </c>
      <c r="D29" s="1">
        <f>L27</f>
        <v>1979211.6199999999</v>
      </c>
      <c r="E29" s="1"/>
      <c r="F29" s="4">
        <v>30401.5</v>
      </c>
      <c r="G29" s="4"/>
      <c r="H29" s="4">
        <v>67230.13</v>
      </c>
      <c r="I29" s="1"/>
      <c r="J29" s="1">
        <f>F29-H29</f>
        <v>-36828.630000000005</v>
      </c>
      <c r="K29" s="1"/>
      <c r="L29" s="1">
        <f>J29+D29</f>
        <v>1942382.9899999998</v>
      </c>
      <c r="M29" s="1"/>
      <c r="N29" s="1">
        <f>(D29*0.16)+(J29/2*0.16)</f>
        <v>313727.56880000001</v>
      </c>
      <c r="O29" s="1"/>
      <c r="P29" s="1">
        <f>P27+N29-H29</f>
        <v>1971932.4448000002</v>
      </c>
      <c r="Q29" s="1"/>
      <c r="R29" s="1">
        <f>L29-P29</f>
        <v>-29549.454800000414</v>
      </c>
    </row>
    <row r="30" spans="2:18" x14ac:dyDescent="0.25">
      <c r="D30" s="1"/>
      <c r="E30" s="1"/>
      <c r="F30" s="4"/>
      <c r="G30" s="4"/>
      <c r="H30" s="4"/>
      <c r="I30" s="1"/>
      <c r="J30" s="1"/>
      <c r="K30" s="1"/>
      <c r="L30" s="1"/>
      <c r="M30" s="1"/>
      <c r="N30" s="1"/>
      <c r="O30" s="1"/>
      <c r="P30" s="1"/>
      <c r="Q30" s="1"/>
      <c r="R30" s="1"/>
    </row>
    <row r="31" spans="2:18" x14ac:dyDescent="0.25">
      <c r="B31" s="2">
        <v>2019</v>
      </c>
      <c r="D31" s="1">
        <f>L29</f>
        <v>1942382.9899999998</v>
      </c>
      <c r="E31" s="1"/>
      <c r="F31" s="4">
        <v>257753.2</v>
      </c>
      <c r="G31" s="4"/>
      <c r="H31" s="4">
        <v>229280.82</v>
      </c>
      <c r="I31" s="1"/>
      <c r="J31" s="1">
        <f>F31-H31</f>
        <v>28472.380000000005</v>
      </c>
      <c r="K31" s="1"/>
      <c r="L31" s="1">
        <f>J31+D31</f>
        <v>1970855.3699999996</v>
      </c>
      <c r="M31" s="1"/>
      <c r="N31" s="1">
        <f>(D31*0.16)+(J31/2*0.16)</f>
        <v>313059.06879999995</v>
      </c>
      <c r="O31" s="1"/>
      <c r="P31" s="1">
        <f>P29+N31-H31</f>
        <v>2055710.6936000001</v>
      </c>
      <c r="Q31" s="1"/>
      <c r="R31" s="1">
        <f>L31-P31</f>
        <v>-84855.323600000469</v>
      </c>
    </row>
    <row r="32" spans="2:18" x14ac:dyDescent="0.25">
      <c r="D32" s="1"/>
      <c r="E32" s="1"/>
      <c r="F32" s="4"/>
      <c r="G32" s="4"/>
      <c r="H32" s="4"/>
      <c r="I32" s="1"/>
      <c r="J32" s="1"/>
      <c r="K32" s="1"/>
      <c r="L32" s="1"/>
      <c r="M32" s="1"/>
      <c r="N32" s="1"/>
      <c r="O32" s="1"/>
      <c r="P32" s="1"/>
      <c r="Q32" s="1"/>
      <c r="R32" s="1"/>
    </row>
    <row r="33" spans="2:18" x14ac:dyDescent="0.25">
      <c r="B33" s="2">
        <v>2020</v>
      </c>
      <c r="D33" s="1">
        <f>L31</f>
        <v>1970855.3699999996</v>
      </c>
      <c r="E33" s="1"/>
      <c r="F33" s="4">
        <v>383156.52</v>
      </c>
      <c r="G33" s="4"/>
      <c r="H33" s="4">
        <v>33140</v>
      </c>
      <c r="I33" s="1"/>
      <c r="J33" s="1">
        <f>F33-H33</f>
        <v>350016.52</v>
      </c>
      <c r="K33" s="1"/>
      <c r="L33" s="1">
        <f>J33+D33</f>
        <v>2320871.8899999997</v>
      </c>
      <c r="M33" s="1"/>
      <c r="N33" s="1">
        <f>(D33*0.16)+(J33/2*0.16)</f>
        <v>343338.18079999997</v>
      </c>
      <c r="O33" s="1"/>
      <c r="P33" s="1">
        <f>P31+N33-H33</f>
        <v>2365908.8744000001</v>
      </c>
      <c r="Q33" s="1"/>
      <c r="R33" s="1">
        <f>L33-P33</f>
        <v>-45036.984400000423</v>
      </c>
    </row>
    <row r="34" spans="2:18" x14ac:dyDescent="0.25">
      <c r="D34" s="1"/>
      <c r="E34" s="1"/>
      <c r="F34" s="4"/>
      <c r="G34" s="4"/>
      <c r="H34" s="4"/>
      <c r="I34" s="1"/>
      <c r="J34" s="1"/>
      <c r="K34" s="1"/>
      <c r="L34" s="1"/>
      <c r="M34" s="1"/>
      <c r="N34" s="1"/>
      <c r="O34" s="1"/>
      <c r="P34" s="1"/>
      <c r="Q34" s="1"/>
      <c r="R34" s="1"/>
    </row>
    <row r="35" spans="2:18" x14ac:dyDescent="0.25">
      <c r="B35" s="2">
        <v>2021</v>
      </c>
      <c r="D35" s="1">
        <f>L33</f>
        <v>2320871.8899999997</v>
      </c>
      <c r="E35" s="1"/>
      <c r="F35" s="4">
        <v>48226.17</v>
      </c>
      <c r="G35" s="4"/>
      <c r="H35" s="4">
        <v>199088.68</v>
      </c>
      <c r="I35" s="1"/>
      <c r="J35" s="1">
        <f>F35-H35</f>
        <v>-150862.51</v>
      </c>
      <c r="K35" s="1"/>
      <c r="L35" s="1">
        <f>J35+D35</f>
        <v>2170009.38</v>
      </c>
      <c r="M35" s="1"/>
      <c r="N35" s="1">
        <f>(D35*0.16)+(J35/2*0.16)</f>
        <v>359270.50159999996</v>
      </c>
      <c r="O35" s="1"/>
      <c r="P35" s="1">
        <f>P33+N35-H35</f>
        <v>2526090.696</v>
      </c>
      <c r="Q35" s="1"/>
      <c r="R35" s="1">
        <f>L35-P35</f>
        <v>-356081.31600000011</v>
      </c>
    </row>
    <row r="36" spans="2:18" x14ac:dyDescent="0.25">
      <c r="D36" s="1"/>
      <c r="E36" s="1"/>
      <c r="F36" s="4"/>
      <c r="G36" s="4"/>
      <c r="H36" s="4"/>
      <c r="I36" s="1"/>
      <c r="J36" s="1"/>
      <c r="K36" s="1"/>
      <c r="L36" s="1"/>
      <c r="M36" s="1"/>
      <c r="N36" s="1"/>
      <c r="O36" s="1"/>
      <c r="P36" s="1"/>
      <c r="Q36" s="1"/>
      <c r="R36" s="1"/>
    </row>
    <row r="37" spans="2:18" x14ac:dyDescent="0.25">
      <c r="B37" s="2">
        <v>2022</v>
      </c>
      <c r="D37" s="1">
        <f>L35</f>
        <v>2170009.38</v>
      </c>
      <c r="E37" s="1"/>
      <c r="F37" s="4">
        <v>339549.2</v>
      </c>
      <c r="G37" s="4"/>
      <c r="H37" s="4">
        <v>229411.19</v>
      </c>
      <c r="I37" s="1"/>
      <c r="J37" s="1">
        <f>F37-H37</f>
        <v>110138.01000000001</v>
      </c>
      <c r="K37" s="1"/>
      <c r="L37" s="1">
        <f>J37+D37</f>
        <v>2280147.3899999997</v>
      </c>
      <c r="M37" s="1"/>
      <c r="N37" s="1">
        <f>(D37*0.16)+(J37/2*0.16)</f>
        <v>356012.5416</v>
      </c>
      <c r="O37" s="1"/>
      <c r="P37" s="1">
        <f>P35+N37-H37</f>
        <v>2652692.0476000002</v>
      </c>
      <c r="Q37" s="1"/>
      <c r="R37" s="1">
        <f>L37-P37</f>
        <v>-372544.6576000005</v>
      </c>
    </row>
    <row r="38" spans="2:18" x14ac:dyDescent="0.25">
      <c r="D38" s="1"/>
      <c r="E38" s="1"/>
      <c r="F38" s="4"/>
      <c r="G38" s="4"/>
      <c r="H38" s="4"/>
      <c r="I38" s="1"/>
      <c r="J38" s="1"/>
      <c r="K38" s="1"/>
      <c r="L38" s="1"/>
      <c r="M38" s="1"/>
      <c r="N38" s="1"/>
      <c r="O38" s="1"/>
      <c r="P38" s="1"/>
      <c r="Q38" s="1"/>
      <c r="R38" s="1"/>
    </row>
    <row r="39" spans="2:18" x14ac:dyDescent="0.25">
      <c r="B39" s="2">
        <v>2023</v>
      </c>
      <c r="D39" s="1">
        <f>L37</f>
        <v>2280147.3899999997</v>
      </c>
      <c r="E39" s="1"/>
      <c r="F39" s="4">
        <v>65940.03</v>
      </c>
      <c r="G39" s="4"/>
      <c r="H39" s="4">
        <v>30522</v>
      </c>
      <c r="I39" s="1"/>
      <c r="J39" s="1">
        <f>F39-H39</f>
        <v>35418.03</v>
      </c>
      <c r="K39" s="1"/>
      <c r="L39" s="1">
        <f>J39+D39</f>
        <v>2315565.4199999995</v>
      </c>
      <c r="M39" s="1"/>
      <c r="N39" s="1">
        <f>(D39*0.16)+(J39/2*0.16)</f>
        <v>367657.02479999996</v>
      </c>
      <c r="O39" s="1"/>
      <c r="P39" s="1">
        <f>P37+N39-H39</f>
        <v>2989827.0723999999</v>
      </c>
      <c r="Q39" s="1"/>
      <c r="R39" s="1">
        <f>L39-P39</f>
        <v>-674261.65240000049</v>
      </c>
    </row>
    <row r="40" spans="2:18" x14ac:dyDescent="0.25">
      <c r="D40" s="1"/>
      <c r="E40" s="1"/>
      <c r="F40" s="1"/>
      <c r="G40" s="1"/>
      <c r="H40" s="1"/>
      <c r="I40" s="1"/>
      <c r="J40" s="1"/>
      <c r="K40" s="1"/>
      <c r="L40" s="1"/>
      <c r="M40" s="1"/>
      <c r="N40" s="1"/>
      <c r="O40" s="1"/>
      <c r="P40" s="1"/>
      <c r="Q40" s="1"/>
      <c r="R40" s="1"/>
    </row>
    <row r="41" spans="2:18" x14ac:dyDescent="0.25">
      <c r="B41" s="59" t="s">
        <v>105</v>
      </c>
      <c r="D41" s="1"/>
      <c r="E41" s="1"/>
      <c r="F41" s="1"/>
      <c r="G41" s="1"/>
      <c r="H41" s="1"/>
      <c r="I41" s="1"/>
      <c r="J41" s="1"/>
      <c r="K41" s="1"/>
      <c r="L41" s="1"/>
      <c r="M41" s="1"/>
      <c r="N41" s="1"/>
      <c r="O41" s="1"/>
      <c r="P41" s="1"/>
      <c r="Q41" s="1"/>
      <c r="R41" s="1"/>
    </row>
    <row r="42" spans="2:18" x14ac:dyDescent="0.25">
      <c r="B42" s="59" t="s">
        <v>106</v>
      </c>
      <c r="D42" s="1"/>
      <c r="E42" s="1"/>
      <c r="F42" s="1"/>
      <c r="G42" s="1"/>
      <c r="H42" s="1"/>
      <c r="I42" s="1"/>
      <c r="J42" s="1"/>
      <c r="K42" s="1"/>
      <c r="L42" s="1"/>
      <c r="M42" s="1"/>
      <c r="N42" s="1"/>
      <c r="O42" s="1"/>
      <c r="P42" s="1"/>
      <c r="Q42" s="1"/>
      <c r="R42" s="1"/>
    </row>
    <row r="43" spans="2:18" x14ac:dyDescent="0.25">
      <c r="B43" s="59" t="s">
        <v>107</v>
      </c>
      <c r="D43" s="1"/>
      <c r="E43" s="1"/>
      <c r="F43" s="1"/>
      <c r="G43" s="1"/>
      <c r="H43" s="1"/>
      <c r="I43" s="1"/>
      <c r="J43" s="1"/>
      <c r="K43" s="1"/>
      <c r="L43" s="1"/>
      <c r="M43" s="1"/>
      <c r="N43" s="1"/>
      <c r="O43" s="1"/>
      <c r="P43" s="1"/>
      <c r="Q43" s="1"/>
      <c r="R43" s="1"/>
    </row>
    <row r="44" spans="2:18" x14ac:dyDescent="0.25">
      <c r="B44" s="82" t="s">
        <v>108</v>
      </c>
      <c r="C44" s="82"/>
      <c r="D44" s="82"/>
      <c r="E44" s="82"/>
      <c r="F44" s="82"/>
      <c r="G44" s="82"/>
      <c r="H44" s="82"/>
      <c r="I44" s="82"/>
      <c r="J44" s="82"/>
      <c r="K44" s="82"/>
      <c r="L44" s="82"/>
      <c r="M44" s="82"/>
      <c r="N44" s="82"/>
      <c r="O44" s="82"/>
      <c r="P44" s="82"/>
      <c r="Q44" s="82"/>
      <c r="R44" s="82"/>
    </row>
    <row r="45" spans="2:18" x14ac:dyDescent="0.25">
      <c r="B45" s="82"/>
      <c r="C45" s="82"/>
      <c r="D45" s="82"/>
      <c r="E45" s="82"/>
      <c r="F45" s="82"/>
      <c r="G45" s="82"/>
      <c r="H45" s="82"/>
      <c r="I45" s="82"/>
      <c r="J45" s="82"/>
      <c r="K45" s="82"/>
      <c r="L45" s="82"/>
      <c r="M45" s="82"/>
      <c r="N45" s="82"/>
      <c r="O45" s="82"/>
      <c r="P45" s="82"/>
      <c r="Q45" s="82"/>
      <c r="R45" s="82"/>
    </row>
    <row r="46" spans="2:18" x14ac:dyDescent="0.25">
      <c r="B46" s="82"/>
      <c r="C46" s="82"/>
      <c r="D46" s="82"/>
      <c r="E46" s="82"/>
      <c r="F46" s="82"/>
      <c r="G46" s="82"/>
      <c r="H46" s="82"/>
      <c r="I46" s="82"/>
      <c r="J46" s="82"/>
      <c r="K46" s="82"/>
      <c r="L46" s="82"/>
      <c r="M46" s="82"/>
      <c r="N46" s="82"/>
      <c r="O46" s="82"/>
      <c r="P46" s="82"/>
      <c r="Q46" s="82"/>
      <c r="R46" s="82"/>
    </row>
    <row r="47" spans="2:18" x14ac:dyDescent="0.25">
      <c r="B47" s="59" t="s">
        <v>109</v>
      </c>
    </row>
    <row r="48" spans="2:18" x14ac:dyDescent="0.25">
      <c r="B48" s="59"/>
    </row>
  </sheetData>
  <mergeCells count="3">
    <mergeCell ref="B4:R4"/>
    <mergeCell ref="B2:R2"/>
    <mergeCell ref="B44:R46"/>
  </mergeCells>
  <printOptions horizontalCentered="1"/>
  <pageMargins left="1.5" right="1.5" top="1" bottom="0.75" header="0.5" footer="0.3"/>
  <pageSetup scale="74" orientation="landscape" cellComments="asDisplayed" r:id="rId1"/>
  <headerFooter>
    <oddHeader>&amp;R&amp;"Arial,Bold"&amp;14Exhibit GRM-2
Page 1 of 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89945-EE3C-4320-AB49-1233B433DECA}">
  <sheetPr>
    <pageSetUpPr fitToPage="1"/>
  </sheetPr>
  <dimension ref="A1:Z58"/>
  <sheetViews>
    <sheetView topLeftCell="A3" zoomScaleNormal="100" zoomScaleSheetLayoutView="100" workbookViewId="0">
      <selection activeCell="C36" sqref="C36"/>
    </sheetView>
  </sheetViews>
  <sheetFormatPr defaultColWidth="8" defaultRowHeight="13.2" x14ac:dyDescent="0.25"/>
  <cols>
    <col min="1" max="1" width="5.09765625" style="6" customWidth="1"/>
    <col min="2" max="2" width="2" style="6" customWidth="1"/>
    <col min="3" max="3" width="8.09765625" style="6" customWidth="1"/>
    <col min="4" max="4" width="26.69921875" style="6" bestFit="1" customWidth="1"/>
    <col min="5" max="5" width="10.69921875" style="6" customWidth="1"/>
    <col min="6" max="6" width="9.19921875" style="6" customWidth="1"/>
    <col min="7" max="7" width="9.09765625" style="6" customWidth="1"/>
    <col min="8" max="8" width="10" style="6" customWidth="1"/>
    <col min="9" max="9" width="10.19921875" style="6" customWidth="1"/>
    <col min="10" max="10" width="10.5" style="6" customWidth="1"/>
    <col min="11" max="11" width="8" style="6"/>
    <col min="12" max="12" width="8.5" style="6" bestFit="1" customWidth="1"/>
    <col min="13" max="13" width="1.59765625" style="6" customWidth="1"/>
    <col min="14" max="15" width="9.09765625" style="6" bestFit="1" customWidth="1"/>
    <col min="16" max="16" width="1.59765625" style="6" customWidth="1"/>
    <col min="17" max="17" width="12.3984375" style="6" bestFit="1" customWidth="1"/>
    <col min="18" max="18" width="9.09765625" style="6" bestFit="1" customWidth="1"/>
    <col min="19" max="19" width="1.59765625" style="6" customWidth="1"/>
    <col min="20" max="20" width="13.3984375" style="6" bestFit="1" customWidth="1"/>
    <col min="21" max="21" width="10.3984375" style="6" bestFit="1" customWidth="1"/>
    <col min="22" max="22" width="1.59765625" style="6" customWidth="1"/>
    <col min="23" max="23" width="9.09765625" style="6" bestFit="1" customWidth="1"/>
    <col min="24" max="24" width="1.59765625" style="6" customWidth="1"/>
    <col min="25" max="16384" width="8" style="6"/>
  </cols>
  <sheetData>
    <row r="1" spans="1:17" x14ac:dyDescent="0.25">
      <c r="G1" s="7"/>
      <c r="J1" s="7" t="s">
        <v>15</v>
      </c>
    </row>
    <row r="2" spans="1:17" ht="20.25" customHeight="1" x14ac:dyDescent="0.25">
      <c r="G2" s="7"/>
    </row>
    <row r="3" spans="1:17" x14ac:dyDescent="0.25">
      <c r="A3" s="83" t="s">
        <v>16</v>
      </c>
      <c r="B3" s="83"/>
      <c r="C3" s="83"/>
      <c r="D3" s="83"/>
      <c r="E3" s="83"/>
      <c r="F3" s="83"/>
      <c r="G3" s="83"/>
      <c r="H3" s="83"/>
      <c r="I3" s="83"/>
      <c r="J3" s="83"/>
    </row>
    <row r="4" spans="1:17" x14ac:dyDescent="0.25">
      <c r="A4" s="83" t="s">
        <v>73</v>
      </c>
      <c r="B4" s="83"/>
      <c r="C4" s="83"/>
      <c r="D4" s="83"/>
      <c r="E4" s="83"/>
      <c r="F4" s="83"/>
      <c r="G4" s="83"/>
      <c r="H4" s="83"/>
      <c r="I4" s="83"/>
      <c r="J4" s="83"/>
    </row>
    <row r="6" spans="1:17" s="8" customFormat="1" ht="15" customHeight="1" x14ac:dyDescent="0.25">
      <c r="A6" s="84" t="s">
        <v>74</v>
      </c>
      <c r="B6" s="84"/>
      <c r="C6" s="84"/>
      <c r="D6" s="84"/>
      <c r="E6" s="84"/>
      <c r="F6" s="84"/>
      <c r="G6" s="84"/>
      <c r="H6" s="84"/>
      <c r="I6" s="84"/>
      <c r="J6" s="84"/>
      <c r="N6" s="6"/>
      <c r="O6" s="6"/>
      <c r="P6" s="6"/>
    </row>
    <row r="8" spans="1:17" s="9" customFormat="1" ht="38.25" customHeight="1" x14ac:dyDescent="0.25">
      <c r="A8" s="9" t="s">
        <v>17</v>
      </c>
      <c r="C8" s="9" t="s">
        <v>18</v>
      </c>
      <c r="D8" s="9" t="s">
        <v>19</v>
      </c>
      <c r="E8" s="9" t="s">
        <v>20</v>
      </c>
      <c r="F8" s="9" t="s">
        <v>21</v>
      </c>
      <c r="G8" s="9" t="s">
        <v>22</v>
      </c>
      <c r="H8" s="9" t="s">
        <v>23</v>
      </c>
      <c r="I8" s="9" t="s">
        <v>24</v>
      </c>
      <c r="J8" s="9" t="s">
        <v>25</v>
      </c>
      <c r="N8" s="6"/>
      <c r="O8" s="6"/>
      <c r="P8" s="6"/>
    </row>
    <row r="9" spans="1:17" x14ac:dyDescent="0.25">
      <c r="A9" s="10" t="s">
        <v>26</v>
      </c>
      <c r="B9" s="11"/>
      <c r="C9" s="12" t="s">
        <v>27</v>
      </c>
      <c r="D9" s="12" t="s">
        <v>28</v>
      </c>
      <c r="E9" s="12" t="s">
        <v>29</v>
      </c>
      <c r="F9" s="12" t="s">
        <v>30</v>
      </c>
      <c r="G9" s="12" t="s">
        <v>31</v>
      </c>
      <c r="H9" s="12" t="s">
        <v>32</v>
      </c>
      <c r="I9" s="12" t="s">
        <v>33</v>
      </c>
      <c r="J9" s="12" t="s">
        <v>34</v>
      </c>
      <c r="L9" s="9"/>
      <c r="M9" s="9"/>
      <c r="Q9" s="9"/>
    </row>
    <row r="10" spans="1:17" x14ac:dyDescent="0.25">
      <c r="A10" s="11"/>
      <c r="B10" s="11"/>
      <c r="L10" s="9"/>
      <c r="M10" s="9"/>
      <c r="Q10" s="9"/>
    </row>
    <row r="11" spans="1:17" x14ac:dyDescent="0.25">
      <c r="A11" s="11">
        <v>1</v>
      </c>
      <c r="B11" s="11"/>
      <c r="C11" s="13" t="s">
        <v>35</v>
      </c>
      <c r="L11" s="9"/>
      <c r="M11" s="9"/>
      <c r="Q11" s="9"/>
    </row>
    <row r="12" spans="1:17" x14ac:dyDescent="0.25">
      <c r="A12" s="11">
        <f>A11+1</f>
        <v>2</v>
      </c>
      <c r="B12" s="11"/>
      <c r="C12" s="14">
        <v>362</v>
      </c>
      <c r="D12" s="6" t="s">
        <v>36</v>
      </c>
      <c r="E12" s="15">
        <v>489306.13</v>
      </c>
      <c r="F12" s="15">
        <v>0</v>
      </c>
      <c r="G12" s="16">
        <v>6.6699999999999995E-2</v>
      </c>
      <c r="H12" s="15">
        <f>ROUND(((+E12-F12)*G12),2)</f>
        <v>32636.720000000001</v>
      </c>
      <c r="I12" s="17"/>
      <c r="J12" s="18"/>
      <c r="L12" s="9"/>
      <c r="M12" s="9"/>
      <c r="Q12" s="9"/>
    </row>
    <row r="13" spans="1:17" x14ac:dyDescent="0.25">
      <c r="A13" s="11">
        <f t="shared" ref="A13:A39" si="0">A12+1</f>
        <v>3</v>
      </c>
      <c r="B13" s="11"/>
      <c r="C13" s="14">
        <v>364</v>
      </c>
      <c r="D13" s="6" t="s">
        <v>37</v>
      </c>
      <c r="E13" s="15">
        <v>18338033.120000001</v>
      </c>
      <c r="F13" s="15">
        <v>0</v>
      </c>
      <c r="G13" s="16">
        <v>4.7500000000000001E-2</v>
      </c>
      <c r="H13" s="15">
        <f t="shared" ref="H13:H20" si="1">ROUND(((+E13-F13)*G13),2)</f>
        <v>871056.57</v>
      </c>
      <c r="I13" s="17"/>
      <c r="J13" s="18"/>
      <c r="L13" s="9"/>
      <c r="M13" s="9"/>
      <c r="Q13" s="9"/>
    </row>
    <row r="14" spans="1:17" x14ac:dyDescent="0.25">
      <c r="A14" s="11">
        <f t="shared" si="0"/>
        <v>4</v>
      </c>
      <c r="B14" s="11"/>
      <c r="C14" s="14">
        <v>365</v>
      </c>
      <c r="D14" s="6" t="s">
        <v>38</v>
      </c>
      <c r="E14" s="15">
        <v>15168058.890000001</v>
      </c>
      <c r="F14" s="15">
        <v>0</v>
      </c>
      <c r="G14" s="16">
        <v>4.5400000000000003E-2</v>
      </c>
      <c r="H14" s="15">
        <f t="shared" si="1"/>
        <v>688629.87</v>
      </c>
      <c r="I14" s="17"/>
      <c r="J14" s="18"/>
      <c r="L14" s="9"/>
      <c r="M14" s="9"/>
      <c r="Q14" s="9"/>
    </row>
    <row r="15" spans="1:17" x14ac:dyDescent="0.25">
      <c r="A15" s="11">
        <f t="shared" si="0"/>
        <v>5</v>
      </c>
      <c r="B15" s="11"/>
      <c r="C15" s="14">
        <v>366</v>
      </c>
      <c r="D15" s="6" t="s">
        <v>39</v>
      </c>
      <c r="E15" s="15">
        <v>846387.79</v>
      </c>
      <c r="F15" s="15">
        <v>0</v>
      </c>
      <c r="G15" s="16">
        <v>3.9100000000000003E-2</v>
      </c>
      <c r="H15" s="15">
        <f t="shared" si="1"/>
        <v>33093.760000000002</v>
      </c>
      <c r="I15" s="17"/>
      <c r="J15" s="18"/>
      <c r="L15" s="9"/>
      <c r="M15" s="9"/>
      <c r="Q15" s="9"/>
    </row>
    <row r="16" spans="1:17" x14ac:dyDescent="0.25">
      <c r="A16" s="11">
        <f t="shared" si="0"/>
        <v>6</v>
      </c>
      <c r="B16" s="11"/>
      <c r="C16" s="14">
        <v>367</v>
      </c>
      <c r="D16" s="6" t="s">
        <v>40</v>
      </c>
      <c r="E16" s="15">
        <v>410300.43</v>
      </c>
      <c r="F16" s="15">
        <v>0</v>
      </c>
      <c r="G16" s="16">
        <v>2.7799999999999998E-2</v>
      </c>
      <c r="H16" s="15">
        <f t="shared" si="1"/>
        <v>11406.35</v>
      </c>
      <c r="I16" s="17"/>
      <c r="J16" s="18"/>
      <c r="L16" s="9"/>
      <c r="M16" s="9"/>
      <c r="Q16" s="9"/>
    </row>
    <row r="17" spans="1:17" x14ac:dyDescent="0.25">
      <c r="A17" s="11">
        <f t="shared" si="0"/>
        <v>7</v>
      </c>
      <c r="B17" s="11"/>
      <c r="C17" s="14">
        <v>368</v>
      </c>
      <c r="D17" s="6" t="s">
        <v>41</v>
      </c>
      <c r="E17" s="15">
        <v>6985853.7999999998</v>
      </c>
      <c r="F17" s="15">
        <v>0</v>
      </c>
      <c r="G17" s="16">
        <v>2.3300000000000001E-2</v>
      </c>
      <c r="H17" s="15">
        <f t="shared" si="1"/>
        <v>162770.39000000001</v>
      </c>
      <c r="I17" s="17"/>
      <c r="J17" s="18"/>
      <c r="L17" s="9"/>
      <c r="M17" s="9"/>
      <c r="Q17" s="9"/>
    </row>
    <row r="18" spans="1:17" x14ac:dyDescent="0.25">
      <c r="A18" s="11">
        <f t="shared" si="0"/>
        <v>8</v>
      </c>
      <c r="C18" s="14">
        <v>369</v>
      </c>
      <c r="D18" s="6" t="s">
        <v>42</v>
      </c>
      <c r="E18" s="15">
        <v>6310522.6900000004</v>
      </c>
      <c r="F18" s="15">
        <v>0</v>
      </c>
      <c r="G18" s="16">
        <v>4.9700000000000001E-2</v>
      </c>
      <c r="H18" s="15">
        <f t="shared" si="1"/>
        <v>313632.98</v>
      </c>
      <c r="I18" s="17"/>
      <c r="J18" s="18"/>
      <c r="L18" s="9"/>
      <c r="M18" s="9"/>
      <c r="Q18" s="9"/>
    </row>
    <row r="19" spans="1:17" x14ac:dyDescent="0.25">
      <c r="A19" s="11">
        <f t="shared" si="0"/>
        <v>9</v>
      </c>
      <c r="C19" s="14">
        <v>370</v>
      </c>
      <c r="D19" s="6" t="s">
        <v>43</v>
      </c>
      <c r="E19" s="15">
        <v>3817131.04</v>
      </c>
      <c r="F19" s="15">
        <v>0</v>
      </c>
      <c r="G19" s="16">
        <v>6.6699999999999995E-2</v>
      </c>
      <c r="H19" s="15">
        <f t="shared" si="1"/>
        <v>254602.64</v>
      </c>
      <c r="I19" s="17"/>
      <c r="J19" s="18"/>
      <c r="L19" s="9"/>
      <c r="M19" s="9"/>
      <c r="Q19" s="9"/>
    </row>
    <row r="20" spans="1:17" x14ac:dyDescent="0.25">
      <c r="A20" s="11">
        <f t="shared" si="0"/>
        <v>10</v>
      </c>
      <c r="C20" s="14" t="s">
        <v>44</v>
      </c>
      <c r="D20" s="6" t="s">
        <v>45</v>
      </c>
      <c r="E20" s="15">
        <v>3811192.93</v>
      </c>
      <c r="F20" s="15">
        <v>0</v>
      </c>
      <c r="G20" s="16">
        <v>6.3500000000000001E-2</v>
      </c>
      <c r="H20" s="15">
        <f t="shared" si="1"/>
        <v>242010.75</v>
      </c>
      <c r="I20" s="17"/>
      <c r="J20" s="18"/>
      <c r="L20" s="9"/>
      <c r="M20" s="9"/>
      <c r="Q20" s="9"/>
    </row>
    <row r="21" spans="1:17" x14ac:dyDescent="0.25">
      <c r="A21" s="11">
        <f t="shared" si="0"/>
        <v>11</v>
      </c>
      <c r="D21" s="19" t="s">
        <v>46</v>
      </c>
      <c r="E21" s="20">
        <f>SUM(E12:E20)</f>
        <v>56176786.819999993</v>
      </c>
      <c r="F21" s="20">
        <f t="shared" ref="F21:H21" si="2">SUM(F12:F20)</f>
        <v>0</v>
      </c>
      <c r="G21" s="20"/>
      <c r="H21" s="20">
        <f t="shared" si="2"/>
        <v>2609840.0300000003</v>
      </c>
      <c r="I21" s="20">
        <v>2508464.4500000002</v>
      </c>
      <c r="J21" s="20">
        <f t="shared" ref="J21" si="3">H21-I21</f>
        <v>101375.58000000007</v>
      </c>
      <c r="L21" s="9"/>
      <c r="M21" s="9"/>
      <c r="Q21" s="9"/>
    </row>
    <row r="22" spans="1:17" x14ac:dyDescent="0.25">
      <c r="A22" s="11">
        <f t="shared" si="0"/>
        <v>12</v>
      </c>
      <c r="L22" s="9"/>
      <c r="M22" s="9"/>
      <c r="Q22" s="9"/>
    </row>
    <row r="23" spans="1:17" x14ac:dyDescent="0.25">
      <c r="A23" s="11">
        <f t="shared" si="0"/>
        <v>13</v>
      </c>
      <c r="C23" s="13" t="s">
        <v>47</v>
      </c>
      <c r="L23" s="9"/>
      <c r="M23" s="9"/>
      <c r="Q23" s="9"/>
    </row>
    <row r="24" spans="1:17" x14ac:dyDescent="0.25">
      <c r="A24" s="11">
        <f t="shared" si="0"/>
        <v>14</v>
      </c>
      <c r="C24" s="14">
        <v>389</v>
      </c>
      <c r="D24" s="6" t="s">
        <v>48</v>
      </c>
      <c r="E24" s="15"/>
      <c r="F24" s="15"/>
      <c r="G24" s="21"/>
      <c r="H24" s="15"/>
      <c r="I24" s="15"/>
      <c r="J24" s="22"/>
      <c r="L24" s="9"/>
      <c r="M24" s="9"/>
      <c r="Q24" s="9"/>
    </row>
    <row r="25" spans="1:17" x14ac:dyDescent="0.25">
      <c r="A25" s="11">
        <f t="shared" si="0"/>
        <v>15</v>
      </c>
      <c r="C25" s="14">
        <v>390</v>
      </c>
      <c r="D25" s="6" t="s">
        <v>49</v>
      </c>
      <c r="E25" s="15">
        <v>3205150</v>
      </c>
      <c r="F25" s="15">
        <v>0</v>
      </c>
      <c r="G25" s="16">
        <v>2.5000000000000001E-2</v>
      </c>
      <c r="H25" s="15">
        <f>ROUND(((+E25-F25)*G25),2)</f>
        <v>80128.75</v>
      </c>
      <c r="I25" s="17"/>
      <c r="J25" s="18"/>
      <c r="L25" s="9"/>
      <c r="M25" s="9"/>
      <c r="Q25" s="9"/>
    </row>
    <row r="26" spans="1:17" x14ac:dyDescent="0.25">
      <c r="A26" s="11">
        <f t="shared" si="0"/>
        <v>16</v>
      </c>
      <c r="C26" s="14">
        <v>391</v>
      </c>
      <c r="D26" s="6" t="s">
        <v>50</v>
      </c>
      <c r="E26" s="15">
        <v>605317.94999999995</v>
      </c>
      <c r="F26" s="15">
        <v>0</v>
      </c>
      <c r="G26" s="16">
        <v>0.06</v>
      </c>
      <c r="H26" s="15">
        <f t="shared" ref="H26:H32" si="4">ROUND(((+E26-F26)*G26),2)</f>
        <v>36319.08</v>
      </c>
      <c r="I26" s="17"/>
      <c r="J26" s="18"/>
      <c r="L26" s="9"/>
      <c r="M26" s="9"/>
      <c r="Q26" s="9"/>
    </row>
    <row r="27" spans="1:17" x14ac:dyDescent="0.25">
      <c r="A27" s="11">
        <f t="shared" si="0"/>
        <v>17</v>
      </c>
      <c r="C27" s="14">
        <v>393</v>
      </c>
      <c r="D27" s="6" t="s">
        <v>51</v>
      </c>
      <c r="E27" s="15">
        <v>0</v>
      </c>
      <c r="F27" s="15">
        <v>0</v>
      </c>
      <c r="G27" s="16">
        <v>0.05</v>
      </c>
      <c r="H27" s="15">
        <f t="shared" si="4"/>
        <v>0</v>
      </c>
      <c r="I27" s="17"/>
      <c r="J27" s="18"/>
      <c r="L27" s="9"/>
      <c r="M27" s="9"/>
      <c r="Q27" s="9"/>
    </row>
    <row r="28" spans="1:17" x14ac:dyDescent="0.25">
      <c r="A28" s="11">
        <f t="shared" si="0"/>
        <v>18</v>
      </c>
      <c r="C28" s="14">
        <v>394</v>
      </c>
      <c r="D28" s="6" t="s">
        <v>52</v>
      </c>
      <c r="E28" s="15">
        <v>88004.57</v>
      </c>
      <c r="F28" s="15">
        <v>0</v>
      </c>
      <c r="G28" s="16">
        <v>0.05</v>
      </c>
      <c r="H28" s="15">
        <f t="shared" si="4"/>
        <v>4400.2299999999996</v>
      </c>
      <c r="I28" s="17"/>
      <c r="J28" s="18"/>
      <c r="L28" s="9"/>
      <c r="M28" s="9"/>
      <c r="Q28" s="9"/>
    </row>
    <row r="29" spans="1:17" x14ac:dyDescent="0.25">
      <c r="A29" s="11">
        <f t="shared" si="0"/>
        <v>19</v>
      </c>
      <c r="C29" s="14">
        <v>395</v>
      </c>
      <c r="D29" s="6" t="s">
        <v>53</v>
      </c>
      <c r="E29" s="15">
        <v>193128.12</v>
      </c>
      <c r="F29" s="15">
        <v>0</v>
      </c>
      <c r="G29" s="16">
        <v>0.05</v>
      </c>
      <c r="H29" s="15">
        <f t="shared" si="4"/>
        <v>9656.41</v>
      </c>
      <c r="I29" s="17"/>
      <c r="J29" s="18"/>
      <c r="L29" s="9"/>
      <c r="M29" s="9"/>
      <c r="Q29" s="9"/>
    </row>
    <row r="30" spans="1:17" x14ac:dyDescent="0.25">
      <c r="A30" s="11">
        <f t="shared" si="0"/>
        <v>20</v>
      </c>
      <c r="C30" s="14">
        <v>396</v>
      </c>
      <c r="D30" s="6" t="s">
        <v>54</v>
      </c>
      <c r="E30" s="15">
        <v>39197.32</v>
      </c>
      <c r="F30" s="15">
        <v>0</v>
      </c>
      <c r="G30" s="16">
        <v>0.14000000000000001</v>
      </c>
      <c r="H30" s="15">
        <f t="shared" si="4"/>
        <v>5487.62</v>
      </c>
      <c r="I30" s="17"/>
      <c r="J30" s="18"/>
      <c r="L30" s="9"/>
      <c r="M30" s="9"/>
      <c r="Q30" s="9"/>
    </row>
    <row r="31" spans="1:17" x14ac:dyDescent="0.25">
      <c r="A31" s="11">
        <f t="shared" si="0"/>
        <v>21</v>
      </c>
      <c r="C31" s="14">
        <v>397</v>
      </c>
      <c r="D31" s="6" t="s">
        <v>55</v>
      </c>
      <c r="E31" s="15">
        <v>105263.92</v>
      </c>
      <c r="F31" s="15">
        <v>0</v>
      </c>
      <c r="G31" s="16">
        <v>7.0000000000000007E-2</v>
      </c>
      <c r="H31" s="15">
        <f t="shared" si="4"/>
        <v>7368.47</v>
      </c>
      <c r="I31" s="17"/>
      <c r="J31" s="18"/>
      <c r="L31" s="9"/>
      <c r="M31" s="9"/>
      <c r="Q31" s="9"/>
    </row>
    <row r="32" spans="1:17" x14ac:dyDescent="0.25">
      <c r="A32" s="11">
        <f t="shared" si="0"/>
        <v>22</v>
      </c>
      <c r="C32" s="14">
        <v>398</v>
      </c>
      <c r="D32" s="6" t="s">
        <v>56</v>
      </c>
      <c r="E32" s="15">
        <v>79182.11</v>
      </c>
      <c r="F32" s="15">
        <v>0</v>
      </c>
      <c r="G32" s="16">
        <v>0.05</v>
      </c>
      <c r="H32" s="15">
        <f t="shared" si="4"/>
        <v>3959.11</v>
      </c>
      <c r="I32" s="17"/>
      <c r="J32" s="18"/>
      <c r="L32" s="9"/>
      <c r="M32" s="9"/>
      <c r="Q32" s="9"/>
    </row>
    <row r="33" spans="1:26" x14ac:dyDescent="0.25">
      <c r="A33" s="11">
        <f t="shared" si="0"/>
        <v>23</v>
      </c>
      <c r="D33" s="19" t="s">
        <v>46</v>
      </c>
      <c r="E33" s="20">
        <f>SUM(E24:E32)</f>
        <v>4315243.99</v>
      </c>
      <c r="F33" s="20">
        <f>SUM(F24:F32)</f>
        <v>0</v>
      </c>
      <c r="G33" s="20"/>
      <c r="H33" s="20">
        <f>SUM(H24:H32)</f>
        <v>147319.66999999998</v>
      </c>
      <c r="I33" s="20">
        <v>120815.5</v>
      </c>
      <c r="J33" s="20">
        <f t="shared" ref="J33" si="5">H33-I33</f>
        <v>26504.169999999984</v>
      </c>
      <c r="L33" s="9"/>
      <c r="M33" s="9"/>
      <c r="Q33" s="9"/>
    </row>
    <row r="34" spans="1:26" x14ac:dyDescent="0.25">
      <c r="A34" s="11"/>
      <c r="C34" s="23"/>
      <c r="D34" s="24" t="s">
        <v>57</v>
      </c>
      <c r="E34" s="25">
        <f>E21+E33</f>
        <v>60492030.809999995</v>
      </c>
      <c r="F34" s="25">
        <f>F21+F33</f>
        <v>0</v>
      </c>
      <c r="G34" s="25"/>
      <c r="H34" s="25">
        <f>H21+H33</f>
        <v>2757159.7</v>
      </c>
      <c r="I34" s="25">
        <f>I21+I33</f>
        <v>2629279.9500000002</v>
      </c>
      <c r="J34" s="25">
        <f>J21+J33</f>
        <v>127879.75000000006</v>
      </c>
      <c r="L34" s="9"/>
      <c r="M34" s="9"/>
      <c r="Q34" s="9"/>
    </row>
    <row r="35" spans="1:26" ht="39.6" x14ac:dyDescent="0.25">
      <c r="A35" s="11">
        <f>A33+1</f>
        <v>24</v>
      </c>
      <c r="D35" s="26"/>
      <c r="E35" s="15"/>
      <c r="F35" s="15"/>
      <c r="G35" s="15"/>
      <c r="H35" s="15"/>
      <c r="I35" s="15"/>
      <c r="J35" s="15"/>
      <c r="L35" s="9" t="s">
        <v>83</v>
      </c>
      <c r="M35" s="9"/>
      <c r="N35" s="9" t="s">
        <v>84</v>
      </c>
      <c r="O35" s="9" t="s">
        <v>85</v>
      </c>
      <c r="P35" s="9"/>
      <c r="Q35" s="9" t="s">
        <v>86</v>
      </c>
      <c r="R35" s="9" t="s">
        <v>87</v>
      </c>
      <c r="S35" s="9"/>
      <c r="T35" s="9" t="s">
        <v>88</v>
      </c>
      <c r="U35" s="9" t="s">
        <v>89</v>
      </c>
      <c r="W35" s="9" t="s">
        <v>90</v>
      </c>
    </row>
    <row r="36" spans="1:26" x14ac:dyDescent="0.25">
      <c r="A36" s="11">
        <f t="shared" si="0"/>
        <v>25</v>
      </c>
      <c r="C36" s="13" t="s">
        <v>58</v>
      </c>
      <c r="E36" s="15"/>
      <c r="F36" s="15"/>
      <c r="G36" s="15"/>
      <c r="H36" s="15"/>
      <c r="I36" s="15"/>
      <c r="J36" s="15"/>
      <c r="L36" s="9"/>
      <c r="M36" s="9"/>
      <c r="Q36" s="9"/>
    </row>
    <row r="37" spans="1:26" x14ac:dyDescent="0.25">
      <c r="A37" s="11">
        <f t="shared" si="0"/>
        <v>26</v>
      </c>
      <c r="C37" s="14">
        <v>392</v>
      </c>
      <c r="D37" s="6" t="s">
        <v>59</v>
      </c>
      <c r="E37" s="15">
        <v>2315565.42</v>
      </c>
      <c r="F37" s="15">
        <v>0</v>
      </c>
      <c r="G37" s="54">
        <v>0.16</v>
      </c>
      <c r="H37" s="15">
        <f t="shared" ref="H37" si="6">ROUND(((+E37-F37)*G37),2)</f>
        <v>370490.47</v>
      </c>
      <c r="I37" s="57">
        <f>Historical!D19</f>
        <v>263656.16200000001</v>
      </c>
      <c r="J37" s="58">
        <v>0</v>
      </c>
      <c r="L37" s="52">
        <v>248137.56</v>
      </c>
      <c r="M37" s="52"/>
      <c r="N37" s="52">
        <v>174039.46999999997</v>
      </c>
      <c r="O37" s="51">
        <f>N37-L37</f>
        <v>-74098.090000000026</v>
      </c>
      <c r="Q37" s="52">
        <v>106834.30799999996</v>
      </c>
      <c r="R37" s="51">
        <f>Q37-N37</f>
        <v>-67205.162000000011</v>
      </c>
      <c r="T37" s="53">
        <f>J37</f>
        <v>0</v>
      </c>
      <c r="U37" s="51">
        <f>T37-Q37</f>
        <v>-106834.30799999996</v>
      </c>
      <c r="W37" s="51">
        <f>SUM(U37,R37,O37)</f>
        <v>-248137.56</v>
      </c>
    </row>
    <row r="38" spans="1:26" x14ac:dyDescent="0.25">
      <c r="A38" s="11">
        <f t="shared" si="0"/>
        <v>27</v>
      </c>
      <c r="L38" s="53"/>
      <c r="M38" s="53"/>
      <c r="N38" s="53"/>
      <c r="Q38" s="52"/>
      <c r="T38" s="53"/>
    </row>
    <row r="39" spans="1:26" ht="13.8" thickBot="1" x14ac:dyDescent="0.3">
      <c r="A39" s="11">
        <f t="shared" si="0"/>
        <v>28</v>
      </c>
      <c r="C39" s="27"/>
      <c r="D39" s="27" t="s">
        <v>60</v>
      </c>
      <c r="E39" s="28">
        <f>E34+E37</f>
        <v>62807596.229999997</v>
      </c>
      <c r="F39" s="28">
        <f>F34+F37</f>
        <v>0</v>
      </c>
      <c r="G39" s="27"/>
      <c r="H39" s="28">
        <f>H34+H37</f>
        <v>3127650.17</v>
      </c>
      <c r="I39" s="28">
        <f>I34+I37</f>
        <v>2892936.1120000002</v>
      </c>
      <c r="J39" s="29">
        <f>J34+J37</f>
        <v>127879.75000000006</v>
      </c>
      <c r="L39" s="53">
        <v>376017.31000000006</v>
      </c>
      <c r="M39" s="53"/>
      <c r="N39" s="53">
        <v>301919.22000000003</v>
      </c>
      <c r="O39" s="51">
        <f>N39-L39</f>
        <v>-74098.090000000026</v>
      </c>
      <c r="Q39" s="53">
        <v>234714.05800000002</v>
      </c>
      <c r="R39" s="51">
        <f>Q39-N39</f>
        <v>-67205.162000000011</v>
      </c>
      <c r="T39" s="53">
        <f>J39</f>
        <v>127879.75000000006</v>
      </c>
      <c r="U39" s="51">
        <f>T39-Q39</f>
        <v>-106834.30799999996</v>
      </c>
      <c r="W39" s="51">
        <f>SUM(U39,R39,O39)</f>
        <v>-248137.56</v>
      </c>
    </row>
    <row r="40" spans="1:26" ht="13.8" thickTop="1" x14ac:dyDescent="0.25"/>
    <row r="41" spans="1:26" ht="29.25" customHeight="1" x14ac:dyDescent="0.25">
      <c r="A41" s="31"/>
      <c r="B41" s="32"/>
      <c r="C41" s="85" t="s">
        <v>61</v>
      </c>
      <c r="D41" s="85"/>
      <c r="E41" s="85"/>
      <c r="F41" s="85"/>
      <c r="G41" s="85"/>
      <c r="H41" s="85"/>
      <c r="I41" s="85"/>
      <c r="J41" s="85"/>
      <c r="K41" s="32"/>
      <c r="L41" s="32"/>
      <c r="M41" s="32"/>
      <c r="Q41" s="32"/>
      <c r="R41" s="32"/>
      <c r="S41" s="32"/>
      <c r="T41" s="32"/>
      <c r="U41" s="32"/>
      <c r="V41" s="32"/>
      <c r="W41" s="32"/>
      <c r="X41" s="32"/>
      <c r="Y41" s="32"/>
      <c r="Z41" s="32"/>
    </row>
    <row r="42" spans="1:26" ht="12.75" customHeight="1" x14ac:dyDescent="0.25">
      <c r="A42" s="31"/>
      <c r="B42" s="32"/>
      <c r="C42" s="33"/>
      <c r="D42" s="33"/>
      <c r="E42" s="33"/>
      <c r="F42" s="33"/>
      <c r="G42" s="33"/>
      <c r="H42" s="33"/>
      <c r="I42" s="33"/>
      <c r="J42" s="33"/>
      <c r="K42" s="32"/>
      <c r="L42" s="32"/>
      <c r="M42" s="32"/>
      <c r="Q42" s="32"/>
      <c r="R42" s="32"/>
      <c r="S42" s="32"/>
      <c r="T42" s="32"/>
      <c r="U42" s="32"/>
      <c r="V42" s="32"/>
      <c r="W42" s="32"/>
      <c r="X42" s="32"/>
      <c r="Y42" s="32"/>
      <c r="Z42" s="32"/>
    </row>
    <row r="44" spans="1:26" x14ac:dyDescent="0.25">
      <c r="C44" s="13" t="s">
        <v>62</v>
      </c>
      <c r="D44" s="11"/>
      <c r="E44" s="34" t="s">
        <v>63</v>
      </c>
      <c r="F44" s="34" t="s">
        <v>64</v>
      </c>
      <c r="I44" s="56"/>
    </row>
    <row r="45" spans="1:26" x14ac:dyDescent="0.25">
      <c r="D45" s="11"/>
    </row>
    <row r="46" spans="1:26" x14ac:dyDescent="0.25">
      <c r="C46" s="11"/>
      <c r="D46" s="6" t="s">
        <v>65</v>
      </c>
      <c r="E46" s="35">
        <v>0.13889360243740742</v>
      </c>
      <c r="F46" s="36">
        <f>ROUND(E46*$J$37,2)</f>
        <v>0</v>
      </c>
    </row>
    <row r="47" spans="1:26" x14ac:dyDescent="0.25">
      <c r="C47" s="11"/>
      <c r="D47" s="6" t="s">
        <v>66</v>
      </c>
      <c r="E47" s="35">
        <v>0.19268945042171959</v>
      </c>
      <c r="F47" s="36">
        <f>ROUND(E47*$J$37,2)</f>
        <v>0</v>
      </c>
    </row>
    <row r="48" spans="1:26" x14ac:dyDescent="0.25">
      <c r="C48" s="11"/>
      <c r="D48" s="6" t="s">
        <v>67</v>
      </c>
      <c r="E48" s="35">
        <v>0.11482452000949359</v>
      </c>
      <c r="F48" s="36">
        <f>ROUND(E48*$J$37,2)</f>
        <v>0</v>
      </c>
    </row>
    <row r="49" spans="3:6" x14ac:dyDescent="0.25">
      <c r="C49" s="11"/>
      <c r="D49" s="6" t="s">
        <v>68</v>
      </c>
      <c r="E49" s="35">
        <v>1.8414744731455667E-2</v>
      </c>
      <c r="F49" s="36">
        <f>ROUND(E49*$J$37,2)</f>
        <v>0</v>
      </c>
    </row>
    <row r="50" spans="3:6" x14ac:dyDescent="0.25">
      <c r="C50" s="11"/>
      <c r="D50" s="6" t="s">
        <v>69</v>
      </c>
      <c r="E50" s="35">
        <v>0.20959819316933406</v>
      </c>
      <c r="F50" s="36">
        <f>ROUND(E50*$J$37,2)</f>
        <v>0</v>
      </c>
    </row>
    <row r="51" spans="3:6" x14ac:dyDescent="0.25">
      <c r="C51" s="37"/>
      <c r="D51" s="38" t="s">
        <v>46</v>
      </c>
      <c r="E51" s="39">
        <f>SUM(E46:E50)</f>
        <v>0.67442051076941034</v>
      </c>
      <c r="F51" s="40">
        <f>SUM(F46:F50)</f>
        <v>0</v>
      </c>
    </row>
    <row r="52" spans="3:6" ht="6.75" customHeight="1" x14ac:dyDescent="0.25">
      <c r="C52" s="11"/>
      <c r="E52" s="41"/>
      <c r="F52" s="42"/>
    </row>
    <row r="53" spans="3:6" x14ac:dyDescent="0.25">
      <c r="C53" s="11"/>
      <c r="D53" s="6" t="s">
        <v>70</v>
      </c>
      <c r="E53" s="41">
        <v>0.24964338623886273</v>
      </c>
      <c r="F53" s="36">
        <f>ROUND(E53*$J$37,2)</f>
        <v>0</v>
      </c>
    </row>
    <row r="54" spans="3:6" x14ac:dyDescent="0.25">
      <c r="C54" s="11"/>
      <c r="D54" s="6" t="s">
        <v>71</v>
      </c>
      <c r="E54" s="41">
        <v>7.5936102991726928E-2</v>
      </c>
      <c r="F54" s="36">
        <f>ROUND(E54*$J$37,2)</f>
        <v>0</v>
      </c>
    </row>
    <row r="55" spans="3:6" x14ac:dyDescent="0.25">
      <c r="C55" s="37"/>
      <c r="D55" s="38" t="s">
        <v>46</v>
      </c>
      <c r="E55" s="39">
        <f>SUM(E53:E54)</f>
        <v>0.32557948923058966</v>
      </c>
      <c r="F55" s="43">
        <f>SUM(F53:F54)</f>
        <v>0</v>
      </c>
    </row>
    <row r="56" spans="3:6" ht="6" customHeight="1" x14ac:dyDescent="0.25">
      <c r="C56" s="11"/>
      <c r="E56" s="44"/>
      <c r="F56" s="42"/>
    </row>
    <row r="57" spans="3:6" ht="13.8" thickBot="1" x14ac:dyDescent="0.3">
      <c r="C57" s="45"/>
      <c r="D57" s="27" t="s">
        <v>72</v>
      </c>
      <c r="E57" s="46">
        <f>E51+E55</f>
        <v>1</v>
      </c>
      <c r="F57" s="47">
        <f>F55+F51</f>
        <v>0</v>
      </c>
    </row>
    <row r="58" spans="3:6" ht="13.8" thickTop="1" x14ac:dyDescent="0.25"/>
  </sheetData>
  <mergeCells count="4">
    <mergeCell ref="A3:J3"/>
    <mergeCell ref="A4:J4"/>
    <mergeCell ref="A6:J6"/>
    <mergeCell ref="C41:J41"/>
  </mergeCells>
  <printOptions horizontalCentered="1"/>
  <pageMargins left="1" right="0.75" top="0.75" bottom="0.5" header="0.5" footer="0.5"/>
  <pageSetup scale="77" orientation="portrait" r:id="rId1"/>
  <headerFooter alignWithMargins="0">
    <oddFooter>&amp;RExhibit JW-2
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E3B23-F8A7-4A20-BC8B-95069B6B3429}">
  <sheetPr>
    <pageSetUpPr fitToPage="1"/>
  </sheetPr>
  <dimension ref="A1:Y58"/>
  <sheetViews>
    <sheetView zoomScaleNormal="100" zoomScaleSheetLayoutView="100" workbookViewId="0"/>
  </sheetViews>
  <sheetFormatPr defaultColWidth="8" defaultRowHeight="13.2" x14ac:dyDescent="0.25"/>
  <cols>
    <col min="1" max="1" width="5.09765625" style="6" customWidth="1"/>
    <col min="2" max="2" width="2" style="6" customWidth="1"/>
    <col min="3" max="3" width="8.09765625" style="6" customWidth="1"/>
    <col min="4" max="4" width="26.69921875" style="6" bestFit="1" customWidth="1"/>
    <col min="5" max="5" width="10.69921875" style="6" customWidth="1"/>
    <col min="6" max="6" width="9.19921875" style="6" customWidth="1"/>
    <col min="7" max="7" width="9.09765625" style="6" customWidth="1"/>
    <col min="8" max="8" width="10" style="6" customWidth="1"/>
    <col min="9" max="9" width="10.19921875" style="6" customWidth="1"/>
    <col min="10" max="10" width="10.5" style="6" customWidth="1"/>
    <col min="11" max="11" width="8" style="6"/>
    <col min="12" max="12" width="12.3984375" style="6" bestFit="1" customWidth="1"/>
    <col min="13" max="13" width="10" style="6" bestFit="1" customWidth="1"/>
    <col min="14" max="14" width="12.3984375" style="6" bestFit="1" customWidth="1"/>
    <col min="15" max="15" width="10" style="6" bestFit="1" customWidth="1"/>
    <col min="16" max="16" width="12.3984375" style="6" bestFit="1" customWidth="1"/>
    <col min="17" max="16384" width="8" style="6"/>
  </cols>
  <sheetData>
    <row r="1" spans="1:16" x14ac:dyDescent="0.25">
      <c r="G1" s="7"/>
      <c r="J1" s="7" t="s">
        <v>15</v>
      </c>
    </row>
    <row r="2" spans="1:16" ht="20.25" customHeight="1" x14ac:dyDescent="0.25">
      <c r="G2" s="7"/>
    </row>
    <row r="3" spans="1:16" x14ac:dyDescent="0.25">
      <c r="A3" s="83" t="s">
        <v>16</v>
      </c>
      <c r="B3" s="83"/>
      <c r="C3" s="83"/>
      <c r="D3" s="83"/>
      <c r="E3" s="83"/>
      <c r="F3" s="83"/>
      <c r="G3" s="83"/>
      <c r="H3" s="83"/>
      <c r="I3" s="83"/>
      <c r="J3" s="83"/>
    </row>
    <row r="4" spans="1:16" x14ac:dyDescent="0.25">
      <c r="A4" s="83" t="s">
        <v>73</v>
      </c>
      <c r="B4" s="83"/>
      <c r="C4" s="83"/>
      <c r="D4" s="83"/>
      <c r="E4" s="83"/>
      <c r="F4" s="83"/>
      <c r="G4" s="83"/>
      <c r="H4" s="83"/>
      <c r="I4" s="83"/>
      <c r="J4" s="83"/>
    </row>
    <row r="6" spans="1:16" s="8" customFormat="1" ht="15" customHeight="1" x14ac:dyDescent="0.25">
      <c r="A6" s="84" t="s">
        <v>74</v>
      </c>
      <c r="B6" s="84"/>
      <c r="C6" s="84"/>
      <c r="D6" s="84"/>
      <c r="E6" s="84"/>
      <c r="F6" s="84"/>
      <c r="G6" s="84"/>
      <c r="H6" s="84"/>
      <c r="I6" s="84"/>
      <c r="J6" s="84"/>
      <c r="M6" s="6"/>
      <c r="N6" s="6"/>
      <c r="O6" s="6"/>
    </row>
    <row r="8" spans="1:16" s="9" customFormat="1" ht="38.25" customHeight="1" x14ac:dyDescent="0.25">
      <c r="A8" s="9" t="s">
        <v>17</v>
      </c>
      <c r="C8" s="9" t="s">
        <v>18</v>
      </c>
      <c r="D8" s="9" t="s">
        <v>19</v>
      </c>
      <c r="E8" s="9" t="s">
        <v>20</v>
      </c>
      <c r="F8" s="9" t="s">
        <v>21</v>
      </c>
      <c r="G8" s="9" t="s">
        <v>22</v>
      </c>
      <c r="H8" s="9" t="s">
        <v>23</v>
      </c>
      <c r="I8" s="9" t="s">
        <v>24</v>
      </c>
      <c r="J8" s="9" t="s">
        <v>25</v>
      </c>
      <c r="M8" s="6"/>
      <c r="N8" s="6"/>
      <c r="O8" s="6"/>
    </row>
    <row r="9" spans="1:16" x14ac:dyDescent="0.25">
      <c r="A9" s="10" t="s">
        <v>26</v>
      </c>
      <c r="B9" s="11"/>
      <c r="C9" s="12" t="s">
        <v>27</v>
      </c>
      <c r="D9" s="12" t="s">
        <v>28</v>
      </c>
      <c r="E9" s="12" t="s">
        <v>29</v>
      </c>
      <c r="F9" s="12" t="s">
        <v>30</v>
      </c>
      <c r="G9" s="12" t="s">
        <v>31</v>
      </c>
      <c r="H9" s="12" t="s">
        <v>32</v>
      </c>
      <c r="I9" s="12" t="s">
        <v>33</v>
      </c>
      <c r="J9" s="12" t="s">
        <v>34</v>
      </c>
      <c r="L9" s="9"/>
      <c r="P9" s="9"/>
    </row>
    <row r="10" spans="1:16" x14ac:dyDescent="0.25">
      <c r="A10" s="11"/>
      <c r="B10" s="11"/>
      <c r="L10" s="9"/>
      <c r="P10" s="9"/>
    </row>
    <row r="11" spans="1:16" x14ac:dyDescent="0.25">
      <c r="A11" s="11">
        <v>1</v>
      </c>
      <c r="B11" s="11"/>
      <c r="C11" s="13" t="s">
        <v>35</v>
      </c>
      <c r="L11" s="9"/>
      <c r="P11" s="9"/>
    </row>
    <row r="12" spans="1:16" x14ac:dyDescent="0.25">
      <c r="A12" s="11">
        <f>A11+1</f>
        <v>2</v>
      </c>
      <c r="B12" s="11"/>
      <c r="C12" s="14">
        <v>362</v>
      </c>
      <c r="D12" s="6" t="s">
        <v>36</v>
      </c>
      <c r="E12" s="15">
        <v>489306.13</v>
      </c>
      <c r="F12" s="15">
        <v>0</v>
      </c>
      <c r="G12" s="16">
        <v>6.6699999999999995E-2</v>
      </c>
      <c r="H12" s="15">
        <f>ROUND(((+E12-F12)*G12),2)</f>
        <v>32636.720000000001</v>
      </c>
      <c r="I12" s="17"/>
      <c r="J12" s="18"/>
      <c r="L12" s="9"/>
      <c r="P12" s="9"/>
    </row>
    <row r="13" spans="1:16" x14ac:dyDescent="0.25">
      <c r="A13" s="11">
        <f t="shared" ref="A13:A39" si="0">A12+1</f>
        <v>3</v>
      </c>
      <c r="B13" s="11"/>
      <c r="C13" s="14">
        <v>364</v>
      </c>
      <c r="D13" s="6" t="s">
        <v>37</v>
      </c>
      <c r="E13" s="15">
        <v>18338033.120000001</v>
      </c>
      <c r="F13" s="15">
        <v>0</v>
      </c>
      <c r="G13" s="16">
        <v>4.7500000000000001E-2</v>
      </c>
      <c r="H13" s="15">
        <f t="shared" ref="H13:H20" si="1">ROUND(((+E13-F13)*G13),2)</f>
        <v>871056.57</v>
      </c>
      <c r="I13" s="17"/>
      <c r="J13" s="18"/>
      <c r="L13" s="9"/>
      <c r="P13" s="9"/>
    </row>
    <row r="14" spans="1:16" x14ac:dyDescent="0.25">
      <c r="A14" s="11">
        <f t="shared" si="0"/>
        <v>4</v>
      </c>
      <c r="B14" s="11"/>
      <c r="C14" s="14">
        <v>365</v>
      </c>
      <c r="D14" s="6" t="s">
        <v>38</v>
      </c>
      <c r="E14" s="15">
        <v>15168058.890000001</v>
      </c>
      <c r="F14" s="15">
        <v>0</v>
      </c>
      <c r="G14" s="16">
        <v>4.5400000000000003E-2</v>
      </c>
      <c r="H14" s="15">
        <f t="shared" si="1"/>
        <v>688629.87</v>
      </c>
      <c r="I14" s="17"/>
      <c r="J14" s="18"/>
      <c r="L14" s="9"/>
      <c r="P14" s="9"/>
    </row>
    <row r="15" spans="1:16" x14ac:dyDescent="0.25">
      <c r="A15" s="11">
        <f t="shared" si="0"/>
        <v>5</v>
      </c>
      <c r="B15" s="11"/>
      <c r="C15" s="14">
        <v>366</v>
      </c>
      <c r="D15" s="6" t="s">
        <v>39</v>
      </c>
      <c r="E15" s="15">
        <v>846387.79</v>
      </c>
      <c r="F15" s="15">
        <v>0</v>
      </c>
      <c r="G15" s="16">
        <v>3.9100000000000003E-2</v>
      </c>
      <c r="H15" s="15">
        <f t="shared" si="1"/>
        <v>33093.760000000002</v>
      </c>
      <c r="I15" s="17"/>
      <c r="J15" s="18"/>
      <c r="L15" s="9"/>
      <c r="P15" s="9"/>
    </row>
    <row r="16" spans="1:16" x14ac:dyDescent="0.25">
      <c r="A16" s="11">
        <f t="shared" si="0"/>
        <v>6</v>
      </c>
      <c r="B16" s="11"/>
      <c r="C16" s="14">
        <v>367</v>
      </c>
      <c r="D16" s="6" t="s">
        <v>40</v>
      </c>
      <c r="E16" s="15">
        <v>410300.43</v>
      </c>
      <c r="F16" s="15">
        <v>0</v>
      </c>
      <c r="G16" s="16">
        <v>2.7799999999999998E-2</v>
      </c>
      <c r="H16" s="15">
        <f t="shared" si="1"/>
        <v>11406.35</v>
      </c>
      <c r="I16" s="17"/>
      <c r="J16" s="18"/>
      <c r="L16" s="9"/>
      <c r="P16" s="9"/>
    </row>
    <row r="17" spans="1:16" x14ac:dyDescent="0.25">
      <c r="A17" s="11">
        <f t="shared" si="0"/>
        <v>7</v>
      </c>
      <c r="B17" s="11"/>
      <c r="C17" s="14">
        <v>368</v>
      </c>
      <c r="D17" s="6" t="s">
        <v>41</v>
      </c>
      <c r="E17" s="15">
        <v>6985853.7999999998</v>
      </c>
      <c r="F17" s="15">
        <v>0</v>
      </c>
      <c r="G17" s="16">
        <v>2.3300000000000001E-2</v>
      </c>
      <c r="H17" s="15">
        <f t="shared" si="1"/>
        <v>162770.39000000001</v>
      </c>
      <c r="I17" s="17"/>
      <c r="J17" s="18"/>
      <c r="L17" s="9"/>
      <c r="P17" s="9"/>
    </row>
    <row r="18" spans="1:16" x14ac:dyDescent="0.25">
      <c r="A18" s="11">
        <f t="shared" si="0"/>
        <v>8</v>
      </c>
      <c r="C18" s="14">
        <v>369</v>
      </c>
      <c r="D18" s="6" t="s">
        <v>42</v>
      </c>
      <c r="E18" s="15">
        <v>6310522.6900000004</v>
      </c>
      <c r="F18" s="15">
        <v>0</v>
      </c>
      <c r="G18" s="16">
        <v>4.9700000000000001E-2</v>
      </c>
      <c r="H18" s="15">
        <f t="shared" si="1"/>
        <v>313632.98</v>
      </c>
      <c r="I18" s="17"/>
      <c r="J18" s="18"/>
      <c r="L18" s="9"/>
      <c r="P18" s="9"/>
    </row>
    <row r="19" spans="1:16" x14ac:dyDescent="0.25">
      <c r="A19" s="11">
        <f t="shared" si="0"/>
        <v>9</v>
      </c>
      <c r="C19" s="14">
        <v>370</v>
      </c>
      <c r="D19" s="6" t="s">
        <v>43</v>
      </c>
      <c r="E19" s="15">
        <v>3817131.04</v>
      </c>
      <c r="F19" s="15">
        <v>0</v>
      </c>
      <c r="G19" s="16">
        <v>6.6699999999999995E-2</v>
      </c>
      <c r="H19" s="15">
        <f t="shared" si="1"/>
        <v>254602.64</v>
      </c>
      <c r="I19" s="17"/>
      <c r="J19" s="18"/>
      <c r="L19" s="9"/>
      <c r="P19" s="9"/>
    </row>
    <row r="20" spans="1:16" x14ac:dyDescent="0.25">
      <c r="A20" s="11">
        <f t="shared" si="0"/>
        <v>10</v>
      </c>
      <c r="C20" s="14" t="s">
        <v>44</v>
      </c>
      <c r="D20" s="6" t="s">
        <v>45</v>
      </c>
      <c r="E20" s="15">
        <v>3811192.93</v>
      </c>
      <c r="F20" s="15">
        <v>0</v>
      </c>
      <c r="G20" s="16">
        <v>6.3500000000000001E-2</v>
      </c>
      <c r="H20" s="15">
        <f t="shared" si="1"/>
        <v>242010.75</v>
      </c>
      <c r="I20" s="17"/>
      <c r="J20" s="18"/>
      <c r="L20" s="9"/>
      <c r="P20" s="9"/>
    </row>
    <row r="21" spans="1:16" x14ac:dyDescent="0.25">
      <c r="A21" s="11">
        <f t="shared" si="0"/>
        <v>11</v>
      </c>
      <c r="D21" s="19" t="s">
        <v>46</v>
      </c>
      <c r="E21" s="20">
        <f>SUM(E12:E20)</f>
        <v>56176786.819999993</v>
      </c>
      <c r="F21" s="20">
        <f t="shared" ref="F21:H21" si="2">SUM(F12:F20)</f>
        <v>0</v>
      </c>
      <c r="G21" s="20"/>
      <c r="H21" s="20">
        <f t="shared" si="2"/>
        <v>2609840.0300000003</v>
      </c>
      <c r="I21" s="20">
        <v>2508464.4500000002</v>
      </c>
      <c r="J21" s="20">
        <f t="shared" ref="J21" si="3">H21-I21</f>
        <v>101375.58000000007</v>
      </c>
      <c r="L21" s="9"/>
      <c r="P21" s="9"/>
    </row>
    <row r="22" spans="1:16" x14ac:dyDescent="0.25">
      <c r="A22" s="11">
        <f t="shared" si="0"/>
        <v>12</v>
      </c>
      <c r="L22" s="9"/>
      <c r="P22" s="9"/>
    </row>
    <row r="23" spans="1:16" x14ac:dyDescent="0.25">
      <c r="A23" s="11">
        <f t="shared" si="0"/>
        <v>13</v>
      </c>
      <c r="C23" s="13" t="s">
        <v>47</v>
      </c>
      <c r="L23" s="9"/>
      <c r="P23" s="9"/>
    </row>
    <row r="24" spans="1:16" x14ac:dyDescent="0.25">
      <c r="A24" s="11">
        <f t="shared" si="0"/>
        <v>14</v>
      </c>
      <c r="C24" s="14">
        <v>389</v>
      </c>
      <c r="D24" s="6" t="s">
        <v>48</v>
      </c>
      <c r="E24" s="15"/>
      <c r="F24" s="15"/>
      <c r="G24" s="21"/>
      <c r="H24" s="15"/>
      <c r="I24" s="15"/>
      <c r="J24" s="22"/>
      <c r="L24" s="9"/>
      <c r="P24" s="9"/>
    </row>
    <row r="25" spans="1:16" x14ac:dyDescent="0.25">
      <c r="A25" s="11">
        <f t="shared" si="0"/>
        <v>15</v>
      </c>
      <c r="C25" s="14">
        <v>390</v>
      </c>
      <c r="D25" s="6" t="s">
        <v>49</v>
      </c>
      <c r="E25" s="15">
        <v>3205150</v>
      </c>
      <c r="F25" s="15">
        <v>0</v>
      </c>
      <c r="G25" s="16">
        <v>2.5000000000000001E-2</v>
      </c>
      <c r="H25" s="15">
        <f>ROUND(((+E25-F25)*G25),2)</f>
        <v>80128.75</v>
      </c>
      <c r="I25" s="17"/>
      <c r="J25" s="18"/>
      <c r="L25" s="9"/>
      <c r="P25" s="9"/>
    </row>
    <row r="26" spans="1:16" x14ac:dyDescent="0.25">
      <c r="A26" s="11">
        <f t="shared" si="0"/>
        <v>16</v>
      </c>
      <c r="C26" s="14">
        <v>391</v>
      </c>
      <c r="D26" s="6" t="s">
        <v>50</v>
      </c>
      <c r="E26" s="15">
        <v>605317.94999999995</v>
      </c>
      <c r="F26" s="15">
        <v>0</v>
      </c>
      <c r="G26" s="16">
        <v>0.06</v>
      </c>
      <c r="H26" s="15">
        <f t="shared" ref="H26:H32" si="4">ROUND(((+E26-F26)*G26),2)</f>
        <v>36319.08</v>
      </c>
      <c r="I26" s="17"/>
      <c r="J26" s="18"/>
      <c r="L26" s="9"/>
      <c r="P26" s="9"/>
    </row>
    <row r="27" spans="1:16" x14ac:dyDescent="0.25">
      <c r="A27" s="11">
        <f t="shared" si="0"/>
        <v>17</v>
      </c>
      <c r="C27" s="14">
        <v>393</v>
      </c>
      <c r="D27" s="6" t="s">
        <v>51</v>
      </c>
      <c r="E27" s="15">
        <v>0</v>
      </c>
      <c r="F27" s="15">
        <v>0</v>
      </c>
      <c r="G27" s="16">
        <v>0.05</v>
      </c>
      <c r="H27" s="15">
        <f t="shared" si="4"/>
        <v>0</v>
      </c>
      <c r="I27" s="17"/>
      <c r="J27" s="18"/>
      <c r="L27" s="9"/>
      <c r="P27" s="9"/>
    </row>
    <row r="28" spans="1:16" x14ac:dyDescent="0.25">
      <c r="A28" s="11">
        <f t="shared" si="0"/>
        <v>18</v>
      </c>
      <c r="C28" s="14">
        <v>394</v>
      </c>
      <c r="D28" s="6" t="s">
        <v>52</v>
      </c>
      <c r="E28" s="15">
        <v>88004.57</v>
      </c>
      <c r="F28" s="15">
        <v>0</v>
      </c>
      <c r="G28" s="16">
        <v>0.05</v>
      </c>
      <c r="H28" s="15">
        <f t="shared" si="4"/>
        <v>4400.2299999999996</v>
      </c>
      <c r="I28" s="17"/>
      <c r="J28" s="18"/>
      <c r="L28" s="9"/>
      <c r="P28" s="9"/>
    </row>
    <row r="29" spans="1:16" x14ac:dyDescent="0.25">
      <c r="A29" s="11">
        <f t="shared" si="0"/>
        <v>19</v>
      </c>
      <c r="C29" s="14">
        <v>395</v>
      </c>
      <c r="D29" s="6" t="s">
        <v>53</v>
      </c>
      <c r="E29" s="15">
        <v>193128.12</v>
      </c>
      <c r="F29" s="15">
        <v>0</v>
      </c>
      <c r="G29" s="16">
        <v>0.05</v>
      </c>
      <c r="H29" s="15">
        <f t="shared" si="4"/>
        <v>9656.41</v>
      </c>
      <c r="I29" s="17"/>
      <c r="J29" s="18"/>
      <c r="L29" s="9"/>
      <c r="P29" s="9"/>
    </row>
    <row r="30" spans="1:16" x14ac:dyDescent="0.25">
      <c r="A30" s="11">
        <f t="shared" si="0"/>
        <v>20</v>
      </c>
      <c r="C30" s="14">
        <v>396</v>
      </c>
      <c r="D30" s="6" t="s">
        <v>54</v>
      </c>
      <c r="E30" s="15">
        <v>39197.32</v>
      </c>
      <c r="F30" s="15">
        <v>0</v>
      </c>
      <c r="G30" s="16">
        <v>0.14000000000000001</v>
      </c>
      <c r="H30" s="15">
        <f t="shared" si="4"/>
        <v>5487.62</v>
      </c>
      <c r="I30" s="17"/>
      <c r="J30" s="18"/>
      <c r="L30" s="9"/>
      <c r="P30" s="9"/>
    </row>
    <row r="31" spans="1:16" x14ac:dyDescent="0.25">
      <c r="A31" s="11">
        <f t="shared" si="0"/>
        <v>21</v>
      </c>
      <c r="C31" s="14">
        <v>397</v>
      </c>
      <c r="D31" s="6" t="s">
        <v>55</v>
      </c>
      <c r="E31" s="15">
        <v>105263.92</v>
      </c>
      <c r="F31" s="15">
        <v>0</v>
      </c>
      <c r="G31" s="16">
        <v>7.0000000000000007E-2</v>
      </c>
      <c r="H31" s="15">
        <f t="shared" si="4"/>
        <v>7368.47</v>
      </c>
      <c r="I31" s="17"/>
      <c r="J31" s="18"/>
      <c r="L31" s="9"/>
      <c r="P31" s="9"/>
    </row>
    <row r="32" spans="1:16" x14ac:dyDescent="0.25">
      <c r="A32" s="11">
        <f t="shared" si="0"/>
        <v>22</v>
      </c>
      <c r="C32" s="14">
        <v>398</v>
      </c>
      <c r="D32" s="6" t="s">
        <v>56</v>
      </c>
      <c r="E32" s="15">
        <v>79182.11</v>
      </c>
      <c r="F32" s="15">
        <v>0</v>
      </c>
      <c r="G32" s="16">
        <v>0.05</v>
      </c>
      <c r="H32" s="15">
        <f t="shared" si="4"/>
        <v>3959.11</v>
      </c>
      <c r="I32" s="17"/>
      <c r="J32" s="18"/>
      <c r="L32" s="9"/>
      <c r="P32" s="9"/>
    </row>
    <row r="33" spans="1:25" x14ac:dyDescent="0.25">
      <c r="A33" s="11">
        <f t="shared" si="0"/>
        <v>23</v>
      </c>
      <c r="D33" s="19" t="s">
        <v>46</v>
      </c>
      <c r="E33" s="20">
        <f>SUM(E24:E32)</f>
        <v>4315243.99</v>
      </c>
      <c r="F33" s="20">
        <f>SUM(F24:F32)</f>
        <v>0</v>
      </c>
      <c r="G33" s="20"/>
      <c r="H33" s="20">
        <f>SUM(H24:H32)</f>
        <v>147319.66999999998</v>
      </c>
      <c r="I33" s="20">
        <v>120815.5</v>
      </c>
      <c r="J33" s="20">
        <f t="shared" ref="J33" si="5">H33-I33</f>
        <v>26504.169999999984</v>
      </c>
      <c r="L33" s="9"/>
      <c r="P33" s="9"/>
    </row>
    <row r="34" spans="1:25" x14ac:dyDescent="0.25">
      <c r="A34" s="11"/>
      <c r="C34" s="23"/>
      <c r="D34" s="24" t="s">
        <v>57</v>
      </c>
      <c r="E34" s="25">
        <f>E21+E33</f>
        <v>60492030.809999995</v>
      </c>
      <c r="F34" s="25">
        <f>F21+F33</f>
        <v>0</v>
      </c>
      <c r="G34" s="25"/>
      <c r="H34" s="25">
        <f>H21+H33</f>
        <v>2757159.7</v>
      </c>
      <c r="I34" s="25">
        <f>I21+I33</f>
        <v>2629279.9500000002</v>
      </c>
      <c r="J34" s="25">
        <f>J21+J33</f>
        <v>127879.75000000006</v>
      </c>
      <c r="L34" s="9"/>
      <c r="P34" s="9"/>
    </row>
    <row r="35" spans="1:25" x14ac:dyDescent="0.25">
      <c r="A35" s="11">
        <f>A33+1</f>
        <v>24</v>
      </c>
      <c r="D35" s="26"/>
      <c r="E35" s="15"/>
      <c r="F35" s="15"/>
      <c r="G35" s="15"/>
      <c r="H35" s="15"/>
      <c r="I35" s="15"/>
      <c r="J35" s="15"/>
      <c r="L35" s="9"/>
      <c r="P35" s="9"/>
    </row>
    <row r="36" spans="1:25" x14ac:dyDescent="0.25">
      <c r="A36" s="11">
        <f t="shared" si="0"/>
        <v>25</v>
      </c>
      <c r="C36" s="13" t="s">
        <v>58</v>
      </c>
      <c r="E36" s="15"/>
      <c r="F36" s="15"/>
      <c r="G36" s="15"/>
      <c r="H36" s="15"/>
      <c r="I36" s="15"/>
      <c r="J36" s="15"/>
      <c r="L36" s="9"/>
      <c r="P36" s="9"/>
    </row>
    <row r="37" spans="1:25" x14ac:dyDescent="0.25">
      <c r="A37" s="11">
        <f t="shared" si="0"/>
        <v>26</v>
      </c>
      <c r="C37" s="14">
        <v>392</v>
      </c>
      <c r="D37" s="6" t="s">
        <v>59</v>
      </c>
      <c r="E37" s="15">
        <v>2315565.42</v>
      </c>
      <c r="F37" s="15">
        <v>0</v>
      </c>
      <c r="G37" s="16">
        <v>0.192</v>
      </c>
      <c r="H37" s="15">
        <f t="shared" ref="H37" si="6">ROUND(((+E37-F37)*G37),2)</f>
        <v>444588.56</v>
      </c>
      <c r="I37" s="15">
        <v>196451</v>
      </c>
      <c r="J37" s="22">
        <f t="shared" ref="J37" si="7">H37-I37</f>
        <v>248137.56</v>
      </c>
      <c r="L37" s="9"/>
      <c r="N37" s="51"/>
      <c r="P37" s="9"/>
    </row>
    <row r="38" spans="1:25" x14ac:dyDescent="0.25">
      <c r="A38" s="11">
        <f t="shared" si="0"/>
        <v>27</v>
      </c>
      <c r="P38" s="9"/>
    </row>
    <row r="39" spans="1:25" ht="13.8" thickBot="1" x14ac:dyDescent="0.3">
      <c r="A39" s="11">
        <f t="shared" si="0"/>
        <v>28</v>
      </c>
      <c r="C39" s="27"/>
      <c r="D39" s="27" t="s">
        <v>60</v>
      </c>
      <c r="E39" s="28">
        <f>E34+E37</f>
        <v>62807596.229999997</v>
      </c>
      <c r="F39" s="28">
        <f>F34+F37</f>
        <v>0</v>
      </c>
      <c r="G39" s="27"/>
      <c r="H39" s="28">
        <f>H34+H37</f>
        <v>3201748.2600000002</v>
      </c>
      <c r="I39" s="28">
        <f>I34+I37</f>
        <v>2825730.95</v>
      </c>
      <c r="J39" s="29">
        <f>J34+J37</f>
        <v>376017.31000000006</v>
      </c>
      <c r="N39" s="51"/>
      <c r="P39" s="30"/>
    </row>
    <row r="40" spans="1:25" ht="13.8" thickTop="1" x14ac:dyDescent="0.25"/>
    <row r="41" spans="1:25" ht="29.25" customHeight="1" x14ac:dyDescent="0.25">
      <c r="A41" s="31"/>
      <c r="B41" s="32"/>
      <c r="C41" s="85" t="s">
        <v>61</v>
      </c>
      <c r="D41" s="85"/>
      <c r="E41" s="85"/>
      <c r="F41" s="85"/>
      <c r="G41" s="85"/>
      <c r="H41" s="85"/>
      <c r="I41" s="85"/>
      <c r="J41" s="85"/>
      <c r="K41" s="32"/>
      <c r="L41" s="32"/>
      <c r="P41" s="32"/>
      <c r="Q41" s="32"/>
      <c r="R41" s="32"/>
      <c r="S41" s="32"/>
      <c r="T41" s="32"/>
      <c r="U41" s="32"/>
      <c r="V41" s="32"/>
      <c r="W41" s="32"/>
      <c r="X41" s="32"/>
      <c r="Y41" s="32"/>
    </row>
    <row r="42" spans="1:25" ht="12.75" customHeight="1" x14ac:dyDescent="0.25">
      <c r="A42" s="31"/>
      <c r="B42" s="32"/>
      <c r="C42" s="33"/>
      <c r="D42" s="33"/>
      <c r="E42" s="33"/>
      <c r="F42" s="33"/>
      <c r="G42" s="33"/>
      <c r="H42" s="33"/>
      <c r="I42" s="33"/>
      <c r="J42" s="33"/>
      <c r="K42" s="32"/>
      <c r="L42" s="32"/>
      <c r="P42" s="32"/>
      <c r="Q42" s="32"/>
      <c r="R42" s="32"/>
      <c r="S42" s="32"/>
      <c r="T42" s="32"/>
      <c r="U42" s="32"/>
      <c r="V42" s="32"/>
      <c r="W42" s="32"/>
      <c r="X42" s="32"/>
      <c r="Y42" s="32"/>
    </row>
    <row r="44" spans="1:25" x14ac:dyDescent="0.25">
      <c r="C44" s="13" t="s">
        <v>62</v>
      </c>
      <c r="D44" s="11"/>
      <c r="E44" s="34" t="s">
        <v>63</v>
      </c>
      <c r="F44" s="34" t="s">
        <v>64</v>
      </c>
    </row>
    <row r="45" spans="1:25" x14ac:dyDescent="0.25">
      <c r="D45" s="11"/>
    </row>
    <row r="46" spans="1:25" x14ac:dyDescent="0.25">
      <c r="C46" s="11"/>
      <c r="D46" s="6" t="s">
        <v>65</v>
      </c>
      <c r="E46" s="35">
        <v>0.13889360243740742</v>
      </c>
      <c r="F46" s="36">
        <f>ROUND(E46*$J$37,2)</f>
        <v>34464.720000000001</v>
      </c>
    </row>
    <row r="47" spans="1:25" x14ac:dyDescent="0.25">
      <c r="C47" s="11"/>
      <c r="D47" s="6" t="s">
        <v>66</v>
      </c>
      <c r="E47" s="35">
        <v>0.19268945042171959</v>
      </c>
      <c r="F47" s="36">
        <f>ROUND(E47*$J$37,2)</f>
        <v>47813.49</v>
      </c>
    </row>
    <row r="48" spans="1:25" x14ac:dyDescent="0.25">
      <c r="C48" s="11"/>
      <c r="D48" s="6" t="s">
        <v>67</v>
      </c>
      <c r="E48" s="35">
        <v>0.11482452000949359</v>
      </c>
      <c r="F48" s="36">
        <f>ROUND(E48*$J$37,2)</f>
        <v>28492.28</v>
      </c>
    </row>
    <row r="49" spans="3:6" x14ac:dyDescent="0.25">
      <c r="C49" s="11"/>
      <c r="D49" s="6" t="s">
        <v>68</v>
      </c>
      <c r="E49" s="35">
        <v>1.8414744731455667E-2</v>
      </c>
      <c r="F49" s="36">
        <f>ROUND(E49*$J$37,2)</f>
        <v>4569.3900000000003</v>
      </c>
    </row>
    <row r="50" spans="3:6" x14ac:dyDescent="0.25">
      <c r="C50" s="11"/>
      <c r="D50" s="6" t="s">
        <v>69</v>
      </c>
      <c r="E50" s="35">
        <v>0.20959819316933406</v>
      </c>
      <c r="F50" s="36">
        <f>ROUND(E50*$J$37,2)</f>
        <v>52009.18</v>
      </c>
    </row>
    <row r="51" spans="3:6" x14ac:dyDescent="0.25">
      <c r="C51" s="37"/>
      <c r="D51" s="38" t="s">
        <v>46</v>
      </c>
      <c r="E51" s="39">
        <f>SUM(E46:E50)</f>
        <v>0.67442051076941034</v>
      </c>
      <c r="F51" s="40">
        <f>SUM(F46:F50)</f>
        <v>167349.06</v>
      </c>
    </row>
    <row r="52" spans="3:6" ht="6.75" customHeight="1" x14ac:dyDescent="0.25">
      <c r="C52" s="11"/>
      <c r="E52" s="41"/>
      <c r="F52" s="42"/>
    </row>
    <row r="53" spans="3:6" x14ac:dyDescent="0.25">
      <c r="C53" s="11"/>
      <c r="D53" s="6" t="s">
        <v>70</v>
      </c>
      <c r="E53" s="41">
        <v>0.24964338623886273</v>
      </c>
      <c r="F53" s="36">
        <f>ROUND(E53*$J$37,2)</f>
        <v>61945.9</v>
      </c>
    </row>
    <row r="54" spans="3:6" x14ac:dyDescent="0.25">
      <c r="C54" s="11"/>
      <c r="D54" s="6" t="s">
        <v>71</v>
      </c>
      <c r="E54" s="41">
        <v>7.5936102991726928E-2</v>
      </c>
      <c r="F54" s="36">
        <f>ROUND(E54*$J$37,2)</f>
        <v>18842.599999999999</v>
      </c>
    </row>
    <row r="55" spans="3:6" x14ac:dyDescent="0.25">
      <c r="C55" s="37"/>
      <c r="D55" s="38" t="s">
        <v>46</v>
      </c>
      <c r="E55" s="39">
        <f>SUM(E53:E54)</f>
        <v>0.32557948923058966</v>
      </c>
      <c r="F55" s="43">
        <f>SUM(F53:F54)</f>
        <v>80788.5</v>
      </c>
    </row>
    <row r="56" spans="3:6" ht="6" customHeight="1" x14ac:dyDescent="0.25">
      <c r="C56" s="11"/>
      <c r="E56" s="44"/>
      <c r="F56" s="42"/>
    </row>
    <row r="57" spans="3:6" ht="13.8" thickBot="1" x14ac:dyDescent="0.3">
      <c r="C57" s="45"/>
      <c r="D57" s="27" t="s">
        <v>72</v>
      </c>
      <c r="E57" s="46">
        <f>E51+E55</f>
        <v>1</v>
      </c>
      <c r="F57" s="47">
        <f>F55+F51</f>
        <v>248137.56</v>
      </c>
    </row>
    <row r="58" spans="3:6" ht="13.8" thickTop="1" x14ac:dyDescent="0.25"/>
  </sheetData>
  <mergeCells count="4">
    <mergeCell ref="A3:J3"/>
    <mergeCell ref="A4:J4"/>
    <mergeCell ref="A6:J6"/>
    <mergeCell ref="C41:J41"/>
  </mergeCells>
  <printOptions horizontalCentered="1"/>
  <pageMargins left="1" right="0.75" top="0.75" bottom="0.5" header="0.5" footer="0.5"/>
  <pageSetup scale="77" orientation="portrait" r:id="rId1"/>
  <headerFooter alignWithMargins="0">
    <oddFooter>&amp;RExhibit JW-2
Page &amp;P of &amp;N</oddFooter>
  </headerFooter>
  <ignoredErrors>
    <ignoredError sqref="C9:J9"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481D1-06F3-4C9E-AA8A-7A27D32D8465}">
  <dimension ref="B2:D24"/>
  <sheetViews>
    <sheetView tabSelected="1" workbookViewId="0"/>
  </sheetViews>
  <sheetFormatPr defaultRowHeight="13.8" x14ac:dyDescent="0.25"/>
  <cols>
    <col min="1" max="1" width="1.59765625" customWidth="1"/>
    <col min="2" max="2" width="17.19921875" style="2" customWidth="1"/>
    <col min="3" max="3" width="1.59765625" customWidth="1"/>
    <col min="4" max="4" width="16.19921875" customWidth="1"/>
    <col min="5" max="5" width="1.59765625" customWidth="1"/>
  </cols>
  <sheetData>
    <row r="2" spans="2:4" ht="17.399999999999999" x14ac:dyDescent="0.3">
      <c r="B2" s="86" t="s">
        <v>75</v>
      </c>
      <c r="C2" s="86"/>
      <c r="D2" s="86"/>
    </row>
    <row r="4" spans="2:4" ht="15.6" x14ac:dyDescent="0.3">
      <c r="B4" s="87" t="s">
        <v>91</v>
      </c>
      <c r="C4" s="87"/>
      <c r="D4" s="87"/>
    </row>
    <row r="6" spans="2:4" x14ac:dyDescent="0.25">
      <c r="B6" s="48" t="s">
        <v>12</v>
      </c>
      <c r="D6" s="48" t="s">
        <v>7</v>
      </c>
    </row>
    <row r="7" spans="2:4" x14ac:dyDescent="0.25">
      <c r="D7" s="49" t="s">
        <v>27</v>
      </c>
    </row>
    <row r="9" spans="2:4" x14ac:dyDescent="0.25">
      <c r="B9" s="2">
        <v>2019</v>
      </c>
      <c r="D9" s="50">
        <v>219323.04</v>
      </c>
    </row>
    <row r="10" spans="2:4" x14ac:dyDescent="0.25">
      <c r="D10" s="50"/>
    </row>
    <row r="11" spans="2:4" x14ac:dyDescent="0.25">
      <c r="B11" s="2">
        <v>2020</v>
      </c>
      <c r="D11" s="50">
        <v>208172.44</v>
      </c>
    </row>
    <row r="12" spans="2:4" x14ac:dyDescent="0.25">
      <c r="D12" s="50"/>
    </row>
    <row r="13" spans="2:4" x14ac:dyDescent="0.25">
      <c r="B13" s="2">
        <v>2021</v>
      </c>
      <c r="D13" s="50">
        <v>234982.89</v>
      </c>
    </row>
    <row r="14" spans="2:4" x14ac:dyDescent="0.25">
      <c r="D14" s="50"/>
    </row>
    <row r="15" spans="2:4" x14ac:dyDescent="0.25">
      <c r="B15" s="2">
        <v>2022</v>
      </c>
      <c r="D15" s="50">
        <v>462591.73</v>
      </c>
    </row>
    <row r="16" spans="2:4" x14ac:dyDescent="0.25">
      <c r="D16" s="50"/>
    </row>
    <row r="17" spans="2:4" x14ac:dyDescent="0.25">
      <c r="B17" s="2">
        <v>2023</v>
      </c>
      <c r="D17" s="50">
        <v>193210.71</v>
      </c>
    </row>
    <row r="18" spans="2:4" x14ac:dyDescent="0.25">
      <c r="D18" s="50"/>
    </row>
    <row r="19" spans="2:4" x14ac:dyDescent="0.25">
      <c r="B19" s="2" t="s">
        <v>92</v>
      </c>
      <c r="D19" s="50">
        <f>AVERAGE(D17,D15,D13,D11,D9)</f>
        <v>263656.16200000001</v>
      </c>
    </row>
    <row r="21" spans="2:4" x14ac:dyDescent="0.25">
      <c r="B21" s="55" t="s">
        <v>93</v>
      </c>
    </row>
    <row r="22" spans="2:4" x14ac:dyDescent="0.25">
      <c r="B22" s="55" t="s">
        <v>94</v>
      </c>
    </row>
    <row r="23" spans="2:4" x14ac:dyDescent="0.25">
      <c r="B23" s="55" t="s">
        <v>95</v>
      </c>
    </row>
    <row r="24" spans="2:4" x14ac:dyDescent="0.25">
      <c r="B24" s="55"/>
    </row>
  </sheetData>
  <mergeCells count="2">
    <mergeCell ref="B2:D2"/>
    <mergeCell ref="B4:D4"/>
  </mergeCells>
  <pageMargins left="0.7" right="0.7" top="0.75" bottom="0.75" header="0.3" footer="0.3"/>
  <ignoredErrors>
    <ignoredError sqref="D7"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Adj</vt:lpstr>
      <vt:lpstr>Exhibit GRM-2 Balance</vt:lpstr>
      <vt:lpstr>Adj 1.03Depr</vt:lpstr>
      <vt:lpstr>Original 1.03Depr</vt:lpstr>
      <vt:lpstr>Historical</vt:lpstr>
      <vt:lpstr>Adj!Print_Area</vt:lpstr>
      <vt:lpstr>'Adj 1.03Depr'!Print_Area</vt:lpstr>
      <vt:lpstr>'Original 1.03Depr'!Print_Area</vt:lpstr>
    </vt:vector>
  </TitlesOfParts>
  <Company>BAI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Meyer, Greg</dc:creator>
  <cp:lastModifiedBy>angela.goad</cp:lastModifiedBy>
  <cp:lastPrinted>2024-12-27T14:28:43Z</cp:lastPrinted>
  <dcterms:created xsi:type="dcterms:W3CDTF">2024-12-19T20:23:06Z</dcterms:created>
  <dcterms:modified xsi:type="dcterms:W3CDTF">2025-01-31T02:20:02Z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{7516B438-7D20-4E2B-A4B0-3B3026384BD4}</vt:lpwstr>
  </property>
</Properties>
</file>