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bin Slone\Documents\RATE CASE 2023\2024\2024 Rate Case 2024-00287\"/>
    </mc:Choice>
  </mc:AlternateContent>
  <xr:revisionPtr revIDLastSave="0" documentId="13_ncr:1_{A618B4D1-94E0-4BCD-81C9-26C68F975986}" xr6:coauthVersionLast="47" xr6:coauthVersionMax="47" xr10:uidLastSave="{00000000-0000-0000-0000-000000000000}"/>
  <bookViews>
    <workbookView xWindow="28680" yWindow="-120" windowWidth="29040" windowHeight="15840" xr2:uid="{1F7EDEB4-64AE-414C-8638-BC3C2F80FCC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Z83" i="1" l="1"/>
  <c r="AP83" i="1"/>
  <c r="AQ81" i="1" s="1"/>
  <c r="B83" i="1"/>
  <c r="C81" i="1" s="1"/>
  <c r="BC82" i="1"/>
  <c r="BE82" i="1" s="1"/>
  <c r="BG82" i="1" s="1"/>
  <c r="BA82" i="1"/>
  <c r="AQ82" i="1"/>
  <c r="AS82" i="1" s="1"/>
  <c r="AP82" i="1"/>
  <c r="AU82" i="1" s="1"/>
  <c r="AW82" i="1" s="1"/>
  <c r="AF82" i="1"/>
  <c r="V82" i="1"/>
  <c r="M82" i="1"/>
  <c r="O82" i="1" s="1"/>
  <c r="L82" i="1"/>
  <c r="C82" i="1"/>
  <c r="E82" i="1" s="1"/>
  <c r="B82" i="1"/>
  <c r="G82" i="1" s="1"/>
  <c r="I82" i="1" s="1"/>
  <c r="BE81" i="1"/>
  <c r="BC81" i="1"/>
  <c r="BA81" i="1"/>
  <c r="AU81" i="1"/>
  <c r="AS81" i="1"/>
  <c r="AP81" i="1"/>
  <c r="AF81" i="1"/>
  <c r="V81" i="1"/>
  <c r="L81" i="1"/>
  <c r="L83" i="1" s="1"/>
  <c r="M81" i="1" s="1"/>
  <c r="O81" i="1" s="1"/>
  <c r="G81" i="1"/>
  <c r="E81" i="1"/>
  <c r="B81" i="1"/>
  <c r="AZ76" i="1"/>
  <c r="L76" i="1"/>
  <c r="M75" i="1" s="1"/>
  <c r="O75" i="1" s="1"/>
  <c r="AP75" i="1"/>
  <c r="AF75" i="1"/>
  <c r="V75" i="1"/>
  <c r="Q75" i="1"/>
  <c r="S75" i="1" s="1"/>
  <c r="L75" i="1"/>
  <c r="B75" i="1"/>
  <c r="AP74" i="1"/>
  <c r="AF74" i="1"/>
  <c r="V74" i="1"/>
  <c r="V76" i="1" s="1"/>
  <c r="L74" i="1"/>
  <c r="B74" i="1"/>
  <c r="AZ69" i="1"/>
  <c r="AP69" i="1"/>
  <c r="AQ67" i="1" s="1"/>
  <c r="AS67" i="1" s="1"/>
  <c r="BA68" i="1"/>
  <c r="BC68" i="1" s="1"/>
  <c r="BE68" i="1" s="1"/>
  <c r="BG68" i="1" s="1"/>
  <c r="AS68" i="1"/>
  <c r="AQ68" i="1"/>
  <c r="AP68" i="1"/>
  <c r="AF68" i="1"/>
  <c r="V68" i="1"/>
  <c r="L68" i="1"/>
  <c r="B68" i="1"/>
  <c r="BA67" i="1"/>
  <c r="BC67" i="1" s="1"/>
  <c r="BE67" i="1" s="1"/>
  <c r="AU67" i="1"/>
  <c r="AW67" i="1" s="1"/>
  <c r="AP67" i="1"/>
  <c r="AF67" i="1"/>
  <c r="V67" i="1"/>
  <c r="L67" i="1"/>
  <c r="B67" i="1"/>
  <c r="AP61" i="1"/>
  <c r="AF61" i="1"/>
  <c r="V61" i="1"/>
  <c r="L61" i="1"/>
  <c r="B61" i="1"/>
  <c r="AP60" i="1"/>
  <c r="AF60" i="1"/>
  <c r="V60" i="1"/>
  <c r="L60" i="1"/>
  <c r="B60" i="1"/>
  <c r="AF55" i="1"/>
  <c r="L55" i="1"/>
  <c r="M53" i="1" s="1"/>
  <c r="O53" i="1" s="1"/>
  <c r="B55" i="1"/>
  <c r="AP54" i="1"/>
  <c r="AI54" i="1"/>
  <c r="AG54" i="1"/>
  <c r="AF54" i="1"/>
  <c r="V54" i="1"/>
  <c r="L54" i="1"/>
  <c r="G54" i="1"/>
  <c r="I54" i="1" s="1"/>
  <c r="C54" i="1"/>
  <c r="E54" i="1" s="1"/>
  <c r="AZ55" i="1"/>
  <c r="BA53" i="1" s="1"/>
  <c r="BC53" i="1" s="1"/>
  <c r="AP53" i="1"/>
  <c r="AG53" i="1"/>
  <c r="AI53" i="1" s="1"/>
  <c r="AK53" i="1" s="1"/>
  <c r="AM53" i="1" s="1"/>
  <c r="AF53" i="1"/>
  <c r="V53" i="1"/>
  <c r="L53" i="1"/>
  <c r="Q53" i="1" s="1"/>
  <c r="C53" i="1"/>
  <c r="E53" i="1" s="1"/>
  <c r="G53" i="1" s="1"/>
  <c r="AP47" i="1"/>
  <c r="AF47" i="1"/>
  <c r="V47" i="1"/>
  <c r="L47" i="1"/>
  <c r="B47" i="1"/>
  <c r="AP46" i="1"/>
  <c r="AP48" i="1" s="1"/>
  <c r="AQ47" i="1" s="1"/>
  <c r="AS47" i="1" s="1"/>
  <c r="AU47" i="1" s="1"/>
  <c r="AW47" i="1" s="1"/>
  <c r="AF46" i="1"/>
  <c r="V46" i="1"/>
  <c r="V48" i="1" s="1"/>
  <c r="W47" i="1" s="1"/>
  <c r="Y47" i="1" s="1"/>
  <c r="L46" i="1"/>
  <c r="B46" i="1"/>
  <c r="B48" i="1" s="1"/>
  <c r="C47" i="1" s="1"/>
  <c r="E47" i="1" s="1"/>
  <c r="G47" i="1" s="1"/>
  <c r="I47" i="1" s="1"/>
  <c r="AZ40" i="1"/>
  <c r="AQ40" i="1"/>
  <c r="AS40" i="1" s="1"/>
  <c r="AP40" i="1"/>
  <c r="AF40" i="1"/>
  <c r="V40" i="1"/>
  <c r="L40" i="1"/>
  <c r="C40" i="1"/>
  <c r="E40" i="1" s="1"/>
  <c r="B40" i="1"/>
  <c r="AZ39" i="1"/>
  <c r="AZ41" i="1" s="1"/>
  <c r="BA39" i="1" s="1"/>
  <c r="BC39" i="1" s="1"/>
  <c r="AU39" i="1"/>
  <c r="AP39" i="1"/>
  <c r="AP41" i="1" s="1"/>
  <c r="AQ39" i="1" s="1"/>
  <c r="AS39" i="1" s="1"/>
  <c r="AF39" i="1"/>
  <c r="V39" i="1"/>
  <c r="L39" i="1"/>
  <c r="L41" i="1" s="1"/>
  <c r="M39" i="1" s="1"/>
  <c r="O39" i="1" s="1"/>
  <c r="G39" i="1"/>
  <c r="B39" i="1"/>
  <c r="B41" i="1" s="1"/>
  <c r="C39" i="1" s="1"/>
  <c r="E39" i="1" s="1"/>
  <c r="AZ33" i="1"/>
  <c r="AQ33" i="1"/>
  <c r="AS33" i="1" s="1"/>
  <c r="AP33" i="1"/>
  <c r="AF33" i="1"/>
  <c r="V33" i="1"/>
  <c r="L33" i="1"/>
  <c r="C33" i="1"/>
  <c r="E33" i="1" s="1"/>
  <c r="B33" i="1"/>
  <c r="AZ32" i="1"/>
  <c r="AS32" i="1"/>
  <c r="AU32" i="1" s="1"/>
  <c r="AQ32" i="1"/>
  <c r="AP32" i="1"/>
  <c r="AP34" i="1" s="1"/>
  <c r="AF32" i="1"/>
  <c r="AF34" i="1" s="1"/>
  <c r="AG33" i="1" s="1"/>
  <c r="AI33" i="1" s="1"/>
  <c r="V32" i="1"/>
  <c r="M32" i="1"/>
  <c r="O32" i="1" s="1"/>
  <c r="L32" i="1"/>
  <c r="L34" i="1" s="1"/>
  <c r="E32" i="1"/>
  <c r="G32" i="1" s="1"/>
  <c r="C32" i="1"/>
  <c r="B32" i="1"/>
  <c r="B34" i="1" s="1"/>
  <c r="AZ27" i="1"/>
  <c r="AF27" i="1"/>
  <c r="L27" i="1"/>
  <c r="BE26" i="1"/>
  <c r="BG26" i="1" s="1"/>
  <c r="AZ26" i="1"/>
  <c r="BA26" i="1" s="1"/>
  <c r="BC26" i="1" s="1"/>
  <c r="AP26" i="1"/>
  <c r="AG26" i="1"/>
  <c r="AI26" i="1" s="1"/>
  <c r="AF26" i="1"/>
  <c r="V26" i="1"/>
  <c r="L26" i="1"/>
  <c r="B26" i="1"/>
  <c r="BA25" i="1"/>
  <c r="BC25" i="1" s="1"/>
  <c r="AZ25" i="1"/>
  <c r="AS25" i="1"/>
  <c r="AU25" i="1" s="1"/>
  <c r="AP25" i="1"/>
  <c r="AP27" i="1" s="1"/>
  <c r="AQ25" i="1" s="1"/>
  <c r="AF25" i="1"/>
  <c r="V25" i="1"/>
  <c r="M25" i="1"/>
  <c r="O25" i="1" s="1"/>
  <c r="L25" i="1"/>
  <c r="E25" i="1"/>
  <c r="G25" i="1" s="1"/>
  <c r="B25" i="1"/>
  <c r="B27" i="1" s="1"/>
  <c r="C25" i="1" s="1"/>
  <c r="AZ20" i="1"/>
  <c r="BA18" i="1" s="1"/>
  <c r="BC18" i="1" s="1"/>
  <c r="AF20" i="1"/>
  <c r="L20" i="1"/>
  <c r="M18" i="1" s="1"/>
  <c r="O18" i="1" s="1"/>
  <c r="AZ19" i="1"/>
  <c r="BA19" i="1" s="1"/>
  <c r="BC19" i="1" s="1"/>
  <c r="BE19" i="1" s="1"/>
  <c r="BG19" i="1" s="1"/>
  <c r="AP19" i="1"/>
  <c r="AG19" i="1"/>
  <c r="AI19" i="1" s="1"/>
  <c r="AF19" i="1"/>
  <c r="AK19" i="1" s="1"/>
  <c r="AM19" i="1" s="1"/>
  <c r="V19" i="1"/>
  <c r="L19" i="1"/>
  <c r="M19" i="1" s="1"/>
  <c r="O19" i="1" s="1"/>
  <c r="Q19" i="1" s="1"/>
  <c r="S19" i="1" s="1"/>
  <c r="B19" i="1"/>
  <c r="AZ18" i="1"/>
  <c r="AP18" i="1"/>
  <c r="AP20" i="1" s="1"/>
  <c r="AQ18" i="1" s="1"/>
  <c r="AS18" i="1" s="1"/>
  <c r="AU18" i="1" s="1"/>
  <c r="AF18" i="1"/>
  <c r="AG18" i="1" s="1"/>
  <c r="AI18" i="1" s="1"/>
  <c r="AK18" i="1" s="1"/>
  <c r="V18" i="1"/>
  <c r="L18" i="1"/>
  <c r="B18" i="1"/>
  <c r="B20" i="1" s="1"/>
  <c r="C18" i="1" s="1"/>
  <c r="E18" i="1" s="1"/>
  <c r="G18" i="1" s="1"/>
  <c r="AZ13" i="1"/>
  <c r="AF13" i="1"/>
  <c r="AG12" i="1" s="1"/>
  <c r="AI12" i="1" s="1"/>
  <c r="L13" i="1"/>
  <c r="BE12" i="1"/>
  <c r="BG12" i="1" s="1"/>
  <c r="AZ12" i="1"/>
  <c r="BA12" i="1" s="1"/>
  <c r="BC12" i="1" s="1"/>
  <c r="AP12" i="1"/>
  <c r="AF12" i="1"/>
  <c r="V12" i="1"/>
  <c r="Q12" i="1"/>
  <c r="S12" i="1" s="1"/>
  <c r="L12" i="1"/>
  <c r="M12" i="1" s="1"/>
  <c r="O12" i="1" s="1"/>
  <c r="B12" i="1"/>
  <c r="BA11" i="1"/>
  <c r="BC11" i="1" s="1"/>
  <c r="AZ11" i="1"/>
  <c r="AS11" i="1"/>
  <c r="AU11" i="1" s="1"/>
  <c r="AP11" i="1"/>
  <c r="AP13" i="1" s="1"/>
  <c r="AQ11" i="1" s="1"/>
  <c r="AF11" i="1"/>
  <c r="V11" i="1"/>
  <c r="M11" i="1"/>
  <c r="O11" i="1" s="1"/>
  <c r="L11" i="1"/>
  <c r="E11" i="1"/>
  <c r="G11" i="1" s="1"/>
  <c r="B11" i="1"/>
  <c r="B13" i="1" s="1"/>
  <c r="C11" i="1" s="1"/>
  <c r="AZ6" i="1"/>
  <c r="BA4" i="1" s="1"/>
  <c r="BC4" i="1" s="1"/>
  <c r="L6" i="1"/>
  <c r="AZ5" i="1"/>
  <c r="AP5" i="1"/>
  <c r="AF5" i="1"/>
  <c r="V5" i="1"/>
  <c r="L5" i="1"/>
  <c r="B5" i="1"/>
  <c r="AZ4" i="1"/>
  <c r="AP4" i="1"/>
  <c r="AF4" i="1"/>
  <c r="AF6" i="1" s="1"/>
  <c r="AG5" i="1" s="1"/>
  <c r="AI5" i="1" s="1"/>
  <c r="V4" i="1"/>
  <c r="L4" i="1"/>
  <c r="B4" i="1"/>
  <c r="AK20" i="1" l="1"/>
  <c r="AM18" i="1"/>
  <c r="I18" i="1"/>
  <c r="AW18" i="1"/>
  <c r="AQ5" i="1"/>
  <c r="AS5" i="1" s="1"/>
  <c r="AU5" i="1" s="1"/>
  <c r="AW5" i="1" s="1"/>
  <c r="AW11" i="1"/>
  <c r="BE18" i="1"/>
  <c r="BE32" i="1"/>
  <c r="AF41" i="1"/>
  <c r="AG40" i="1" s="1"/>
  <c r="AI40" i="1" s="1"/>
  <c r="AG39" i="1"/>
  <c r="AI39" i="1" s="1"/>
  <c r="AK39" i="1" s="1"/>
  <c r="AK40" i="1"/>
  <c r="AM40" i="1" s="1"/>
  <c r="S53" i="1"/>
  <c r="L62" i="1"/>
  <c r="M60" i="1" s="1"/>
  <c r="O60" i="1" s="1"/>
  <c r="Q60" i="1" s="1"/>
  <c r="AZ62" i="1"/>
  <c r="BA60" i="1"/>
  <c r="BC60" i="1" s="1"/>
  <c r="BE60" i="1" s="1"/>
  <c r="V6" i="1"/>
  <c r="Q11" i="1"/>
  <c r="AG11" i="1"/>
  <c r="AI11" i="1" s="1"/>
  <c r="AK11" i="1" s="1"/>
  <c r="BE11" i="1"/>
  <c r="AK12" i="1"/>
  <c r="AM12" i="1" s="1"/>
  <c r="V27" i="1"/>
  <c r="W26" i="1" s="1"/>
  <c r="Y26" i="1" s="1"/>
  <c r="AA26" i="1" s="1"/>
  <c r="AC26" i="1" s="1"/>
  <c r="W25" i="1"/>
  <c r="Y25" i="1" s="1"/>
  <c r="AA25" i="1" s="1"/>
  <c r="C26" i="1"/>
  <c r="E26" i="1" s="1"/>
  <c r="G26" i="1" s="1"/>
  <c r="AQ26" i="1"/>
  <c r="AS26" i="1" s="1"/>
  <c r="AU26" i="1" s="1"/>
  <c r="V34" i="1"/>
  <c r="W32" i="1"/>
  <c r="Y32" i="1" s="1"/>
  <c r="AA32" i="1" s="1"/>
  <c r="B6" i="1"/>
  <c r="C4" i="1" s="1"/>
  <c r="E4" i="1" s="1"/>
  <c r="G4" i="1" s="1"/>
  <c r="M5" i="1"/>
  <c r="O5" i="1" s="1"/>
  <c r="Q5" i="1" s="1"/>
  <c r="S5" i="1" s="1"/>
  <c r="M40" i="1"/>
  <c r="O40" i="1" s="1"/>
  <c r="Q40" i="1" s="1"/>
  <c r="S40" i="1" s="1"/>
  <c r="BE69" i="1"/>
  <c r="BG67" i="1"/>
  <c r="AG4" i="1"/>
  <c r="AI4" i="1" s="1"/>
  <c r="AK4" i="1" s="1"/>
  <c r="C5" i="1"/>
  <c r="E5" i="1" s="1"/>
  <c r="G5" i="1" s="1"/>
  <c r="I5" i="1" s="1"/>
  <c r="I11" i="1"/>
  <c r="Q18" i="1"/>
  <c r="Q4" i="1"/>
  <c r="BE4" i="1"/>
  <c r="AK5" i="1"/>
  <c r="AM5" i="1" s="1"/>
  <c r="BA5" i="1"/>
  <c r="BC5" i="1" s="1"/>
  <c r="BE5" i="1" s="1"/>
  <c r="BG5" i="1" s="1"/>
  <c r="AA18" i="1"/>
  <c r="V20" i="1"/>
  <c r="W19" i="1" s="1"/>
  <c r="Y19" i="1" s="1"/>
  <c r="AA19" i="1" s="1"/>
  <c r="AC19" i="1" s="1"/>
  <c r="W18" i="1"/>
  <c r="Y18" i="1" s="1"/>
  <c r="C19" i="1"/>
  <c r="E19" i="1" s="1"/>
  <c r="G19" i="1" s="1"/>
  <c r="AQ19" i="1"/>
  <c r="AS19" i="1" s="1"/>
  <c r="AU19" i="1" s="1"/>
  <c r="I25" i="1"/>
  <c r="AW25" i="1"/>
  <c r="I32" i="1"/>
  <c r="M4" i="1"/>
  <c r="O4" i="1" s="1"/>
  <c r="AP6" i="1"/>
  <c r="AQ4" i="1" s="1"/>
  <c r="AS4" i="1" s="1"/>
  <c r="AU4" i="1" s="1"/>
  <c r="V13" i="1"/>
  <c r="W12" i="1" s="1"/>
  <c r="Y12" i="1" s="1"/>
  <c r="AA12" i="1" s="1"/>
  <c r="AC12" i="1" s="1"/>
  <c r="C12" i="1"/>
  <c r="E12" i="1" s="1"/>
  <c r="G12" i="1" s="1"/>
  <c r="AU12" i="1"/>
  <c r="AW12" i="1" s="1"/>
  <c r="AQ12" i="1"/>
  <c r="AS12" i="1" s="1"/>
  <c r="Q25" i="1"/>
  <c r="AG25" i="1"/>
  <c r="AI25" i="1" s="1"/>
  <c r="AK25" i="1" s="1"/>
  <c r="BE25" i="1"/>
  <c r="M26" i="1"/>
  <c r="O26" i="1" s="1"/>
  <c r="Q26" i="1" s="1"/>
  <c r="S26" i="1" s="1"/>
  <c r="AK26" i="1"/>
  <c r="AM26" i="1" s="1"/>
  <c r="AW32" i="1"/>
  <c r="BA40" i="1"/>
  <c r="BC40" i="1" s="1"/>
  <c r="BE40" i="1" s="1"/>
  <c r="BG40" i="1" s="1"/>
  <c r="AF62" i="1"/>
  <c r="AG61" i="1" s="1"/>
  <c r="AI61" i="1" s="1"/>
  <c r="AK61" i="1" s="1"/>
  <c r="AM61" i="1" s="1"/>
  <c r="AA81" i="1"/>
  <c r="V83" i="1"/>
  <c r="W81" i="1"/>
  <c r="Y81" i="1" s="1"/>
  <c r="M33" i="1"/>
  <c r="O33" i="1" s="1"/>
  <c r="Q33" i="1" s="1"/>
  <c r="S33" i="1" s="1"/>
  <c r="AK33" i="1"/>
  <c r="AM33" i="1" s="1"/>
  <c r="AA47" i="1"/>
  <c r="AC47" i="1" s="1"/>
  <c r="V62" i="1"/>
  <c r="W61" i="1" s="1"/>
  <c r="Y61" i="1" s="1"/>
  <c r="AA61" i="1" s="1"/>
  <c r="AC61" i="1" s="1"/>
  <c r="W60" i="1"/>
  <c r="Y60" i="1" s="1"/>
  <c r="AA60" i="1" s="1"/>
  <c r="G68" i="1"/>
  <c r="I68" i="1" s="1"/>
  <c r="B69" i="1"/>
  <c r="C67" i="1" s="1"/>
  <c r="E67" i="1" s="1"/>
  <c r="G67" i="1" s="1"/>
  <c r="C68" i="1"/>
  <c r="E68" i="1" s="1"/>
  <c r="W74" i="1"/>
  <c r="Y74" i="1" s="1"/>
  <c r="AA74" i="1" s="1"/>
  <c r="W75" i="1"/>
  <c r="Y75" i="1" s="1"/>
  <c r="AA75" i="1" s="1"/>
  <c r="AC75" i="1" s="1"/>
  <c r="AW81" i="1"/>
  <c r="AU83" i="1"/>
  <c r="Q32" i="1"/>
  <c r="AG32" i="1"/>
  <c r="AI32" i="1" s="1"/>
  <c r="AK32" i="1" s="1"/>
  <c r="G40" i="1"/>
  <c r="I40" i="1" s="1"/>
  <c r="AU40" i="1"/>
  <c r="AW40" i="1" s="1"/>
  <c r="W46" i="1"/>
  <c r="Y46" i="1" s="1"/>
  <c r="AA46" i="1" s="1"/>
  <c r="AQ46" i="1"/>
  <c r="AS46" i="1" s="1"/>
  <c r="AG60" i="1"/>
  <c r="AI60" i="1" s="1"/>
  <c r="AK60" i="1" s="1"/>
  <c r="BA61" i="1"/>
  <c r="BC61" i="1" s="1"/>
  <c r="BE61" i="1" s="1"/>
  <c r="BG61" i="1" s="1"/>
  <c r="M68" i="1"/>
  <c r="O68" i="1" s="1"/>
  <c r="Q68" i="1" s="1"/>
  <c r="S68" i="1" s="1"/>
  <c r="I81" i="1"/>
  <c r="G83" i="1"/>
  <c r="AZ34" i="1"/>
  <c r="BA32" i="1" s="1"/>
  <c r="BC32" i="1" s="1"/>
  <c r="G33" i="1"/>
  <c r="I33" i="1" s="1"/>
  <c r="W33" i="1"/>
  <c r="Y33" i="1" s="1"/>
  <c r="AA33" i="1" s="1"/>
  <c r="AC33" i="1" s="1"/>
  <c r="AU33" i="1"/>
  <c r="AW33" i="1" s="1"/>
  <c r="G41" i="1"/>
  <c r="I39" i="1"/>
  <c r="AU41" i="1"/>
  <c r="AW39" i="1"/>
  <c r="AK47" i="1"/>
  <c r="AM47" i="1" s="1"/>
  <c r="G55" i="1"/>
  <c r="I53" i="1"/>
  <c r="B62" i="1"/>
  <c r="C60" i="1" s="1"/>
  <c r="E60" i="1" s="1"/>
  <c r="G60" i="1" s="1"/>
  <c r="AP62" i="1"/>
  <c r="AQ60" i="1" s="1"/>
  <c r="AS60" i="1" s="1"/>
  <c r="AU60" i="1" s="1"/>
  <c r="AF76" i="1"/>
  <c r="AG74" i="1" s="1"/>
  <c r="AI74" i="1" s="1"/>
  <c r="AK74" i="1" s="1"/>
  <c r="BA75" i="1"/>
  <c r="BC75" i="1" s="1"/>
  <c r="BE75" i="1" s="1"/>
  <c r="BG75" i="1" s="1"/>
  <c r="BA74" i="1"/>
  <c r="BC74" i="1" s="1"/>
  <c r="BE74" i="1" s="1"/>
  <c r="Q39" i="1"/>
  <c r="BE39" i="1"/>
  <c r="V41" i="1"/>
  <c r="AU46" i="1"/>
  <c r="BE53" i="1"/>
  <c r="L69" i="1"/>
  <c r="AF69" i="1"/>
  <c r="AG68" i="1" s="1"/>
  <c r="AI68" i="1" s="1"/>
  <c r="AK68" i="1" s="1"/>
  <c r="AM68" i="1" s="1"/>
  <c r="AG67" i="1"/>
  <c r="AI67" i="1" s="1"/>
  <c r="AK67" i="1" s="1"/>
  <c r="V69" i="1"/>
  <c r="W68" i="1" s="1"/>
  <c r="Y68" i="1" s="1"/>
  <c r="AA68" i="1" s="1"/>
  <c r="AC68" i="1" s="1"/>
  <c r="M74" i="1"/>
  <c r="O74" i="1" s="1"/>
  <c r="C46" i="1"/>
  <c r="E46" i="1" s="1"/>
  <c r="G46" i="1" s="1"/>
  <c r="L48" i="1"/>
  <c r="M54" i="1"/>
  <c r="O54" i="1" s="1"/>
  <c r="Q54" i="1" s="1"/>
  <c r="S54" i="1" s="1"/>
  <c r="AK54" i="1"/>
  <c r="AM54" i="1" s="1"/>
  <c r="BA54" i="1"/>
  <c r="BC54" i="1" s="1"/>
  <c r="BE54" i="1" s="1"/>
  <c r="BG54" i="1" s="1"/>
  <c r="M67" i="1"/>
  <c r="O67" i="1" s="1"/>
  <c r="Q67" i="1" s="1"/>
  <c r="AU68" i="1"/>
  <c r="G74" i="1"/>
  <c r="B76" i="1"/>
  <c r="C74" i="1" s="1"/>
  <c r="E74" i="1" s="1"/>
  <c r="Q74" i="1"/>
  <c r="AP76" i="1"/>
  <c r="AQ74" i="1" s="1"/>
  <c r="AS74" i="1" s="1"/>
  <c r="AU74" i="1" s="1"/>
  <c r="W82" i="1"/>
  <c r="Y82" i="1" s="1"/>
  <c r="AA82" i="1" s="1"/>
  <c r="AC82" i="1" s="1"/>
  <c r="AF48" i="1"/>
  <c r="AG46" i="1" s="1"/>
  <c r="AI46" i="1" s="1"/>
  <c r="AK46" i="1"/>
  <c r="AZ48" i="1"/>
  <c r="BA47" i="1" s="1"/>
  <c r="BC47" i="1" s="1"/>
  <c r="BE47" i="1" s="1"/>
  <c r="BG47" i="1" s="1"/>
  <c r="AG47" i="1"/>
  <c r="AI47" i="1" s="1"/>
  <c r="V55" i="1"/>
  <c r="W54" i="1" s="1"/>
  <c r="Y54" i="1" s="1"/>
  <c r="AA54" i="1" s="1"/>
  <c r="AC54" i="1" s="1"/>
  <c r="W53" i="1"/>
  <c r="Y53" i="1" s="1"/>
  <c r="AA53" i="1" s="1"/>
  <c r="AP55" i="1"/>
  <c r="C75" i="1"/>
  <c r="E75" i="1" s="1"/>
  <c r="G75" i="1" s="1"/>
  <c r="I75" i="1" s="1"/>
  <c r="AF83" i="1"/>
  <c r="AG82" i="1" s="1"/>
  <c r="AI82" i="1" s="1"/>
  <c r="AK82" i="1" s="1"/>
  <c r="AM82" i="1" s="1"/>
  <c r="BE83" i="1"/>
  <c r="BG81" i="1"/>
  <c r="Q82" i="1"/>
  <c r="S82" i="1" s="1"/>
  <c r="Q81" i="1"/>
  <c r="AW19" i="1" l="1"/>
  <c r="AU20" i="1"/>
  <c r="AW26" i="1"/>
  <c r="AU27" i="1"/>
  <c r="AA55" i="1"/>
  <c r="AC53" i="1"/>
  <c r="Q69" i="1"/>
  <c r="S67" i="1"/>
  <c r="AM60" i="1"/>
  <c r="AK62" i="1"/>
  <c r="I12" i="1"/>
  <c r="G13" i="1"/>
  <c r="I19" i="1"/>
  <c r="G20" i="1"/>
  <c r="I26" i="1"/>
  <c r="G27" i="1"/>
  <c r="BG60" i="1"/>
  <c r="BE62" i="1"/>
  <c r="AW74" i="1"/>
  <c r="AK6" i="1"/>
  <c r="AM4" i="1"/>
  <c r="AA34" i="1"/>
  <c r="AC32" i="1"/>
  <c r="AA27" i="1"/>
  <c r="AC25" i="1"/>
  <c r="AK41" i="1"/>
  <c r="AM39" i="1"/>
  <c r="AM74" i="1"/>
  <c r="AC46" i="1"/>
  <c r="AA48" i="1"/>
  <c r="AA62" i="1"/>
  <c r="AC60" i="1"/>
  <c r="S60" i="1"/>
  <c r="Q62" i="1"/>
  <c r="I46" i="1"/>
  <c r="G48" i="1"/>
  <c r="AW60" i="1"/>
  <c r="AU62" i="1"/>
  <c r="AM32" i="1"/>
  <c r="AK34" i="1"/>
  <c r="S4" i="1"/>
  <c r="Q6" i="1"/>
  <c r="BG32" i="1"/>
  <c r="AQ75" i="1"/>
  <c r="AS75" i="1" s="1"/>
  <c r="AU75" i="1" s="1"/>
  <c r="AW75" i="1" s="1"/>
  <c r="AQ54" i="1"/>
  <c r="AS54" i="1" s="1"/>
  <c r="AU54" i="1" s="1"/>
  <c r="AW54" i="1" s="1"/>
  <c r="AQ53" i="1"/>
  <c r="AS53" i="1" s="1"/>
  <c r="AU53" i="1" s="1"/>
  <c r="AM46" i="1"/>
  <c r="AK48" i="1"/>
  <c r="AW68" i="1"/>
  <c r="AU69" i="1"/>
  <c r="AU48" i="1"/>
  <c r="AW46" i="1"/>
  <c r="BG74" i="1"/>
  <c r="BE76" i="1"/>
  <c r="I60" i="1"/>
  <c r="AK55" i="1"/>
  <c r="Q34" i="1"/>
  <c r="S32" i="1"/>
  <c r="AA76" i="1"/>
  <c r="AC74" i="1"/>
  <c r="AQ61" i="1"/>
  <c r="AS61" i="1" s="1"/>
  <c r="AU61" i="1" s="1"/>
  <c r="AW61" i="1" s="1"/>
  <c r="BA33" i="1"/>
  <c r="BC33" i="1" s="1"/>
  <c r="BE33" i="1" s="1"/>
  <c r="BG33" i="1" s="1"/>
  <c r="AU34" i="1"/>
  <c r="AK27" i="1"/>
  <c r="AM25" i="1"/>
  <c r="G34" i="1"/>
  <c r="S18" i="1"/>
  <c r="Q20" i="1"/>
  <c r="AK13" i="1"/>
  <c r="AM11" i="1"/>
  <c r="BG18" i="1"/>
  <c r="BE20" i="1"/>
  <c r="G76" i="1"/>
  <c r="I74" i="1"/>
  <c r="BE55" i="1"/>
  <c r="BG53" i="1"/>
  <c r="AA20" i="1"/>
  <c r="AC18" i="1"/>
  <c r="W5" i="1"/>
  <c r="Y5" i="1" s="1"/>
  <c r="AA5" i="1" s="1"/>
  <c r="AC5" i="1" s="1"/>
  <c r="W4" i="1"/>
  <c r="Y4" i="1" s="1"/>
  <c r="AA4" i="1" s="1"/>
  <c r="S74" i="1"/>
  <c r="Q76" i="1"/>
  <c r="W40" i="1"/>
  <c r="Y40" i="1" s="1"/>
  <c r="AA40" i="1" s="1"/>
  <c r="AC40" i="1" s="1"/>
  <c r="W39" i="1"/>
  <c r="Y39" i="1" s="1"/>
  <c r="AA39" i="1" s="1"/>
  <c r="W67" i="1"/>
  <c r="Y67" i="1" s="1"/>
  <c r="AA67" i="1" s="1"/>
  <c r="M61" i="1"/>
  <c r="O61" i="1" s="1"/>
  <c r="Q61" i="1" s="1"/>
  <c r="S61" i="1" s="1"/>
  <c r="S25" i="1"/>
  <c r="Q27" i="1"/>
  <c r="AU6" i="1"/>
  <c r="AW4" i="1"/>
  <c r="S11" i="1"/>
  <c r="Q13" i="1"/>
  <c r="Q55" i="1"/>
  <c r="AK69" i="1"/>
  <c r="AM67" i="1"/>
  <c r="S39" i="1"/>
  <c r="Q41" i="1"/>
  <c r="AC81" i="1"/>
  <c r="AA83" i="1"/>
  <c r="BG25" i="1"/>
  <c r="BE27" i="1"/>
  <c r="G6" i="1"/>
  <c r="I4" i="1"/>
  <c r="BG11" i="1"/>
  <c r="BE13" i="1"/>
  <c r="Q83" i="1"/>
  <c r="S81" i="1"/>
  <c r="AG81" i="1"/>
  <c r="AI81" i="1" s="1"/>
  <c r="AK81" i="1" s="1"/>
  <c r="BA46" i="1"/>
  <c r="BC46" i="1" s="1"/>
  <c r="BE46" i="1" s="1"/>
  <c r="M46" i="1"/>
  <c r="O46" i="1" s="1"/>
  <c r="Q46" i="1" s="1"/>
  <c r="M47" i="1"/>
  <c r="O47" i="1" s="1"/>
  <c r="Q47" i="1" s="1"/>
  <c r="S47" i="1" s="1"/>
  <c r="BG39" i="1"/>
  <c r="BE41" i="1"/>
  <c r="AG75" i="1"/>
  <c r="AI75" i="1" s="1"/>
  <c r="AK75" i="1" s="1"/>
  <c r="AM75" i="1" s="1"/>
  <c r="I67" i="1"/>
  <c r="G69" i="1"/>
  <c r="C61" i="1"/>
  <c r="E61" i="1" s="1"/>
  <c r="G61" i="1" s="1"/>
  <c r="I61" i="1" s="1"/>
  <c r="W11" i="1"/>
  <c r="Y11" i="1" s="1"/>
  <c r="AA11" i="1" s="1"/>
  <c r="BG4" i="1"/>
  <c r="BE6" i="1"/>
  <c r="AU13" i="1"/>
  <c r="AA6" i="1" l="1"/>
  <c r="AC4" i="1"/>
  <c r="G62" i="1"/>
  <c r="AU76" i="1"/>
  <c r="AK83" i="1"/>
  <c r="AM81" i="1"/>
  <c r="AC39" i="1"/>
  <c r="AA41" i="1"/>
  <c r="AA13" i="1"/>
  <c r="AC11" i="1"/>
  <c r="S46" i="1"/>
  <c r="Q48" i="1"/>
  <c r="BE34" i="1"/>
  <c r="AK76" i="1"/>
  <c r="BE48" i="1"/>
  <c r="BG46" i="1"/>
  <c r="AA69" i="1"/>
  <c r="AC67" i="1"/>
  <c r="AW53" i="1"/>
  <c r="AU55" i="1"/>
</calcChain>
</file>

<file path=xl/sharedStrings.xml><?xml version="1.0" encoding="utf-8"?>
<sst xmlns="http://schemas.openxmlformats.org/spreadsheetml/2006/main" count="433" uniqueCount="7">
  <si>
    <t>Nova Fees</t>
  </si>
  <si>
    <t>Fees</t>
  </si>
  <si>
    <t>Per Trans</t>
  </si>
  <si>
    <t>Visa</t>
  </si>
  <si>
    <t>MC</t>
  </si>
  <si>
    <t>Nova</t>
  </si>
  <si>
    <t>*Highlights indicate invoices that we can't find or don't have for these time periods. July 2022 we were in the process of converting to new data system.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</si>
</sst>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1">
    <xf numFmtId="0" fontId="0" fillId="0" borderId="0" xfId="0"/>
    <xf numFmtId="16" fontId="2" fillId="0" borderId="1" xfId="0" applyNumberFormat="1" applyFont="1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2" fontId="0" fillId="0" borderId="0" xfId="0" applyNumberFormat="1"/>
    <xf numFmtId="9" fontId="0" fillId="0" borderId="0" xfId="1" applyFont="1" applyFill="1" applyBorder="1"/>
    <xf numFmtId="2" fontId="0" fillId="0" borderId="5" xfId="0" applyNumberFormat="1" applyBorder="1"/>
    <xf numFmtId="9" fontId="0" fillId="0" borderId="0" xfId="1" applyFont="1" applyBorder="1"/>
    <xf numFmtId="0" fontId="0" fillId="0" borderId="5" xfId="0" applyBorder="1"/>
    <xf numFmtId="0" fontId="0" fillId="0" borderId="6" xfId="0" applyBorder="1"/>
    <xf numFmtId="2" fontId="0" fillId="0" borderId="7" xfId="0" applyNumberFormat="1" applyBorder="1"/>
    <xf numFmtId="0" fontId="0" fillId="0" borderId="7" xfId="0" applyBorder="1"/>
    <xf numFmtId="0" fontId="0" fillId="0" borderId="8" xfId="0" applyBorder="1"/>
    <xf numFmtId="164" fontId="0" fillId="0" borderId="0" xfId="0" applyNumberFormat="1"/>
    <xf numFmtId="16" fontId="2" fillId="2" borderId="1" xfId="0" applyNumberFormat="1" applyFont="1" applyFill="1" applyBorder="1" applyAlignment="1">
      <alignment horizontal="center"/>
    </xf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2" fontId="0" fillId="2" borderId="0" xfId="0" applyNumberFormat="1" applyFill="1"/>
    <xf numFmtId="9" fontId="0" fillId="2" borderId="0" xfId="1" applyFont="1" applyFill="1" applyBorder="1"/>
    <xf numFmtId="0" fontId="0" fillId="2" borderId="0" xfId="0" applyFill="1"/>
    <xf numFmtId="2" fontId="0" fillId="2" borderId="5" xfId="0" applyNumberFormat="1" applyFill="1" applyBorder="1"/>
    <xf numFmtId="0" fontId="0" fillId="2" borderId="5" xfId="0" applyFill="1" applyBorder="1"/>
    <xf numFmtId="0" fontId="0" fillId="2" borderId="6" xfId="0" applyFill="1" applyBorder="1"/>
    <xf numFmtId="2" fontId="0" fillId="2" borderId="7" xfId="0" applyNumberFormat="1" applyFill="1" applyBorder="1"/>
    <xf numFmtId="0" fontId="0" fillId="2" borderId="7" xfId="0" applyFill="1" applyBorder="1"/>
    <xf numFmtId="0" fontId="0" fillId="2" borderId="8" xfId="0" applyFill="1" applyBorder="1"/>
    <xf numFmtId="16" fontId="2" fillId="3" borderId="1" xfId="0" applyNumberFormat="1" applyFont="1" applyFill="1" applyBorder="1" applyAlignment="1">
      <alignment horizontal="center"/>
    </xf>
    <xf numFmtId="0" fontId="0" fillId="3" borderId="2" xfId="0" applyFill="1" applyBorder="1"/>
    <xf numFmtId="0" fontId="0" fillId="3" borderId="3" xfId="0" applyFill="1" applyBorder="1"/>
    <xf numFmtId="0" fontId="0" fillId="3" borderId="4" xfId="0" applyFill="1" applyBorder="1"/>
    <xf numFmtId="2" fontId="0" fillId="3" borderId="0" xfId="0" applyNumberFormat="1" applyFill="1"/>
    <xf numFmtId="9" fontId="0" fillId="3" borderId="0" xfId="1" applyFont="1" applyFill="1" applyBorder="1"/>
    <xf numFmtId="0" fontId="0" fillId="3" borderId="0" xfId="0" applyFill="1"/>
    <xf numFmtId="2" fontId="0" fillId="3" borderId="5" xfId="0" applyNumberFormat="1" applyFill="1" applyBorder="1"/>
    <xf numFmtId="0" fontId="0" fillId="3" borderId="5" xfId="0" applyFill="1" applyBorder="1"/>
    <xf numFmtId="0" fontId="0" fillId="3" borderId="6" xfId="0" applyFill="1" applyBorder="1"/>
    <xf numFmtId="2" fontId="0" fillId="3" borderId="7" xfId="0" applyNumberFormat="1" applyFill="1" applyBorder="1"/>
    <xf numFmtId="0" fontId="0" fillId="3" borderId="7" xfId="0" applyFill="1" applyBorder="1"/>
    <xf numFmtId="0" fontId="0" fillId="3" borderId="8" xfId="0" applyFill="1" applyBorder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5C5381-9EBC-4E22-BE06-7A6EA4F72D1C}">
  <dimension ref="A2:BG88"/>
  <sheetViews>
    <sheetView tabSelected="1" topLeftCell="A70" workbookViewId="0">
      <selection activeCell="P88" sqref="P88"/>
    </sheetView>
  </sheetViews>
  <sheetFormatPr defaultRowHeight="15" x14ac:dyDescent="0.25"/>
  <sheetData>
    <row r="2" spans="1:59" ht="15.75" thickBot="1" x14ac:dyDescent="0.3"/>
    <row r="3" spans="1:59" x14ac:dyDescent="0.25">
      <c r="A3" s="1">
        <v>45308</v>
      </c>
      <c r="B3" s="2"/>
      <c r="C3" s="2"/>
      <c r="D3" s="2"/>
      <c r="E3" s="2" t="s">
        <v>0</v>
      </c>
      <c r="F3" s="2"/>
      <c r="G3" s="2" t="s">
        <v>1</v>
      </c>
      <c r="H3" s="2"/>
      <c r="I3" s="3" t="s">
        <v>2</v>
      </c>
      <c r="K3" s="1">
        <v>45309</v>
      </c>
      <c r="L3" s="2"/>
      <c r="M3" s="2"/>
      <c r="N3" s="2"/>
      <c r="O3" s="2" t="s">
        <v>0</v>
      </c>
      <c r="P3" s="2"/>
      <c r="Q3" s="2" t="s">
        <v>1</v>
      </c>
      <c r="R3" s="2"/>
      <c r="S3" s="3" t="s">
        <v>2</v>
      </c>
      <c r="U3" s="1">
        <v>45310</v>
      </c>
      <c r="V3" s="2"/>
      <c r="W3" s="2"/>
      <c r="X3" s="2"/>
      <c r="Y3" s="2" t="s">
        <v>0</v>
      </c>
      <c r="Z3" s="2"/>
      <c r="AA3" s="2" t="s">
        <v>1</v>
      </c>
      <c r="AB3" s="2"/>
      <c r="AC3" s="3" t="s">
        <v>2</v>
      </c>
      <c r="AE3" s="1">
        <v>45311</v>
      </c>
      <c r="AF3" s="2"/>
      <c r="AG3" s="2"/>
      <c r="AH3" s="2"/>
      <c r="AI3" s="2" t="s">
        <v>0</v>
      </c>
      <c r="AJ3" s="2"/>
      <c r="AK3" s="2" t="s">
        <v>1</v>
      </c>
      <c r="AL3" s="2"/>
      <c r="AM3" s="3" t="s">
        <v>2</v>
      </c>
      <c r="AO3" s="1">
        <v>45312</v>
      </c>
      <c r="AP3" s="2"/>
      <c r="AQ3" s="2"/>
      <c r="AR3" s="2"/>
      <c r="AS3" s="2" t="s">
        <v>0</v>
      </c>
      <c r="AT3" s="2"/>
      <c r="AU3" s="2" t="s">
        <v>1</v>
      </c>
      <c r="AV3" s="2"/>
      <c r="AW3" s="3" t="s">
        <v>2</v>
      </c>
      <c r="AY3" s="1">
        <v>45313</v>
      </c>
      <c r="AZ3" s="2"/>
      <c r="BA3" s="2"/>
      <c r="BB3" s="2"/>
      <c r="BC3" s="2" t="s">
        <v>0</v>
      </c>
      <c r="BD3" s="2"/>
      <c r="BE3" s="2" t="s">
        <v>1</v>
      </c>
      <c r="BF3" s="2"/>
      <c r="BG3" s="3" t="s">
        <v>2</v>
      </c>
    </row>
    <row r="4" spans="1:59" x14ac:dyDescent="0.25">
      <c r="A4" s="4" t="s">
        <v>3</v>
      </c>
      <c r="B4" s="5">
        <f>3725.9+916.59</f>
        <v>4642.49</v>
      </c>
      <c r="C4" s="6">
        <f>B4/B6</f>
        <v>0.85955164356626301</v>
      </c>
      <c r="E4" s="5">
        <f>B8*C4</f>
        <v>2322.5429229817851</v>
      </c>
      <c r="G4" s="5">
        <f>B4+E4</f>
        <v>6965.0329229817853</v>
      </c>
      <c r="I4" s="7">
        <f>G4/3130</f>
        <v>2.2252501351379506</v>
      </c>
      <c r="K4" s="4" t="s">
        <v>3</v>
      </c>
      <c r="L4" s="5">
        <f>3326.33+1063.32</f>
        <v>4389.6499999999996</v>
      </c>
      <c r="M4" s="8">
        <f>L4/L6</f>
        <v>0.8077643569020595</v>
      </c>
      <c r="O4" s="5">
        <f>L8*M4</f>
        <v>2365.012872355695</v>
      </c>
      <c r="Q4" s="5">
        <f>L4+O4</f>
        <v>6754.6628723556951</v>
      </c>
      <c r="S4" s="7">
        <f>Q4/3568</f>
        <v>1.8931230023418428</v>
      </c>
      <c r="U4" s="4" t="s">
        <v>3</v>
      </c>
      <c r="V4" s="5">
        <f>3964.84+1043.2</f>
        <v>5008.04</v>
      </c>
      <c r="W4" s="6">
        <f>V4/V6</f>
        <v>0.64523959224481797</v>
      </c>
      <c r="Y4" s="5">
        <f>V8*W4</f>
        <v>2064.4053610117603</v>
      </c>
      <c r="AA4" s="5">
        <f>V4+Y4</f>
        <v>7072.4453610117598</v>
      </c>
      <c r="AC4" s="7">
        <f>AA4/3341</f>
        <v>2.1168648192193236</v>
      </c>
      <c r="AE4" s="4" t="s">
        <v>3</v>
      </c>
      <c r="AF4" s="5">
        <f>2747.3+985.91</f>
        <v>3733.21</v>
      </c>
      <c r="AG4" s="8">
        <f>AF4/AF6</f>
        <v>0.57351325857955537</v>
      </c>
      <c r="AI4" s="5">
        <f>AF8*AG4</f>
        <v>1847.3837031387063</v>
      </c>
      <c r="AK4" s="5">
        <f>AF4+AI4</f>
        <v>5580.5937031387066</v>
      </c>
      <c r="AM4" s="7">
        <f>AK4/3643</f>
        <v>1.53186760997494</v>
      </c>
      <c r="AO4" s="4" t="s">
        <v>3</v>
      </c>
      <c r="AP4" s="5">
        <f>2758.43+1143.56</f>
        <v>3901.99</v>
      </c>
      <c r="AQ4" s="6">
        <f>AP4/AP6</f>
        <v>0.54431915988823432</v>
      </c>
      <c r="AS4" s="5">
        <f>AP8*AQ4</f>
        <v>2111.5337714216362</v>
      </c>
      <c r="AU4">
        <f>AP4+AS4</f>
        <v>6013.5237714216364</v>
      </c>
      <c r="AW4" s="7">
        <f>AU4/3929</f>
        <v>1.5305481729248247</v>
      </c>
      <c r="AY4" s="4" t="s">
        <v>3</v>
      </c>
      <c r="AZ4" s="5">
        <f>3263.03+1242.72</f>
        <v>4505.75</v>
      </c>
      <c r="BA4" s="8">
        <f>AZ4/AZ6</f>
        <v>0.52728123811474215</v>
      </c>
      <c r="BC4" s="5">
        <f>AZ8*BA4</f>
        <v>2337.3428179397911</v>
      </c>
      <c r="BE4" s="5">
        <f>AZ4+BC4</f>
        <v>6843.0928179397906</v>
      </c>
      <c r="BG4" s="7">
        <f>BE4/4632</f>
        <v>1.4773516446329427</v>
      </c>
    </row>
    <row r="5" spans="1:59" x14ac:dyDescent="0.25">
      <c r="A5" s="4" t="s">
        <v>4</v>
      </c>
      <c r="B5" s="5">
        <f>555.99+202.58</f>
        <v>758.57</v>
      </c>
      <c r="C5" s="6">
        <f>B5/B6</f>
        <v>0.1404483564337371</v>
      </c>
      <c r="E5" s="5">
        <f>C5*B8</f>
        <v>379.49707701821501</v>
      </c>
      <c r="G5" s="5">
        <f>B5+E5</f>
        <v>1138.0670770182151</v>
      </c>
      <c r="I5" s="7">
        <f>G5/973</f>
        <v>1.1696475611697996</v>
      </c>
      <c r="K5" s="4" t="s">
        <v>4</v>
      </c>
      <c r="L5" s="5">
        <f>792.94+251.73</f>
        <v>1044.67</v>
      </c>
      <c r="M5" s="8">
        <f>L5/L6</f>
        <v>0.19223564309794053</v>
      </c>
      <c r="O5" s="5">
        <f>M5*L8</f>
        <v>562.83712764430516</v>
      </c>
      <c r="Q5" s="5">
        <f>L5+O5</f>
        <v>1607.5071276443052</v>
      </c>
      <c r="S5" s="7">
        <f>Q5/1105</f>
        <v>1.4547575815785567</v>
      </c>
      <c r="U5" s="4" t="s">
        <v>4</v>
      </c>
      <c r="V5" s="5">
        <f>2205.6+547.88</f>
        <v>2753.48</v>
      </c>
      <c r="W5" s="6">
        <f>V5/V6</f>
        <v>0.35476040775518197</v>
      </c>
      <c r="Y5" s="5">
        <f>W5*V8</f>
        <v>1135.0346389882395</v>
      </c>
      <c r="AA5" s="5">
        <f>V5+Y5</f>
        <v>3888.5146389882393</v>
      </c>
      <c r="AC5" s="7">
        <f>AA5/2111</f>
        <v>1.8420249355699854</v>
      </c>
      <c r="AE5" s="4" t="s">
        <v>4</v>
      </c>
      <c r="AF5" s="5">
        <f>2253.21+522.95</f>
        <v>2776.16</v>
      </c>
      <c r="AG5" s="8">
        <f>AF5/AF6</f>
        <v>0.42648674142044468</v>
      </c>
      <c r="AI5" s="5">
        <f>AG5*AF8</f>
        <v>1373.7862968612937</v>
      </c>
      <c r="AK5" s="5">
        <f>AF5+AI5</f>
        <v>4149.9462968612934</v>
      </c>
      <c r="AM5" s="7">
        <f>AK5/2104</f>
        <v>1.9724079357705766</v>
      </c>
      <c r="AO5" s="4" t="s">
        <v>4</v>
      </c>
      <c r="AP5" s="5">
        <f>2606.77+659.81</f>
        <v>3266.58</v>
      </c>
      <c r="AQ5" s="6">
        <f>AP5/AP6</f>
        <v>0.45568084011176568</v>
      </c>
      <c r="AS5" s="5">
        <f>AQ5*AP8</f>
        <v>1767.6862285783636</v>
      </c>
      <c r="AU5">
        <f>AP5+AS5</f>
        <v>5034.2662285783636</v>
      </c>
      <c r="AW5" s="7">
        <f>AU5/2229</f>
        <v>2.2585312824487946</v>
      </c>
      <c r="AY5" s="4" t="s">
        <v>4</v>
      </c>
      <c r="AZ5" s="5">
        <f>3249.76+789.74</f>
        <v>4039.5</v>
      </c>
      <c r="BA5" s="8">
        <f>AZ5/AZ6</f>
        <v>0.47271876188525791</v>
      </c>
      <c r="BC5" s="5">
        <f>BA5*AZ8</f>
        <v>2095.4771820602086</v>
      </c>
      <c r="BE5" s="5">
        <f>AZ5+BC5</f>
        <v>6134.9771820602091</v>
      </c>
      <c r="BG5" s="7">
        <f>BE5/2962</f>
        <v>2.0712279480284299</v>
      </c>
    </row>
    <row r="6" spans="1:59" x14ac:dyDescent="0.25">
      <c r="A6" s="4"/>
      <c r="B6" s="5">
        <f>SUM(B4:B5)</f>
        <v>5401.0599999999995</v>
      </c>
      <c r="G6" s="5">
        <f>SUM(G4:G5)</f>
        <v>8103.1</v>
      </c>
      <c r="I6" s="9"/>
      <c r="K6" s="4"/>
      <c r="L6" s="5">
        <f>SUM(L4:L5)</f>
        <v>5434.32</v>
      </c>
      <c r="Q6">
        <f>SUM(Q4:Q5)</f>
        <v>8362.17</v>
      </c>
      <c r="S6" s="9"/>
      <c r="U6" s="4"/>
      <c r="V6" s="5">
        <f>SUM(V4:V5)</f>
        <v>7761.52</v>
      </c>
      <c r="AA6">
        <f>SUM(AA4:AA5)</f>
        <v>10960.96</v>
      </c>
      <c r="AC6" s="9"/>
      <c r="AE6" s="4"/>
      <c r="AF6" s="5">
        <f>SUM(AF4:AF5)</f>
        <v>6509.37</v>
      </c>
      <c r="AK6">
        <f>SUM(AK4:AK5)</f>
        <v>9730.5400000000009</v>
      </c>
      <c r="AM6" s="9"/>
      <c r="AO6" s="4"/>
      <c r="AP6" s="5">
        <f>SUM(AP4:AP5)</f>
        <v>7168.57</v>
      </c>
      <c r="AU6">
        <f>SUM(AU4:AU5)</f>
        <v>11047.79</v>
      </c>
      <c r="AW6" s="9"/>
      <c r="AY6" s="4"/>
      <c r="AZ6" s="5">
        <f>SUM(AZ4:AZ5)</f>
        <v>8545.25</v>
      </c>
      <c r="BE6">
        <f>SUM(BE4:BE5)</f>
        <v>12978.07</v>
      </c>
      <c r="BG6" s="9"/>
    </row>
    <row r="7" spans="1:59" x14ac:dyDescent="0.25">
      <c r="A7" s="4"/>
      <c r="B7" s="5"/>
      <c r="I7" s="9"/>
      <c r="K7" s="4"/>
      <c r="L7" s="5"/>
      <c r="S7" s="9"/>
      <c r="U7" s="4"/>
      <c r="V7" s="5"/>
      <c r="AC7" s="9"/>
      <c r="AE7" s="4"/>
      <c r="AF7" s="5"/>
      <c r="AM7" s="9"/>
      <c r="AO7" s="4"/>
      <c r="AP7" s="5"/>
      <c r="AW7" s="9"/>
      <c r="AY7" s="4"/>
      <c r="AZ7" s="5"/>
      <c r="BG7" s="9"/>
    </row>
    <row r="8" spans="1:59" ht="15.75" thickBot="1" x14ac:dyDescent="0.3">
      <c r="A8" s="10" t="s">
        <v>5</v>
      </c>
      <c r="B8" s="11">
        <v>2702.04</v>
      </c>
      <c r="C8" s="12"/>
      <c r="D8" s="12"/>
      <c r="E8" s="12"/>
      <c r="F8" s="12"/>
      <c r="G8" s="12"/>
      <c r="H8" s="12"/>
      <c r="I8" s="13"/>
      <c r="K8" s="10" t="s">
        <v>5</v>
      </c>
      <c r="L8" s="11">
        <v>2927.85</v>
      </c>
      <c r="M8" s="12"/>
      <c r="N8" s="12"/>
      <c r="O8" s="12"/>
      <c r="P8" s="12"/>
      <c r="Q8" s="12"/>
      <c r="R8" s="12"/>
      <c r="S8" s="13"/>
      <c r="U8" s="10" t="s">
        <v>5</v>
      </c>
      <c r="V8" s="11">
        <v>3199.44</v>
      </c>
      <c r="W8" s="12"/>
      <c r="X8" s="12"/>
      <c r="Y8" s="12"/>
      <c r="Z8" s="12"/>
      <c r="AA8" s="12"/>
      <c r="AB8" s="12"/>
      <c r="AC8" s="13"/>
      <c r="AE8" s="10" t="s">
        <v>5</v>
      </c>
      <c r="AF8" s="11">
        <v>3221.17</v>
      </c>
      <c r="AG8" s="12"/>
      <c r="AH8" s="12"/>
      <c r="AI8" s="12"/>
      <c r="AJ8" s="12"/>
      <c r="AK8" s="12"/>
      <c r="AL8" s="12"/>
      <c r="AM8" s="13"/>
      <c r="AO8" s="10" t="s">
        <v>5</v>
      </c>
      <c r="AP8" s="11">
        <v>3879.22</v>
      </c>
      <c r="AQ8" s="12"/>
      <c r="AR8" s="12"/>
      <c r="AS8" s="12"/>
      <c r="AT8" s="12"/>
      <c r="AU8" s="12"/>
      <c r="AV8" s="12"/>
      <c r="AW8" s="13"/>
      <c r="AY8" s="10" t="s">
        <v>5</v>
      </c>
      <c r="AZ8" s="11">
        <v>4432.82</v>
      </c>
      <c r="BA8" s="12"/>
      <c r="BB8" s="12"/>
      <c r="BC8" s="12"/>
      <c r="BD8" s="12"/>
      <c r="BE8" s="12"/>
      <c r="BF8" s="12"/>
      <c r="BG8" s="13"/>
    </row>
    <row r="9" spans="1:59" ht="15.75" thickBot="1" x14ac:dyDescent="0.3">
      <c r="B9" s="5"/>
      <c r="L9" s="5"/>
      <c r="V9" s="5"/>
      <c r="AF9" s="5"/>
      <c r="AP9" s="5"/>
      <c r="AZ9" s="5"/>
    </row>
    <row r="10" spans="1:59" x14ac:dyDescent="0.25">
      <c r="A10" s="1">
        <v>45339</v>
      </c>
      <c r="B10" s="2"/>
      <c r="C10" s="2"/>
      <c r="D10" s="2"/>
      <c r="E10" s="2" t="s">
        <v>0</v>
      </c>
      <c r="F10" s="2"/>
      <c r="G10" s="2" t="s">
        <v>1</v>
      </c>
      <c r="H10" s="2"/>
      <c r="I10" s="3" t="s">
        <v>2</v>
      </c>
      <c r="K10" s="1">
        <v>45340</v>
      </c>
      <c r="L10" s="2"/>
      <c r="M10" s="2"/>
      <c r="N10" s="2"/>
      <c r="O10" s="2" t="s">
        <v>0</v>
      </c>
      <c r="P10" s="2"/>
      <c r="Q10" s="2" t="s">
        <v>1</v>
      </c>
      <c r="R10" s="2"/>
      <c r="S10" s="3" t="s">
        <v>2</v>
      </c>
      <c r="U10" s="1">
        <v>45341</v>
      </c>
      <c r="V10" s="2"/>
      <c r="W10" s="2"/>
      <c r="X10" s="2"/>
      <c r="Y10" s="2" t="s">
        <v>0</v>
      </c>
      <c r="Z10" s="2"/>
      <c r="AA10" s="2" t="s">
        <v>1</v>
      </c>
      <c r="AB10" s="2"/>
      <c r="AC10" s="3" t="s">
        <v>2</v>
      </c>
      <c r="AE10" s="1">
        <v>45342</v>
      </c>
      <c r="AF10" s="2"/>
      <c r="AG10" s="2"/>
      <c r="AH10" s="2"/>
      <c r="AI10" s="2" t="s">
        <v>0</v>
      </c>
      <c r="AJ10" s="2"/>
      <c r="AK10" s="2" t="s">
        <v>1</v>
      </c>
      <c r="AL10" s="2"/>
      <c r="AM10" s="3" t="s">
        <v>2</v>
      </c>
      <c r="AO10" s="1">
        <v>45343</v>
      </c>
      <c r="AP10" s="2"/>
      <c r="AQ10" s="2"/>
      <c r="AR10" s="2"/>
      <c r="AS10" s="2" t="s">
        <v>0</v>
      </c>
      <c r="AT10" s="2"/>
      <c r="AU10" s="2" t="s">
        <v>1</v>
      </c>
      <c r="AV10" s="2"/>
      <c r="AW10" s="3" t="s">
        <v>2</v>
      </c>
      <c r="AY10" s="1">
        <v>45344</v>
      </c>
      <c r="AZ10" s="2"/>
      <c r="BA10" s="2"/>
      <c r="BB10" s="2"/>
      <c r="BC10" s="2" t="s">
        <v>0</v>
      </c>
      <c r="BD10" s="2"/>
      <c r="BE10" s="2" t="s">
        <v>1</v>
      </c>
      <c r="BF10" s="2"/>
      <c r="BG10" s="3" t="s">
        <v>2</v>
      </c>
    </row>
    <row r="11" spans="1:59" x14ac:dyDescent="0.25">
      <c r="A11" s="4" t="s">
        <v>3</v>
      </c>
      <c r="B11" s="5">
        <f>3674.69+928.32</f>
        <v>4603.01</v>
      </c>
      <c r="C11" s="6">
        <f>B11/B13</f>
        <v>0.86019883762217109</v>
      </c>
      <c r="E11" s="5">
        <f>B15*C11</f>
        <v>2325.6937913139354</v>
      </c>
      <c r="G11" s="5">
        <f>B11+E11</f>
        <v>6928.7037913139357</v>
      </c>
      <c r="I11" s="7">
        <f>G11/2985</f>
        <v>2.3211737994351545</v>
      </c>
      <c r="K11" s="4" t="s">
        <v>3</v>
      </c>
      <c r="L11" s="5">
        <f>4059.51+1188.65</f>
        <v>5248.16</v>
      </c>
      <c r="M11" s="8">
        <f>L11/L13</f>
        <v>0.785971554328178</v>
      </c>
      <c r="O11" s="5">
        <f>L15*M11</f>
        <v>2456.3811793107684</v>
      </c>
      <c r="Q11" s="5">
        <f>L11+O11</f>
        <v>7704.5411793107687</v>
      </c>
      <c r="S11" s="7">
        <f>Q11/3241</f>
        <v>2.3772111012992192</v>
      </c>
      <c r="U11" s="4" t="s">
        <v>3</v>
      </c>
      <c r="V11" s="5">
        <f>3951.05+1088.2</f>
        <v>5039.25</v>
      </c>
      <c r="W11" s="6">
        <f>V11/V13</f>
        <v>0.63982920112291497</v>
      </c>
      <c r="Y11" s="5">
        <f>V15*W11</f>
        <v>2058.650454612979</v>
      </c>
      <c r="AA11" s="5">
        <f>V11+Y11</f>
        <v>7097.900454612979</v>
      </c>
      <c r="AC11" s="7">
        <f>AA11/3104</f>
        <v>2.2866947340892327</v>
      </c>
      <c r="AE11" s="4" t="s">
        <v>3</v>
      </c>
      <c r="AF11" s="5">
        <f>2757.34+1027.79</f>
        <v>3785.13</v>
      </c>
      <c r="AG11" s="8">
        <f>AF11/AF13</f>
        <v>0.56721788061110578</v>
      </c>
      <c r="AI11" s="5">
        <f>AF15*AG11</f>
        <v>1858.375942246166</v>
      </c>
      <c r="AK11" s="5">
        <f>AF11+AI11</f>
        <v>5643.5059422461663</v>
      </c>
      <c r="AM11" s="7">
        <f>AK11/3698</f>
        <v>1.5260967934684062</v>
      </c>
      <c r="AO11" s="4" t="s">
        <v>3</v>
      </c>
      <c r="AP11" s="5">
        <f>2708.46+1174.25</f>
        <v>3882.71</v>
      </c>
      <c r="AQ11" s="8">
        <f>AP11/AP13</f>
        <v>0.54340116441807085</v>
      </c>
      <c r="AS11" s="5">
        <f>AP15*AQ11</f>
        <v>2117.5799976207804</v>
      </c>
      <c r="AU11">
        <f>AP11+AS11</f>
        <v>6000.2899976207809</v>
      </c>
      <c r="AW11" s="7">
        <f>AU11/3706</f>
        <v>1.6190744731842366</v>
      </c>
      <c r="AY11" s="4" t="s">
        <v>3</v>
      </c>
      <c r="AZ11" s="5">
        <f>3259.23+1739.1</f>
        <v>4998.33</v>
      </c>
      <c r="BA11" s="8">
        <f>AZ11/AZ13</f>
        <v>0.52597002863285236</v>
      </c>
      <c r="BC11" s="5">
        <f>AZ15*BA11</f>
        <v>2396.361528053566</v>
      </c>
      <c r="BE11" s="5">
        <f>AZ11+BC11</f>
        <v>7394.6915280535659</v>
      </c>
      <c r="BG11" s="7">
        <f>BE11/4230</f>
        <v>1.7481540255445782</v>
      </c>
    </row>
    <row r="12" spans="1:59" x14ac:dyDescent="0.25">
      <c r="A12" s="4" t="s">
        <v>4</v>
      </c>
      <c r="B12" s="5">
        <f>527.27+220.82</f>
        <v>748.08999999999992</v>
      </c>
      <c r="C12" s="6">
        <f>B12/B13</f>
        <v>0.13980116237782883</v>
      </c>
      <c r="E12" s="5">
        <f>C12*B15</f>
        <v>377.97620868606447</v>
      </c>
      <c r="G12" s="5">
        <f>B12+E12</f>
        <v>1126.0662086860643</v>
      </c>
      <c r="I12" s="7">
        <f>G12/907</f>
        <v>1.2415283447475902</v>
      </c>
      <c r="K12" s="4" t="s">
        <v>4</v>
      </c>
      <c r="L12" s="5">
        <f>1046.38+382.75</f>
        <v>1429.13</v>
      </c>
      <c r="M12" s="8">
        <f>L12/L13</f>
        <v>0.21402844567182197</v>
      </c>
      <c r="O12" s="5">
        <f>M12*L15</f>
        <v>668.8988206892318</v>
      </c>
      <c r="Q12" s="5">
        <f>L12+O12</f>
        <v>2098.0288206892319</v>
      </c>
      <c r="S12" s="7">
        <f>Q12/1292</f>
        <v>1.623861316322935</v>
      </c>
      <c r="U12" s="4" t="s">
        <v>4</v>
      </c>
      <c r="V12" s="5">
        <f>2255.79+580.89</f>
        <v>2836.68</v>
      </c>
      <c r="W12" s="6">
        <f>V12/V13</f>
        <v>0.36017079887708497</v>
      </c>
      <c r="Y12" s="5">
        <f>W12*V15</f>
        <v>1158.849545387021</v>
      </c>
      <c r="AA12" s="5">
        <f>V12+Y12</f>
        <v>3995.5295453870208</v>
      </c>
      <c r="AC12" s="7">
        <f>AA12/1989</f>
        <v>2.0088132455440024</v>
      </c>
      <c r="AE12" s="4" t="s">
        <v>4</v>
      </c>
      <c r="AF12" s="5">
        <f>2314.18+573.84</f>
        <v>2888.02</v>
      </c>
      <c r="AG12" s="8">
        <f>AF12/AF13</f>
        <v>0.43278211938889433</v>
      </c>
      <c r="AI12" s="5">
        <f>AG12*AF15</f>
        <v>1417.9240577538346</v>
      </c>
      <c r="AK12" s="5">
        <f>AF12+AI12</f>
        <v>4305.9440577538344</v>
      </c>
      <c r="AM12" s="7">
        <f>AK12/2156</f>
        <v>1.9971911214071587</v>
      </c>
      <c r="AO12" s="4" t="s">
        <v>4</v>
      </c>
      <c r="AP12" s="5">
        <f>2579.69+682.8</f>
        <v>3262.49</v>
      </c>
      <c r="AQ12" s="8">
        <f>AP12/AP13</f>
        <v>0.4565988355819291</v>
      </c>
      <c r="AS12" s="5">
        <f>AQ12*AP15</f>
        <v>1779.3200023792194</v>
      </c>
      <c r="AU12">
        <f>AP12+AS12</f>
        <v>5041.8100023792194</v>
      </c>
      <c r="AW12" s="7">
        <f>AU12/2182</f>
        <v>2.3106370313378641</v>
      </c>
      <c r="AY12" s="4" t="s">
        <v>4</v>
      </c>
      <c r="AZ12" s="5">
        <f>3584.9+919.84</f>
        <v>4504.74</v>
      </c>
      <c r="BA12" s="8">
        <f>AZ12/AZ13</f>
        <v>0.47402997136714764</v>
      </c>
      <c r="BC12" s="5">
        <f>BA12*AZ15</f>
        <v>2159.718471946434</v>
      </c>
      <c r="BE12" s="5">
        <f>AZ12+BC12</f>
        <v>6664.4584719464337</v>
      </c>
      <c r="BG12" s="7">
        <f>BE12/2846</f>
        <v>2.3416930681470252</v>
      </c>
    </row>
    <row r="13" spans="1:59" x14ac:dyDescent="0.25">
      <c r="A13" s="4"/>
      <c r="B13" s="5">
        <f>SUM(B11:B12)</f>
        <v>5351.1</v>
      </c>
      <c r="G13">
        <f>SUM(G11:G12)</f>
        <v>8054.77</v>
      </c>
      <c r="I13" s="9"/>
      <c r="K13" s="4"/>
      <c r="L13" s="5">
        <f>SUM(L11:L12)</f>
        <v>6677.29</v>
      </c>
      <c r="Q13">
        <f>SUM(Q11:Q12)</f>
        <v>9802.57</v>
      </c>
      <c r="S13" s="9"/>
      <c r="U13" s="4"/>
      <c r="V13" s="5">
        <f>SUM(V11:V12)</f>
        <v>7875.93</v>
      </c>
      <c r="AA13">
        <f>SUM(AA11:AA12)</f>
        <v>11093.43</v>
      </c>
      <c r="AC13" s="9"/>
      <c r="AE13" s="4"/>
      <c r="AF13" s="5">
        <f>SUM(AF11:AF12)</f>
        <v>6673.15</v>
      </c>
      <c r="AK13">
        <f>SUM(AK11:AK12)</f>
        <v>9949.4500000000007</v>
      </c>
      <c r="AM13" s="9"/>
      <c r="AO13" s="4"/>
      <c r="AP13" s="5">
        <f>SUM(AP11:AP12)</f>
        <v>7145.2</v>
      </c>
      <c r="AU13">
        <f>SUM(AU11:AU12)</f>
        <v>11042.1</v>
      </c>
      <c r="AW13" s="9"/>
      <c r="AY13" s="4"/>
      <c r="AZ13" s="5">
        <f>SUM(AZ11:AZ12)</f>
        <v>9503.07</v>
      </c>
      <c r="BE13">
        <f>SUM(BE11:BE12)</f>
        <v>14059.15</v>
      </c>
      <c r="BG13" s="9"/>
    </row>
    <row r="14" spans="1:59" x14ac:dyDescent="0.25">
      <c r="A14" s="4"/>
      <c r="B14" s="5"/>
      <c r="I14" s="9"/>
      <c r="K14" s="4"/>
      <c r="L14" s="5"/>
      <c r="S14" s="9"/>
      <c r="U14" s="4"/>
      <c r="V14" s="5"/>
      <c r="AC14" s="9"/>
      <c r="AE14" s="4"/>
      <c r="AF14" s="5"/>
      <c r="AM14" s="9"/>
      <c r="AO14" s="4"/>
      <c r="AP14" s="5"/>
      <c r="AW14" s="9"/>
      <c r="AY14" s="4"/>
      <c r="AZ14" s="5"/>
      <c r="BG14" s="9"/>
    </row>
    <row r="15" spans="1:59" ht="15.75" thickBot="1" x14ac:dyDescent="0.3">
      <c r="A15" s="10" t="s">
        <v>5</v>
      </c>
      <c r="B15" s="11">
        <v>2703.67</v>
      </c>
      <c r="C15" s="12"/>
      <c r="D15" s="12"/>
      <c r="E15" s="12"/>
      <c r="F15" s="12"/>
      <c r="G15" s="12"/>
      <c r="H15" s="12"/>
      <c r="I15" s="13"/>
      <c r="K15" s="10" t="s">
        <v>5</v>
      </c>
      <c r="L15" s="11">
        <v>3125.28</v>
      </c>
      <c r="M15" s="12"/>
      <c r="N15" s="12"/>
      <c r="O15" s="12"/>
      <c r="P15" s="12"/>
      <c r="Q15" s="12"/>
      <c r="R15" s="12"/>
      <c r="S15" s="13"/>
      <c r="U15" s="10" t="s">
        <v>5</v>
      </c>
      <c r="V15" s="11">
        <v>3217.5</v>
      </c>
      <c r="W15" s="12"/>
      <c r="X15" s="12"/>
      <c r="Y15" s="12"/>
      <c r="Z15" s="12"/>
      <c r="AA15" s="12"/>
      <c r="AB15" s="12"/>
      <c r="AC15" s="13"/>
      <c r="AE15" s="10" t="s">
        <v>5</v>
      </c>
      <c r="AF15" s="11">
        <v>3276.3</v>
      </c>
      <c r="AG15" s="12"/>
      <c r="AH15" s="12"/>
      <c r="AI15" s="12"/>
      <c r="AJ15" s="12"/>
      <c r="AK15" s="12"/>
      <c r="AL15" s="12"/>
      <c r="AM15" s="13"/>
      <c r="AO15" s="10" t="s">
        <v>5</v>
      </c>
      <c r="AP15" s="11">
        <v>3896.9</v>
      </c>
      <c r="AQ15" s="12"/>
      <c r="AR15" s="12"/>
      <c r="AS15" s="12"/>
      <c r="AT15" s="12"/>
      <c r="AU15" s="12"/>
      <c r="AV15" s="12"/>
      <c r="AW15" s="13"/>
      <c r="AY15" s="10" t="s">
        <v>5</v>
      </c>
      <c r="AZ15" s="11">
        <v>4556.08</v>
      </c>
      <c r="BA15" s="12"/>
      <c r="BB15" s="12"/>
      <c r="BC15" s="12"/>
      <c r="BD15" s="12"/>
      <c r="BE15" s="12"/>
      <c r="BF15" s="12"/>
      <c r="BG15" s="13"/>
    </row>
    <row r="16" spans="1:59" ht="15.75" thickBot="1" x14ac:dyDescent="0.3"/>
    <row r="17" spans="1:59" x14ac:dyDescent="0.25">
      <c r="A17" s="1">
        <v>45368</v>
      </c>
      <c r="B17" s="2"/>
      <c r="C17" s="2"/>
      <c r="D17" s="2"/>
      <c r="E17" s="2" t="s">
        <v>0</v>
      </c>
      <c r="F17" s="2"/>
      <c r="G17" s="2" t="s">
        <v>1</v>
      </c>
      <c r="H17" s="2"/>
      <c r="I17" s="3" t="s">
        <v>2</v>
      </c>
      <c r="K17" s="1">
        <v>45369</v>
      </c>
      <c r="L17" s="2"/>
      <c r="M17" s="2"/>
      <c r="N17" s="2"/>
      <c r="O17" s="2" t="s">
        <v>0</v>
      </c>
      <c r="P17" s="2"/>
      <c r="Q17" s="2" t="s">
        <v>1</v>
      </c>
      <c r="R17" s="2"/>
      <c r="S17" s="3" t="s">
        <v>2</v>
      </c>
      <c r="U17" s="1">
        <v>45370</v>
      </c>
      <c r="V17" s="2"/>
      <c r="W17" s="2"/>
      <c r="X17" s="2"/>
      <c r="Y17" s="2" t="s">
        <v>0</v>
      </c>
      <c r="Z17" s="2"/>
      <c r="AA17" s="2" t="s">
        <v>1</v>
      </c>
      <c r="AB17" s="2"/>
      <c r="AC17" s="3" t="s">
        <v>2</v>
      </c>
      <c r="AE17" s="1">
        <v>45371</v>
      </c>
      <c r="AF17" s="2"/>
      <c r="AG17" s="2"/>
      <c r="AH17" s="2"/>
      <c r="AI17" s="2" t="s">
        <v>0</v>
      </c>
      <c r="AJ17" s="2"/>
      <c r="AK17" s="2" t="s">
        <v>1</v>
      </c>
      <c r="AL17" s="2"/>
      <c r="AM17" s="3" t="s">
        <v>2</v>
      </c>
      <c r="AO17" s="1">
        <v>45372</v>
      </c>
      <c r="AP17" s="2"/>
      <c r="AQ17" s="2"/>
      <c r="AR17" s="2"/>
      <c r="AS17" s="2" t="s">
        <v>0</v>
      </c>
      <c r="AT17" s="2"/>
      <c r="AU17" s="2" t="s">
        <v>1</v>
      </c>
      <c r="AV17" s="2"/>
      <c r="AW17" s="3" t="s">
        <v>2</v>
      </c>
      <c r="AY17" s="1">
        <v>45373</v>
      </c>
      <c r="AZ17" s="2"/>
      <c r="BA17" s="2"/>
      <c r="BB17" s="2"/>
      <c r="BC17" s="2" t="s">
        <v>0</v>
      </c>
      <c r="BD17" s="2"/>
      <c r="BE17" s="2" t="s">
        <v>1</v>
      </c>
      <c r="BF17" s="2"/>
      <c r="BG17" s="3" t="s">
        <v>2</v>
      </c>
    </row>
    <row r="18" spans="1:59" x14ac:dyDescent="0.25">
      <c r="A18" s="4" t="s">
        <v>3</v>
      </c>
      <c r="B18" s="5">
        <f>3471.53+821.87</f>
        <v>4293.4000000000005</v>
      </c>
      <c r="C18" s="6">
        <f>B18/B20</f>
        <v>0.85597853175378502</v>
      </c>
      <c r="E18" s="5">
        <f>B22*C18</f>
        <v>2249.092151968388</v>
      </c>
      <c r="G18" s="5">
        <f>B18+E18</f>
        <v>6542.4921519683885</v>
      </c>
      <c r="I18" s="7">
        <f>G18/3305</f>
        <v>1.9795740248013278</v>
      </c>
      <c r="K18" s="4" t="s">
        <v>3</v>
      </c>
      <c r="L18" s="5">
        <f>3731.83+953.74</f>
        <v>4685.57</v>
      </c>
      <c r="M18" s="8">
        <f>L18/L20</f>
        <v>0.76084827916568565</v>
      </c>
      <c r="O18" s="5">
        <f>L22*M18</f>
        <v>2266.6354999797027</v>
      </c>
      <c r="Q18" s="5">
        <f>L18+O18</f>
        <v>6952.2054999797019</v>
      </c>
      <c r="S18" s="7">
        <f>Q18/3328</f>
        <v>2.0890040564842853</v>
      </c>
      <c r="U18" s="4" t="s">
        <v>3</v>
      </c>
      <c r="V18" s="5">
        <f>3762.53+1000.01</f>
        <v>4762.54</v>
      </c>
      <c r="W18" s="6">
        <f>V18/V20</f>
        <v>0.6387989473486545</v>
      </c>
      <c r="Y18" s="5">
        <f>V22*W18</f>
        <v>2042.8407056841563</v>
      </c>
      <c r="AA18" s="5">
        <f>V18+Y18</f>
        <v>6805.3807056841561</v>
      </c>
      <c r="AC18" s="7">
        <f>AA18/3345</f>
        <v>2.0344934845094635</v>
      </c>
      <c r="AE18" s="4" t="s">
        <v>3</v>
      </c>
      <c r="AF18" s="5">
        <f>2510.78+943.99</f>
        <v>3454.7700000000004</v>
      </c>
      <c r="AG18" s="8">
        <f>AF18/AF20</f>
        <v>0.57107128865732282</v>
      </c>
      <c r="AI18" s="5">
        <f>AF22*AG18</f>
        <v>1761.1210363774312</v>
      </c>
      <c r="AK18" s="5">
        <f>AF18+AI18</f>
        <v>5215.8910363774321</v>
      </c>
      <c r="AM18" s="7">
        <f>AK18/3390</f>
        <v>1.5386109251850832</v>
      </c>
      <c r="AO18" s="4" t="s">
        <v>3</v>
      </c>
      <c r="AP18" s="5">
        <f>2697.8+1162.32</f>
        <v>3860.12</v>
      </c>
      <c r="AQ18" s="8">
        <f>AP18/AP20</f>
        <v>0.5383912643851303</v>
      </c>
      <c r="AS18" s="5">
        <f>AP22*AQ18</f>
        <v>2103.031653465333</v>
      </c>
      <c r="AU18" s="5">
        <f>AP18+AS18</f>
        <v>5963.1516534653329</v>
      </c>
      <c r="AW18" s="7">
        <f>AU18/3711</f>
        <v>1.6068853822326417</v>
      </c>
      <c r="AY18" s="4" t="s">
        <v>3</v>
      </c>
      <c r="AZ18" s="5">
        <f>3046.44+1247.35</f>
        <v>4293.79</v>
      </c>
      <c r="BA18" s="8">
        <f>AZ18/AZ20</f>
        <v>0.50664069229335151</v>
      </c>
      <c r="BC18" s="5">
        <f>AZ22*BA18</f>
        <v>2170.3879289016427</v>
      </c>
      <c r="BE18" s="5">
        <f>AZ18+BC18</f>
        <v>6464.1779289016431</v>
      </c>
      <c r="BG18" s="7">
        <f>BE18/4190</f>
        <v>1.5427632288548074</v>
      </c>
    </row>
    <row r="19" spans="1:59" x14ac:dyDescent="0.25">
      <c r="A19" s="4" t="s">
        <v>4</v>
      </c>
      <c r="B19" s="5">
        <f>521.09+201.29</f>
        <v>722.38</v>
      </c>
      <c r="C19" s="6">
        <f>B19/B20</f>
        <v>0.14402146824621492</v>
      </c>
      <c r="E19" s="5">
        <f>C19*B22</f>
        <v>378.41784803161221</v>
      </c>
      <c r="G19" s="5">
        <f>B19+E19</f>
        <v>1100.7978480316121</v>
      </c>
      <c r="I19" s="7">
        <f>G19/1008</f>
        <v>1.0920613571742184</v>
      </c>
      <c r="K19" s="4" t="s">
        <v>4</v>
      </c>
      <c r="L19" s="5">
        <f>1098.21+374.57</f>
        <v>1472.78</v>
      </c>
      <c r="M19" s="8">
        <f>L19/L20</f>
        <v>0.23915172083431441</v>
      </c>
      <c r="O19" s="5">
        <f>M19*L22</f>
        <v>712.4545000202977</v>
      </c>
      <c r="Q19" s="5">
        <f>L19+O19</f>
        <v>2185.2345000202977</v>
      </c>
      <c r="S19" s="7">
        <f>Q19/1573</f>
        <v>1.3892145581820075</v>
      </c>
      <c r="U19" s="4" t="s">
        <v>4</v>
      </c>
      <c r="V19" s="5">
        <f>2120.19+572.73</f>
        <v>2692.92</v>
      </c>
      <c r="W19" s="6">
        <f>V19/V20</f>
        <v>0.36120105265134544</v>
      </c>
      <c r="Y19" s="5">
        <f>W19*V22</f>
        <v>1155.0992943158437</v>
      </c>
      <c r="AA19" s="5">
        <f>V19+Y19</f>
        <v>3848.0192943158436</v>
      </c>
      <c r="AC19" s="7">
        <f>AA19/2173</f>
        <v>1.770832625087825</v>
      </c>
      <c r="AE19" s="4" t="s">
        <v>4</v>
      </c>
      <c r="AF19" s="5">
        <f>2077.76+517.1</f>
        <v>2594.86</v>
      </c>
      <c r="AG19" s="8">
        <f>AF19/AF20</f>
        <v>0.42892871134267713</v>
      </c>
      <c r="AI19" s="5">
        <f>AG19*AF22</f>
        <v>1322.7689636225684</v>
      </c>
      <c r="AK19" s="5">
        <f>AF19+AI19</f>
        <v>3917.6289636225683</v>
      </c>
      <c r="AM19" s="7">
        <f>AK19/1933</f>
        <v>2.0267092413981214</v>
      </c>
      <c r="AO19" s="4" t="s">
        <v>4</v>
      </c>
      <c r="AP19" s="5">
        <f>2608.76+700.85</f>
        <v>3309.61</v>
      </c>
      <c r="AQ19" s="8">
        <f>AP19/AP20</f>
        <v>0.46160873561486976</v>
      </c>
      <c r="AS19" s="5">
        <f>AQ19*AP22</f>
        <v>1803.1083465346674</v>
      </c>
      <c r="AU19" s="5">
        <f>AP19+AS19</f>
        <v>5112.7183465346679</v>
      </c>
      <c r="AW19" s="7">
        <f>AU19/2347</f>
        <v>2.1784057718511582</v>
      </c>
      <c r="AY19" s="4" t="s">
        <v>4</v>
      </c>
      <c r="AZ19" s="5">
        <f>3322.73+858.5</f>
        <v>4181.2299999999996</v>
      </c>
      <c r="BA19" s="8">
        <f>AZ19/AZ20</f>
        <v>0.49335930770664838</v>
      </c>
      <c r="BC19" s="5">
        <f>BA19*AZ22</f>
        <v>2113.492071098357</v>
      </c>
      <c r="BE19" s="5">
        <f>AZ19+BC19</f>
        <v>6294.7220710983565</v>
      </c>
      <c r="BG19" s="7">
        <f>BE19/2810</f>
        <v>2.2401146160492371</v>
      </c>
    </row>
    <row r="20" spans="1:59" x14ac:dyDescent="0.25">
      <c r="A20" s="4"/>
      <c r="B20" s="5">
        <f>SUM(B18:B19)</f>
        <v>5015.7800000000007</v>
      </c>
      <c r="G20">
        <f>SUM(G18:G19)</f>
        <v>7643.2900000000009</v>
      </c>
      <c r="I20" s="9"/>
      <c r="K20" s="4"/>
      <c r="L20" s="5">
        <f>SUM(L18:L19)</f>
        <v>6158.3499999999995</v>
      </c>
      <c r="Q20">
        <f>SUM(Q18:Q19)</f>
        <v>9137.4399999999987</v>
      </c>
      <c r="S20" s="9"/>
      <c r="U20" s="4"/>
      <c r="V20" s="5">
        <f>SUM(V18:V19)</f>
        <v>7455.46</v>
      </c>
      <c r="AA20">
        <f>SUM(AA18:AA19)</f>
        <v>10653.4</v>
      </c>
      <c r="AC20" s="9"/>
      <c r="AE20" s="4"/>
      <c r="AF20" s="5">
        <f>SUM(AF18:AF19)</f>
        <v>6049.630000000001</v>
      </c>
      <c r="AK20">
        <f>SUM(AK18:AK19)</f>
        <v>9133.52</v>
      </c>
      <c r="AM20" s="9"/>
      <c r="AO20" s="4"/>
      <c r="AP20" s="5">
        <f>SUM(AP18:AP19)</f>
        <v>7169.73</v>
      </c>
      <c r="AU20">
        <f>SUM(AU18:AU19)</f>
        <v>11075.87</v>
      </c>
      <c r="AW20" s="9"/>
      <c r="AY20" s="4"/>
      <c r="AZ20" s="5">
        <f>SUM(AZ18:AZ19)</f>
        <v>8475.02</v>
      </c>
      <c r="BE20" s="5">
        <f>SUM(BE18:BE19)</f>
        <v>12758.9</v>
      </c>
      <c r="BG20" s="9"/>
    </row>
    <row r="21" spans="1:59" x14ac:dyDescent="0.25">
      <c r="A21" s="4"/>
      <c r="B21" s="5"/>
      <c r="I21" s="9"/>
      <c r="K21" s="4"/>
      <c r="L21" s="5"/>
      <c r="S21" s="9"/>
      <c r="U21" s="4"/>
      <c r="V21" s="5"/>
      <c r="AC21" s="9"/>
      <c r="AE21" s="4"/>
      <c r="AF21" s="5"/>
      <c r="AM21" s="9"/>
      <c r="AO21" s="4"/>
      <c r="AP21" s="5"/>
      <c r="AW21" s="9"/>
      <c r="AY21" s="4"/>
      <c r="AZ21" s="5"/>
      <c r="BG21" s="9"/>
    </row>
    <row r="22" spans="1:59" ht="15.75" thickBot="1" x14ac:dyDescent="0.3">
      <c r="A22" s="10" t="s">
        <v>5</v>
      </c>
      <c r="B22" s="11">
        <v>2627.51</v>
      </c>
      <c r="C22" s="12"/>
      <c r="D22" s="12"/>
      <c r="E22" s="12"/>
      <c r="F22" s="12"/>
      <c r="G22" s="12"/>
      <c r="H22" s="12"/>
      <c r="I22" s="13"/>
      <c r="K22" s="10" t="s">
        <v>5</v>
      </c>
      <c r="L22" s="11">
        <v>2979.09</v>
      </c>
      <c r="M22" s="12"/>
      <c r="N22" s="12"/>
      <c r="O22" s="12"/>
      <c r="P22" s="12"/>
      <c r="Q22" s="12"/>
      <c r="R22" s="12"/>
      <c r="S22" s="13"/>
      <c r="U22" s="10" t="s">
        <v>5</v>
      </c>
      <c r="V22" s="11">
        <v>3197.94</v>
      </c>
      <c r="W22" s="12"/>
      <c r="X22" s="12"/>
      <c r="Y22" s="12"/>
      <c r="Z22" s="12"/>
      <c r="AA22" s="12"/>
      <c r="AB22" s="12"/>
      <c r="AC22" s="13"/>
      <c r="AE22" s="10" t="s">
        <v>5</v>
      </c>
      <c r="AF22" s="11">
        <v>3083.89</v>
      </c>
      <c r="AG22" s="12"/>
      <c r="AH22" s="12"/>
      <c r="AI22" s="12"/>
      <c r="AJ22" s="12"/>
      <c r="AK22" s="12"/>
      <c r="AL22" s="12"/>
      <c r="AM22" s="13"/>
      <c r="AO22" s="10" t="s">
        <v>5</v>
      </c>
      <c r="AP22" s="11">
        <v>3906.14</v>
      </c>
      <c r="AQ22" s="12"/>
      <c r="AR22" s="12"/>
      <c r="AS22" s="12"/>
      <c r="AT22" s="12"/>
      <c r="AU22" s="12"/>
      <c r="AV22" s="12"/>
      <c r="AW22" s="13"/>
      <c r="AY22" s="10" t="s">
        <v>5</v>
      </c>
      <c r="AZ22" s="11">
        <v>4283.88</v>
      </c>
      <c r="BA22" s="12"/>
      <c r="BB22" s="12"/>
      <c r="BC22" s="12"/>
      <c r="BD22" s="12"/>
      <c r="BE22" s="12"/>
      <c r="BF22" s="12"/>
      <c r="BG22" s="13"/>
    </row>
    <row r="23" spans="1:59" ht="15.75" thickBot="1" x14ac:dyDescent="0.3"/>
    <row r="24" spans="1:59" x14ac:dyDescent="0.25">
      <c r="A24" s="1">
        <v>45399</v>
      </c>
      <c r="B24" s="2"/>
      <c r="C24" s="2"/>
      <c r="D24" s="2"/>
      <c r="E24" s="2" t="s">
        <v>0</v>
      </c>
      <c r="F24" s="2"/>
      <c r="G24" s="2" t="s">
        <v>1</v>
      </c>
      <c r="H24" s="2"/>
      <c r="I24" s="3" t="s">
        <v>2</v>
      </c>
      <c r="K24" s="1">
        <v>45400</v>
      </c>
      <c r="L24" s="2"/>
      <c r="M24" s="2"/>
      <c r="N24" s="2"/>
      <c r="O24" s="2" t="s">
        <v>0</v>
      </c>
      <c r="P24" s="2"/>
      <c r="Q24" s="2" t="s">
        <v>1</v>
      </c>
      <c r="R24" s="2"/>
      <c r="S24" s="3" t="s">
        <v>2</v>
      </c>
      <c r="U24" s="1">
        <v>45401</v>
      </c>
      <c r="V24" s="2"/>
      <c r="W24" s="2"/>
      <c r="X24" s="2"/>
      <c r="Y24" s="2" t="s">
        <v>0</v>
      </c>
      <c r="Z24" s="2"/>
      <c r="AA24" s="2" t="s">
        <v>1</v>
      </c>
      <c r="AB24" s="2"/>
      <c r="AC24" s="3" t="s">
        <v>2</v>
      </c>
      <c r="AE24" s="1">
        <v>45402</v>
      </c>
      <c r="AF24" s="2"/>
      <c r="AG24" s="2"/>
      <c r="AH24" s="2"/>
      <c r="AI24" s="2" t="s">
        <v>0</v>
      </c>
      <c r="AJ24" s="2"/>
      <c r="AK24" s="2" t="s">
        <v>1</v>
      </c>
      <c r="AL24" s="2"/>
      <c r="AM24" s="3" t="s">
        <v>2</v>
      </c>
      <c r="AO24" s="1">
        <v>45403</v>
      </c>
      <c r="AP24" s="2"/>
      <c r="AQ24" s="2"/>
      <c r="AR24" s="2"/>
      <c r="AS24" s="2" t="s">
        <v>0</v>
      </c>
      <c r="AT24" s="2"/>
      <c r="AU24" s="2" t="s">
        <v>1</v>
      </c>
      <c r="AV24" s="2"/>
      <c r="AW24" s="3" t="s">
        <v>2</v>
      </c>
      <c r="AY24" s="1">
        <v>45404</v>
      </c>
      <c r="AZ24" s="2"/>
      <c r="BA24" s="2"/>
      <c r="BB24" s="2"/>
      <c r="BC24" s="2" t="s">
        <v>0</v>
      </c>
      <c r="BD24" s="2"/>
      <c r="BE24" s="2" t="s">
        <v>1</v>
      </c>
      <c r="BF24" s="2"/>
      <c r="BG24" s="3" t="s">
        <v>2</v>
      </c>
    </row>
    <row r="25" spans="1:59" x14ac:dyDescent="0.25">
      <c r="A25" s="4" t="s">
        <v>3</v>
      </c>
      <c r="B25" s="5">
        <f>3603.48+818.54</f>
        <v>4422.0200000000004</v>
      </c>
      <c r="C25" s="6">
        <f>B25/B27</f>
        <v>0.86134241809784817</v>
      </c>
      <c r="E25" s="5">
        <f>B29*C25</f>
        <v>2236.8631926792068</v>
      </c>
      <c r="G25" s="5">
        <f>B25+E25</f>
        <v>6658.8831926792072</v>
      </c>
      <c r="I25" s="7">
        <f>G25/3060</f>
        <v>2.1761056185226169</v>
      </c>
      <c r="K25" s="4" t="s">
        <v>3</v>
      </c>
      <c r="L25" s="5">
        <f>3674.36+919.68</f>
        <v>4594.04</v>
      </c>
      <c r="M25" s="8">
        <f>L25/L27</f>
        <v>0.75393333475563018</v>
      </c>
      <c r="O25" s="5">
        <f>L29*M25</f>
        <v>2126.3408020113466</v>
      </c>
      <c r="Q25" s="5">
        <f>L25+O25</f>
        <v>6720.3808020113465</v>
      </c>
      <c r="S25" s="7">
        <f>Q25/2950</f>
        <v>2.2780951871224904</v>
      </c>
      <c r="U25" s="4" t="s">
        <v>3</v>
      </c>
      <c r="V25" s="5">
        <f>3625.61+908.95</f>
        <v>4534.5600000000004</v>
      </c>
      <c r="W25" s="6">
        <f>V25/V27</f>
        <v>0.62989535915853934</v>
      </c>
      <c r="Y25" s="5">
        <f>V29*W25</f>
        <v>1865.3973124264649</v>
      </c>
      <c r="AA25" s="5">
        <f>V25+Y25</f>
        <v>6399.9573124264653</v>
      </c>
      <c r="AC25" s="7">
        <f>AA25/3050</f>
        <v>2.098346659811956</v>
      </c>
      <c r="AE25" s="4" t="s">
        <v>3</v>
      </c>
      <c r="AF25" s="5">
        <f>2367.54+917.44</f>
        <v>3284.98</v>
      </c>
      <c r="AG25" s="8">
        <f>AF25/AF27</f>
        <v>0.52171026719351521</v>
      </c>
      <c r="AI25" s="5">
        <f>AF29*AG25</f>
        <v>1836.6601272440826</v>
      </c>
      <c r="AK25">
        <f>AF25+AI25</f>
        <v>5121.6401272440826</v>
      </c>
      <c r="AM25" s="7">
        <f>AK25/3381</f>
        <v>1.5148299696078327</v>
      </c>
      <c r="AO25" s="4" t="s">
        <v>3</v>
      </c>
      <c r="AP25" s="5">
        <f>2367.54+917.44</f>
        <v>3284.98</v>
      </c>
      <c r="AQ25" s="6">
        <f>AP25/AP27</f>
        <v>0.52171026719351521</v>
      </c>
      <c r="AS25" s="5">
        <f>AP29*AQ25</f>
        <v>1836.6601272440826</v>
      </c>
      <c r="AU25" s="14">
        <f>AP25+AS25</f>
        <v>5121.6401272440826</v>
      </c>
      <c r="AW25" s="7">
        <f>AU25/3381</f>
        <v>1.5148299696078327</v>
      </c>
      <c r="AY25" s="4" t="s">
        <v>3</v>
      </c>
      <c r="AZ25" s="5">
        <f>3037.42+1171.28</f>
        <v>4208.7</v>
      </c>
      <c r="BA25" s="8">
        <f>AZ25/AZ27</f>
        <v>0.53017381467662006</v>
      </c>
      <c r="BC25" s="5">
        <f>AZ29*BA25</f>
        <v>2190.6092796478861</v>
      </c>
      <c r="BE25" s="5">
        <f>AZ25+BC25</f>
        <v>6399.3092796478859</v>
      </c>
      <c r="BG25" s="7">
        <f>BE25/4330</f>
        <v>1.4779005264775718</v>
      </c>
    </row>
    <row r="26" spans="1:59" x14ac:dyDescent="0.25">
      <c r="A26" s="4" t="s">
        <v>4</v>
      </c>
      <c r="B26" s="5">
        <f>526.76+185.09</f>
        <v>711.85</v>
      </c>
      <c r="C26" s="6">
        <f>B26/B27</f>
        <v>0.13865758190215177</v>
      </c>
      <c r="E26" s="5">
        <f>C26*B29</f>
        <v>360.08680732079301</v>
      </c>
      <c r="G26" s="5">
        <f>B26+E26</f>
        <v>1071.9368073207929</v>
      </c>
      <c r="I26" s="7">
        <f>G26/916</f>
        <v>1.1702366892148395</v>
      </c>
      <c r="K26" s="4" t="s">
        <v>4</v>
      </c>
      <c r="L26" s="5">
        <f>1135.23+364.16</f>
        <v>1499.39</v>
      </c>
      <c r="M26" s="8">
        <f>L26/L27</f>
        <v>0.24606666524436976</v>
      </c>
      <c r="O26" s="5">
        <f>M26*L29</f>
        <v>693.98919798865336</v>
      </c>
      <c r="Q26" s="5">
        <f>L26+O26</f>
        <v>2193.3791979886537</v>
      </c>
      <c r="S26" s="7">
        <f>Q26/1479</f>
        <v>1.4830150087820513</v>
      </c>
      <c r="U26" s="4" t="s">
        <v>4</v>
      </c>
      <c r="V26" s="5">
        <f>2193+471.35</f>
        <v>2664.35</v>
      </c>
      <c r="W26" s="6">
        <f>V26/V27</f>
        <v>0.37010464084146072</v>
      </c>
      <c r="Y26" s="5">
        <f>W26*V29</f>
        <v>1096.0426875735354</v>
      </c>
      <c r="AA26" s="5">
        <f>V26+Y26</f>
        <v>3760.3926875735351</v>
      </c>
      <c r="AC26" s="7">
        <f>AA26/1878</f>
        <v>2.0023390242670582</v>
      </c>
      <c r="AE26" s="4" t="s">
        <v>4</v>
      </c>
      <c r="AF26" s="5">
        <f>2438.93+572.65</f>
        <v>3011.58</v>
      </c>
      <c r="AG26" s="8">
        <f>AF26/AF27</f>
        <v>0.47828973280648485</v>
      </c>
      <c r="AI26" s="5">
        <f>AG26*AF29</f>
        <v>1683.7998727559177</v>
      </c>
      <c r="AK26">
        <f>AF26+AI26</f>
        <v>4695.3798727559179</v>
      </c>
      <c r="AM26" s="7">
        <f>AK26/2259</f>
        <v>2.0785214133492333</v>
      </c>
      <c r="AO26" s="4" t="s">
        <v>4</v>
      </c>
      <c r="AP26" s="5">
        <f>2438.93+572.65</f>
        <v>3011.58</v>
      </c>
      <c r="AQ26" s="6">
        <f>AP26/AP27</f>
        <v>0.47828973280648485</v>
      </c>
      <c r="AS26" s="5">
        <f>AQ26*AP29</f>
        <v>1683.7998727559177</v>
      </c>
      <c r="AU26" s="14">
        <f>AP26+AS26</f>
        <v>4695.3798727559179</v>
      </c>
      <c r="AW26" s="7">
        <f>AU26/2259</f>
        <v>2.0785214133492333</v>
      </c>
      <c r="AY26" s="4" t="s">
        <v>4</v>
      </c>
      <c r="AZ26" s="5">
        <f>3014.6+715.04</f>
        <v>3729.64</v>
      </c>
      <c r="BA26" s="8">
        <f>AZ26/AZ27</f>
        <v>0.46982618532337994</v>
      </c>
      <c r="BC26" s="5">
        <f>BA26*AZ29</f>
        <v>1941.2607203521138</v>
      </c>
      <c r="BE26" s="5">
        <f>AZ26+BC26</f>
        <v>5670.9007203521141</v>
      </c>
      <c r="BG26" s="7">
        <f>BE26/2723</f>
        <v>2.0825929931517129</v>
      </c>
    </row>
    <row r="27" spans="1:59" x14ac:dyDescent="0.25">
      <c r="A27" s="4"/>
      <c r="B27" s="5">
        <f>SUM(B25:B26)</f>
        <v>5133.8700000000008</v>
      </c>
      <c r="G27">
        <f>SUM(G25:G26)</f>
        <v>7730.82</v>
      </c>
      <c r="I27" s="9"/>
      <c r="K27" s="4"/>
      <c r="L27" s="5">
        <f>SUM(L25:L26)</f>
        <v>6093.43</v>
      </c>
      <c r="Q27">
        <f>SUM(Q25:Q26)</f>
        <v>8913.76</v>
      </c>
      <c r="S27" s="9"/>
      <c r="U27" s="4"/>
      <c r="V27" s="5">
        <f>SUM(V25:V26)</f>
        <v>7198.91</v>
      </c>
      <c r="AA27">
        <f>SUM(AA25:AA26)</f>
        <v>10160.35</v>
      </c>
      <c r="AC27" s="9"/>
      <c r="AE27" s="4"/>
      <c r="AF27" s="5">
        <f>SUM(AF25:AF26)</f>
        <v>6296.5599999999995</v>
      </c>
      <c r="AK27">
        <f>SUM(AK25:AK26)</f>
        <v>9817.02</v>
      </c>
      <c r="AM27" s="9"/>
      <c r="AO27" s="4"/>
      <c r="AP27" s="5">
        <f>SUM(AP25:AP26)</f>
        <v>6296.5599999999995</v>
      </c>
      <c r="AU27">
        <f>SUM(AU25:AU26)</f>
        <v>9817.02</v>
      </c>
      <c r="AW27" s="9"/>
      <c r="AY27" s="4"/>
      <c r="AZ27" s="5">
        <f>SUM(AZ25:AZ26)</f>
        <v>7938.34</v>
      </c>
      <c r="BE27">
        <f>SUM(BE25:BE26)</f>
        <v>12070.21</v>
      </c>
      <c r="BG27" s="9"/>
    </row>
    <row r="28" spans="1:59" x14ac:dyDescent="0.25">
      <c r="A28" s="4"/>
      <c r="B28" s="5"/>
      <c r="I28" s="9"/>
      <c r="K28" s="4"/>
      <c r="L28" s="5"/>
      <c r="Q28" s="5"/>
      <c r="S28" s="9"/>
      <c r="U28" s="4"/>
      <c r="V28" s="5"/>
      <c r="AC28" s="9"/>
      <c r="AE28" s="4"/>
      <c r="AF28" s="5"/>
      <c r="AM28" s="9"/>
      <c r="AO28" s="4"/>
      <c r="AP28" s="5"/>
      <c r="AW28" s="9"/>
      <c r="AY28" s="4"/>
      <c r="AZ28" s="5"/>
      <c r="BG28" s="9"/>
    </row>
    <row r="29" spans="1:59" ht="15.75" thickBot="1" x14ac:dyDescent="0.3">
      <c r="A29" s="10" t="s">
        <v>5</v>
      </c>
      <c r="B29" s="11">
        <v>2596.9499999999998</v>
      </c>
      <c r="C29" s="12"/>
      <c r="D29" s="12"/>
      <c r="E29" s="12"/>
      <c r="F29" s="12"/>
      <c r="G29" s="12"/>
      <c r="H29" s="12"/>
      <c r="I29" s="13"/>
      <c r="K29" s="10" t="s">
        <v>5</v>
      </c>
      <c r="L29" s="11">
        <v>2820.33</v>
      </c>
      <c r="M29" s="12"/>
      <c r="N29" s="12"/>
      <c r="O29" s="12"/>
      <c r="P29" s="12"/>
      <c r="Q29" s="12"/>
      <c r="R29" s="12"/>
      <c r="S29" s="13"/>
      <c r="U29" s="10" t="s">
        <v>5</v>
      </c>
      <c r="V29" s="11">
        <v>2961.44</v>
      </c>
      <c r="W29" s="12"/>
      <c r="X29" s="12"/>
      <c r="Y29" s="12"/>
      <c r="Z29" s="12"/>
      <c r="AA29" s="12"/>
      <c r="AB29" s="12"/>
      <c r="AC29" s="13"/>
      <c r="AE29" s="10" t="s">
        <v>5</v>
      </c>
      <c r="AF29" s="11">
        <v>3520.46</v>
      </c>
      <c r="AG29" s="12"/>
      <c r="AH29" s="12"/>
      <c r="AI29" s="12"/>
      <c r="AJ29" s="12"/>
      <c r="AK29" s="12"/>
      <c r="AL29" s="12"/>
      <c r="AM29" s="13"/>
      <c r="AO29" s="10" t="s">
        <v>5</v>
      </c>
      <c r="AP29" s="11">
        <v>3520.46</v>
      </c>
      <c r="AQ29" s="12"/>
      <c r="AR29" s="12"/>
      <c r="AS29" s="12"/>
      <c r="AT29" s="12"/>
      <c r="AU29" s="12"/>
      <c r="AV29" s="12"/>
      <c r="AW29" s="13"/>
      <c r="AY29" s="10" t="s">
        <v>5</v>
      </c>
      <c r="AZ29" s="11">
        <v>4131.87</v>
      </c>
      <c r="BA29" s="12"/>
      <c r="BB29" s="12"/>
      <c r="BC29" s="12"/>
      <c r="BD29" s="12"/>
      <c r="BE29" s="12"/>
      <c r="BF29" s="12"/>
      <c r="BG29" s="13"/>
    </row>
    <row r="30" spans="1:59" ht="15.75" thickBot="1" x14ac:dyDescent="0.3"/>
    <row r="31" spans="1:59" x14ac:dyDescent="0.25">
      <c r="A31" s="1">
        <v>45429</v>
      </c>
      <c r="B31" s="2"/>
      <c r="C31" s="2"/>
      <c r="D31" s="2"/>
      <c r="E31" s="2" t="s">
        <v>0</v>
      </c>
      <c r="F31" s="2"/>
      <c r="G31" s="2" t="s">
        <v>1</v>
      </c>
      <c r="H31" s="2"/>
      <c r="I31" s="3" t="s">
        <v>2</v>
      </c>
      <c r="K31" s="1">
        <v>45430</v>
      </c>
      <c r="L31" s="2"/>
      <c r="M31" s="2"/>
      <c r="N31" s="2"/>
      <c r="O31" s="2" t="s">
        <v>0</v>
      </c>
      <c r="P31" s="2"/>
      <c r="Q31" s="2" t="s">
        <v>1</v>
      </c>
      <c r="R31" s="2"/>
      <c r="S31" s="3" t="s">
        <v>2</v>
      </c>
      <c r="U31" s="1">
        <v>45431</v>
      </c>
      <c r="V31" s="2"/>
      <c r="W31" s="2"/>
      <c r="X31" s="2"/>
      <c r="Y31" s="2" t="s">
        <v>0</v>
      </c>
      <c r="Z31" s="2"/>
      <c r="AA31" s="2" t="s">
        <v>1</v>
      </c>
      <c r="AB31" s="2"/>
      <c r="AC31" s="3" t="s">
        <v>2</v>
      </c>
      <c r="AE31" s="1">
        <v>45432</v>
      </c>
      <c r="AF31" s="2"/>
      <c r="AG31" s="2"/>
      <c r="AH31" s="2"/>
      <c r="AI31" s="2" t="s">
        <v>0</v>
      </c>
      <c r="AJ31" s="2"/>
      <c r="AK31" s="2" t="s">
        <v>1</v>
      </c>
      <c r="AL31" s="2"/>
      <c r="AM31" s="3" t="s">
        <v>2</v>
      </c>
      <c r="AO31" s="1">
        <v>45433</v>
      </c>
      <c r="AP31" s="2"/>
      <c r="AQ31" s="2"/>
      <c r="AR31" s="2"/>
      <c r="AS31" s="2" t="s">
        <v>0</v>
      </c>
      <c r="AT31" s="2"/>
      <c r="AU31" s="2" t="s">
        <v>1</v>
      </c>
      <c r="AV31" s="2"/>
      <c r="AW31" s="3" t="s">
        <v>2</v>
      </c>
      <c r="AY31" s="1">
        <v>45434</v>
      </c>
      <c r="AZ31" s="2"/>
      <c r="BA31" s="2"/>
      <c r="BB31" s="2"/>
      <c r="BC31" s="2" t="s">
        <v>0</v>
      </c>
      <c r="BD31" s="2"/>
      <c r="BE31" s="2" t="s">
        <v>1</v>
      </c>
      <c r="BF31" s="2"/>
      <c r="BG31" s="3" t="s">
        <v>2</v>
      </c>
    </row>
    <row r="32" spans="1:59" x14ac:dyDescent="0.25">
      <c r="A32" s="4" t="s">
        <v>3</v>
      </c>
      <c r="B32" s="5">
        <f>3603.71+720.5</f>
        <v>4324.21</v>
      </c>
      <c r="C32" s="6">
        <f>B32/B34</f>
        <v>0.86130033303057818</v>
      </c>
      <c r="E32" s="5">
        <f>B36*C32</f>
        <v>2138.6431789282469</v>
      </c>
      <c r="G32" s="5">
        <f>B32+E32</f>
        <v>6462.853178928247</v>
      </c>
      <c r="I32" s="7">
        <f>G32/3053</f>
        <v>2.1168860723643128</v>
      </c>
      <c r="K32" s="4" t="s">
        <v>3</v>
      </c>
      <c r="L32" s="5">
        <f>3643.46+835.98</f>
        <v>4479.4400000000005</v>
      </c>
      <c r="M32" s="8">
        <f>L32/L34</f>
        <v>0.75835180071815411</v>
      </c>
      <c r="O32" s="5">
        <f>L36*M32</f>
        <v>2112.5633618145835</v>
      </c>
      <c r="Q32">
        <f>L32+O32</f>
        <v>6592.0033618145844</v>
      </c>
      <c r="S32" s="7">
        <f>Q32/3069</f>
        <v>2.1479320175348922</v>
      </c>
      <c r="U32" s="4" t="s">
        <v>3</v>
      </c>
      <c r="V32" s="5">
        <f>3710.78+848.1</f>
        <v>4558.88</v>
      </c>
      <c r="W32" s="6">
        <f>V32/V34</f>
        <v>0.64003863638278102</v>
      </c>
      <c r="Y32" s="5">
        <f>V36*W32</f>
        <v>1859.7218634192639</v>
      </c>
      <c r="AA32" s="5">
        <f>V32+Y32</f>
        <v>6418.6018634192642</v>
      </c>
      <c r="AC32" s="7">
        <f>AA32/3198</f>
        <v>2.0070674995057112</v>
      </c>
      <c r="AE32" s="4" t="s">
        <v>3</v>
      </c>
      <c r="AF32" s="5">
        <f>2180.21+805.19</f>
        <v>2985.4</v>
      </c>
      <c r="AG32" s="8">
        <f>AF32/AF34</f>
        <v>0.57255187756511061</v>
      </c>
      <c r="AI32" s="5">
        <f>AF36*AG32</f>
        <v>1636.3131874496564</v>
      </c>
      <c r="AK32" s="5">
        <f>AF32+AI32</f>
        <v>4621.7131874496563</v>
      </c>
      <c r="AM32" s="7">
        <f>AK32/3312</f>
        <v>1.3954448029739301</v>
      </c>
      <c r="AO32" s="4" t="s">
        <v>3</v>
      </c>
      <c r="AP32" s="5">
        <f>2549.08+905.26</f>
        <v>3454.34</v>
      </c>
      <c r="AQ32" s="8">
        <f>AP32/AP34</f>
        <v>0.51951524703872376</v>
      </c>
      <c r="AS32" s="5">
        <f>AP36*AQ32</f>
        <v>1845.4584265982473</v>
      </c>
      <c r="AU32" s="5">
        <f>AP32+AS32</f>
        <v>5299.7984265982477</v>
      </c>
      <c r="AW32" s="7">
        <f>AU32/3663</f>
        <v>1.4468464173077389</v>
      </c>
      <c r="AY32" s="4" t="s">
        <v>3</v>
      </c>
      <c r="AZ32" s="5">
        <f>2883.26+1007.63</f>
        <v>3890.8900000000003</v>
      </c>
      <c r="BA32" s="8">
        <f>AZ32/AZ34</f>
        <v>0.53659380865497464</v>
      </c>
      <c r="BC32" s="5">
        <f>AZ36*BA32</f>
        <v>2048.430766726106</v>
      </c>
      <c r="BE32" s="5">
        <f>AZ32+BC32</f>
        <v>5939.3207667261067</v>
      </c>
      <c r="BG32" s="7">
        <f>BE32/4004</f>
        <v>1.48334684483669</v>
      </c>
    </row>
    <row r="33" spans="1:59" x14ac:dyDescent="0.25">
      <c r="A33" s="4" t="s">
        <v>4</v>
      </c>
      <c r="B33" s="5">
        <f>523.14+173.21</f>
        <v>696.35</v>
      </c>
      <c r="C33" s="6">
        <f>B33/B34</f>
        <v>0.13869966696942174</v>
      </c>
      <c r="E33" s="5">
        <f>C33*B36</f>
        <v>344.39682107175292</v>
      </c>
      <c r="G33" s="5">
        <f>B33+E33</f>
        <v>1040.7468210717529</v>
      </c>
      <c r="I33" s="7">
        <f>G33/912</f>
        <v>1.1411697599470976</v>
      </c>
      <c r="K33" s="4" t="s">
        <v>4</v>
      </c>
      <c r="L33" s="5">
        <f>1071.57+355.8</f>
        <v>1427.37</v>
      </c>
      <c r="M33" s="8">
        <f>L33/L34</f>
        <v>0.24164819928184583</v>
      </c>
      <c r="O33" s="5">
        <f>M33*L36</f>
        <v>673.16663818541645</v>
      </c>
      <c r="Q33">
        <f>L33+O33</f>
        <v>2100.5366381854165</v>
      </c>
      <c r="S33" s="7">
        <f>Q33/1577</f>
        <v>1.3319826494517542</v>
      </c>
      <c r="U33" s="4" t="s">
        <v>4</v>
      </c>
      <c r="V33" s="5">
        <f>2132.77+431.17</f>
        <v>2563.94</v>
      </c>
      <c r="W33" s="6">
        <f>V33/V34</f>
        <v>0.35996136361721903</v>
      </c>
      <c r="Y33" s="5">
        <f>W33*V36</f>
        <v>1045.9181365807362</v>
      </c>
      <c r="AA33" s="5">
        <f>V33+Y33</f>
        <v>3609.8581365807363</v>
      </c>
      <c r="AC33" s="7">
        <f>AA33/1939</f>
        <v>1.8617112617744902</v>
      </c>
      <c r="AE33" s="4" t="s">
        <v>4</v>
      </c>
      <c r="AF33" s="5">
        <f>1815.74+413.06</f>
        <v>2228.8000000000002</v>
      </c>
      <c r="AG33" s="8">
        <f>AF33/AF34</f>
        <v>0.42744812243488933</v>
      </c>
      <c r="AI33" s="5">
        <f>AG33*AF36</f>
        <v>1221.6168125503432</v>
      </c>
      <c r="AK33" s="5">
        <f>AF33+AI33</f>
        <v>3450.4168125503434</v>
      </c>
      <c r="AM33" s="7">
        <f>AK33/1800</f>
        <v>1.9168982291946353</v>
      </c>
      <c r="AO33" s="4" t="s">
        <v>4</v>
      </c>
      <c r="AP33" s="5">
        <f>2649.66+545.16</f>
        <v>3194.8199999999997</v>
      </c>
      <c r="AQ33" s="8">
        <f>AP33/AP34</f>
        <v>0.4804847529612763</v>
      </c>
      <c r="AS33" s="5">
        <f>AQ33*AP36</f>
        <v>1706.8115734017529</v>
      </c>
      <c r="AU33" s="5">
        <f>AP33+AS33</f>
        <v>4901.6315734017526</v>
      </c>
      <c r="AW33" s="7">
        <f>AU33/2312</f>
        <v>2.1200828604678859</v>
      </c>
      <c r="AY33" s="4" t="s">
        <v>4</v>
      </c>
      <c r="AZ33" s="5">
        <f>2735.82+624.38</f>
        <v>3360.2000000000003</v>
      </c>
      <c r="BA33" s="8">
        <f>AZ33/AZ34</f>
        <v>0.46340619134502542</v>
      </c>
      <c r="BC33" s="5">
        <f>BA33*AZ36</f>
        <v>1769.0392332738941</v>
      </c>
      <c r="BE33" s="5">
        <f>AZ33+BC33</f>
        <v>5129.2392332738946</v>
      </c>
      <c r="BG33" s="7">
        <f>BE33/2587</f>
        <v>1.9826978095376477</v>
      </c>
    </row>
    <row r="34" spans="1:59" x14ac:dyDescent="0.25">
      <c r="A34" s="4"/>
      <c r="B34" s="5">
        <f>SUM(B32:B33)</f>
        <v>5020.5600000000004</v>
      </c>
      <c r="G34" s="5">
        <f>SUM(G32:G33)</f>
        <v>7503.6</v>
      </c>
      <c r="I34" s="9"/>
      <c r="K34" s="4"/>
      <c r="L34" s="5">
        <f>SUM(L32:L33)</f>
        <v>5906.81</v>
      </c>
      <c r="Q34">
        <f>SUM(Q32:Q33)</f>
        <v>8692.5400000000009</v>
      </c>
      <c r="S34" s="9"/>
      <c r="U34" s="4"/>
      <c r="V34" s="5">
        <f>SUM(V32:V33)</f>
        <v>7122.82</v>
      </c>
      <c r="AA34">
        <f>SUM(AA32:AA33)</f>
        <v>10028.460000000001</v>
      </c>
      <c r="AC34" s="9"/>
      <c r="AE34" s="4"/>
      <c r="AF34" s="5">
        <f>SUM(AF32:AF33)</f>
        <v>5214.2000000000007</v>
      </c>
      <c r="AK34">
        <f>SUM(AK32:AK33)</f>
        <v>8072.1299999999992</v>
      </c>
      <c r="AM34" s="9"/>
      <c r="AO34" s="4"/>
      <c r="AP34" s="5">
        <f>SUM(AP32:AP33)</f>
        <v>6649.16</v>
      </c>
      <c r="AU34">
        <f>SUM(AU32:AU33)</f>
        <v>10201.43</v>
      </c>
      <c r="AW34" s="9"/>
      <c r="AY34" s="4"/>
      <c r="AZ34" s="5">
        <f>SUM(AZ32:AZ33)</f>
        <v>7251.09</v>
      </c>
      <c r="BE34">
        <f>SUM(BE32:BE33)</f>
        <v>11068.560000000001</v>
      </c>
      <c r="BG34" s="9"/>
    </row>
    <row r="35" spans="1:59" x14ac:dyDescent="0.25">
      <c r="A35" s="4"/>
      <c r="B35" s="5"/>
      <c r="I35" s="9"/>
      <c r="K35" s="4"/>
      <c r="L35" s="5"/>
      <c r="S35" s="9"/>
      <c r="U35" s="4"/>
      <c r="V35" s="5"/>
      <c r="AC35" s="9"/>
      <c r="AE35" s="4"/>
      <c r="AF35" s="5"/>
      <c r="AM35" s="9"/>
      <c r="AO35" s="4"/>
      <c r="AP35" s="5"/>
      <c r="AW35" s="9"/>
      <c r="AY35" s="4"/>
      <c r="AZ35" s="5"/>
      <c r="BG35" s="9"/>
    </row>
    <row r="36" spans="1:59" ht="15.75" thickBot="1" x14ac:dyDescent="0.3">
      <c r="A36" s="10" t="s">
        <v>5</v>
      </c>
      <c r="B36" s="11">
        <v>2483.04</v>
      </c>
      <c r="C36" s="12"/>
      <c r="D36" s="12"/>
      <c r="E36" s="12"/>
      <c r="F36" s="12"/>
      <c r="G36" s="12"/>
      <c r="H36" s="12"/>
      <c r="I36" s="13"/>
      <c r="K36" s="10" t="s">
        <v>5</v>
      </c>
      <c r="L36" s="11">
        <v>2785.73</v>
      </c>
      <c r="M36" s="12"/>
      <c r="N36" s="12"/>
      <c r="O36" s="12"/>
      <c r="P36" s="12"/>
      <c r="Q36" s="12"/>
      <c r="R36" s="12"/>
      <c r="S36" s="13"/>
      <c r="U36" s="10" t="s">
        <v>5</v>
      </c>
      <c r="V36" s="11">
        <v>2905.64</v>
      </c>
      <c r="W36" s="12"/>
      <c r="X36" s="12"/>
      <c r="Y36" s="12"/>
      <c r="Z36" s="12"/>
      <c r="AA36" s="12"/>
      <c r="AB36" s="12"/>
      <c r="AC36" s="13"/>
      <c r="AE36" s="10" t="s">
        <v>5</v>
      </c>
      <c r="AF36" s="11">
        <v>2857.93</v>
      </c>
      <c r="AG36" s="12"/>
      <c r="AH36" s="12"/>
      <c r="AI36" s="12"/>
      <c r="AJ36" s="12"/>
      <c r="AK36" s="12"/>
      <c r="AL36" s="12"/>
      <c r="AM36" s="13"/>
      <c r="AO36" s="10" t="s">
        <v>5</v>
      </c>
      <c r="AP36" s="11">
        <v>3552.27</v>
      </c>
      <c r="AQ36" s="12"/>
      <c r="AR36" s="12"/>
      <c r="AS36" s="12"/>
      <c r="AT36" s="12"/>
      <c r="AU36" s="12"/>
      <c r="AV36" s="12"/>
      <c r="AW36" s="13"/>
      <c r="AY36" s="10" t="s">
        <v>5</v>
      </c>
      <c r="AZ36" s="11">
        <v>3817.47</v>
      </c>
      <c r="BA36" s="12"/>
      <c r="BB36" s="12"/>
      <c r="BC36" s="12"/>
      <c r="BD36" s="12"/>
      <c r="BE36" s="12"/>
      <c r="BF36" s="12"/>
      <c r="BG36" s="13"/>
    </row>
    <row r="37" spans="1:59" ht="15.75" thickBot="1" x14ac:dyDescent="0.3"/>
    <row r="38" spans="1:59" x14ac:dyDescent="0.25">
      <c r="A38" s="1">
        <v>45460</v>
      </c>
      <c r="B38" s="2"/>
      <c r="C38" s="2"/>
      <c r="D38" s="2"/>
      <c r="E38" s="2" t="s">
        <v>0</v>
      </c>
      <c r="F38" s="2"/>
      <c r="G38" s="2" t="s">
        <v>1</v>
      </c>
      <c r="H38" s="2"/>
      <c r="I38" s="3" t="s">
        <v>2</v>
      </c>
      <c r="K38" s="1">
        <v>45461</v>
      </c>
      <c r="L38" s="2"/>
      <c r="M38" s="2"/>
      <c r="N38" s="2"/>
      <c r="O38" s="2" t="s">
        <v>0</v>
      </c>
      <c r="P38" s="2"/>
      <c r="Q38" s="2" t="s">
        <v>1</v>
      </c>
      <c r="R38" s="2"/>
      <c r="S38" s="3" t="s">
        <v>2</v>
      </c>
      <c r="U38" s="1">
        <v>45462</v>
      </c>
      <c r="V38" s="2"/>
      <c r="W38" s="2"/>
      <c r="X38" s="2"/>
      <c r="Y38" s="2" t="s">
        <v>0</v>
      </c>
      <c r="Z38" s="2"/>
      <c r="AA38" s="2" t="s">
        <v>1</v>
      </c>
      <c r="AB38" s="2"/>
      <c r="AC38" s="3" t="s">
        <v>2</v>
      </c>
      <c r="AE38" s="1">
        <v>45463</v>
      </c>
      <c r="AF38" s="2"/>
      <c r="AG38" s="2"/>
      <c r="AH38" s="2"/>
      <c r="AI38" s="2" t="s">
        <v>0</v>
      </c>
      <c r="AJ38" s="2"/>
      <c r="AK38" s="2" t="s">
        <v>1</v>
      </c>
      <c r="AL38" s="2"/>
      <c r="AM38" s="3" t="s">
        <v>2</v>
      </c>
      <c r="AO38" s="1">
        <v>45464</v>
      </c>
      <c r="AP38" s="2"/>
      <c r="AQ38" s="2"/>
      <c r="AR38" s="2"/>
      <c r="AS38" s="2" t="s">
        <v>0</v>
      </c>
      <c r="AT38" s="2"/>
      <c r="AU38" s="2" t="s">
        <v>1</v>
      </c>
      <c r="AV38" s="2"/>
      <c r="AW38" s="3" t="s">
        <v>2</v>
      </c>
      <c r="AY38" s="1">
        <v>45465</v>
      </c>
      <c r="AZ38" s="2"/>
      <c r="BA38" s="2"/>
      <c r="BB38" s="2"/>
      <c r="BC38" s="2" t="s">
        <v>0</v>
      </c>
      <c r="BD38" s="2"/>
      <c r="BE38" s="2" t="s">
        <v>1</v>
      </c>
      <c r="BF38" s="2"/>
      <c r="BG38" s="3" t="s">
        <v>2</v>
      </c>
    </row>
    <row r="39" spans="1:59" x14ac:dyDescent="0.25">
      <c r="A39" s="4" t="s">
        <v>3</v>
      </c>
      <c r="B39" s="5">
        <f>3571.46+655.49</f>
        <v>4226.95</v>
      </c>
      <c r="C39" s="6">
        <f>B39/B41</f>
        <v>0.85953799540435571</v>
      </c>
      <c r="E39" s="5">
        <f>B43*C39</f>
        <v>2052.0094379486345</v>
      </c>
      <c r="G39" s="5">
        <f>B39+E39</f>
        <v>6278.9594379486343</v>
      </c>
      <c r="I39" s="7">
        <f>G39/2964</f>
        <v>2.1184073677289588</v>
      </c>
      <c r="K39" s="4" t="s">
        <v>3</v>
      </c>
      <c r="L39" s="5">
        <f>4018.34+847.24</f>
        <v>4865.58</v>
      </c>
      <c r="M39" s="8">
        <f>L39/L41</f>
        <v>0.76885808555825241</v>
      </c>
      <c r="O39" s="5">
        <f>L43*M39</f>
        <v>2146.6287091360737</v>
      </c>
      <c r="Q39">
        <f>L39+O39</f>
        <v>7012.2087091360736</v>
      </c>
      <c r="S39" s="7">
        <f>Q39/3121</f>
        <v>2.24678266873953</v>
      </c>
      <c r="U39" s="4" t="s">
        <v>3</v>
      </c>
      <c r="V39" s="5">
        <f>3855.44+833.06</f>
        <v>4688.5</v>
      </c>
      <c r="W39" s="6">
        <f>V39/V41</f>
        <v>0.64542462291150726</v>
      </c>
      <c r="Y39" s="5">
        <f>V43*W39</f>
        <v>1871.4667823479774</v>
      </c>
      <c r="AA39" s="5">
        <f>V39+Y39</f>
        <v>6559.9667823479776</v>
      </c>
      <c r="AC39" s="7">
        <f>AA39/3326</f>
        <v>1.9723291588538718</v>
      </c>
      <c r="AE39" s="4" t="s">
        <v>3</v>
      </c>
      <c r="AF39" s="5">
        <f>2146.06+771.24</f>
        <v>2917.3</v>
      </c>
      <c r="AG39" s="8">
        <f>AF39/AF41</f>
        <v>0.5458621096140065</v>
      </c>
      <c r="AI39" s="5">
        <f>AF43*AG39</f>
        <v>1621.9091690539053</v>
      </c>
      <c r="AK39" s="5">
        <f>AF39+AI39</f>
        <v>4539.2091690539055</v>
      </c>
      <c r="AM39" s="7">
        <f>AK39/3173</f>
        <v>1.4305733277825103</v>
      </c>
      <c r="AO39" s="4" t="s">
        <v>3</v>
      </c>
      <c r="AP39" s="5">
        <f>2594.67+847.98</f>
        <v>3442.65</v>
      </c>
      <c r="AQ39" s="8">
        <f>AP39/AP41</f>
        <v>0.52242814934192849</v>
      </c>
      <c r="AS39" s="5">
        <f>AP43*AQ39</f>
        <v>1839.8299892559762</v>
      </c>
      <c r="AU39">
        <f>AP39+AS39</f>
        <v>5282.4799892559768</v>
      </c>
      <c r="AW39" s="7">
        <f>AU39/3691</f>
        <v>1.4311785394895629</v>
      </c>
      <c r="AY39" s="4" t="s">
        <v>3</v>
      </c>
      <c r="AZ39" s="5">
        <f>3038.56+999.45</f>
        <v>4038.01</v>
      </c>
      <c r="BA39" s="8">
        <f>AZ39/AZ41</f>
        <v>0.51275666340744874</v>
      </c>
      <c r="BC39" s="5">
        <f>AZ43*BA39</f>
        <v>2011.7084726797118</v>
      </c>
      <c r="BE39" s="5">
        <f>AZ39+BC39</f>
        <v>6049.7184726797122</v>
      </c>
      <c r="BG39" s="7">
        <f>BE39/4288</f>
        <v>1.4108485244122464</v>
      </c>
    </row>
    <row r="40" spans="1:59" x14ac:dyDescent="0.25">
      <c r="A40" s="4" t="s">
        <v>4</v>
      </c>
      <c r="B40" s="5">
        <f>536.54+154.21</f>
        <v>690.75</v>
      </c>
      <c r="C40" s="6">
        <f>B40/B41</f>
        <v>0.14046200459564431</v>
      </c>
      <c r="E40" s="5">
        <f>C40*B43</f>
        <v>335.33056205136552</v>
      </c>
      <c r="G40" s="5">
        <f>B40+E40</f>
        <v>1026.0805620513656</v>
      </c>
      <c r="I40" s="7">
        <f>G40/930</f>
        <v>1.1033124323132963</v>
      </c>
      <c r="K40" s="4" t="s">
        <v>4</v>
      </c>
      <c r="L40" s="5">
        <f>1130.78+331.96</f>
        <v>1462.74</v>
      </c>
      <c r="M40" s="8">
        <f>L40/L41</f>
        <v>0.23114191444174759</v>
      </c>
      <c r="O40" s="5">
        <f>M40*L43</f>
        <v>645.34129086392602</v>
      </c>
      <c r="Q40">
        <f>L40+O40</f>
        <v>2108.0812908639259</v>
      </c>
      <c r="S40" s="7">
        <f>Q40/1636</f>
        <v>1.2885582462493435</v>
      </c>
      <c r="U40" s="4" t="s">
        <v>4</v>
      </c>
      <c r="V40" s="5">
        <f>2165.52+410.19</f>
        <v>2575.71</v>
      </c>
      <c r="W40" s="6">
        <f>V40/V41</f>
        <v>0.35457537708849274</v>
      </c>
      <c r="Y40" s="5">
        <f>W40*V43</f>
        <v>1028.1232176520227</v>
      </c>
      <c r="AA40" s="5">
        <f>V40+Y40</f>
        <v>3603.8332176520225</v>
      </c>
      <c r="AC40" s="7">
        <f>AA40/1945</f>
        <v>1.8528705489213484</v>
      </c>
      <c r="AE40" s="4" t="s">
        <v>4</v>
      </c>
      <c r="AF40" s="5">
        <f>2027.84+399.25</f>
        <v>2427.09</v>
      </c>
      <c r="AG40" s="8">
        <f>AF40/AF41</f>
        <v>0.45413789038599356</v>
      </c>
      <c r="AI40" s="5">
        <f>AG40*AF43</f>
        <v>1349.3708309460951</v>
      </c>
      <c r="AK40" s="5">
        <f>AF40+AI40</f>
        <v>3776.4608309460955</v>
      </c>
      <c r="AM40" s="7">
        <f>AK40/1724</f>
        <v>2.1905225237506354</v>
      </c>
      <c r="AO40" s="4" t="s">
        <v>4</v>
      </c>
      <c r="AP40" s="5">
        <f>2641.3+505.76</f>
        <v>3147.0600000000004</v>
      </c>
      <c r="AQ40" s="8">
        <f>AP40/AP41</f>
        <v>0.47757185065807145</v>
      </c>
      <c r="AS40" s="5">
        <f>AQ40*AP43</f>
        <v>1681.8600107440236</v>
      </c>
      <c r="AU40">
        <f>AP40+AS40</f>
        <v>4828.9200107440238</v>
      </c>
      <c r="AW40" s="7">
        <f>AU40/2358</f>
        <v>2.0478880452688819</v>
      </c>
      <c r="AY40" s="4" t="s">
        <v>4</v>
      </c>
      <c r="AZ40" s="5">
        <f>3193.63+643.46</f>
        <v>3837.09</v>
      </c>
      <c r="BA40" s="8">
        <f>AZ40/AZ41</f>
        <v>0.4872433365925512</v>
      </c>
      <c r="BC40" s="5">
        <f>BA40*AZ43</f>
        <v>1911.6115273202881</v>
      </c>
      <c r="BE40" s="5">
        <f>AZ40+BC40</f>
        <v>5748.7015273202887</v>
      </c>
      <c r="BG40" s="7">
        <f>BE40/2743</f>
        <v>2.0957716103974806</v>
      </c>
    </row>
    <row r="41" spans="1:59" x14ac:dyDescent="0.25">
      <c r="A41" s="4"/>
      <c r="B41" s="5">
        <f>SUM(B39:B40)</f>
        <v>4917.7</v>
      </c>
      <c r="G41">
        <f>SUM(G39:G40)</f>
        <v>7305.04</v>
      </c>
      <c r="I41" s="9"/>
      <c r="K41" s="4"/>
      <c r="L41" s="5">
        <f>SUM(L39:L40)</f>
        <v>6328.32</v>
      </c>
      <c r="Q41">
        <f>SUM(Q39:Q40)</f>
        <v>9120.2899999999991</v>
      </c>
      <c r="S41" s="9"/>
      <c r="U41" s="4"/>
      <c r="V41" s="5">
        <f>SUM(V39:V40)</f>
        <v>7264.21</v>
      </c>
      <c r="AA41" s="5">
        <f>SUM(AA39:AA40)</f>
        <v>10163.799999999999</v>
      </c>
      <c r="AC41" s="9"/>
      <c r="AE41" s="4"/>
      <c r="AF41" s="5">
        <f>SUM(AF39:AF40)</f>
        <v>5344.39</v>
      </c>
      <c r="AK41">
        <f>SUM(AK39:AK40)</f>
        <v>8315.6700000000019</v>
      </c>
      <c r="AM41" s="9"/>
      <c r="AO41" s="4"/>
      <c r="AP41" s="5">
        <f>SUM(AP39:AP40)</f>
        <v>6589.7100000000009</v>
      </c>
      <c r="AU41" s="5">
        <f>SUM(AU39:AU40)</f>
        <v>10111.400000000001</v>
      </c>
      <c r="AW41" s="9"/>
      <c r="AY41" s="4"/>
      <c r="AZ41" s="5">
        <f>SUM(AZ39:AZ40)</f>
        <v>7875.1</v>
      </c>
      <c r="BE41">
        <f>SUM(BE39:BE40)</f>
        <v>11798.420000000002</v>
      </c>
      <c r="BG41" s="9"/>
    </row>
    <row r="42" spans="1:59" x14ac:dyDescent="0.25">
      <c r="A42" s="4"/>
      <c r="B42" s="5"/>
      <c r="I42" s="9"/>
      <c r="K42" s="4"/>
      <c r="L42" s="5"/>
      <c r="S42" s="9"/>
      <c r="U42" s="4"/>
      <c r="V42" s="5"/>
      <c r="AC42" s="9"/>
      <c r="AE42" s="4"/>
      <c r="AF42" s="5"/>
      <c r="AM42" s="9"/>
      <c r="AO42" s="4"/>
      <c r="AP42" s="5"/>
      <c r="AW42" s="9"/>
      <c r="AY42" s="4"/>
      <c r="AZ42" s="5"/>
      <c r="BG42" s="9"/>
    </row>
    <row r="43" spans="1:59" ht="15.75" thickBot="1" x14ac:dyDescent="0.3">
      <c r="A43" s="10" t="s">
        <v>5</v>
      </c>
      <c r="B43" s="11">
        <v>2387.34</v>
      </c>
      <c r="C43" s="12"/>
      <c r="D43" s="12"/>
      <c r="E43" s="12"/>
      <c r="F43" s="12"/>
      <c r="G43" s="12"/>
      <c r="H43" s="12"/>
      <c r="I43" s="13"/>
      <c r="K43" s="10" t="s">
        <v>5</v>
      </c>
      <c r="L43" s="11">
        <v>2791.97</v>
      </c>
      <c r="M43" s="12"/>
      <c r="N43" s="12"/>
      <c r="O43" s="12"/>
      <c r="P43" s="12"/>
      <c r="Q43" s="12"/>
      <c r="R43" s="12"/>
      <c r="S43" s="13"/>
      <c r="U43" s="10" t="s">
        <v>5</v>
      </c>
      <c r="V43" s="11">
        <v>2899.59</v>
      </c>
      <c r="W43" s="12"/>
      <c r="X43" s="12"/>
      <c r="Y43" s="12"/>
      <c r="Z43" s="12"/>
      <c r="AA43" s="12"/>
      <c r="AB43" s="12"/>
      <c r="AC43" s="13"/>
      <c r="AE43" s="10" t="s">
        <v>5</v>
      </c>
      <c r="AF43" s="11">
        <v>2971.28</v>
      </c>
      <c r="AG43" s="12"/>
      <c r="AH43" s="12"/>
      <c r="AI43" s="12"/>
      <c r="AJ43" s="12"/>
      <c r="AK43" s="12"/>
      <c r="AL43" s="12"/>
      <c r="AM43" s="13"/>
      <c r="AO43" s="10" t="s">
        <v>5</v>
      </c>
      <c r="AP43" s="11">
        <v>3521.69</v>
      </c>
      <c r="AQ43" s="12"/>
      <c r="AR43" s="12"/>
      <c r="AS43" s="12"/>
      <c r="AT43" s="12"/>
      <c r="AU43" s="12"/>
      <c r="AV43" s="12"/>
      <c r="AW43" s="13"/>
      <c r="AY43" s="10" t="s">
        <v>5</v>
      </c>
      <c r="AZ43" s="11">
        <v>3923.32</v>
      </c>
      <c r="BA43" s="12"/>
      <c r="BB43" s="12"/>
      <c r="BC43" s="12"/>
      <c r="BD43" s="12"/>
      <c r="BE43" s="12"/>
      <c r="BF43" s="12"/>
      <c r="BG43" s="13"/>
    </row>
    <row r="44" spans="1:59" ht="15.75" thickBot="1" x14ac:dyDescent="0.3"/>
    <row r="45" spans="1:59" x14ac:dyDescent="0.25">
      <c r="A45" s="1">
        <v>45490</v>
      </c>
      <c r="B45" s="2"/>
      <c r="C45" s="2"/>
      <c r="D45" s="2"/>
      <c r="E45" s="2" t="s">
        <v>0</v>
      </c>
      <c r="F45" s="2"/>
      <c r="G45" s="2" t="s">
        <v>1</v>
      </c>
      <c r="H45" s="2"/>
      <c r="I45" s="3" t="s">
        <v>2</v>
      </c>
      <c r="K45" s="1">
        <v>45491</v>
      </c>
      <c r="L45" s="2"/>
      <c r="M45" s="2"/>
      <c r="N45" s="2"/>
      <c r="O45" s="2" t="s">
        <v>0</v>
      </c>
      <c r="P45" s="2"/>
      <c r="Q45" s="2" t="s">
        <v>1</v>
      </c>
      <c r="R45" s="2"/>
      <c r="S45" s="3" t="s">
        <v>2</v>
      </c>
      <c r="U45" s="1">
        <v>45492</v>
      </c>
      <c r="V45" s="2"/>
      <c r="W45" s="2"/>
      <c r="X45" s="2"/>
      <c r="Y45" s="2" t="s">
        <v>0</v>
      </c>
      <c r="Z45" s="2"/>
      <c r="AA45" s="2" t="s">
        <v>1</v>
      </c>
      <c r="AB45" s="2"/>
      <c r="AC45" s="3" t="s">
        <v>2</v>
      </c>
      <c r="AE45" s="1">
        <v>45493</v>
      </c>
      <c r="AF45" s="2"/>
      <c r="AG45" s="2"/>
      <c r="AH45" s="2"/>
      <c r="AI45" s="2" t="s">
        <v>0</v>
      </c>
      <c r="AJ45" s="2"/>
      <c r="AK45" s="2" t="s">
        <v>1</v>
      </c>
      <c r="AL45" s="2"/>
      <c r="AM45" s="3" t="s">
        <v>2</v>
      </c>
      <c r="AO45" s="1">
        <v>45494</v>
      </c>
      <c r="AP45" s="2"/>
      <c r="AQ45" s="2"/>
      <c r="AR45" s="2"/>
      <c r="AS45" s="2" t="s">
        <v>0</v>
      </c>
      <c r="AT45" s="2"/>
      <c r="AU45" s="2" t="s">
        <v>1</v>
      </c>
      <c r="AV45" s="2"/>
      <c r="AW45" s="3" t="s">
        <v>2</v>
      </c>
      <c r="AY45" s="15">
        <v>45495</v>
      </c>
      <c r="AZ45" s="16"/>
      <c r="BA45" s="16"/>
      <c r="BB45" s="16"/>
      <c r="BC45" s="16" t="s">
        <v>0</v>
      </c>
      <c r="BD45" s="16"/>
      <c r="BE45" s="16" t="s">
        <v>1</v>
      </c>
      <c r="BF45" s="16"/>
      <c r="BG45" s="17" t="s">
        <v>2</v>
      </c>
    </row>
    <row r="46" spans="1:59" x14ac:dyDescent="0.25">
      <c r="A46" s="4" t="s">
        <v>3</v>
      </c>
      <c r="B46" s="5">
        <f>3805.06+737.97</f>
        <v>4543.03</v>
      </c>
      <c r="C46" s="6">
        <f>B46/B48</f>
        <v>0.8650902311906481</v>
      </c>
      <c r="E46" s="5">
        <f>B50*C46</f>
        <v>2184.6469644349913</v>
      </c>
      <c r="G46" s="5">
        <f>B46+E46</f>
        <v>6727.6769644349915</v>
      </c>
      <c r="I46" s="7">
        <f>G46/3196</f>
        <v>2.1050303393100727</v>
      </c>
      <c r="K46" s="4" t="s">
        <v>3</v>
      </c>
      <c r="L46" s="5">
        <f>3989.93+849.02</f>
        <v>4838.95</v>
      </c>
      <c r="M46" s="8">
        <f>L46/L48</f>
        <v>0.75950489625956852</v>
      </c>
      <c r="O46" s="5">
        <f>L50*M46</f>
        <v>2149.0342940643741</v>
      </c>
      <c r="Q46">
        <f>L46+O46</f>
        <v>6987.9842940643739</v>
      </c>
      <c r="S46" s="7">
        <f>Q46/3079</f>
        <v>2.269562940586026</v>
      </c>
      <c r="U46" s="4" t="s">
        <v>3</v>
      </c>
      <c r="V46" s="5">
        <f>3998.82+869.96</f>
        <v>4868.7800000000007</v>
      </c>
      <c r="W46" s="6">
        <f>V46/V48</f>
        <v>0.64829503617114481</v>
      </c>
      <c r="Y46" s="5">
        <f>V50*W46</f>
        <v>1917.7085805971401</v>
      </c>
      <c r="AA46" s="5">
        <f>V46+Y46</f>
        <v>6786.4885805971408</v>
      </c>
      <c r="AC46" s="7">
        <f>AA46/3379</f>
        <v>2.0084310685401423</v>
      </c>
      <c r="AE46" s="4" t="s">
        <v>3</v>
      </c>
      <c r="AF46" s="5">
        <f>2343.11+813.51</f>
        <v>3156.62</v>
      </c>
      <c r="AG46" s="8">
        <f>AF46/AF48</f>
        <v>0.55511259221482645</v>
      </c>
      <c r="AI46" s="5">
        <f>AF50*AG46</f>
        <v>1782.4387779721969</v>
      </c>
      <c r="AK46" s="5">
        <f>AF46+AI46</f>
        <v>4939.0587779721973</v>
      </c>
      <c r="AM46" s="7">
        <f>AK46/3350</f>
        <v>1.4743459038722977</v>
      </c>
      <c r="AO46" s="4" t="s">
        <v>3</v>
      </c>
      <c r="AP46" s="5">
        <f>2813.91+937.18</f>
        <v>3751.0899999999997</v>
      </c>
      <c r="AQ46" s="8">
        <f>AP46/AP48</f>
        <v>0.50873067215664891</v>
      </c>
      <c r="AS46" s="5">
        <f>AP50*AQ46</f>
        <v>1885.5135775209094</v>
      </c>
      <c r="AU46">
        <f>AP46+AS46</f>
        <v>5636.6035775209093</v>
      </c>
      <c r="AW46" s="7">
        <f>AU46/3909</f>
        <v>1.4419553792583548</v>
      </c>
      <c r="AY46" s="18" t="s">
        <v>3</v>
      </c>
      <c r="AZ46" s="19">
        <v>0</v>
      </c>
      <c r="BA46" s="20" t="e">
        <f>AZ46/AZ48</f>
        <v>#DIV/0!</v>
      </c>
      <c r="BB46" s="21"/>
      <c r="BC46" s="19" t="e">
        <f>AZ50*BA46</f>
        <v>#DIV/0!</v>
      </c>
      <c r="BD46" s="21"/>
      <c r="BE46" s="21" t="e">
        <f>AZ46+BC46</f>
        <v>#DIV/0!</v>
      </c>
      <c r="BF46" s="21"/>
      <c r="BG46" s="22" t="e">
        <f>BE46/3305</f>
        <v>#DIV/0!</v>
      </c>
    </row>
    <row r="47" spans="1:59" x14ac:dyDescent="0.25">
      <c r="A47" s="4" t="s">
        <v>4</v>
      </c>
      <c r="B47" s="5">
        <f>550.56+157.92</f>
        <v>708.4799999999999</v>
      </c>
      <c r="C47" s="6">
        <f>B47/B48</f>
        <v>0.13490976880935199</v>
      </c>
      <c r="E47" s="5">
        <f>C47*B50</f>
        <v>340.69303556500898</v>
      </c>
      <c r="G47" s="5">
        <f>B47+E47</f>
        <v>1049.1730355650088</v>
      </c>
      <c r="I47" s="7">
        <f>G47/943</f>
        <v>1.1125907057953435</v>
      </c>
      <c r="K47" s="4" t="s">
        <v>4</v>
      </c>
      <c r="L47" s="5">
        <f>1155.71+376.53</f>
        <v>1532.24</v>
      </c>
      <c r="M47" s="8">
        <f>L47/L48</f>
        <v>0.24049510374043157</v>
      </c>
      <c r="O47" s="5">
        <f>M47*L50</f>
        <v>680.4857059356259</v>
      </c>
      <c r="Q47">
        <f>L47+O47</f>
        <v>2212.7257059356261</v>
      </c>
      <c r="S47" s="7">
        <f>Q47/1704</f>
        <v>1.2985479494927383</v>
      </c>
      <c r="U47" s="4" t="s">
        <v>4</v>
      </c>
      <c r="V47" s="5">
        <f>2216.93+424.42</f>
        <v>2641.35</v>
      </c>
      <c r="W47" s="6">
        <f>V47/V48</f>
        <v>0.35170496382885508</v>
      </c>
      <c r="Y47" s="5">
        <f>W47*V50</f>
        <v>1040.3714194028596</v>
      </c>
      <c r="AA47" s="5">
        <f>V47+Y47</f>
        <v>3681.7214194028593</v>
      </c>
      <c r="AC47" s="7">
        <f>AA47/5409</f>
        <v>0.68066581981934915</v>
      </c>
      <c r="AE47" s="4" t="s">
        <v>4</v>
      </c>
      <c r="AF47" s="5">
        <f>2120.91+408.92</f>
        <v>2529.83</v>
      </c>
      <c r="AG47" s="8">
        <f>AF47/AF48</f>
        <v>0.44488740778517355</v>
      </c>
      <c r="AI47" s="5">
        <f>AG47*AF50</f>
        <v>1428.5112220278029</v>
      </c>
      <c r="AK47" s="5">
        <f>AF47+AI47</f>
        <v>3958.3412220278028</v>
      </c>
      <c r="AM47" s="7">
        <f>AK47/1809</f>
        <v>2.1881377678428984</v>
      </c>
      <c r="AO47" s="4" t="s">
        <v>4</v>
      </c>
      <c r="AP47" s="5">
        <f>3050.56+571.78</f>
        <v>3622.34</v>
      </c>
      <c r="AQ47" s="8">
        <f>AP47/AP48</f>
        <v>0.49126932784335103</v>
      </c>
      <c r="AS47" s="5">
        <f>AQ47*AP50</f>
        <v>1820.7964224790903</v>
      </c>
      <c r="AU47">
        <f>AP47+AS47</f>
        <v>5443.1364224790905</v>
      </c>
      <c r="AW47" s="7">
        <f>AU47/2586</f>
        <v>2.1048478045162762</v>
      </c>
      <c r="AY47" s="18" t="s">
        <v>4</v>
      </c>
      <c r="AZ47" s="19">
        <v>0</v>
      </c>
      <c r="BA47" s="20" t="e">
        <f>AZ47/AZ48</f>
        <v>#DIV/0!</v>
      </c>
      <c r="BB47" s="21"/>
      <c r="BC47" s="19" t="e">
        <f>BA47*AZ50</f>
        <v>#DIV/0!</v>
      </c>
      <c r="BD47" s="21"/>
      <c r="BE47" s="21" t="e">
        <f>AZ47+BC47</f>
        <v>#DIV/0!</v>
      </c>
      <c r="BF47" s="21"/>
      <c r="BG47" s="22" t="e">
        <f>BE47/1008</f>
        <v>#DIV/0!</v>
      </c>
    </row>
    <row r="48" spans="1:59" x14ac:dyDescent="0.25">
      <c r="A48" s="4"/>
      <c r="B48" s="5">
        <f>SUM(B46:B47)</f>
        <v>5251.5099999999993</v>
      </c>
      <c r="G48">
        <f>SUM(G46:G47)</f>
        <v>7776.85</v>
      </c>
      <c r="I48" s="9"/>
      <c r="K48" s="4"/>
      <c r="L48" s="5">
        <f>SUM(L46:L47)</f>
        <v>6371.19</v>
      </c>
      <c r="Q48">
        <f>SUM(Q46:Q47)</f>
        <v>9200.7099999999991</v>
      </c>
      <c r="S48" s="9"/>
      <c r="U48" s="4"/>
      <c r="V48" s="5">
        <f>SUM(V46:V47)</f>
        <v>7510.130000000001</v>
      </c>
      <c r="AA48">
        <f>SUM(AA46:AA47)</f>
        <v>10468.209999999999</v>
      </c>
      <c r="AC48" s="9"/>
      <c r="AE48" s="4"/>
      <c r="AF48" s="5">
        <f>SUM(AF46:AF47)</f>
        <v>5686.45</v>
      </c>
      <c r="AK48" s="5">
        <f>SUM(AK46:AK47)</f>
        <v>8897.4</v>
      </c>
      <c r="AM48" s="9"/>
      <c r="AO48" s="4"/>
      <c r="AP48" s="5">
        <f>SUM(AP46:AP47)</f>
        <v>7373.43</v>
      </c>
      <c r="AU48">
        <f>SUM(AU46:AU47)</f>
        <v>11079.74</v>
      </c>
      <c r="AW48" s="9"/>
      <c r="AY48" s="18"/>
      <c r="AZ48" s="19">
        <f>SUM(AZ46:AZ47)</f>
        <v>0</v>
      </c>
      <c r="BA48" s="21"/>
      <c r="BB48" s="21"/>
      <c r="BC48" s="21"/>
      <c r="BD48" s="21"/>
      <c r="BE48" s="21" t="e">
        <f>SUM(BE46:BE47)</f>
        <v>#DIV/0!</v>
      </c>
      <c r="BF48" s="21"/>
      <c r="BG48" s="23"/>
    </row>
    <row r="49" spans="1:59" x14ac:dyDescent="0.25">
      <c r="A49" s="4"/>
      <c r="B49" s="5"/>
      <c r="I49" s="9"/>
      <c r="K49" s="4"/>
      <c r="L49" s="5"/>
      <c r="S49" s="9"/>
      <c r="U49" s="4"/>
      <c r="V49" s="5"/>
      <c r="AC49" s="9"/>
      <c r="AE49" s="4"/>
      <c r="AF49" s="5"/>
      <c r="AM49" s="9"/>
      <c r="AO49" s="4"/>
      <c r="AP49" s="5"/>
      <c r="AW49" s="9"/>
      <c r="AY49" s="18"/>
      <c r="AZ49" s="19"/>
      <c r="BA49" s="21"/>
      <c r="BB49" s="21"/>
      <c r="BC49" s="21"/>
      <c r="BD49" s="21"/>
      <c r="BE49" s="21"/>
      <c r="BF49" s="21"/>
      <c r="BG49" s="23"/>
    </row>
    <row r="50" spans="1:59" ht="15.75" thickBot="1" x14ac:dyDescent="0.3">
      <c r="A50" s="10" t="s">
        <v>5</v>
      </c>
      <c r="B50" s="11">
        <v>2525.34</v>
      </c>
      <c r="C50" s="12"/>
      <c r="D50" s="12"/>
      <c r="E50" s="12"/>
      <c r="F50" s="12"/>
      <c r="G50" s="12"/>
      <c r="H50" s="12"/>
      <c r="I50" s="13"/>
      <c r="K50" s="10" t="s">
        <v>5</v>
      </c>
      <c r="L50" s="11">
        <v>2829.52</v>
      </c>
      <c r="M50" s="12"/>
      <c r="N50" s="12"/>
      <c r="O50" s="12"/>
      <c r="P50" s="12"/>
      <c r="Q50" s="12"/>
      <c r="R50" s="12"/>
      <c r="S50" s="13"/>
      <c r="U50" s="10" t="s">
        <v>5</v>
      </c>
      <c r="V50" s="11">
        <v>2958.08</v>
      </c>
      <c r="W50" s="12"/>
      <c r="X50" s="12"/>
      <c r="Y50" s="12"/>
      <c r="Z50" s="12"/>
      <c r="AA50" s="12"/>
      <c r="AB50" s="12"/>
      <c r="AC50" s="13"/>
      <c r="AE50" s="10" t="s">
        <v>5</v>
      </c>
      <c r="AF50" s="11">
        <v>3210.95</v>
      </c>
      <c r="AG50" s="12"/>
      <c r="AH50" s="12"/>
      <c r="AI50" s="12"/>
      <c r="AJ50" s="12"/>
      <c r="AK50" s="12"/>
      <c r="AL50" s="12"/>
      <c r="AM50" s="13"/>
      <c r="AO50" s="10" t="s">
        <v>5</v>
      </c>
      <c r="AP50" s="11">
        <v>3706.31</v>
      </c>
      <c r="AQ50" s="12"/>
      <c r="AR50" s="12"/>
      <c r="AS50" s="12"/>
      <c r="AT50" s="12"/>
      <c r="AU50" s="12"/>
      <c r="AV50" s="12"/>
      <c r="AW50" s="13"/>
      <c r="AY50" s="24" t="s">
        <v>5</v>
      </c>
      <c r="AZ50" s="25">
        <v>0</v>
      </c>
      <c r="BA50" s="26"/>
      <c r="BB50" s="26"/>
      <c r="BC50" s="26"/>
      <c r="BD50" s="26"/>
      <c r="BE50" s="26"/>
      <c r="BF50" s="26"/>
      <c r="BG50" s="27"/>
    </row>
    <row r="51" spans="1:59" ht="15.75" thickBot="1" x14ac:dyDescent="0.3"/>
    <row r="52" spans="1:59" x14ac:dyDescent="0.25">
      <c r="A52" s="28">
        <v>45521</v>
      </c>
      <c r="B52" s="29"/>
      <c r="C52" s="29"/>
      <c r="D52" s="29"/>
      <c r="E52" s="29" t="s">
        <v>0</v>
      </c>
      <c r="F52" s="29"/>
      <c r="G52" s="29" t="s">
        <v>1</v>
      </c>
      <c r="H52" s="29"/>
      <c r="I52" s="30" t="s">
        <v>2</v>
      </c>
      <c r="K52" s="1">
        <v>45522</v>
      </c>
      <c r="L52" s="2"/>
      <c r="M52" s="2"/>
      <c r="N52" s="2"/>
      <c r="O52" s="2" t="s">
        <v>0</v>
      </c>
      <c r="P52" s="2"/>
      <c r="Q52" s="2" t="s">
        <v>1</v>
      </c>
      <c r="R52" s="2"/>
      <c r="S52" s="3" t="s">
        <v>2</v>
      </c>
      <c r="U52" s="1">
        <v>45523</v>
      </c>
      <c r="V52" s="2"/>
      <c r="W52" s="2"/>
      <c r="X52" s="2"/>
      <c r="Y52" s="2" t="s">
        <v>0</v>
      </c>
      <c r="Z52" s="2"/>
      <c r="AA52" s="2" t="s">
        <v>1</v>
      </c>
      <c r="AB52" s="2"/>
      <c r="AC52" s="3" t="s">
        <v>2</v>
      </c>
      <c r="AE52" s="1">
        <v>45524</v>
      </c>
      <c r="AF52" s="2"/>
      <c r="AG52" s="2"/>
      <c r="AH52" s="2"/>
      <c r="AI52" s="2" t="s">
        <v>0</v>
      </c>
      <c r="AJ52" s="2"/>
      <c r="AK52" s="2" t="s">
        <v>1</v>
      </c>
      <c r="AL52" s="2"/>
      <c r="AM52" s="3" t="s">
        <v>2</v>
      </c>
      <c r="AO52" s="1">
        <v>45525</v>
      </c>
      <c r="AP52" s="2"/>
      <c r="AQ52" s="2"/>
      <c r="AR52" s="2"/>
      <c r="AS52" s="2" t="s">
        <v>0</v>
      </c>
      <c r="AT52" s="2"/>
      <c r="AU52" s="2" t="s">
        <v>1</v>
      </c>
      <c r="AV52" s="2"/>
      <c r="AW52" s="3" t="s">
        <v>2</v>
      </c>
      <c r="AY52" s="15">
        <v>45526</v>
      </c>
      <c r="AZ52" s="16"/>
      <c r="BA52" s="16"/>
      <c r="BB52" s="16"/>
      <c r="BC52" s="16" t="s">
        <v>0</v>
      </c>
      <c r="BD52" s="16"/>
      <c r="BE52" s="16" t="s">
        <v>1</v>
      </c>
      <c r="BF52" s="16"/>
      <c r="BG52" s="17" t="s">
        <v>2</v>
      </c>
    </row>
    <row r="53" spans="1:59" x14ac:dyDescent="0.25">
      <c r="A53" s="31" t="s">
        <v>3</v>
      </c>
      <c r="B53" s="32">
        <v>0</v>
      </c>
      <c r="C53" s="33" t="e">
        <f>B53/B55</f>
        <v>#DIV/0!</v>
      </c>
      <c r="D53" s="34"/>
      <c r="E53" s="32" t="e">
        <f>B57*C53</f>
        <v>#DIV/0!</v>
      </c>
      <c r="F53" s="34"/>
      <c r="G53" s="34" t="e">
        <f>B53+E53</f>
        <v>#DIV/0!</v>
      </c>
      <c r="H53" s="34"/>
      <c r="I53" s="35" t="e">
        <f>G53/3305</f>
        <v>#DIV/0!</v>
      </c>
      <c r="K53" s="4" t="s">
        <v>3</v>
      </c>
      <c r="L53" s="5">
        <f>4219.41+921.13</f>
        <v>5140.54</v>
      </c>
      <c r="M53" s="8">
        <f>L53/L55</f>
        <v>0.75673185064801241</v>
      </c>
      <c r="O53" s="5">
        <f>L57*M53</f>
        <v>2221.8025500950971</v>
      </c>
      <c r="Q53">
        <f>L53+O53</f>
        <v>7362.3425500950971</v>
      </c>
      <c r="S53" s="7">
        <f>Q53/3038</f>
        <v>2.4234175609266284</v>
      </c>
      <c r="U53" s="4" t="s">
        <v>3</v>
      </c>
      <c r="V53" s="5">
        <f>2713.7+912.5</f>
        <v>3626.2</v>
      </c>
      <c r="W53" s="8">
        <f>V53/V55</f>
        <v>0.55458863905397848</v>
      </c>
      <c r="Y53" s="5">
        <f>V57*W53</f>
        <v>1697.5181817347607</v>
      </c>
      <c r="AA53" s="5">
        <f>V53+Y53</f>
        <v>5323.7181817347609</v>
      </c>
      <c r="AC53" s="7">
        <f>AA53/3431</f>
        <v>1.5516520494709301</v>
      </c>
      <c r="AE53" s="4" t="s">
        <v>3</v>
      </c>
      <c r="AF53" s="5">
        <f>2495.32+940.43</f>
        <v>3435.75</v>
      </c>
      <c r="AG53" s="8">
        <f>AF53/AF55</f>
        <v>0.56910791309706021</v>
      </c>
      <c r="AI53" s="5">
        <f>AF57*AG53</f>
        <v>1897.8724507543384</v>
      </c>
      <c r="AK53" s="5">
        <f>AF53+AI53</f>
        <v>5333.6224507543384</v>
      </c>
      <c r="AM53" s="7">
        <f>AK53/3237</f>
        <v>1.6477054219197833</v>
      </c>
      <c r="AO53" s="4" t="s">
        <v>3</v>
      </c>
      <c r="AP53" s="5">
        <f>2874.75+982.73</f>
        <v>3857.48</v>
      </c>
      <c r="AQ53" s="8">
        <f>AP53/AP55</f>
        <v>0.50884799909244527</v>
      </c>
      <c r="AS53" s="5">
        <f>AP57*AQ53</f>
        <v>1893.4793779028892</v>
      </c>
      <c r="AU53" s="5">
        <f>AP53+AS53</f>
        <v>5750.9593779028892</v>
      </c>
      <c r="AW53" s="7">
        <f>AU53/3803</f>
        <v>1.5122165074685483</v>
      </c>
      <c r="AY53" s="18" t="s">
        <v>3</v>
      </c>
      <c r="AZ53" s="19">
        <v>0</v>
      </c>
      <c r="BA53" s="20" t="e">
        <f>AZ53/AZ55</f>
        <v>#DIV/0!</v>
      </c>
      <c r="BB53" s="21"/>
      <c r="BC53" s="19" t="e">
        <f>AZ57*BA53</f>
        <v>#DIV/0!</v>
      </c>
      <c r="BD53" s="21"/>
      <c r="BE53" s="21" t="e">
        <f>AZ53+BC53</f>
        <v>#DIV/0!</v>
      </c>
      <c r="BF53" s="21"/>
      <c r="BG53" s="22" t="e">
        <f>BE53/3305</f>
        <v>#DIV/0!</v>
      </c>
    </row>
    <row r="54" spans="1:59" x14ac:dyDescent="0.25">
      <c r="A54" s="31" t="s">
        <v>4</v>
      </c>
      <c r="B54" s="32">
        <v>0</v>
      </c>
      <c r="C54" s="33" t="e">
        <f>B54/B55</f>
        <v>#DIV/0!</v>
      </c>
      <c r="D54" s="34"/>
      <c r="E54" s="32" t="e">
        <f>C54*B57</f>
        <v>#DIV/0!</v>
      </c>
      <c r="F54" s="34"/>
      <c r="G54" s="34" t="e">
        <f>B54+E54</f>
        <v>#DIV/0!</v>
      </c>
      <c r="H54" s="34"/>
      <c r="I54" s="35" t="e">
        <f>G54/1008</f>
        <v>#DIV/0!</v>
      </c>
      <c r="K54" s="4" t="s">
        <v>4</v>
      </c>
      <c r="L54" s="5">
        <f>1222.95+429.59</f>
        <v>1652.54</v>
      </c>
      <c r="M54" s="8">
        <f>L54/L55</f>
        <v>0.24326814935198759</v>
      </c>
      <c r="O54" s="5">
        <f>M54*L57</f>
        <v>714.24744990490319</v>
      </c>
      <c r="Q54">
        <f>L54+O54</f>
        <v>2366.787449904903</v>
      </c>
      <c r="S54" s="7">
        <f>Q54/1799</f>
        <v>1.3156128126208466</v>
      </c>
      <c r="U54" s="4" t="s">
        <v>4</v>
      </c>
      <c r="V54" s="5">
        <f>2414.18+498.16</f>
        <v>2912.3399999999997</v>
      </c>
      <c r="W54" s="8">
        <f>V54/V55</f>
        <v>0.44541136094602163</v>
      </c>
      <c r="Y54" s="5">
        <f>W54*V57</f>
        <v>1363.3418182652399</v>
      </c>
      <c r="AA54" s="5">
        <f>V54+Y54</f>
        <v>4275.6818182652396</v>
      </c>
      <c r="AC54" s="7">
        <f>AA54/2031</f>
        <v>2.1052101517800295</v>
      </c>
      <c r="AE54" s="4" t="s">
        <v>4</v>
      </c>
      <c r="AF54" s="5">
        <f>2129.41+471.92</f>
        <v>2601.33</v>
      </c>
      <c r="AG54" s="8">
        <f>AF54/AF55</f>
        <v>0.43089208690293984</v>
      </c>
      <c r="AI54" s="5">
        <f>AG54*AF57</f>
        <v>1436.947549245662</v>
      </c>
      <c r="AK54" s="5">
        <f>AF54+AI54</f>
        <v>4038.2775492456622</v>
      </c>
      <c r="AM54" s="7">
        <f>AK54/1780</f>
        <v>2.2686952523852035</v>
      </c>
      <c r="AO54" s="4" t="s">
        <v>4</v>
      </c>
      <c r="AP54" s="5">
        <f>3122.53+600.8</f>
        <v>3723.33</v>
      </c>
      <c r="AQ54" s="8">
        <f>AP54/AP55</f>
        <v>0.49115200090755473</v>
      </c>
      <c r="AS54" s="5">
        <f>AQ54*AP57</f>
        <v>1827.630622097111</v>
      </c>
      <c r="AU54" s="5">
        <f>AP54+AS54</f>
        <v>5550.9606220971109</v>
      </c>
      <c r="AW54" s="7">
        <f>AU54/2478</f>
        <v>2.2400971033483095</v>
      </c>
      <c r="AY54" s="18" t="s">
        <v>4</v>
      </c>
      <c r="AZ54" s="19">
        <v>0</v>
      </c>
      <c r="BA54" s="20" t="e">
        <f>AZ54/AZ55</f>
        <v>#DIV/0!</v>
      </c>
      <c r="BB54" s="21"/>
      <c r="BC54" s="19" t="e">
        <f>BA54*AZ57</f>
        <v>#DIV/0!</v>
      </c>
      <c r="BD54" s="21"/>
      <c r="BE54" s="21" t="e">
        <f>AZ54+BC54</f>
        <v>#DIV/0!</v>
      </c>
      <c r="BF54" s="21"/>
      <c r="BG54" s="22" t="e">
        <f>BE54/1008</f>
        <v>#DIV/0!</v>
      </c>
    </row>
    <row r="55" spans="1:59" x14ac:dyDescent="0.25">
      <c r="A55" s="31"/>
      <c r="B55" s="32">
        <f>SUM(B53:B54)</f>
        <v>0</v>
      </c>
      <c r="C55" s="34"/>
      <c r="D55" s="34"/>
      <c r="E55" s="34"/>
      <c r="F55" s="34"/>
      <c r="G55" s="34" t="e">
        <f>SUM(G53:G54)</f>
        <v>#DIV/0!</v>
      </c>
      <c r="H55" s="34"/>
      <c r="I55" s="36"/>
      <c r="K55" s="4"/>
      <c r="L55" s="5">
        <f>SUM(L53:L54)</f>
        <v>6793.08</v>
      </c>
      <c r="Q55">
        <f>SUM(Q53:Q54)</f>
        <v>9729.130000000001</v>
      </c>
      <c r="S55" s="9"/>
      <c r="U55" s="4"/>
      <c r="V55" s="5">
        <f>SUM(V53:V54)</f>
        <v>6538.5399999999991</v>
      </c>
      <c r="AA55" s="5">
        <f>SUM(AA53:AA54)</f>
        <v>9599.4000000000015</v>
      </c>
      <c r="AC55" s="9"/>
      <c r="AE55" s="4"/>
      <c r="AF55" s="5">
        <f>SUM(AF53:AF54)</f>
        <v>6037.08</v>
      </c>
      <c r="AK55" s="5">
        <f>SUM(AK53:AK54)</f>
        <v>9371.9000000000015</v>
      </c>
      <c r="AM55" s="9"/>
      <c r="AO55" s="4"/>
      <c r="AP55" s="5">
        <f>SUM(AP53:AP54)</f>
        <v>7580.8099999999995</v>
      </c>
      <c r="AU55">
        <f>SUM(AU53:AU54)</f>
        <v>11301.92</v>
      </c>
      <c r="AW55" s="9"/>
      <c r="AY55" s="18"/>
      <c r="AZ55" s="19">
        <f>SUM(AZ53:AZ54)</f>
        <v>0</v>
      </c>
      <c r="BA55" s="21"/>
      <c r="BB55" s="21"/>
      <c r="BC55" s="21"/>
      <c r="BD55" s="21"/>
      <c r="BE55" s="21" t="e">
        <f>SUM(BE53:BE54)</f>
        <v>#DIV/0!</v>
      </c>
      <c r="BF55" s="21"/>
      <c r="BG55" s="23"/>
    </row>
    <row r="56" spans="1:59" x14ac:dyDescent="0.25">
      <c r="A56" s="31"/>
      <c r="B56" s="32"/>
      <c r="C56" s="34"/>
      <c r="D56" s="34"/>
      <c r="E56" s="34"/>
      <c r="F56" s="34"/>
      <c r="G56" s="34"/>
      <c r="H56" s="34"/>
      <c r="I56" s="36"/>
      <c r="K56" s="4"/>
      <c r="L56" s="5"/>
      <c r="S56" s="9"/>
      <c r="U56" s="4"/>
      <c r="V56" s="5"/>
      <c r="AC56" s="9"/>
      <c r="AE56" s="4"/>
      <c r="AF56" s="5"/>
      <c r="AM56" s="9"/>
      <c r="AO56" s="4"/>
      <c r="AP56" s="5"/>
      <c r="AW56" s="9"/>
      <c r="AY56" s="18"/>
      <c r="AZ56" s="19"/>
      <c r="BA56" s="21"/>
      <c r="BB56" s="21"/>
      <c r="BC56" s="21"/>
      <c r="BD56" s="21"/>
      <c r="BE56" s="21"/>
      <c r="BF56" s="21"/>
      <c r="BG56" s="23"/>
    </row>
    <row r="57" spans="1:59" ht="15.75" thickBot="1" x14ac:dyDescent="0.3">
      <c r="A57" s="37" t="s">
        <v>5</v>
      </c>
      <c r="B57" s="38">
        <v>0</v>
      </c>
      <c r="C57" s="39"/>
      <c r="D57" s="39"/>
      <c r="E57" s="39"/>
      <c r="F57" s="39"/>
      <c r="G57" s="39"/>
      <c r="H57" s="39"/>
      <c r="I57" s="40"/>
      <c r="K57" s="10" t="s">
        <v>5</v>
      </c>
      <c r="L57" s="11">
        <v>2936.05</v>
      </c>
      <c r="M57" s="12"/>
      <c r="N57" s="12"/>
      <c r="O57" s="12"/>
      <c r="P57" s="12"/>
      <c r="Q57" s="12"/>
      <c r="R57" s="12"/>
      <c r="S57" s="13"/>
      <c r="U57" s="10" t="s">
        <v>5</v>
      </c>
      <c r="V57" s="11">
        <v>3060.86</v>
      </c>
      <c r="W57" s="12"/>
      <c r="X57" s="12"/>
      <c r="Y57" s="12"/>
      <c r="Z57" s="12"/>
      <c r="AA57" s="12"/>
      <c r="AB57" s="12"/>
      <c r="AC57" s="13"/>
      <c r="AE57" s="10" t="s">
        <v>5</v>
      </c>
      <c r="AF57" s="11">
        <v>3334.82</v>
      </c>
      <c r="AG57" s="12"/>
      <c r="AH57" s="12"/>
      <c r="AI57" s="12"/>
      <c r="AJ57" s="12"/>
      <c r="AK57" s="12"/>
      <c r="AL57" s="12"/>
      <c r="AM57" s="13"/>
      <c r="AO57" s="10" t="s">
        <v>5</v>
      </c>
      <c r="AP57" s="11">
        <v>3721.11</v>
      </c>
      <c r="AQ57" s="12"/>
      <c r="AR57" s="12"/>
      <c r="AS57" s="12"/>
      <c r="AT57" s="12"/>
      <c r="AU57" s="12"/>
      <c r="AV57" s="12"/>
      <c r="AW57" s="13"/>
      <c r="AY57" s="24" t="s">
        <v>5</v>
      </c>
      <c r="AZ57" s="25">
        <v>0</v>
      </c>
      <c r="BA57" s="26"/>
      <c r="BB57" s="26"/>
      <c r="BC57" s="26"/>
      <c r="BD57" s="26"/>
      <c r="BE57" s="26"/>
      <c r="BF57" s="26"/>
      <c r="BG57" s="27"/>
    </row>
    <row r="58" spans="1:59" ht="15.75" thickBot="1" x14ac:dyDescent="0.3"/>
    <row r="59" spans="1:59" x14ac:dyDescent="0.25">
      <c r="A59" s="1">
        <v>45552</v>
      </c>
      <c r="B59" s="2"/>
      <c r="C59" s="2"/>
      <c r="D59" s="2"/>
      <c r="E59" s="2" t="s">
        <v>0</v>
      </c>
      <c r="F59" s="2"/>
      <c r="G59" s="2" t="s">
        <v>1</v>
      </c>
      <c r="H59" s="2"/>
      <c r="I59" s="3" t="s">
        <v>2</v>
      </c>
      <c r="K59" s="1">
        <v>45553</v>
      </c>
      <c r="L59" s="2"/>
      <c r="M59" s="2"/>
      <c r="N59" s="2"/>
      <c r="O59" s="2" t="s">
        <v>0</v>
      </c>
      <c r="P59" s="2"/>
      <c r="Q59" s="2" t="s">
        <v>1</v>
      </c>
      <c r="R59" s="2"/>
      <c r="S59" s="3" t="s">
        <v>2</v>
      </c>
      <c r="U59" s="1">
        <v>45554</v>
      </c>
      <c r="V59" s="2"/>
      <c r="W59" s="2"/>
      <c r="X59" s="2"/>
      <c r="Y59" s="2" t="s">
        <v>0</v>
      </c>
      <c r="Z59" s="2"/>
      <c r="AA59" s="2" t="s">
        <v>1</v>
      </c>
      <c r="AB59" s="2"/>
      <c r="AC59" s="3" t="s">
        <v>2</v>
      </c>
      <c r="AE59" s="1">
        <v>45555</v>
      </c>
      <c r="AF59" s="2"/>
      <c r="AG59" s="2"/>
      <c r="AH59" s="2"/>
      <c r="AI59" s="2" t="s">
        <v>0</v>
      </c>
      <c r="AJ59" s="2"/>
      <c r="AK59" s="2" t="s">
        <v>1</v>
      </c>
      <c r="AL59" s="2"/>
      <c r="AM59" s="3" t="s">
        <v>2</v>
      </c>
      <c r="AO59" s="1">
        <v>45556</v>
      </c>
      <c r="AP59" s="2"/>
      <c r="AQ59" s="2"/>
      <c r="AR59" s="2"/>
      <c r="AS59" s="2" t="s">
        <v>0</v>
      </c>
      <c r="AT59" s="2"/>
      <c r="AU59" s="2" t="s">
        <v>1</v>
      </c>
      <c r="AV59" s="2"/>
      <c r="AW59" s="3" t="s">
        <v>2</v>
      </c>
      <c r="AY59" s="15">
        <v>45557</v>
      </c>
      <c r="AZ59" s="16"/>
      <c r="BA59" s="16"/>
      <c r="BB59" s="16"/>
      <c r="BC59" s="16" t="s">
        <v>0</v>
      </c>
      <c r="BD59" s="16"/>
      <c r="BE59" s="16" t="s">
        <v>1</v>
      </c>
      <c r="BF59" s="16"/>
      <c r="BG59" s="17" t="s">
        <v>2</v>
      </c>
    </row>
    <row r="60" spans="1:59" x14ac:dyDescent="0.25">
      <c r="A60" s="4" t="s">
        <v>3</v>
      </c>
      <c r="B60" s="5">
        <f>3931.29+805.98</f>
        <v>4737.2700000000004</v>
      </c>
      <c r="C60" s="6">
        <f>B60/B62</f>
        <v>0.82991191557349475</v>
      </c>
      <c r="E60" s="5">
        <f>B64*C60</f>
        <v>2196.3950810418769</v>
      </c>
      <c r="G60" s="5">
        <f>B60+E60</f>
        <v>6933.6650810418778</v>
      </c>
      <c r="I60" s="7">
        <f>G60/3181</f>
        <v>2.1797123800823255</v>
      </c>
      <c r="K60" s="4" t="s">
        <v>3</v>
      </c>
      <c r="L60" s="5">
        <f>3726.68+851.33</f>
        <v>4578.01</v>
      </c>
      <c r="M60" s="8">
        <f>L60/L62</f>
        <v>0.71640882473529865</v>
      </c>
      <c r="O60" s="5">
        <f>L64*M60</f>
        <v>2035.775972720814</v>
      </c>
      <c r="Q60" s="5">
        <f>L60+O60</f>
        <v>6613.7859727208142</v>
      </c>
      <c r="S60" s="7">
        <f>Q60/3026</f>
        <v>2.1856529982553914</v>
      </c>
      <c r="U60" s="4" t="s">
        <v>3</v>
      </c>
      <c r="V60" s="5">
        <f>2504.69+874.85</f>
        <v>3379.54</v>
      </c>
      <c r="W60" s="8">
        <f>V60/V62</f>
        <v>0.55919689719304522</v>
      </c>
      <c r="Y60" s="5">
        <f>V64*W60</f>
        <v>1650.5087858480765</v>
      </c>
      <c r="AA60" s="5">
        <f>V60+Y60</f>
        <v>5030.0487858480765</v>
      </c>
      <c r="AC60" s="7">
        <f>AA60/3314</f>
        <v>1.5178179800386471</v>
      </c>
      <c r="AE60" s="4" t="s">
        <v>3</v>
      </c>
      <c r="AF60" s="5">
        <f>2397.98+908.45</f>
        <v>3306.4300000000003</v>
      </c>
      <c r="AG60" s="8">
        <f>AF60/AF62</f>
        <v>0.54524301879574022</v>
      </c>
      <c r="AI60" s="5">
        <f>AF64*AG60</f>
        <v>1788.3643870689002</v>
      </c>
      <c r="AK60" s="5">
        <f>AF60+AI60</f>
        <v>5094.7943870689005</v>
      </c>
      <c r="AM60" s="7">
        <f>AK60/3160</f>
        <v>1.6122767047686395</v>
      </c>
      <c r="AO60" s="4" t="s">
        <v>3</v>
      </c>
      <c r="AP60" s="5">
        <f>2701.75+950.71</f>
        <v>3652.46</v>
      </c>
      <c r="AQ60" s="8">
        <f>AP60/AP62</f>
        <v>0.51365327145519113</v>
      </c>
      <c r="AS60" s="5">
        <f>AP64*AQ60</f>
        <v>1880.8955494146189</v>
      </c>
      <c r="AU60" s="5">
        <f>AP60+AS60</f>
        <v>5533.3555494146185</v>
      </c>
      <c r="AW60" s="7">
        <f>AU60/3748</f>
        <v>1.4763488659057147</v>
      </c>
      <c r="AY60" s="18" t="s">
        <v>3</v>
      </c>
      <c r="AZ60" s="19">
        <v>0</v>
      </c>
      <c r="BA60" s="20" t="e">
        <f>AZ60/AZ62</f>
        <v>#DIV/0!</v>
      </c>
      <c r="BB60" s="21"/>
      <c r="BC60" s="19" t="e">
        <f>AZ64*BA60</f>
        <v>#DIV/0!</v>
      </c>
      <c r="BD60" s="21"/>
      <c r="BE60" s="21" t="e">
        <f>AZ60+BC60</f>
        <v>#DIV/0!</v>
      </c>
      <c r="BF60" s="21"/>
      <c r="BG60" s="22" t="e">
        <f>BE60/3305</f>
        <v>#DIV/0!</v>
      </c>
    </row>
    <row r="61" spans="1:59" x14ac:dyDescent="0.25">
      <c r="A61" s="4" t="s">
        <v>4</v>
      </c>
      <c r="B61" s="5">
        <f>765.4+205.49</f>
        <v>970.89</v>
      </c>
      <c r="C61" s="6">
        <f>B61/B62</f>
        <v>0.17008808442650519</v>
      </c>
      <c r="E61" s="5">
        <f>C61*B64</f>
        <v>450.14491895812307</v>
      </c>
      <c r="G61" s="5">
        <f>B61+E61</f>
        <v>1421.0349189581229</v>
      </c>
      <c r="I61" s="7">
        <f>G61/1014</f>
        <v>1.4014151074537702</v>
      </c>
      <c r="K61" s="4" t="s">
        <v>4</v>
      </c>
      <c r="L61" s="5">
        <f>1411.69+400.52</f>
        <v>1812.21</v>
      </c>
      <c r="M61" s="8">
        <f>L61/L62</f>
        <v>0.28359117526470135</v>
      </c>
      <c r="O61" s="5">
        <f>M61*L64</f>
        <v>805.86402727918585</v>
      </c>
      <c r="Q61" s="5">
        <f>L61+O61</f>
        <v>2618.0740272791859</v>
      </c>
      <c r="S61" s="7">
        <f>Q61/1690</f>
        <v>1.5491562291592815</v>
      </c>
      <c r="U61" s="4" t="s">
        <v>4</v>
      </c>
      <c r="V61" s="5">
        <f>2217.73+446.29</f>
        <v>2664.02</v>
      </c>
      <c r="W61" s="8">
        <f>V61/V62</f>
        <v>0.44080310280695489</v>
      </c>
      <c r="Y61" s="5">
        <f>W61*V64</f>
        <v>1301.0612141519239</v>
      </c>
      <c r="AA61" s="5">
        <f>V61+Y61</f>
        <v>3965.0812141519236</v>
      </c>
      <c r="AC61" s="7">
        <f>AA61/1849</f>
        <v>2.1444463029485794</v>
      </c>
      <c r="AE61" s="4" t="s">
        <v>4</v>
      </c>
      <c r="AF61" s="5">
        <f>2286.43+471.28</f>
        <v>2757.71</v>
      </c>
      <c r="AG61" s="8">
        <f>AF61/AF62</f>
        <v>0.45475698120425978</v>
      </c>
      <c r="AI61" s="5">
        <f>AG61*AF64</f>
        <v>1491.5756129310998</v>
      </c>
      <c r="AK61" s="5">
        <f>AF61+AI61</f>
        <v>4249.2856129311003</v>
      </c>
      <c r="AM61" s="7">
        <f>AK61/1727</f>
        <v>2.4605012234690795</v>
      </c>
      <c r="AO61" s="4" t="s">
        <v>4</v>
      </c>
      <c r="AP61" s="5">
        <f>2887.56+570.73</f>
        <v>3458.29</v>
      </c>
      <c r="AQ61" s="8">
        <f>AP61/AP62</f>
        <v>0.48634672854480893</v>
      </c>
      <c r="AS61" s="5">
        <f>AQ61*AP64</f>
        <v>1780.9044505853815</v>
      </c>
      <c r="AU61" s="5">
        <f>AP61+AS61</f>
        <v>5239.1944505853817</v>
      </c>
      <c r="AW61" s="7">
        <f>AU61/2482</f>
        <v>2.110876088068244</v>
      </c>
      <c r="AY61" s="18" t="s">
        <v>4</v>
      </c>
      <c r="AZ61" s="19">
        <v>0</v>
      </c>
      <c r="BA61" s="20" t="e">
        <f>AZ61/AZ62</f>
        <v>#DIV/0!</v>
      </c>
      <c r="BB61" s="21"/>
      <c r="BC61" s="19" t="e">
        <f>BA61*AZ64</f>
        <v>#DIV/0!</v>
      </c>
      <c r="BD61" s="21"/>
      <c r="BE61" s="21" t="e">
        <f>AZ61+BC61</f>
        <v>#DIV/0!</v>
      </c>
      <c r="BF61" s="21"/>
      <c r="BG61" s="22" t="e">
        <f>BE61/1008</f>
        <v>#DIV/0!</v>
      </c>
    </row>
    <row r="62" spans="1:59" x14ac:dyDescent="0.25">
      <c r="A62" s="4"/>
      <c r="B62" s="5">
        <f>SUM(B60:B61)</f>
        <v>5708.1600000000008</v>
      </c>
      <c r="G62" s="5">
        <f>SUM(G60:G61)</f>
        <v>8354.7000000000007</v>
      </c>
      <c r="I62" s="9"/>
      <c r="K62" s="4"/>
      <c r="L62" s="5">
        <f>SUM(L60:L61)</f>
        <v>6390.22</v>
      </c>
      <c r="Q62">
        <f>SUM(Q60:Q61)</f>
        <v>9231.86</v>
      </c>
      <c r="S62" s="9"/>
      <c r="U62" s="4"/>
      <c r="V62" s="5">
        <f>SUM(V60:V61)</f>
        <v>6043.5599999999995</v>
      </c>
      <c r="AA62">
        <f>SUM(AA60:AA61)</f>
        <v>8995.130000000001</v>
      </c>
      <c r="AC62" s="9"/>
      <c r="AE62" s="4"/>
      <c r="AF62" s="5">
        <f>SUM(AF60:AF61)</f>
        <v>6064.14</v>
      </c>
      <c r="AK62">
        <f>SUM(AK60:AK61)</f>
        <v>9344.0800000000017</v>
      </c>
      <c r="AM62" s="9"/>
      <c r="AO62" s="4"/>
      <c r="AP62" s="5">
        <f>SUM(AP60:AP61)</f>
        <v>7110.75</v>
      </c>
      <c r="AU62">
        <f>SUM(AU60:AU61)</f>
        <v>10772.55</v>
      </c>
      <c r="AW62" s="9"/>
      <c r="AY62" s="18"/>
      <c r="AZ62" s="19">
        <f>SUM(AZ60:AZ61)</f>
        <v>0</v>
      </c>
      <c r="BA62" s="21"/>
      <c r="BB62" s="21"/>
      <c r="BC62" s="21"/>
      <c r="BD62" s="21"/>
      <c r="BE62" s="21" t="e">
        <f>SUM(BE60:BE61)</f>
        <v>#DIV/0!</v>
      </c>
      <c r="BF62" s="21"/>
      <c r="BG62" s="23"/>
    </row>
    <row r="63" spans="1:59" x14ac:dyDescent="0.25">
      <c r="A63" s="4"/>
      <c r="B63" s="5"/>
      <c r="I63" s="9"/>
      <c r="K63" s="4"/>
      <c r="L63" s="5"/>
      <c r="S63" s="9"/>
      <c r="U63" s="4"/>
      <c r="V63" s="5"/>
      <c r="AC63" s="9"/>
      <c r="AE63" s="4"/>
      <c r="AF63" s="5"/>
      <c r="AM63" s="9"/>
      <c r="AO63" s="4"/>
      <c r="AP63" s="5"/>
      <c r="AW63" s="9"/>
      <c r="AY63" s="18"/>
      <c r="AZ63" s="19"/>
      <c r="BA63" s="21"/>
      <c r="BB63" s="21"/>
      <c r="BC63" s="21"/>
      <c r="BD63" s="21"/>
      <c r="BE63" s="21"/>
      <c r="BF63" s="21"/>
      <c r="BG63" s="23"/>
    </row>
    <row r="64" spans="1:59" ht="15.75" thickBot="1" x14ac:dyDescent="0.3">
      <c r="A64" s="10" t="s">
        <v>5</v>
      </c>
      <c r="B64" s="11">
        <v>2646.54</v>
      </c>
      <c r="C64" s="12"/>
      <c r="D64" s="12"/>
      <c r="E64" s="12"/>
      <c r="F64" s="12"/>
      <c r="G64" s="12"/>
      <c r="H64" s="12"/>
      <c r="I64" s="13"/>
      <c r="K64" s="10" t="s">
        <v>5</v>
      </c>
      <c r="L64" s="11">
        <v>2841.64</v>
      </c>
      <c r="M64" s="12"/>
      <c r="N64" s="12"/>
      <c r="O64" s="12"/>
      <c r="P64" s="12"/>
      <c r="Q64" s="12"/>
      <c r="R64" s="12"/>
      <c r="S64" s="13"/>
      <c r="U64" s="10" t="s">
        <v>5</v>
      </c>
      <c r="V64" s="11">
        <v>2951.57</v>
      </c>
      <c r="W64" s="12"/>
      <c r="X64" s="12"/>
      <c r="Y64" s="12"/>
      <c r="Z64" s="12"/>
      <c r="AA64" s="12"/>
      <c r="AB64" s="12"/>
      <c r="AC64" s="13"/>
      <c r="AE64" s="10" t="s">
        <v>5</v>
      </c>
      <c r="AF64" s="11">
        <v>3279.94</v>
      </c>
      <c r="AG64" s="12"/>
      <c r="AH64" s="12"/>
      <c r="AI64" s="12"/>
      <c r="AJ64" s="12"/>
      <c r="AK64" s="12"/>
      <c r="AL64" s="12"/>
      <c r="AM64" s="13"/>
      <c r="AO64" s="10" t="s">
        <v>5</v>
      </c>
      <c r="AP64" s="11">
        <v>3661.8</v>
      </c>
      <c r="AQ64" s="12"/>
      <c r="AR64" s="12"/>
      <c r="AS64" s="12"/>
      <c r="AT64" s="12"/>
      <c r="AU64" s="12"/>
      <c r="AV64" s="12"/>
      <c r="AW64" s="13"/>
      <c r="AY64" s="24" t="s">
        <v>5</v>
      </c>
      <c r="AZ64" s="25">
        <v>0</v>
      </c>
      <c r="BA64" s="26"/>
      <c r="BB64" s="26"/>
      <c r="BC64" s="26"/>
      <c r="BD64" s="26"/>
      <c r="BE64" s="26"/>
      <c r="BF64" s="26"/>
      <c r="BG64" s="27"/>
    </row>
    <row r="65" spans="1:59" ht="15.75" thickBot="1" x14ac:dyDescent="0.3"/>
    <row r="66" spans="1:59" x14ac:dyDescent="0.25">
      <c r="A66" s="1">
        <v>45582</v>
      </c>
      <c r="B66" s="2"/>
      <c r="C66" s="2"/>
      <c r="D66" s="2"/>
      <c r="E66" s="2" t="s">
        <v>0</v>
      </c>
      <c r="F66" s="2"/>
      <c r="G66" s="2" t="s">
        <v>1</v>
      </c>
      <c r="H66" s="2"/>
      <c r="I66" s="3" t="s">
        <v>2</v>
      </c>
      <c r="K66" s="1">
        <v>45583</v>
      </c>
      <c r="L66" s="2"/>
      <c r="M66" s="2"/>
      <c r="N66" s="2"/>
      <c r="O66" s="2" t="s">
        <v>0</v>
      </c>
      <c r="P66" s="2"/>
      <c r="Q66" s="2" t="s">
        <v>1</v>
      </c>
      <c r="R66" s="2"/>
      <c r="S66" s="3" t="s">
        <v>2</v>
      </c>
      <c r="U66" s="1">
        <v>45584</v>
      </c>
      <c r="V66" s="2"/>
      <c r="W66" s="2"/>
      <c r="X66" s="2"/>
      <c r="Y66" s="2" t="s">
        <v>0</v>
      </c>
      <c r="Z66" s="2"/>
      <c r="AA66" s="2" t="s">
        <v>1</v>
      </c>
      <c r="AB66" s="2"/>
      <c r="AC66" s="3" t="s">
        <v>2</v>
      </c>
      <c r="AE66" s="1">
        <v>45585</v>
      </c>
      <c r="AF66" s="2"/>
      <c r="AG66" s="2"/>
      <c r="AH66" s="2"/>
      <c r="AI66" s="2" t="s">
        <v>0</v>
      </c>
      <c r="AJ66" s="2"/>
      <c r="AK66" s="2" t="s">
        <v>1</v>
      </c>
      <c r="AL66" s="2"/>
      <c r="AM66" s="3" t="s">
        <v>2</v>
      </c>
      <c r="AO66" s="1">
        <v>45586</v>
      </c>
      <c r="AP66" s="2"/>
      <c r="AQ66" s="2"/>
      <c r="AR66" s="2"/>
      <c r="AS66" s="2" t="s">
        <v>0</v>
      </c>
      <c r="AT66" s="2"/>
      <c r="AU66" s="2" t="s">
        <v>1</v>
      </c>
      <c r="AV66" s="2"/>
      <c r="AW66" s="3" t="s">
        <v>2</v>
      </c>
      <c r="AY66" s="15">
        <v>45587</v>
      </c>
      <c r="AZ66" s="16"/>
      <c r="BA66" s="16"/>
      <c r="BB66" s="16"/>
      <c r="BC66" s="16" t="s">
        <v>0</v>
      </c>
      <c r="BD66" s="16"/>
      <c r="BE66" s="16" t="s">
        <v>1</v>
      </c>
      <c r="BF66" s="16"/>
      <c r="BG66" s="17" t="s">
        <v>2</v>
      </c>
    </row>
    <row r="67" spans="1:59" x14ac:dyDescent="0.25">
      <c r="A67" s="4" t="s">
        <v>3</v>
      </c>
      <c r="B67" s="5">
        <f>3636.94+683.7</f>
        <v>4320.6400000000003</v>
      </c>
      <c r="C67" s="6">
        <f>B67/B69</f>
        <v>0.83515319505090391</v>
      </c>
      <c r="E67" s="5">
        <f>B71*C67</f>
        <v>2059.6130519747867</v>
      </c>
      <c r="G67" s="5">
        <f>B67+E67</f>
        <v>6380.253051974787</v>
      </c>
      <c r="I67" s="7">
        <f>G67/3172</f>
        <v>2.0114290832202983</v>
      </c>
      <c r="K67" s="4" t="s">
        <v>3</v>
      </c>
      <c r="L67" s="5">
        <f>3839.57+832.61</f>
        <v>4672.18</v>
      </c>
      <c r="M67" s="8">
        <f>L67/L69</f>
        <v>0.74183253521663473</v>
      </c>
      <c r="O67" s="5">
        <f>L71*M67</f>
        <v>2091.0478769672413</v>
      </c>
      <c r="Q67" s="5">
        <f>L67+O67</f>
        <v>6763.2278769672412</v>
      </c>
      <c r="S67" s="7">
        <f>Q67/3109</f>
        <v>2.1753708192239438</v>
      </c>
      <c r="U67" s="4" t="s">
        <v>3</v>
      </c>
      <c r="V67" s="5">
        <f>2433.02+800.6</f>
        <v>3233.62</v>
      </c>
      <c r="W67" s="8">
        <f>V67/V69</f>
        <v>0.57288385425709454</v>
      </c>
      <c r="Y67" s="5">
        <f>V71*W67</f>
        <v>1658.8253018712153</v>
      </c>
      <c r="AA67" s="5">
        <f>V67+Y67</f>
        <v>4892.4453018712156</v>
      </c>
      <c r="AC67" s="7">
        <f>AA67/3273</f>
        <v>1.4947892764653883</v>
      </c>
      <c r="AE67" s="4" t="s">
        <v>3</v>
      </c>
      <c r="AF67" s="5">
        <f>2353.84+835.23</f>
        <v>3189.07</v>
      </c>
      <c r="AG67" s="8">
        <f>AF67/AF69</f>
        <v>0.55296677763906221</v>
      </c>
      <c r="AI67" s="5">
        <f>AF71*AG67</f>
        <v>1792.3090976903868</v>
      </c>
      <c r="AK67" s="5">
        <f>AF67+AI67</f>
        <v>4981.3790976903874</v>
      </c>
      <c r="AM67" s="7">
        <f>AK67/3300</f>
        <v>1.5095088174819355</v>
      </c>
      <c r="AO67" s="4" t="s">
        <v>3</v>
      </c>
      <c r="AP67" s="5">
        <f>2752.97+887.77</f>
        <v>3640.74</v>
      </c>
      <c r="AQ67" s="8">
        <f>AP67/AP69</f>
        <v>0.51714175326556933</v>
      </c>
      <c r="AS67" s="5">
        <f>AP71*AQ67</f>
        <v>1858.3644046124214</v>
      </c>
      <c r="AU67" s="5">
        <f>AP67+AS67</f>
        <v>5499.1044046124207</v>
      </c>
      <c r="AW67" s="7">
        <f>AU67/3762</f>
        <v>1.4617502404605052</v>
      </c>
      <c r="AY67" s="18" t="s">
        <v>3</v>
      </c>
      <c r="AZ67" s="19">
        <v>0</v>
      </c>
      <c r="BA67" s="20" t="e">
        <f>AZ67/AZ69</f>
        <v>#DIV/0!</v>
      </c>
      <c r="BB67" s="21"/>
      <c r="BC67" s="19" t="e">
        <f>AZ71*BA67</f>
        <v>#DIV/0!</v>
      </c>
      <c r="BD67" s="21"/>
      <c r="BE67" s="21" t="e">
        <f>AZ67+BC67</f>
        <v>#DIV/0!</v>
      </c>
      <c r="BF67" s="21"/>
      <c r="BG67" s="22" t="e">
        <f>BE67/3305</f>
        <v>#DIV/0!</v>
      </c>
    </row>
    <row r="68" spans="1:59" x14ac:dyDescent="0.25">
      <c r="A68" s="4" t="s">
        <v>4</v>
      </c>
      <c r="B68" s="5">
        <f>692.13+160.7</f>
        <v>852.82999999999993</v>
      </c>
      <c r="C68" s="6">
        <f>B68/B69</f>
        <v>0.16484680494909604</v>
      </c>
      <c r="E68" s="5">
        <f>C68*B71</f>
        <v>406.53694802521323</v>
      </c>
      <c r="G68" s="5">
        <f>B68+E68</f>
        <v>1259.3669480252131</v>
      </c>
      <c r="I68" s="7">
        <f>G68/937</f>
        <v>1.3440415667291494</v>
      </c>
      <c r="K68" s="4" t="s">
        <v>4</v>
      </c>
      <c r="L68" s="5">
        <f>1256.28+369.7</f>
        <v>1625.98</v>
      </c>
      <c r="M68" s="8">
        <f>L68/L69</f>
        <v>0.25816746478336533</v>
      </c>
      <c r="O68" s="5">
        <f>M68*L71</f>
        <v>727.71212303275888</v>
      </c>
      <c r="Q68" s="5">
        <f>L68+O68</f>
        <v>2353.6921230327589</v>
      </c>
      <c r="S68" s="7">
        <f>Q68/1746</f>
        <v>1.3480481804311333</v>
      </c>
      <c r="U68" s="4" t="s">
        <v>4</v>
      </c>
      <c r="V68" s="5">
        <f>1971.8+439.04</f>
        <v>2410.84</v>
      </c>
      <c r="W68" s="8">
        <f>V68/V69</f>
        <v>0.42711614574290546</v>
      </c>
      <c r="Y68" s="5">
        <f>W68*V71</f>
        <v>1236.7446981287849</v>
      </c>
      <c r="AA68" s="5">
        <f>V68+Y68</f>
        <v>3647.584698128785</v>
      </c>
      <c r="AC68" s="7">
        <f>AA68/1996</f>
        <v>1.8274472435514955</v>
      </c>
      <c r="AE68" s="4" t="s">
        <v>4</v>
      </c>
      <c r="AF68" s="5">
        <f>2141.5+436.63</f>
        <v>2578.13</v>
      </c>
      <c r="AG68" s="8">
        <f>AF68/AF69</f>
        <v>0.44703322236093768</v>
      </c>
      <c r="AI68" s="5">
        <f>AG68*AF71</f>
        <v>1448.950902309613</v>
      </c>
      <c r="AK68" s="5">
        <f>AF68+AI68</f>
        <v>4027.0809023096131</v>
      </c>
      <c r="AM68" s="7">
        <f>AK68/1814</f>
        <v>2.2200004974143401</v>
      </c>
      <c r="AO68" s="4" t="s">
        <v>4</v>
      </c>
      <c r="AP68" s="5">
        <f>2862.34+537.04</f>
        <v>3399.38</v>
      </c>
      <c r="AQ68" s="8">
        <f>AP68/AP69</f>
        <v>0.48285824673443067</v>
      </c>
      <c r="AS68" s="5">
        <f>AQ68*AP71</f>
        <v>1735.1655953875788</v>
      </c>
      <c r="AU68" s="5">
        <f>AP68+AS68</f>
        <v>5134.5455953875789</v>
      </c>
      <c r="AW68" s="7">
        <f>AU68/2519</f>
        <v>2.0383269533098765</v>
      </c>
      <c r="AY68" s="18" t="s">
        <v>4</v>
      </c>
      <c r="AZ68" s="19">
        <v>0</v>
      </c>
      <c r="BA68" s="20" t="e">
        <f>AZ68/AZ69</f>
        <v>#DIV/0!</v>
      </c>
      <c r="BB68" s="21"/>
      <c r="BC68" s="19" t="e">
        <f>BA68*AZ71</f>
        <v>#DIV/0!</v>
      </c>
      <c r="BD68" s="21"/>
      <c r="BE68" s="21" t="e">
        <f>AZ68+BC68</f>
        <v>#DIV/0!</v>
      </c>
      <c r="BF68" s="21"/>
      <c r="BG68" s="22" t="e">
        <f>BE68/1008</f>
        <v>#DIV/0!</v>
      </c>
    </row>
    <row r="69" spans="1:59" x14ac:dyDescent="0.25">
      <c r="A69" s="4"/>
      <c r="B69" s="5">
        <f>SUM(B67:B68)</f>
        <v>5173.47</v>
      </c>
      <c r="G69">
        <f>SUM(G67:G68)</f>
        <v>7639.62</v>
      </c>
      <c r="I69" s="9"/>
      <c r="K69" s="4"/>
      <c r="L69" s="5">
        <f>SUM(L67:L68)</f>
        <v>6298.16</v>
      </c>
      <c r="Q69">
        <f>SUM(Q67:Q68)</f>
        <v>9116.92</v>
      </c>
      <c r="S69" s="9"/>
      <c r="U69" s="4"/>
      <c r="V69" s="5">
        <f>SUM(V67:V68)</f>
        <v>5644.46</v>
      </c>
      <c r="AA69">
        <f>SUM(AA67:AA68)</f>
        <v>8540.0300000000007</v>
      </c>
      <c r="AC69" s="9"/>
      <c r="AE69" s="4"/>
      <c r="AF69" s="5">
        <f>SUM(AF67:AF68)</f>
        <v>5767.2000000000007</v>
      </c>
      <c r="AK69">
        <f>SUM(AK67:AK68)</f>
        <v>9008.4600000000009</v>
      </c>
      <c r="AM69" s="9"/>
      <c r="AO69" s="4"/>
      <c r="AP69" s="5">
        <f>SUM(AP67:AP68)</f>
        <v>7040.12</v>
      </c>
      <c r="AU69">
        <f>SUM(AU67:AU68)</f>
        <v>10633.65</v>
      </c>
      <c r="AW69" s="9"/>
      <c r="AY69" s="18"/>
      <c r="AZ69" s="19">
        <f>SUM(AZ67:AZ68)</f>
        <v>0</v>
      </c>
      <c r="BA69" s="21"/>
      <c r="BB69" s="21"/>
      <c r="BC69" s="21"/>
      <c r="BD69" s="21"/>
      <c r="BE69" s="21" t="e">
        <f>SUM(BE67:BE68)</f>
        <v>#DIV/0!</v>
      </c>
      <c r="BF69" s="21"/>
      <c r="BG69" s="23"/>
    </row>
    <row r="70" spans="1:59" x14ac:dyDescent="0.25">
      <c r="A70" s="4"/>
      <c r="B70" s="5"/>
      <c r="I70" s="9"/>
      <c r="K70" s="4"/>
      <c r="L70" s="5"/>
      <c r="S70" s="9"/>
      <c r="U70" s="4"/>
      <c r="V70" s="5"/>
      <c r="AC70" s="9"/>
      <c r="AE70" s="4"/>
      <c r="AF70" s="5"/>
      <c r="AM70" s="9"/>
      <c r="AO70" s="4"/>
      <c r="AP70" s="5"/>
      <c r="AW70" s="9"/>
      <c r="AY70" s="18"/>
      <c r="AZ70" s="19"/>
      <c r="BA70" s="21"/>
      <c r="BB70" s="21"/>
      <c r="BC70" s="21"/>
      <c r="BD70" s="21"/>
      <c r="BE70" s="21"/>
      <c r="BF70" s="21"/>
      <c r="BG70" s="23"/>
    </row>
    <row r="71" spans="1:59" ht="15.75" thickBot="1" x14ac:dyDescent="0.3">
      <c r="A71" s="10" t="s">
        <v>5</v>
      </c>
      <c r="B71" s="11">
        <v>2466.15</v>
      </c>
      <c r="C71" s="12"/>
      <c r="D71" s="12"/>
      <c r="E71" s="12"/>
      <c r="F71" s="12"/>
      <c r="G71" s="12"/>
      <c r="H71" s="12"/>
      <c r="I71" s="13"/>
      <c r="K71" s="10" t="s">
        <v>5</v>
      </c>
      <c r="L71" s="11">
        <v>2818.76</v>
      </c>
      <c r="M71" s="12"/>
      <c r="N71" s="12"/>
      <c r="O71" s="12"/>
      <c r="P71" s="12"/>
      <c r="Q71" s="12"/>
      <c r="R71" s="12"/>
      <c r="S71" s="13"/>
      <c r="U71" s="10" t="s">
        <v>5</v>
      </c>
      <c r="V71" s="11">
        <v>2895.57</v>
      </c>
      <c r="W71" s="12"/>
      <c r="X71" s="12"/>
      <c r="Y71" s="12"/>
      <c r="Z71" s="12"/>
      <c r="AA71" s="12"/>
      <c r="AB71" s="12"/>
      <c r="AC71" s="13"/>
      <c r="AE71" s="10" t="s">
        <v>5</v>
      </c>
      <c r="AF71" s="11">
        <v>3241.26</v>
      </c>
      <c r="AG71" s="12"/>
      <c r="AH71" s="12"/>
      <c r="AI71" s="12"/>
      <c r="AJ71" s="12"/>
      <c r="AK71" s="12"/>
      <c r="AL71" s="12"/>
      <c r="AM71" s="13"/>
      <c r="AO71" s="10" t="s">
        <v>5</v>
      </c>
      <c r="AP71" s="11">
        <v>3593.53</v>
      </c>
      <c r="AQ71" s="12"/>
      <c r="AR71" s="12"/>
      <c r="AS71" s="12"/>
      <c r="AT71" s="12"/>
      <c r="AU71" s="12"/>
      <c r="AV71" s="12"/>
      <c r="AW71" s="13"/>
      <c r="AY71" s="24" t="s">
        <v>5</v>
      </c>
      <c r="AZ71" s="25">
        <v>0</v>
      </c>
      <c r="BA71" s="26"/>
      <c r="BB71" s="26"/>
      <c r="BC71" s="26"/>
      <c r="BD71" s="26"/>
      <c r="BE71" s="26"/>
      <c r="BF71" s="26"/>
      <c r="BG71" s="27"/>
    </row>
    <row r="72" spans="1:59" ht="15.75" thickBot="1" x14ac:dyDescent="0.3">
      <c r="AY72" s="21"/>
      <c r="AZ72" s="21"/>
      <c r="BA72" s="21"/>
      <c r="BB72" s="21"/>
      <c r="BC72" s="21"/>
      <c r="BD72" s="21"/>
      <c r="BE72" s="21"/>
      <c r="BF72" s="21"/>
      <c r="BG72" s="21"/>
    </row>
    <row r="73" spans="1:59" x14ac:dyDescent="0.25">
      <c r="A73" s="1">
        <v>45613</v>
      </c>
      <c r="B73" s="2"/>
      <c r="C73" s="2"/>
      <c r="D73" s="2"/>
      <c r="E73" s="2" t="s">
        <v>0</v>
      </c>
      <c r="F73" s="2"/>
      <c r="G73" s="2" t="s">
        <v>1</v>
      </c>
      <c r="H73" s="2"/>
      <c r="I73" s="3" t="s">
        <v>2</v>
      </c>
      <c r="K73" s="1">
        <v>45614</v>
      </c>
      <c r="L73" s="2"/>
      <c r="M73" s="2"/>
      <c r="N73" s="2"/>
      <c r="O73" s="2" t="s">
        <v>0</v>
      </c>
      <c r="P73" s="2"/>
      <c r="Q73" s="2" t="s">
        <v>1</v>
      </c>
      <c r="R73" s="2"/>
      <c r="S73" s="3" t="s">
        <v>2</v>
      </c>
      <c r="U73" s="1">
        <v>45615</v>
      </c>
      <c r="V73" s="2"/>
      <c r="W73" s="2"/>
      <c r="X73" s="2"/>
      <c r="Y73" s="2" t="s">
        <v>0</v>
      </c>
      <c r="Z73" s="2"/>
      <c r="AA73" s="2" t="s">
        <v>1</v>
      </c>
      <c r="AB73" s="2"/>
      <c r="AC73" s="3" t="s">
        <v>2</v>
      </c>
      <c r="AE73" s="1">
        <v>45616</v>
      </c>
      <c r="AF73" s="2"/>
      <c r="AG73" s="2"/>
      <c r="AH73" s="2"/>
      <c r="AI73" s="2" t="s">
        <v>0</v>
      </c>
      <c r="AJ73" s="2"/>
      <c r="AK73" s="2" t="s">
        <v>1</v>
      </c>
      <c r="AL73" s="2"/>
      <c r="AM73" s="3" t="s">
        <v>2</v>
      </c>
      <c r="AO73" s="1">
        <v>45617</v>
      </c>
      <c r="AP73" s="2"/>
      <c r="AQ73" s="2"/>
      <c r="AR73" s="2"/>
      <c r="AS73" s="2" t="s">
        <v>0</v>
      </c>
      <c r="AT73" s="2"/>
      <c r="AU73" s="2" t="s">
        <v>1</v>
      </c>
      <c r="AV73" s="2"/>
      <c r="AW73" s="3" t="s">
        <v>2</v>
      </c>
      <c r="AY73" s="15">
        <v>45618</v>
      </c>
      <c r="AZ73" s="16"/>
      <c r="BA73" s="16"/>
      <c r="BB73" s="16"/>
      <c r="BC73" s="16" t="s">
        <v>0</v>
      </c>
      <c r="BD73" s="16"/>
      <c r="BE73" s="16" t="s">
        <v>1</v>
      </c>
      <c r="BF73" s="16"/>
      <c r="BG73" s="17" t="s">
        <v>2</v>
      </c>
    </row>
    <row r="74" spans="1:59" x14ac:dyDescent="0.25">
      <c r="A74" s="4" t="s">
        <v>3</v>
      </c>
      <c r="B74" s="5">
        <f>3739.42+681.77</f>
        <v>4421.1900000000005</v>
      </c>
      <c r="C74" s="8">
        <f>B74/B76</f>
        <v>0.82999297887278989</v>
      </c>
      <c r="E74" s="5">
        <f>B78*C74</f>
        <v>2058.2995883066319</v>
      </c>
      <c r="G74">
        <f>B74+E74</f>
        <v>6479.4895883066329</v>
      </c>
      <c r="I74" s="7">
        <f>G74/3305</f>
        <v>1.9605112218779523</v>
      </c>
      <c r="K74" s="4" t="s">
        <v>3</v>
      </c>
      <c r="L74" s="5">
        <f>3704.16+783.25</f>
        <v>4487.41</v>
      </c>
      <c r="M74" s="8">
        <f>L74/L76</f>
        <v>0.65097572156393979</v>
      </c>
      <c r="O74" s="5">
        <f>L78*M74</f>
        <v>1835.8231421396824</v>
      </c>
      <c r="Q74" s="5">
        <f>L74+O74</f>
        <v>6323.2331421396821</v>
      </c>
      <c r="S74" s="7">
        <f>Q74/3085</f>
        <v>2.0496703864310151</v>
      </c>
      <c r="U74" s="4" t="s">
        <v>3</v>
      </c>
      <c r="V74" s="5">
        <f>2486.21+759.67</f>
        <v>3245.88</v>
      </c>
      <c r="W74" s="8">
        <f>V74/V76</f>
        <v>0.55048130736512202</v>
      </c>
      <c r="Y74" s="5">
        <f>V78*W74</f>
        <v>1586.751358853817</v>
      </c>
      <c r="AA74" s="5">
        <f>V74+Y74</f>
        <v>4832.6313588538169</v>
      </c>
      <c r="AC74" s="7">
        <f>AA74/3476</f>
        <v>1.3902852010511557</v>
      </c>
      <c r="AE74" s="4" t="s">
        <v>3</v>
      </c>
      <c r="AF74" s="5">
        <f>2102.07+703.95</f>
        <v>2806.0200000000004</v>
      </c>
      <c r="AG74" s="8">
        <f>AF74/AF76</f>
        <v>0.56535483520003871</v>
      </c>
      <c r="AI74" s="5">
        <f>AF78*AG74</f>
        <v>1728.0692428207904</v>
      </c>
      <c r="AK74" s="5">
        <f>AF74+AI74</f>
        <v>4534.0892428207908</v>
      </c>
      <c r="AM74" s="7">
        <f>AK74/3274</f>
        <v>1.3848775940197895</v>
      </c>
      <c r="AO74" s="4" t="s">
        <v>3</v>
      </c>
      <c r="AP74" s="5">
        <f>2768.18+848.47</f>
        <v>3616.6499999999996</v>
      </c>
      <c r="AQ74" s="6">
        <f>AP74/AP76</f>
        <v>0.51831177671885631</v>
      </c>
      <c r="AS74" s="5">
        <f>AP78*AQ74</f>
        <v>1869.6179591558882</v>
      </c>
      <c r="AU74" s="5">
        <f>AP74+AS74</f>
        <v>5486.2679591558881</v>
      </c>
      <c r="AW74" s="7">
        <f>AU74/3953</f>
        <v>1.3878745153442671</v>
      </c>
      <c r="AY74" s="18" t="s">
        <v>3</v>
      </c>
      <c r="AZ74" s="19">
        <v>0</v>
      </c>
      <c r="BA74" s="20" t="e">
        <f>AZ74/AZ76</f>
        <v>#DIV/0!</v>
      </c>
      <c r="BB74" s="21"/>
      <c r="BC74" s="19" t="e">
        <f>AZ78*BA74</f>
        <v>#DIV/0!</v>
      </c>
      <c r="BD74" s="21"/>
      <c r="BE74" s="21" t="e">
        <f>AZ74+BC74</f>
        <v>#DIV/0!</v>
      </c>
      <c r="BF74" s="21"/>
      <c r="BG74" s="22" t="e">
        <f>BE74/3305</f>
        <v>#DIV/0!</v>
      </c>
    </row>
    <row r="75" spans="1:59" x14ac:dyDescent="0.25">
      <c r="A75" s="4" t="s">
        <v>4</v>
      </c>
      <c r="B75" s="5">
        <f>742.82+162.77</f>
        <v>905.59</v>
      </c>
      <c r="C75" s="8">
        <f>B75/B76</f>
        <v>0.17000702112721006</v>
      </c>
      <c r="E75" s="5">
        <f>C75*B78</f>
        <v>421.60041169336824</v>
      </c>
      <c r="G75">
        <f>B75+E75</f>
        <v>1327.1904116933683</v>
      </c>
      <c r="I75" s="7">
        <f>G75/1008</f>
        <v>1.3166571544577066</v>
      </c>
      <c r="K75" s="4" t="s">
        <v>4</v>
      </c>
      <c r="L75" s="5">
        <f>2007.34+398.61</f>
        <v>2405.9499999999998</v>
      </c>
      <c r="M75" s="8">
        <f>L75/L76</f>
        <v>0.34902427843606021</v>
      </c>
      <c r="O75" s="5">
        <f>M75*L78</f>
        <v>984.28685786031781</v>
      </c>
      <c r="Q75" s="5">
        <f>L75+O75</f>
        <v>3390.2368578603177</v>
      </c>
      <c r="S75" s="7">
        <f>Q75/1905</f>
        <v>1.7796518938899306</v>
      </c>
      <c r="U75" s="4" t="s">
        <v>4</v>
      </c>
      <c r="V75" s="5">
        <f>2234.39+416.17</f>
        <v>2650.56</v>
      </c>
      <c r="W75" s="8">
        <f>V75/V76</f>
        <v>0.44951869263487793</v>
      </c>
      <c r="Y75" s="5">
        <f>W75*V78</f>
        <v>1295.728641146183</v>
      </c>
      <c r="AA75" s="5">
        <f>V75+Y75</f>
        <v>3946.2886411461832</v>
      </c>
      <c r="AC75" s="7">
        <f>AA75/2065</f>
        <v>1.9110356615720014</v>
      </c>
      <c r="AE75" s="4" t="s">
        <v>4</v>
      </c>
      <c r="AF75" s="5">
        <f>1799.61+357.66</f>
        <v>2157.27</v>
      </c>
      <c r="AG75" s="8">
        <f>AF75/AF76</f>
        <v>0.43464516479996124</v>
      </c>
      <c r="AI75" s="5">
        <f>AG75*AF78</f>
        <v>1328.5407571792095</v>
      </c>
      <c r="AK75" s="5">
        <f>AF75+AI75</f>
        <v>3485.8107571792098</v>
      </c>
      <c r="AM75" s="7">
        <f>AK75/1828</f>
        <v>1.9068986636647756</v>
      </c>
      <c r="AO75" s="4" t="s">
        <v>4</v>
      </c>
      <c r="AP75" s="5">
        <f>2833.68+527.42</f>
        <v>3361.1</v>
      </c>
      <c r="AQ75" s="6">
        <f>AP75/AP76</f>
        <v>0.48168822328114363</v>
      </c>
      <c r="AS75" s="5">
        <f>AQ75*AP78</f>
        <v>1737.5120408441117</v>
      </c>
      <c r="AU75" s="5">
        <f>AP75+AS75</f>
        <v>5098.6120408441111</v>
      </c>
      <c r="AW75" s="7">
        <f>AU75/2592</f>
        <v>1.967057114523191</v>
      </c>
      <c r="AY75" s="18" t="s">
        <v>4</v>
      </c>
      <c r="AZ75" s="19">
        <v>0</v>
      </c>
      <c r="BA75" s="20" t="e">
        <f>AZ75/AZ76</f>
        <v>#DIV/0!</v>
      </c>
      <c r="BB75" s="21"/>
      <c r="BC75" s="19" t="e">
        <f>BA75*AZ78</f>
        <v>#DIV/0!</v>
      </c>
      <c r="BD75" s="21"/>
      <c r="BE75" s="21" t="e">
        <f>AZ75+BC75</f>
        <v>#DIV/0!</v>
      </c>
      <c r="BF75" s="21"/>
      <c r="BG75" s="22" t="e">
        <f>BE75/1008</f>
        <v>#DIV/0!</v>
      </c>
    </row>
    <row r="76" spans="1:59" x14ac:dyDescent="0.25">
      <c r="A76" s="4"/>
      <c r="B76" s="5">
        <f>SUM(B74:B75)</f>
        <v>5326.7800000000007</v>
      </c>
      <c r="G76">
        <f>SUM(G74:G75)</f>
        <v>7806.6800000000012</v>
      </c>
      <c r="I76" s="9"/>
      <c r="K76" s="4"/>
      <c r="L76" s="5">
        <f>SUM(L74:L75)</f>
        <v>6893.36</v>
      </c>
      <c r="Q76">
        <f>SUM(Q74:Q75)</f>
        <v>9713.4699999999993</v>
      </c>
      <c r="S76" s="9"/>
      <c r="U76" s="4"/>
      <c r="V76" s="5">
        <f>SUM(V74:V75)</f>
        <v>5896.4400000000005</v>
      </c>
      <c r="AA76">
        <f>SUM(AA74:AA75)</f>
        <v>8778.92</v>
      </c>
      <c r="AC76" s="9"/>
      <c r="AE76" s="4"/>
      <c r="AF76" s="5">
        <f>SUM(AF74:AF75)</f>
        <v>4963.2900000000009</v>
      </c>
      <c r="AK76">
        <f>SUM(AK74:AK75)</f>
        <v>8019.9000000000005</v>
      </c>
      <c r="AM76" s="9"/>
      <c r="AO76" s="4"/>
      <c r="AP76" s="5">
        <f>SUM(AP74:AP75)</f>
        <v>6977.75</v>
      </c>
      <c r="AU76">
        <f>SUM(AU74:AU75)</f>
        <v>10584.88</v>
      </c>
      <c r="AW76" s="9"/>
      <c r="AY76" s="18"/>
      <c r="AZ76" s="19">
        <f>SUM(AZ74:AZ75)</f>
        <v>0</v>
      </c>
      <c r="BA76" s="21"/>
      <c r="BB76" s="21"/>
      <c r="BC76" s="21"/>
      <c r="BD76" s="21"/>
      <c r="BE76" s="21" t="e">
        <f>SUM(BE74:BE75)</f>
        <v>#DIV/0!</v>
      </c>
      <c r="BF76" s="21"/>
      <c r="BG76" s="23"/>
    </row>
    <row r="77" spans="1:59" x14ac:dyDescent="0.25">
      <c r="A77" s="4"/>
      <c r="B77" s="5"/>
      <c r="I77" s="9"/>
      <c r="K77" s="4"/>
      <c r="L77" s="5"/>
      <c r="S77" s="9"/>
      <c r="U77" s="4"/>
      <c r="V77" s="5"/>
      <c r="AC77" s="9"/>
      <c r="AE77" s="4"/>
      <c r="AF77" s="5"/>
      <c r="AM77" s="9"/>
      <c r="AO77" s="4"/>
      <c r="AP77" s="5"/>
      <c r="AW77" s="9"/>
      <c r="AY77" s="18"/>
      <c r="AZ77" s="19"/>
      <c r="BA77" s="21"/>
      <c r="BB77" s="21"/>
      <c r="BC77" s="21"/>
      <c r="BD77" s="21"/>
      <c r="BE77" s="21"/>
      <c r="BF77" s="21"/>
      <c r="BG77" s="23"/>
    </row>
    <row r="78" spans="1:59" ht="15.75" thickBot="1" x14ac:dyDescent="0.3">
      <c r="A78" s="10" t="s">
        <v>5</v>
      </c>
      <c r="B78" s="11">
        <v>2479.9</v>
      </c>
      <c r="C78" s="12"/>
      <c r="D78" s="12"/>
      <c r="E78" s="12"/>
      <c r="F78" s="12"/>
      <c r="G78" s="12"/>
      <c r="H78" s="12"/>
      <c r="I78" s="13"/>
      <c r="K78" s="10" t="s">
        <v>5</v>
      </c>
      <c r="L78" s="11">
        <v>2820.11</v>
      </c>
      <c r="M78" s="12"/>
      <c r="N78" s="12"/>
      <c r="O78" s="12"/>
      <c r="P78" s="12"/>
      <c r="Q78" s="12"/>
      <c r="R78" s="12"/>
      <c r="S78" s="13"/>
      <c r="U78" s="10" t="s">
        <v>5</v>
      </c>
      <c r="V78" s="11">
        <v>2882.48</v>
      </c>
      <c r="W78" s="12"/>
      <c r="X78" s="12"/>
      <c r="Y78" s="12"/>
      <c r="Z78" s="12"/>
      <c r="AA78" s="12"/>
      <c r="AB78" s="12"/>
      <c r="AC78" s="13"/>
      <c r="AE78" s="10" t="s">
        <v>5</v>
      </c>
      <c r="AF78" s="11">
        <v>3056.61</v>
      </c>
      <c r="AG78" s="12"/>
      <c r="AH78" s="12"/>
      <c r="AI78" s="12"/>
      <c r="AJ78" s="12"/>
      <c r="AK78" s="12"/>
      <c r="AL78" s="12"/>
      <c r="AM78" s="13"/>
      <c r="AO78" s="10" t="s">
        <v>5</v>
      </c>
      <c r="AP78" s="11">
        <v>3607.13</v>
      </c>
      <c r="AQ78" s="12"/>
      <c r="AR78" s="12"/>
      <c r="AS78" s="12"/>
      <c r="AT78" s="12"/>
      <c r="AU78" s="12"/>
      <c r="AV78" s="12"/>
      <c r="AW78" s="13"/>
      <c r="AY78" s="24" t="s">
        <v>5</v>
      </c>
      <c r="AZ78" s="25">
        <v>0</v>
      </c>
      <c r="BA78" s="26"/>
      <c r="BB78" s="26"/>
      <c r="BC78" s="26"/>
      <c r="BD78" s="26"/>
      <c r="BE78" s="26"/>
      <c r="BF78" s="26"/>
      <c r="BG78" s="27"/>
    </row>
    <row r="79" spans="1:59" ht="15.75" thickBot="1" x14ac:dyDescent="0.3">
      <c r="AY79" s="21"/>
      <c r="AZ79" s="21"/>
      <c r="BA79" s="21"/>
      <c r="BB79" s="21"/>
      <c r="BC79" s="21"/>
      <c r="BD79" s="21"/>
      <c r="BE79" s="21"/>
      <c r="BF79" s="21"/>
      <c r="BG79" s="21"/>
    </row>
    <row r="80" spans="1:59" x14ac:dyDescent="0.25">
      <c r="A80" s="1">
        <v>45643</v>
      </c>
      <c r="B80" s="2"/>
      <c r="C80" s="2"/>
      <c r="D80" s="2"/>
      <c r="E80" s="2" t="s">
        <v>0</v>
      </c>
      <c r="F80" s="2"/>
      <c r="G80" s="2" t="s">
        <v>1</v>
      </c>
      <c r="H80" s="2"/>
      <c r="I80" s="3" t="s">
        <v>2</v>
      </c>
      <c r="K80" s="1">
        <v>45644</v>
      </c>
      <c r="L80" s="2"/>
      <c r="M80" s="2"/>
      <c r="N80" s="2"/>
      <c r="O80" s="2" t="s">
        <v>0</v>
      </c>
      <c r="P80" s="2"/>
      <c r="Q80" s="2" t="s">
        <v>1</v>
      </c>
      <c r="R80" s="2"/>
      <c r="S80" s="3" t="s">
        <v>2</v>
      </c>
      <c r="U80" s="1">
        <v>45645</v>
      </c>
      <c r="V80" s="2"/>
      <c r="W80" s="2"/>
      <c r="X80" s="2"/>
      <c r="Y80" s="2" t="s">
        <v>0</v>
      </c>
      <c r="Z80" s="2"/>
      <c r="AA80" s="2" t="s">
        <v>1</v>
      </c>
      <c r="AB80" s="2"/>
      <c r="AC80" s="3" t="s">
        <v>2</v>
      </c>
      <c r="AE80" s="1">
        <v>45646</v>
      </c>
      <c r="AF80" s="2"/>
      <c r="AG80" s="2"/>
      <c r="AH80" s="2"/>
      <c r="AI80" s="2" t="s">
        <v>0</v>
      </c>
      <c r="AJ80" s="2"/>
      <c r="AK80" s="2" t="s">
        <v>1</v>
      </c>
      <c r="AL80" s="2"/>
      <c r="AM80" s="3" t="s">
        <v>2</v>
      </c>
      <c r="AO80" s="1">
        <v>45647</v>
      </c>
      <c r="AP80" s="2"/>
      <c r="AQ80" s="2"/>
      <c r="AR80" s="2"/>
      <c r="AS80" s="2" t="s">
        <v>0</v>
      </c>
      <c r="AT80" s="2"/>
      <c r="AU80" s="2" t="s">
        <v>1</v>
      </c>
      <c r="AV80" s="2"/>
      <c r="AW80" s="3" t="s">
        <v>2</v>
      </c>
      <c r="AY80" s="15">
        <v>45648</v>
      </c>
      <c r="AZ80" s="16"/>
      <c r="BA80" s="16"/>
      <c r="BB80" s="16"/>
      <c r="BC80" s="16" t="s">
        <v>0</v>
      </c>
      <c r="BD80" s="16"/>
      <c r="BE80" s="16" t="s">
        <v>1</v>
      </c>
      <c r="BF80" s="16"/>
      <c r="BG80" s="17" t="s">
        <v>2</v>
      </c>
    </row>
    <row r="81" spans="1:59" x14ac:dyDescent="0.25">
      <c r="A81" s="4" t="s">
        <v>3</v>
      </c>
      <c r="B81" s="5">
        <f>3833.22+833.17</f>
        <v>4666.3899999999994</v>
      </c>
      <c r="C81" s="8">
        <f>B81/B83</f>
        <v>0.80986719704542931</v>
      </c>
      <c r="E81" s="5">
        <f>B85*C81</f>
        <v>2170.0634504991394</v>
      </c>
      <c r="G81">
        <f>B81+E81</f>
        <v>6836.4534504991389</v>
      </c>
      <c r="I81" s="7">
        <f>G81/3345</f>
        <v>2.0437827953659609</v>
      </c>
      <c r="K81" s="4" t="s">
        <v>3</v>
      </c>
      <c r="L81" s="5">
        <f>3763.97+903.67</f>
        <v>4667.6399999999994</v>
      </c>
      <c r="M81" s="6">
        <f>L81/L83</f>
        <v>0.65978559554907212</v>
      </c>
      <c r="O81" s="5">
        <f>L85*M81</f>
        <v>2014.5299567459374</v>
      </c>
      <c r="Q81">
        <f>L81+O81</f>
        <v>6682.1699567459364</v>
      </c>
      <c r="S81" s="7">
        <f>Q81/3309</f>
        <v>2.0193925526581857</v>
      </c>
      <c r="U81" s="4" t="s">
        <v>3</v>
      </c>
      <c r="V81" s="5">
        <f>2515.69+847.69</f>
        <v>3363.38</v>
      </c>
      <c r="W81" s="8">
        <f>V81/V83</f>
        <v>0.57408592735211239</v>
      </c>
      <c r="Y81" s="5">
        <f>V85*W81</f>
        <v>1697.0554098455793</v>
      </c>
      <c r="AA81" s="5">
        <f>V81+Y81</f>
        <v>5060.4354098455797</v>
      </c>
      <c r="AC81" s="7">
        <f>AA81/3482</f>
        <v>1.453312868996433</v>
      </c>
      <c r="AE81" s="4" t="s">
        <v>3</v>
      </c>
      <c r="AF81" s="5">
        <f>2402.7+839.59</f>
        <v>3242.29</v>
      </c>
      <c r="AG81" s="8">
        <f>AF81/AF83</f>
        <v>0.52638508719806998</v>
      </c>
      <c r="AI81" s="5">
        <f>AF85*AG81</f>
        <v>1750.7094253629327</v>
      </c>
      <c r="AK81" s="5">
        <f>AF81+AI81</f>
        <v>4992.9994253629329</v>
      </c>
      <c r="AM81" s="7">
        <f>AK81/3485</f>
        <v>1.4327114563451744</v>
      </c>
      <c r="AO81" s="4" t="s">
        <v>3</v>
      </c>
      <c r="AP81" s="5">
        <f>2963.87+1050.69</f>
        <v>4014.56</v>
      </c>
      <c r="AQ81" s="6">
        <f>AP81/AP83</f>
        <v>0.52553200402144773</v>
      </c>
      <c r="AS81" s="5">
        <f>AP85*AQ81</f>
        <v>2093.504035899799</v>
      </c>
      <c r="AU81" s="5">
        <f>AP81+AS81</f>
        <v>6108.0640358997989</v>
      </c>
      <c r="AW81" s="7">
        <f>AU81/4257</f>
        <v>1.4348282912614045</v>
      </c>
      <c r="AY81" s="18" t="s">
        <v>3</v>
      </c>
      <c r="AZ81" s="19">
        <v>0</v>
      </c>
      <c r="BA81" s="20" t="e">
        <f>AZ81/AZ83</f>
        <v>#DIV/0!</v>
      </c>
      <c r="BB81" s="21"/>
      <c r="BC81" s="19" t="e">
        <f>AZ85*BA81</f>
        <v>#DIV/0!</v>
      </c>
      <c r="BD81" s="21"/>
      <c r="BE81" s="21" t="e">
        <f>AZ81+BC81</f>
        <v>#DIV/0!</v>
      </c>
      <c r="BF81" s="21"/>
      <c r="BG81" s="22" t="e">
        <f>BE81/3305</f>
        <v>#DIV/0!</v>
      </c>
    </row>
    <row r="82" spans="1:59" x14ac:dyDescent="0.25">
      <c r="A82" s="4" t="s">
        <v>4</v>
      </c>
      <c r="B82" s="5">
        <f>889.89+205.64</f>
        <v>1095.53</v>
      </c>
      <c r="C82" s="8">
        <f>B82/B83</f>
        <v>0.19013280295457072</v>
      </c>
      <c r="E82" s="5">
        <f>C82*B85</f>
        <v>509.46654950086094</v>
      </c>
      <c r="G82">
        <f>B82+E82</f>
        <v>1604.996549500861</v>
      </c>
      <c r="I82" s="7">
        <f>G82/1130</f>
        <v>1.4203509287618239</v>
      </c>
      <c r="K82" s="4" t="s">
        <v>4</v>
      </c>
      <c r="L82" s="5">
        <f>1939.79+467.05</f>
        <v>2406.84</v>
      </c>
      <c r="M82" s="6">
        <f>L82/L83</f>
        <v>0.34021440445092788</v>
      </c>
      <c r="O82" s="5">
        <f>M82*L85</f>
        <v>1038.7800432540625</v>
      </c>
      <c r="Q82">
        <f>L82+O82</f>
        <v>3445.6200432540627</v>
      </c>
      <c r="S82" s="7">
        <f>Q82/1996</f>
        <v>1.7262625467204722</v>
      </c>
      <c r="U82" s="4" t="s">
        <v>4</v>
      </c>
      <c r="V82" s="5">
        <f>2060.58+434.71</f>
        <v>2495.29</v>
      </c>
      <c r="W82" s="8">
        <f>V82/V83</f>
        <v>0.42591407264788766</v>
      </c>
      <c r="Y82" s="5">
        <f>W82*V85</f>
        <v>1259.0445901544206</v>
      </c>
      <c r="AA82" s="5">
        <f>V82+Y82</f>
        <v>3754.3345901544208</v>
      </c>
      <c r="AC82" s="7">
        <f>AA82/1948</f>
        <v>1.9272764836521667</v>
      </c>
      <c r="AE82" s="4" t="s">
        <v>4</v>
      </c>
      <c r="AF82" s="5">
        <f>2461.78+455.47</f>
        <v>2917.25</v>
      </c>
      <c r="AG82" s="8">
        <f>AF82/AF83</f>
        <v>0.47361491280193002</v>
      </c>
      <c r="AI82" s="5">
        <f>AG82*AF85</f>
        <v>1575.2005746370671</v>
      </c>
      <c r="AK82" s="5">
        <f>AF82+AI82</f>
        <v>4492.4505746370669</v>
      </c>
      <c r="AM82" s="7">
        <f>AK82/1962</f>
        <v>2.2897301603654774</v>
      </c>
      <c r="AO82" s="4" t="s">
        <v>4</v>
      </c>
      <c r="AP82" s="5">
        <f>2937.88+686.6</f>
        <v>3624.48</v>
      </c>
      <c r="AQ82" s="6">
        <f>AP82/AP83</f>
        <v>0.47446799597855227</v>
      </c>
      <c r="AS82" s="5">
        <f>AQ82*AP85</f>
        <v>1890.0859641002012</v>
      </c>
      <c r="AU82" s="5">
        <f>AP82+AS82</f>
        <v>5514.5659641002012</v>
      </c>
      <c r="AW82" s="7">
        <f>AU82/2687</f>
        <v>2.0523133472646822</v>
      </c>
      <c r="AY82" s="18" t="s">
        <v>4</v>
      </c>
      <c r="AZ82" s="19">
        <v>0</v>
      </c>
      <c r="BA82" s="20" t="e">
        <f>AZ82/AZ83</f>
        <v>#DIV/0!</v>
      </c>
      <c r="BB82" s="21"/>
      <c r="BC82" s="19" t="e">
        <f>BA82*AZ85</f>
        <v>#DIV/0!</v>
      </c>
      <c r="BD82" s="21"/>
      <c r="BE82" s="21" t="e">
        <f>AZ82+BC82</f>
        <v>#DIV/0!</v>
      </c>
      <c r="BF82" s="21"/>
      <c r="BG82" s="22" t="e">
        <f>BE82/1008</f>
        <v>#DIV/0!</v>
      </c>
    </row>
    <row r="83" spans="1:59" x14ac:dyDescent="0.25">
      <c r="A83" s="4"/>
      <c r="B83" s="5">
        <f>SUM(B81:B82)</f>
        <v>5761.9199999999992</v>
      </c>
      <c r="G83">
        <f>SUM(G81:G82)</f>
        <v>8441.4500000000007</v>
      </c>
      <c r="I83" s="9"/>
      <c r="K83" s="4"/>
      <c r="L83" s="5">
        <f>SUM(L81:L82)</f>
        <v>7074.48</v>
      </c>
      <c r="Q83">
        <f>SUM(Q81:Q82)</f>
        <v>10127.789999999999</v>
      </c>
      <c r="S83" s="9"/>
      <c r="U83" s="4"/>
      <c r="V83" s="5">
        <f>SUM(V81:V82)</f>
        <v>5858.67</v>
      </c>
      <c r="AA83">
        <f>SUM(AA81:AA82)</f>
        <v>8814.77</v>
      </c>
      <c r="AC83" s="9"/>
      <c r="AE83" s="4"/>
      <c r="AF83" s="5">
        <f>SUM(AF81:AF82)</f>
        <v>6159.54</v>
      </c>
      <c r="AK83">
        <f>SUM(AK81:AK82)</f>
        <v>9485.4500000000007</v>
      </c>
      <c r="AM83" s="9"/>
      <c r="AO83" s="4"/>
      <c r="AP83" s="5">
        <f>SUM(AP81:AP82)</f>
        <v>7639.04</v>
      </c>
      <c r="AU83">
        <f>SUM(AU81:AU82)</f>
        <v>11622.630000000001</v>
      </c>
      <c r="AW83" s="9"/>
      <c r="AY83" s="18"/>
      <c r="AZ83" s="19">
        <f>SUM(AZ81:AZ82)</f>
        <v>0</v>
      </c>
      <c r="BA83" s="21"/>
      <c r="BB83" s="21"/>
      <c r="BC83" s="21"/>
      <c r="BD83" s="21"/>
      <c r="BE83" s="21" t="e">
        <f>SUM(BE81:BE82)</f>
        <v>#DIV/0!</v>
      </c>
      <c r="BF83" s="21"/>
      <c r="BG83" s="23"/>
    </row>
    <row r="84" spans="1:59" x14ac:dyDescent="0.25">
      <c r="A84" s="4"/>
      <c r="B84" s="5"/>
      <c r="I84" s="9"/>
      <c r="K84" s="4"/>
      <c r="L84" s="5"/>
      <c r="S84" s="9"/>
      <c r="U84" s="4"/>
      <c r="V84" s="5"/>
      <c r="AC84" s="9"/>
      <c r="AE84" s="4"/>
      <c r="AF84" s="5"/>
      <c r="AM84" s="9"/>
      <c r="AO84" s="4"/>
      <c r="AP84" s="5"/>
      <c r="AW84" s="9"/>
      <c r="AY84" s="18"/>
      <c r="AZ84" s="19"/>
      <c r="BA84" s="21"/>
      <c r="BB84" s="21"/>
      <c r="BC84" s="21"/>
      <c r="BD84" s="21"/>
      <c r="BE84" s="21"/>
      <c r="BF84" s="21"/>
      <c r="BG84" s="23"/>
    </row>
    <row r="85" spans="1:59" ht="15.75" thickBot="1" x14ac:dyDescent="0.3">
      <c r="A85" s="10" t="s">
        <v>5</v>
      </c>
      <c r="B85" s="11">
        <v>2679.53</v>
      </c>
      <c r="C85" s="12"/>
      <c r="D85" s="12"/>
      <c r="E85" s="12"/>
      <c r="F85" s="12"/>
      <c r="G85" s="12"/>
      <c r="H85" s="12"/>
      <c r="I85" s="13"/>
      <c r="K85" s="10" t="s">
        <v>5</v>
      </c>
      <c r="L85" s="11">
        <v>3053.31</v>
      </c>
      <c r="M85" s="12"/>
      <c r="N85" s="12"/>
      <c r="O85" s="12"/>
      <c r="P85" s="12"/>
      <c r="Q85" s="12"/>
      <c r="R85" s="12"/>
      <c r="S85" s="13"/>
      <c r="U85" s="10" t="s">
        <v>5</v>
      </c>
      <c r="V85" s="11">
        <v>2956.1</v>
      </c>
      <c r="W85" s="12"/>
      <c r="X85" s="12"/>
      <c r="Y85" s="12"/>
      <c r="Z85" s="12"/>
      <c r="AA85" s="12"/>
      <c r="AB85" s="12"/>
      <c r="AC85" s="13"/>
      <c r="AE85" s="10" t="s">
        <v>5</v>
      </c>
      <c r="AF85" s="11">
        <v>3325.91</v>
      </c>
      <c r="AG85" s="12"/>
      <c r="AH85" s="12"/>
      <c r="AI85" s="12"/>
      <c r="AJ85" s="12"/>
      <c r="AK85" s="12"/>
      <c r="AL85" s="12"/>
      <c r="AM85" s="13"/>
      <c r="AO85" s="10" t="s">
        <v>5</v>
      </c>
      <c r="AP85" s="11">
        <v>3983.59</v>
      </c>
      <c r="AQ85" s="12"/>
      <c r="AR85" s="12"/>
      <c r="AS85" s="12"/>
      <c r="AT85" s="12"/>
      <c r="AU85" s="12"/>
      <c r="AV85" s="12"/>
      <c r="AW85" s="13"/>
      <c r="AY85" s="24" t="s">
        <v>5</v>
      </c>
      <c r="AZ85" s="25">
        <v>0</v>
      </c>
      <c r="BA85" s="26"/>
      <c r="BB85" s="26"/>
      <c r="BC85" s="26"/>
      <c r="BD85" s="26"/>
      <c r="BE85" s="26"/>
      <c r="BF85" s="26"/>
      <c r="BG85" s="27"/>
    </row>
    <row r="88" spans="1:59" x14ac:dyDescent="0.25">
      <c r="A88" t="s">
        <v>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Robin Slone</dc:creator>
  <cp:lastModifiedBy>Robin Slone</cp:lastModifiedBy>
  <dcterms:created xsi:type="dcterms:W3CDTF">2024-12-11T19:59:55Z</dcterms:created>
  <dcterms:modified xsi:type="dcterms:W3CDTF">2024-12-11T20:32:30Z</dcterms:modified>
</cp:coreProperties>
</file>