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in Slone\Documents\RATE CASE 2023\2024\2024 Rate Case 2024-00287\"/>
    </mc:Choice>
  </mc:AlternateContent>
  <xr:revisionPtr revIDLastSave="0" documentId="13_ncr:1_{F664CB97-05F5-4DD8-A00F-B1F888AF5AD4}" xr6:coauthVersionLast="47" xr6:coauthVersionMax="47" xr10:uidLastSave="{00000000-0000-0000-0000-000000000000}"/>
  <bookViews>
    <workbookView xWindow="28680" yWindow="-120" windowWidth="29040" windowHeight="15840" tabRatio="701" xr2:uid="{00000000-000D-0000-FFFF-FFFF00000000}"/>
  </bookViews>
  <sheets>
    <sheet name="1.10 Wage" sheetId="65" r:id="rId1"/>
  </sheets>
  <definedNames>
    <definedName name="_xlnm.Print_Area" localSheetId="0">'1.10 Wage'!$A$1:$Z$103</definedName>
    <definedName name="_xlnm.Print_Titles" localSheetId="0">'1.10 Wage'!$1:$10</definedName>
  </definedNames>
  <calcPr calcId="191029"/>
</workbook>
</file>

<file path=xl/calcChain.xml><?xml version="1.0" encoding="utf-8"?>
<calcChain xmlns="http://schemas.openxmlformats.org/spreadsheetml/2006/main">
  <c r="Z67" i="65" l="1"/>
  <c r="Z68" i="65"/>
  <c r="Z69" i="65"/>
  <c r="Z66" i="65"/>
  <c r="A62" i="65"/>
  <c r="T69" i="65"/>
  <c r="T67" i="65"/>
  <c r="T66" i="65"/>
  <c r="L123" i="65" l="1"/>
  <c r="W71" i="65" l="1"/>
  <c r="V71" i="65"/>
  <c r="U71" i="65"/>
  <c r="T71" i="65"/>
  <c r="P71" i="65"/>
  <c r="W70" i="65"/>
  <c r="V70" i="65"/>
  <c r="U70" i="65"/>
  <c r="T70" i="65"/>
  <c r="P70" i="65"/>
  <c r="W69" i="65"/>
  <c r="V69" i="65"/>
  <c r="X69" i="65" s="1"/>
  <c r="U69" i="65"/>
  <c r="L69" i="65"/>
  <c r="P69" i="65" s="1"/>
  <c r="W68" i="65"/>
  <c r="V68" i="65"/>
  <c r="U68" i="65"/>
  <c r="T68" i="65"/>
  <c r="P68" i="65"/>
  <c r="W67" i="65"/>
  <c r="V67" i="65"/>
  <c r="U67" i="65"/>
  <c r="X67" i="65"/>
  <c r="L67" i="65"/>
  <c r="P67" i="65" s="1"/>
  <c r="H67" i="65"/>
  <c r="W66" i="65"/>
  <c r="V66" i="65"/>
  <c r="U66" i="65"/>
  <c r="L66" i="65"/>
  <c r="P66" i="65" s="1"/>
  <c r="L62" i="65"/>
  <c r="P62" i="65" s="1"/>
  <c r="W61" i="65"/>
  <c r="V61" i="65"/>
  <c r="U61" i="65"/>
  <c r="T61" i="65"/>
  <c r="P61" i="65"/>
  <c r="W60" i="65"/>
  <c r="V60" i="65"/>
  <c r="U60" i="65"/>
  <c r="T60" i="65"/>
  <c r="L60" i="65"/>
  <c r="P60" i="65" s="1"/>
  <c r="W59" i="65"/>
  <c r="V59" i="65"/>
  <c r="U59" i="65"/>
  <c r="T59" i="65"/>
  <c r="P59" i="65"/>
  <c r="W58" i="65"/>
  <c r="V58" i="65"/>
  <c r="U58" i="65"/>
  <c r="T58" i="65"/>
  <c r="L58" i="65"/>
  <c r="P58" i="65" s="1"/>
  <c r="W57" i="65"/>
  <c r="V57" i="65"/>
  <c r="U57" i="65"/>
  <c r="T57" i="65"/>
  <c r="L57" i="65"/>
  <c r="P57" i="65" s="1"/>
  <c r="W56" i="65"/>
  <c r="V56" i="65"/>
  <c r="U56" i="65"/>
  <c r="T56" i="65"/>
  <c r="X56" i="65" s="1"/>
  <c r="L56" i="65"/>
  <c r="P56" i="65" s="1"/>
  <c r="W55" i="65"/>
  <c r="V55" i="65"/>
  <c r="U55" i="65"/>
  <c r="T55" i="65"/>
  <c r="L55" i="65"/>
  <c r="P55" i="65" s="1"/>
  <c r="W54" i="65"/>
  <c r="V54" i="65"/>
  <c r="U54" i="65"/>
  <c r="T54" i="65"/>
  <c r="L54" i="65"/>
  <c r="P54" i="65" s="1"/>
  <c r="W53" i="65"/>
  <c r="V53" i="65"/>
  <c r="U53" i="65"/>
  <c r="T53" i="65"/>
  <c r="L53" i="65"/>
  <c r="P53" i="65" s="1"/>
  <c r="W52" i="65"/>
  <c r="V52" i="65"/>
  <c r="U52" i="65"/>
  <c r="T52" i="65"/>
  <c r="L52" i="65"/>
  <c r="P52" i="65" s="1"/>
  <c r="W51" i="65"/>
  <c r="V51" i="65"/>
  <c r="U51" i="65"/>
  <c r="T51" i="65"/>
  <c r="L51" i="65"/>
  <c r="P51" i="65" s="1"/>
  <c r="W50" i="65"/>
  <c r="V50" i="65"/>
  <c r="U50" i="65"/>
  <c r="T50" i="65"/>
  <c r="L50" i="65"/>
  <c r="P50" i="65" s="1"/>
  <c r="W49" i="65"/>
  <c r="V49" i="65"/>
  <c r="U49" i="65"/>
  <c r="T49" i="65"/>
  <c r="L49" i="65"/>
  <c r="P49" i="65" s="1"/>
  <c r="W48" i="65"/>
  <c r="V48" i="65"/>
  <c r="U48" i="65"/>
  <c r="T48" i="65"/>
  <c r="L48" i="65"/>
  <c r="P48" i="65" s="1"/>
  <c r="W47" i="65"/>
  <c r="V47" i="65"/>
  <c r="U47" i="65"/>
  <c r="T47" i="65"/>
  <c r="L47" i="65"/>
  <c r="P47" i="65" s="1"/>
  <c r="W46" i="65"/>
  <c r="V46" i="65"/>
  <c r="U46" i="65"/>
  <c r="T46" i="65"/>
  <c r="L46" i="65"/>
  <c r="P46" i="65" s="1"/>
  <c r="W45" i="65"/>
  <c r="V45" i="65"/>
  <c r="U45" i="65"/>
  <c r="T45" i="65"/>
  <c r="L45" i="65"/>
  <c r="P45" i="65" s="1"/>
  <c r="W44" i="65"/>
  <c r="V44" i="65"/>
  <c r="U44" i="65"/>
  <c r="T44" i="65"/>
  <c r="X44" i="65" s="1"/>
  <c r="Z44" i="65" s="1"/>
  <c r="L44" i="65"/>
  <c r="P44" i="65" s="1"/>
  <c r="W43" i="65"/>
  <c r="V43" i="65"/>
  <c r="U43" i="65"/>
  <c r="T43" i="65"/>
  <c r="P43" i="65"/>
  <c r="W42" i="65"/>
  <c r="V42" i="65"/>
  <c r="U42" i="65"/>
  <c r="T42" i="65"/>
  <c r="L42" i="65"/>
  <c r="P42" i="65" s="1"/>
  <c r="W41" i="65"/>
  <c r="V41" i="65"/>
  <c r="U41" i="65"/>
  <c r="T41" i="65"/>
  <c r="L41" i="65"/>
  <c r="P41" i="65" s="1"/>
  <c r="W40" i="65"/>
  <c r="V40" i="65"/>
  <c r="U40" i="65"/>
  <c r="T40" i="65"/>
  <c r="L40" i="65"/>
  <c r="P40" i="65" s="1"/>
  <c r="W39" i="65"/>
  <c r="V39" i="65"/>
  <c r="U39" i="65"/>
  <c r="T39" i="65"/>
  <c r="L39" i="65"/>
  <c r="P39" i="65" s="1"/>
  <c r="W38" i="65"/>
  <c r="V38" i="65"/>
  <c r="U38" i="65"/>
  <c r="T38" i="65"/>
  <c r="L38" i="65"/>
  <c r="P38" i="65" s="1"/>
  <c r="W37" i="65"/>
  <c r="V37" i="65"/>
  <c r="U37" i="65"/>
  <c r="T37" i="65"/>
  <c r="L37" i="65"/>
  <c r="P37" i="65" s="1"/>
  <c r="W36" i="65"/>
  <c r="V36" i="65"/>
  <c r="U36" i="65"/>
  <c r="T36" i="65"/>
  <c r="L36" i="65"/>
  <c r="P36" i="65" s="1"/>
  <c r="W35" i="65"/>
  <c r="V35" i="65"/>
  <c r="U35" i="65"/>
  <c r="T35" i="65"/>
  <c r="L35" i="65"/>
  <c r="P35" i="65" s="1"/>
  <c r="W34" i="65"/>
  <c r="V34" i="65"/>
  <c r="U34" i="65"/>
  <c r="T34" i="65"/>
  <c r="L34" i="65"/>
  <c r="P34" i="65" s="1"/>
  <c r="W33" i="65"/>
  <c r="V33" i="65"/>
  <c r="U33" i="65"/>
  <c r="T33" i="65"/>
  <c r="L33" i="65"/>
  <c r="P33" i="65" s="1"/>
  <c r="W32" i="65"/>
  <c r="V32" i="65"/>
  <c r="U32" i="65"/>
  <c r="T32" i="65"/>
  <c r="L32" i="65"/>
  <c r="P32" i="65" s="1"/>
  <c r="W31" i="65"/>
  <c r="V31" i="65"/>
  <c r="U31" i="65"/>
  <c r="T31" i="65"/>
  <c r="L31" i="65"/>
  <c r="P31" i="65" s="1"/>
  <c r="H31" i="65"/>
  <c r="W30" i="65"/>
  <c r="V30" i="65"/>
  <c r="U30" i="65"/>
  <c r="T30" i="65"/>
  <c r="L30" i="65"/>
  <c r="P30" i="65" s="1"/>
  <c r="W29" i="65"/>
  <c r="V29" i="65"/>
  <c r="U29" i="65"/>
  <c r="T29" i="65"/>
  <c r="L29" i="65"/>
  <c r="P29" i="65" s="1"/>
  <c r="W28" i="65"/>
  <c r="V28" i="65"/>
  <c r="U28" i="65"/>
  <c r="T28" i="65"/>
  <c r="L28" i="65"/>
  <c r="P28" i="65" s="1"/>
  <c r="W27" i="65"/>
  <c r="V27" i="65"/>
  <c r="U27" i="65"/>
  <c r="T27" i="65"/>
  <c r="L27" i="65"/>
  <c r="P27" i="65" s="1"/>
  <c r="V23" i="65"/>
  <c r="T23" i="65"/>
  <c r="L23" i="65"/>
  <c r="P23" i="65" s="1"/>
  <c r="V22" i="65"/>
  <c r="T22" i="65"/>
  <c r="X22" i="65" s="1"/>
  <c r="L22" i="65"/>
  <c r="P22" i="65" s="1"/>
  <c r="V21" i="65"/>
  <c r="T21" i="65"/>
  <c r="L21" i="65"/>
  <c r="P21" i="65" s="1"/>
  <c r="V20" i="65"/>
  <c r="T20" i="65"/>
  <c r="L20" i="65"/>
  <c r="P20" i="65" s="1"/>
  <c r="V19" i="65"/>
  <c r="T19" i="65"/>
  <c r="L19" i="65"/>
  <c r="P19" i="65" s="1"/>
  <c r="V18" i="65"/>
  <c r="T18" i="65"/>
  <c r="L18" i="65"/>
  <c r="P18" i="65" s="1"/>
  <c r="V17" i="65"/>
  <c r="T17" i="65"/>
  <c r="L17" i="65"/>
  <c r="P17" i="65" s="1"/>
  <c r="V16" i="65"/>
  <c r="T16" i="65"/>
  <c r="P16" i="65"/>
  <c r="X61" i="65" l="1"/>
  <c r="X16" i="65"/>
  <c r="X27" i="65"/>
  <c r="X58" i="65"/>
  <c r="X30" i="65"/>
  <c r="X37" i="65"/>
  <c r="X45" i="65"/>
  <c r="Z45" i="65" s="1"/>
  <c r="X19" i="65"/>
  <c r="X28" i="65"/>
  <c r="X31" i="65"/>
  <c r="X39" i="65"/>
  <c r="X51" i="65"/>
  <c r="X36" i="65"/>
  <c r="X38" i="65"/>
  <c r="X52" i="65"/>
  <c r="X55" i="65"/>
  <c r="X68" i="65"/>
  <c r="X20" i="65"/>
  <c r="X43" i="65"/>
  <c r="Z43" i="65" s="1"/>
  <c r="X35" i="65"/>
  <c r="X50" i="65"/>
  <c r="X57" i="65"/>
  <c r="X32" i="65"/>
  <c r="X70" i="65"/>
  <c r="X59" i="65"/>
  <c r="X23" i="65"/>
  <c r="X42" i="65"/>
  <c r="X48" i="65"/>
  <c r="Z48" i="65" s="1"/>
  <c r="X34" i="65"/>
  <c r="X47" i="65"/>
  <c r="Z47" i="65" s="1"/>
  <c r="X54" i="65"/>
  <c r="X18" i="65"/>
  <c r="X41" i="65"/>
  <c r="X29" i="65"/>
  <c r="X40" i="65"/>
  <c r="X60" i="65"/>
  <c r="X66" i="65"/>
  <c r="X49" i="65"/>
  <c r="X33" i="65"/>
  <c r="X46" i="65"/>
  <c r="X53" i="65"/>
  <c r="X71" i="65"/>
  <c r="X21" i="65"/>
  <c r="X17" i="65"/>
  <c r="W76" i="65" l="1"/>
  <c r="V76" i="65"/>
  <c r="U76" i="65"/>
  <c r="T76" i="65"/>
  <c r="X76" i="65" s="1"/>
  <c r="W75" i="65"/>
  <c r="V75" i="65"/>
  <c r="U75" i="65"/>
  <c r="U78" i="65" s="1"/>
  <c r="T75" i="65"/>
  <c r="Z55" i="65"/>
  <c r="Z29" i="65"/>
  <c r="Z50" i="65"/>
  <c r="Z53" i="65"/>
  <c r="Z56" i="65"/>
  <c r="Z60" i="65"/>
  <c r="Z61" i="65"/>
  <c r="Z62" i="65"/>
  <c r="I63" i="65"/>
  <c r="J63" i="65"/>
  <c r="M63" i="65"/>
  <c r="N63" i="65"/>
  <c r="O63" i="65"/>
  <c r="C63" i="65"/>
  <c r="M24" i="65"/>
  <c r="N24" i="65"/>
  <c r="O24" i="65"/>
  <c r="I24" i="65"/>
  <c r="J24" i="65"/>
  <c r="L144" i="65"/>
  <c r="L143" i="65"/>
  <c r="L140" i="65"/>
  <c r="L139" i="65"/>
  <c r="L138" i="65"/>
  <c r="L137" i="65"/>
  <c r="L100" i="65"/>
  <c r="L99" i="65"/>
  <c r="L98" i="65"/>
  <c r="L97" i="65"/>
  <c r="L94" i="65"/>
  <c r="L93" i="65"/>
  <c r="L92" i="65"/>
  <c r="L90" i="65"/>
  <c r="O78" i="65"/>
  <c r="N78" i="65"/>
  <c r="M78" i="65"/>
  <c r="J78" i="65"/>
  <c r="I78" i="65"/>
  <c r="C78" i="65"/>
  <c r="W77" i="65"/>
  <c r="V77" i="65"/>
  <c r="P76" i="65"/>
  <c r="P75" i="65"/>
  <c r="O72" i="65"/>
  <c r="N72" i="65"/>
  <c r="M72" i="65"/>
  <c r="J72" i="65"/>
  <c r="I72" i="65"/>
  <c r="C72" i="65"/>
  <c r="A28" i="65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6" i="65" s="1"/>
  <c r="A67" i="65" s="1"/>
  <c r="A68" i="65" s="1"/>
  <c r="A69" i="65" s="1"/>
  <c r="A70" i="65" s="1"/>
  <c r="A71" i="65" s="1"/>
  <c r="A75" i="65" s="1"/>
  <c r="A76" i="65" s="1"/>
  <c r="H63" i="65"/>
  <c r="W24" i="65"/>
  <c r="C24" i="65"/>
  <c r="C80" i="65" s="1"/>
  <c r="U24" i="65"/>
  <c r="A16" i="65"/>
  <c r="A17" i="65" s="1"/>
  <c r="A18" i="65" s="1"/>
  <c r="A19" i="65" s="1"/>
  <c r="A20" i="65" s="1"/>
  <c r="A21" i="65" s="1"/>
  <c r="A22" i="65" s="1"/>
  <c r="A23" i="65" s="1"/>
  <c r="D10" i="65"/>
  <c r="F10" i="65" s="1"/>
  <c r="H10" i="65" s="1"/>
  <c r="I10" i="65" s="1"/>
  <c r="J10" i="65" s="1"/>
  <c r="L10" i="65" s="1"/>
  <c r="M10" i="65" s="1"/>
  <c r="N10" i="65" s="1"/>
  <c r="O10" i="65" s="1"/>
  <c r="P10" i="65" s="1"/>
  <c r="R10" i="65" s="1"/>
  <c r="T10" i="65" s="1"/>
  <c r="U10" i="65" s="1"/>
  <c r="V10" i="65" s="1"/>
  <c r="W10" i="65" s="1"/>
  <c r="X10" i="65" s="1"/>
  <c r="Z10" i="65" s="1"/>
  <c r="J80" i="65" l="1"/>
  <c r="Z58" i="65"/>
  <c r="P63" i="65"/>
  <c r="W63" i="65"/>
  <c r="V63" i="65"/>
  <c r="I80" i="65"/>
  <c r="Z36" i="65"/>
  <c r="Z71" i="65"/>
  <c r="N80" i="65"/>
  <c r="L63" i="65"/>
  <c r="Z59" i="65"/>
  <c r="Z52" i="65"/>
  <c r="Z34" i="65"/>
  <c r="Z54" i="65"/>
  <c r="M80" i="65"/>
  <c r="Z57" i="65"/>
  <c r="Z39" i="65"/>
  <c r="U63" i="65"/>
  <c r="X75" i="65"/>
  <c r="O80" i="65"/>
  <c r="W78" i="65"/>
  <c r="T63" i="65"/>
  <c r="Z22" i="65"/>
  <c r="P24" i="65"/>
  <c r="Z17" i="65"/>
  <c r="Z19" i="65"/>
  <c r="Z21" i="65"/>
  <c r="W72" i="65"/>
  <c r="L145" i="65"/>
  <c r="Z20" i="65"/>
  <c r="L24" i="65"/>
  <c r="Z23" i="65"/>
  <c r="Z28" i="65"/>
  <c r="Z18" i="65"/>
  <c r="Z46" i="65"/>
  <c r="T78" i="65"/>
  <c r="V24" i="65"/>
  <c r="Z30" i="65"/>
  <c r="Z35" i="65"/>
  <c r="Z37" i="65"/>
  <c r="H72" i="65"/>
  <c r="U72" i="65"/>
  <c r="L91" i="65"/>
  <c r="K95" i="65" s="1"/>
  <c r="Z27" i="65"/>
  <c r="H78" i="65"/>
  <c r="X77" i="65"/>
  <c r="Z77" i="65" s="1"/>
  <c r="L78" i="65"/>
  <c r="T24" i="65"/>
  <c r="T72" i="65"/>
  <c r="Z51" i="65"/>
  <c r="K101" i="65"/>
  <c r="Z49" i="65"/>
  <c r="L72" i="65"/>
  <c r="K133" i="65"/>
  <c r="M116" i="65" s="1"/>
  <c r="M100" i="65" s="1"/>
  <c r="Z31" i="65"/>
  <c r="Z33" i="65"/>
  <c r="H24" i="65"/>
  <c r="Z42" i="65"/>
  <c r="P72" i="65"/>
  <c r="Z76" i="65"/>
  <c r="Z32" i="65"/>
  <c r="V72" i="65"/>
  <c r="Z70" i="65"/>
  <c r="P78" i="65"/>
  <c r="Z38" i="65"/>
  <c r="Z40" i="65"/>
  <c r="V78" i="65"/>
  <c r="Z16" i="65"/>
  <c r="L136" i="65"/>
  <c r="M126" i="65" l="1"/>
  <c r="M133" i="65"/>
  <c r="H80" i="65"/>
  <c r="U80" i="65"/>
  <c r="K103" i="65"/>
  <c r="W80" i="65"/>
  <c r="P80" i="65"/>
  <c r="L80" i="65"/>
  <c r="T80" i="65"/>
  <c r="X63" i="65"/>
  <c r="Z63" i="65" s="1"/>
  <c r="X78" i="65"/>
  <c r="Z78" i="65" s="1"/>
  <c r="V80" i="65"/>
  <c r="X24" i="65"/>
  <c r="Z75" i="65"/>
  <c r="M128" i="65"/>
  <c r="M122" i="65"/>
  <c r="M132" i="65"/>
  <c r="M131" i="65"/>
  <c r="M119" i="65"/>
  <c r="M129" i="65"/>
  <c r="M93" i="65" s="1"/>
  <c r="M118" i="65"/>
  <c r="M125" i="65"/>
  <c r="M117" i="65"/>
  <c r="M124" i="65"/>
  <c r="M115" i="65"/>
  <c r="M99" i="65" s="1"/>
  <c r="M123" i="65"/>
  <c r="M120" i="65"/>
  <c r="M114" i="65"/>
  <c r="M98" i="65" s="1"/>
  <c r="M112" i="65"/>
  <c r="M127" i="65"/>
  <c r="M121" i="65"/>
  <c r="M113" i="65"/>
  <c r="M130" i="65"/>
  <c r="L141" i="65"/>
  <c r="Z41" i="65"/>
  <c r="X72" i="65"/>
  <c r="Z72" i="65" s="1"/>
  <c r="M94" i="65" l="1"/>
  <c r="M92" i="65"/>
  <c r="Z24" i="65"/>
  <c r="X80" i="65"/>
  <c r="Z80" i="65" s="1"/>
  <c r="Z82" i="65" s="1"/>
  <c r="M91" i="65"/>
  <c r="M97" i="65"/>
  <c r="M101" i="65" s="1"/>
  <c r="M90" i="65"/>
  <c r="L147" i="65"/>
  <c r="M141" i="65" s="1"/>
  <c r="M95" i="65" l="1"/>
  <c r="M103" i="65" s="1"/>
  <c r="P99" i="65"/>
  <c r="P91" i="65"/>
  <c r="P100" i="65"/>
  <c r="P94" i="65"/>
  <c r="P93" i="65"/>
  <c r="P98" i="65"/>
  <c r="P92" i="65"/>
  <c r="P90" i="65"/>
  <c r="P97" i="65"/>
  <c r="M147" i="65"/>
  <c r="M138" i="65"/>
  <c r="M137" i="65"/>
  <c r="M139" i="65"/>
  <c r="M140" i="65"/>
  <c r="M143" i="65"/>
  <c r="M144" i="65"/>
  <c r="M145" i="65"/>
  <c r="M136" i="65"/>
  <c r="P101" i="65" l="1"/>
  <c r="P95" i="65"/>
  <c r="P103" i="65" l="1"/>
</calcChain>
</file>

<file path=xl/sharedStrings.xml><?xml version="1.0" encoding="utf-8"?>
<sst xmlns="http://schemas.openxmlformats.org/spreadsheetml/2006/main" count="211" uniqueCount="146">
  <si>
    <t>Line</t>
  </si>
  <si>
    <t>TOTAL</t>
  </si>
  <si>
    <t>Adjustment</t>
  </si>
  <si>
    <t>#</t>
  </si>
  <si>
    <t>Subtotal</t>
  </si>
  <si>
    <t>BIG SANDY RECC</t>
  </si>
  <si>
    <t>Other</t>
  </si>
  <si>
    <t>Total</t>
  </si>
  <si>
    <t>Customer Service</t>
  </si>
  <si>
    <t>Rate</t>
  </si>
  <si>
    <t>Consumer Accounts</t>
  </si>
  <si>
    <t>Wages &amp; Salaries</t>
  </si>
  <si>
    <t>Reference Schedule:  1.10</t>
  </si>
  <si>
    <t>Acct</t>
  </si>
  <si>
    <t>Labor Amt</t>
  </si>
  <si>
    <t>Share</t>
  </si>
  <si>
    <t>Construction Work In Progress</t>
  </si>
  <si>
    <t>Retirement Work In Prograss</t>
  </si>
  <si>
    <t>Stores</t>
  </si>
  <si>
    <t>Transportation</t>
  </si>
  <si>
    <t>Misc. Current / Accrued Liabilities</t>
  </si>
  <si>
    <t>Operation Supervision &amp; Engineering</t>
  </si>
  <si>
    <t>Overhead Lines</t>
  </si>
  <si>
    <t>Meters</t>
  </si>
  <si>
    <t>Customer Installations</t>
  </si>
  <si>
    <t>Miscellaneous Distribution</t>
  </si>
  <si>
    <t>Maintenance Supervision &amp; Engineering</t>
  </si>
  <si>
    <t>Maintenance Overhead Lines</t>
  </si>
  <si>
    <t>Maintenance Transformers</t>
  </si>
  <si>
    <t>Maintenance Meters</t>
  </si>
  <si>
    <t>Miscellaneous Maintenance</t>
  </si>
  <si>
    <t>Meter Reading</t>
  </si>
  <si>
    <t>Consumer Records &amp; Collection</t>
  </si>
  <si>
    <t>908.00</t>
  </si>
  <si>
    <t>Consumer Assistance</t>
  </si>
  <si>
    <t>Administrative &amp; General</t>
  </si>
  <si>
    <t>Employee Pensions &amp; Benefits</t>
  </si>
  <si>
    <t>Labor Expense Summary</t>
  </si>
  <si>
    <t>101-120</t>
  </si>
  <si>
    <t>Utility Plant</t>
  </si>
  <si>
    <t>131-174</t>
  </si>
  <si>
    <t>Current &amp; Accrued Assets</t>
  </si>
  <si>
    <t>181-190</t>
  </si>
  <si>
    <t>Deferred Debits</t>
  </si>
  <si>
    <t>231-283</t>
  </si>
  <si>
    <t>Current &amp; Accrued Liabilities</t>
  </si>
  <si>
    <t>580-589</t>
  </si>
  <si>
    <t>Operations</t>
  </si>
  <si>
    <t>590-598</t>
  </si>
  <si>
    <t>Maintenance</t>
  </si>
  <si>
    <t>901-905</t>
  </si>
  <si>
    <t>907-910</t>
  </si>
  <si>
    <t>920-935</t>
  </si>
  <si>
    <t>Labor Expense Detail by Account</t>
  </si>
  <si>
    <t>Salary Employees</t>
  </si>
  <si>
    <t>Part Time  &amp; Summer Employees</t>
  </si>
  <si>
    <t>Retired Employees</t>
  </si>
  <si>
    <t>Actual Test Year Wages</t>
  </si>
  <si>
    <t>Wage</t>
  </si>
  <si>
    <t>Normalized Wages</t>
  </si>
  <si>
    <t>Hours Worked</t>
  </si>
  <si>
    <t>@ 2,080 Hours</t>
  </si>
  <si>
    <t>Reg Hrs</t>
  </si>
  <si>
    <t>OT Hrs</t>
  </si>
  <si>
    <t>Vacation Payout</t>
  </si>
  <si>
    <t>Regular</t>
  </si>
  <si>
    <t>Overtime</t>
  </si>
  <si>
    <t>Performance Compensation</t>
  </si>
  <si>
    <t>Current</t>
  </si>
  <si>
    <t>Employee ID</t>
  </si>
  <si>
    <t>Count</t>
  </si>
  <si>
    <t>Pro Forma Wages at 2,080 Hours</t>
  </si>
  <si>
    <t>Note</t>
  </si>
  <si>
    <t>A</t>
  </si>
  <si>
    <t>B</t>
  </si>
  <si>
    <t>No longer employed</t>
  </si>
  <si>
    <t>Employee</t>
  </si>
  <si>
    <t>ID</t>
  </si>
  <si>
    <t>Pro Forma Adjustment</t>
  </si>
  <si>
    <t>Hourly Employees</t>
  </si>
  <si>
    <t>This adjustment normalizes wages and salaries to account for changes due to wage increases, promotions, retirements, terminations, or new hires for standard year of 2,080 hours.</t>
  </si>
  <si>
    <t>Vac P.Out</t>
  </si>
  <si>
    <t>No.</t>
  </si>
  <si>
    <t>Alloc</t>
  </si>
  <si>
    <t>NOTES:</t>
  </si>
  <si>
    <t>Labor $</t>
  </si>
  <si>
    <t>CWIP &amp; RWIP</t>
  </si>
  <si>
    <t>Actual ID</t>
  </si>
  <si>
    <t>&lt; Hide &gt;</t>
  </si>
  <si>
    <t>S01</t>
  </si>
  <si>
    <t>S02</t>
  </si>
  <si>
    <t>S03</t>
  </si>
  <si>
    <t>S05</t>
  </si>
  <si>
    <t>S06</t>
  </si>
  <si>
    <t>S07</t>
  </si>
  <si>
    <t>S08</t>
  </si>
  <si>
    <t>S09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</si>
  <si>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</si>
  <si>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</si>
  <si>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</si>
  <si>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</si>
  <si>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</si>
  <si>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</si>
  <si>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</si>
  <si>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</si>
  <si>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</si>
  <si>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</si>
  <si>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</si>
  <si>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</si>
  <si>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</si>
  <si>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</si>
  <si>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</si>
  <si>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</si>
  <si>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</si>
  <si>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</si>
  <si>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</si>
  <si>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</si>
  <si>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</si>
  <si>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</si>
  <si>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</si>
  <si>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</si>
  <si>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</si>
  <si>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</si>
  <si>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</si>
  <si>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</si>
  <si>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</si>
  <si>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P01</t>
  </si>
  <si>
    <t>P03</t>
  </si>
  <si>
    <t>R01</t>
  </si>
  <si>
    <t>R02</t>
  </si>
  <si>
    <t xml:space="preserve">  </t>
  </si>
  <si>
    <t xml:space="preserve"> </t>
  </si>
  <si>
    <t>H32</t>
  </si>
  <si>
    <t>H33</t>
  </si>
  <si>
    <t>H34</t>
  </si>
  <si>
    <t>H35</t>
  </si>
  <si>
    <t>H36</t>
  </si>
  <si>
    <t>H37</t>
  </si>
  <si>
    <t>P04</t>
  </si>
  <si>
    <t>P05</t>
  </si>
  <si>
    <t>P06</t>
  </si>
  <si>
    <t>P07</t>
  </si>
  <si>
    <t>Current Wage Rate</t>
  </si>
  <si>
    <t>Hired post test year</t>
  </si>
  <si>
    <t>For the 12 Months Ended December 31, 2023</t>
  </si>
  <si>
    <t>H39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</si>
</sst>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m/d/yy;@"/>
    <numFmt numFmtId="168" formatCode="\(#\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12"/>
      <name val="P-TIMES"/>
    </font>
    <font>
      <u/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10"/>
      <name val="MS Sans Serif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/>
  </cellStyleXfs>
  <cellXfs count="1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6" fontId="2" fillId="0" borderId="0" xfId="5" applyNumberFormat="1" applyFont="1"/>
    <xf numFmtId="0" fontId="2" fillId="0" borderId="3" xfId="0" applyFont="1" applyBorder="1"/>
    <xf numFmtId="166" fontId="2" fillId="0" borderId="3" xfId="5" applyNumberFormat="1" applyFont="1" applyBorder="1"/>
    <xf numFmtId="166" fontId="2" fillId="0" borderId="3" xfId="5" applyNumberFormat="1" applyFont="1" applyBorder="1" applyProtection="1"/>
    <xf numFmtId="14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43" fontId="8" fillId="0" borderId="0" xfId="2" applyFont="1"/>
    <xf numFmtId="41" fontId="8" fillId="0" borderId="0" xfId="2" applyNumberFormat="1" applyFont="1"/>
    <xf numFmtId="164" fontId="2" fillId="0" borderId="0" xfId="1" applyNumberFormat="1" applyFont="1" applyBorder="1" applyProtection="1"/>
    <xf numFmtId="166" fontId="2" fillId="0" borderId="0" xfId="5" applyNumberFormat="1" applyFont="1" applyBorder="1" applyProtection="1"/>
    <xf numFmtId="37" fontId="2" fillId="0" borderId="2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0" xfId="0" applyFont="1" applyAlignment="1">
      <alignment horizont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43" fontId="8" fillId="2" borderId="0" xfId="2" applyFont="1" applyFill="1"/>
    <xf numFmtId="0" fontId="2" fillId="2" borderId="0" xfId="0" applyFont="1" applyFill="1" applyAlignment="1">
      <alignment horizontal="center" wrapText="1"/>
    </xf>
    <xf numFmtId="0" fontId="8" fillId="0" borderId="3" xfId="0" applyFont="1" applyBorder="1" applyAlignment="1">
      <alignment horizontal="center"/>
    </xf>
    <xf numFmtId="43" fontId="8" fillId="0" borderId="3" xfId="2" applyFont="1" applyBorder="1"/>
    <xf numFmtId="41" fontId="8" fillId="0" borderId="3" xfId="2" applyNumberFormat="1" applyFont="1" applyBorder="1"/>
    <xf numFmtId="0" fontId="8" fillId="0" borderId="0" xfId="3" applyFont="1" applyAlignment="1">
      <alignment horizontal="right"/>
    </xf>
    <xf numFmtId="0" fontId="2" fillId="0" borderId="0" xfId="3" applyFont="1"/>
    <xf numFmtId="0" fontId="2" fillId="0" borderId="1" xfId="0" applyFont="1" applyBorder="1" applyAlignment="1">
      <alignment horizontal="center"/>
    </xf>
    <xf numFmtId="168" fontId="2" fillId="0" borderId="1" xfId="0" quotePrefix="1" applyNumberFormat="1" applyFont="1" applyBorder="1" applyAlignment="1">
      <alignment horizontal="center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1" fontId="2" fillId="0" borderId="0" xfId="2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2" applyFont="1"/>
    <xf numFmtId="43" fontId="2" fillId="2" borderId="0" xfId="2" applyFont="1" applyFill="1"/>
    <xf numFmtId="41" fontId="2" fillId="0" borderId="0" xfId="2" applyNumberFormat="1" applyFont="1"/>
    <xf numFmtId="41" fontId="2" fillId="0" borderId="0" xfId="2" applyNumberFormat="1" applyFont="1" applyFill="1"/>
    <xf numFmtId="164" fontId="2" fillId="0" borderId="0" xfId="1" applyNumberFormat="1" applyFont="1"/>
    <xf numFmtId="2" fontId="2" fillId="0" borderId="0" xfId="0" quotePrefix="1" applyNumberFormat="1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3" fontId="8" fillId="0" borderId="0" xfId="2" applyFont="1" applyAlignment="1">
      <alignment vertical="center"/>
    </xf>
    <xf numFmtId="43" fontId="2" fillId="2" borderId="0" xfId="2" applyFont="1" applyFill="1" applyAlignment="1">
      <alignment vertical="center"/>
    </xf>
    <xf numFmtId="41" fontId="8" fillId="0" borderId="0" xfId="2" applyNumberFormat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2" fillId="0" borderId="0" xfId="1" applyNumberFormat="1" applyFont="1" applyBorder="1" applyAlignment="1" applyProtection="1">
      <alignment horizontal="center"/>
    </xf>
    <xf numFmtId="164" fontId="2" fillId="0" borderId="0" xfId="0" applyNumberFormat="1" applyFont="1"/>
    <xf numFmtId="164" fontId="2" fillId="0" borderId="3" xfId="0" applyNumberFormat="1" applyFont="1" applyBorder="1"/>
    <xf numFmtId="166" fontId="2" fillId="0" borderId="2" xfId="5" applyNumberFormat="1" applyFont="1" applyBorder="1" applyProtection="1"/>
    <xf numFmtId="164" fontId="2" fillId="0" borderId="2" xfId="1" applyNumberFormat="1" applyFont="1" applyBorder="1" applyAlignment="1" applyProtection="1"/>
    <xf numFmtId="0" fontId="2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164" fontId="2" fillId="0" borderId="24" xfId="0" applyNumberFormat="1" applyFont="1" applyBorder="1"/>
    <xf numFmtId="164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center"/>
    </xf>
    <xf numFmtId="165" fontId="8" fillId="0" borderId="3" xfId="2" applyNumberFormat="1" applyFont="1" applyBorder="1"/>
    <xf numFmtId="43" fontId="2" fillId="0" borderId="0" xfId="0" applyNumberFormat="1" applyFont="1"/>
    <xf numFmtId="43" fontId="8" fillId="0" borderId="0" xfId="2" applyFont="1" applyBorder="1"/>
    <xf numFmtId="41" fontId="8" fillId="0" borderId="0" xfId="2" applyNumberFormat="1" applyFont="1" applyBorder="1"/>
    <xf numFmtId="164" fontId="2" fillId="0" borderId="0" xfId="1" applyNumberFormat="1" applyFont="1" applyProtection="1"/>
    <xf numFmtId="10" fontId="2" fillId="0" borderId="0" xfId="5" applyNumberFormat="1" applyFont="1"/>
    <xf numFmtId="10" fontId="2" fillId="0" borderId="3" xfId="5" applyNumberFormat="1" applyFont="1" applyBorder="1"/>
    <xf numFmtId="43" fontId="2" fillId="0" borderId="0" xfId="2" applyFont="1" applyFill="1"/>
    <xf numFmtId="44" fontId="4" fillId="0" borderId="0" xfId="1" applyFont="1" applyFill="1"/>
    <xf numFmtId="37" fontId="2" fillId="0" borderId="0" xfId="0" applyNumberFormat="1" applyFont="1"/>
    <xf numFmtId="0" fontId="2" fillId="0" borderId="0" xfId="3" applyFont="1" applyAlignment="1">
      <alignment horizontal="center"/>
    </xf>
    <xf numFmtId="164" fontId="2" fillId="0" borderId="0" xfId="1" applyNumberFormat="1" applyFont="1" applyFill="1"/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8" fillId="0" borderId="3" xfId="0" applyFont="1" applyBorder="1"/>
    <xf numFmtId="38" fontId="8" fillId="0" borderId="3" xfId="2" applyNumberFormat="1" applyFont="1" applyFill="1" applyBorder="1"/>
    <xf numFmtId="164" fontId="2" fillId="0" borderId="3" xfId="1" applyNumberFormat="1" applyFont="1" applyFill="1" applyBorder="1"/>
    <xf numFmtId="2" fontId="2" fillId="0" borderId="0" xfId="0" applyNumberFormat="1" applyFont="1"/>
    <xf numFmtId="0" fontId="8" fillId="0" borderId="0" xfId="0" applyFont="1"/>
    <xf numFmtId="44" fontId="2" fillId="0" borderId="0" xfId="1" applyFont="1" applyFill="1"/>
    <xf numFmtId="44" fontId="4" fillId="0" borderId="0" xfId="1" applyFont="1" applyFill="1" applyBorder="1"/>
    <xf numFmtId="43" fontId="8" fillId="0" borderId="3" xfId="2" applyFont="1" applyFill="1" applyBorder="1"/>
    <xf numFmtId="165" fontId="8" fillId="0" borderId="3" xfId="2" applyNumberFormat="1" applyFont="1" applyFill="1" applyBorder="1"/>
    <xf numFmtId="38" fontId="8" fillId="0" borderId="0" xfId="2" applyNumberFormat="1" applyFont="1" applyFill="1" applyBorder="1"/>
    <xf numFmtId="164" fontId="2" fillId="0" borderId="0" xfId="1" applyNumberFormat="1" applyFont="1" applyFill="1" applyBorder="1"/>
    <xf numFmtId="38" fontId="2" fillId="0" borderId="3" xfId="2" applyNumberFormat="1" applyFont="1" applyFill="1" applyBorder="1"/>
    <xf numFmtId="0" fontId="8" fillId="0" borderId="0" xfId="0" applyFont="1" applyAlignment="1">
      <alignment vertical="center"/>
    </xf>
    <xf numFmtId="38" fontId="8" fillId="0" borderId="0" xfId="2" applyNumberFormat="1" applyFont="1" applyFill="1" applyAlignment="1">
      <alignment vertical="center"/>
    </xf>
    <xf numFmtId="0" fontId="2" fillId="0" borderId="0" xfId="3" applyFont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8" fillId="0" borderId="2" xfId="0" applyNumberFormat="1" applyFont="1" applyBorder="1" applyAlignment="1">
      <alignment vertical="center"/>
    </xf>
    <xf numFmtId="43" fontId="8" fillId="0" borderId="0" xfId="2" applyFont="1" applyFill="1" applyBorder="1"/>
    <xf numFmtId="0" fontId="8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3" xfId="1" applyNumberFormat="1" applyFont="1" applyBorder="1" applyAlignment="1" applyProtection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quotePrefix="1" applyFont="1" applyBorder="1" applyAlignment="1">
      <alignment horizontal="left" wrapText="1"/>
    </xf>
    <xf numFmtId="0" fontId="2" fillId="0" borderId="16" xfId="0" quotePrefix="1" applyFont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164" fontId="2" fillId="0" borderId="2" xfId="1" applyNumberFormat="1" applyFont="1" applyBorder="1" applyAlignment="1" applyProtection="1">
      <alignment horizontal="center"/>
    </xf>
  </cellXfs>
  <cellStyles count="9">
    <cellStyle name="Comma" xfId="2" builtinId="3"/>
    <cellStyle name="Comma 2" xfId="6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3" xr:uid="{00000000-0005-0000-0000-000005000000}"/>
    <cellStyle name="Normal 3" xfId="4" xr:uid="{00000000-0005-0000-0000-000006000000}"/>
    <cellStyle name="Normal 4" xfId="8" xr:uid="{00000000-0005-0000-0000-000007000000}"/>
    <cellStyle name="Percent" xfId="5" builtinId="5"/>
  </cellStyles>
  <dxfs count="0"/>
  <tableStyles count="0" defaultTableStyle="TableStyleMedium2" defaultPivotStyle="PivotStyleLight16"/>
  <colors>
    <mruColors>
      <color rgb="FF66FF33"/>
      <color rgb="FF70F098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BDEB-1138-4E7C-9687-1A33B0EE1BD5}">
  <sheetPr>
    <pageSetUpPr fitToPage="1"/>
  </sheetPr>
  <dimension ref="A1:AO148"/>
  <sheetViews>
    <sheetView tabSelected="1" topLeftCell="A42" zoomScaleNormal="100" zoomScaleSheetLayoutView="100" workbookViewId="0">
      <selection activeCell="V70" sqref="V70"/>
    </sheetView>
  </sheetViews>
  <sheetFormatPr defaultColWidth="9.140625" defaultRowHeight="12.75"/>
  <cols>
    <col min="1" max="1" width="5.85546875" style="1" customWidth="1"/>
    <col min="2" max="2" width="1.28515625" style="2" customWidth="1"/>
    <col min="3" max="3" width="6.42578125" style="1" customWidth="1"/>
    <col min="4" max="4" width="29.28515625" style="1" bestFit="1" customWidth="1"/>
    <col min="5" max="5" width="29.28515625" style="1" hidden="1" customWidth="1"/>
    <col min="6" max="6" width="4.5703125" style="1" customWidth="1"/>
    <col min="7" max="7" width="1.42578125" style="1" customWidth="1"/>
    <col min="8" max="8" width="16" style="2" customWidth="1"/>
    <col min="9" max="9" width="12.7109375" style="2" customWidth="1"/>
    <col min="10" max="10" width="10" style="2" customWidth="1"/>
    <col min="11" max="11" width="1.28515625" style="2" customWidth="1"/>
    <col min="12" max="12" width="13.28515625" style="2" customWidth="1"/>
    <col min="13" max="13" width="10.7109375" style="2" customWidth="1"/>
    <col min="14" max="14" width="9.7109375" style="2" customWidth="1"/>
    <col min="15" max="15" width="10.85546875" style="2" customWidth="1"/>
    <col min="16" max="16" width="14.5703125" style="2" customWidth="1"/>
    <col min="17" max="17" width="1.140625" style="2" customWidth="1"/>
    <col min="18" max="18" width="9.28515625" style="2" bestFit="1" customWidth="1"/>
    <col min="19" max="19" width="0.85546875" style="2" customWidth="1"/>
    <col min="20" max="20" width="12.85546875" style="2" customWidth="1"/>
    <col min="21" max="21" width="10.7109375" style="2" customWidth="1"/>
    <col min="22" max="22" width="9.42578125" style="2" customWidth="1"/>
    <col min="23" max="23" width="10" style="2" customWidth="1"/>
    <col min="24" max="24" width="13.7109375" style="2" customWidth="1"/>
    <col min="25" max="25" width="1" style="2" customWidth="1"/>
    <col min="26" max="26" width="15.42578125" style="2" customWidth="1"/>
    <col min="27" max="27" width="9.140625" style="2"/>
    <col min="28" max="28" width="12.85546875" style="55" bestFit="1" customWidth="1"/>
    <col min="29" max="16384" width="9.140625" style="2"/>
  </cols>
  <sheetData>
    <row r="1" spans="1:41">
      <c r="Z1" s="43" t="s">
        <v>12</v>
      </c>
    </row>
    <row r="2" spans="1:41" ht="9.75" customHeight="1">
      <c r="L2" s="43"/>
    </row>
    <row r="3" spans="1:41">
      <c r="A3" s="112" t="s">
        <v>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spans="1:41">
      <c r="A4" s="112" t="s">
        <v>144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6" spans="1:41" s="44" customFormat="1" ht="15" customHeight="1">
      <c r="A6" s="113" t="s">
        <v>11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B6" s="55"/>
    </row>
    <row r="7" spans="1:41" ht="7.5" customHeight="1">
      <c r="Y7" s="44"/>
    </row>
    <row r="8" spans="1:41" ht="27" customHeight="1">
      <c r="C8" s="114" t="s">
        <v>76</v>
      </c>
      <c r="D8" s="114"/>
      <c r="E8" s="114"/>
      <c r="F8" s="114"/>
      <c r="H8" s="114" t="s">
        <v>60</v>
      </c>
      <c r="I8" s="114"/>
      <c r="J8" s="114"/>
      <c r="L8" s="114" t="s">
        <v>57</v>
      </c>
      <c r="M8" s="114"/>
      <c r="N8" s="114"/>
      <c r="O8" s="114"/>
      <c r="P8" s="114"/>
      <c r="Q8" s="1"/>
      <c r="R8" s="115" t="s">
        <v>142</v>
      </c>
      <c r="T8" s="114" t="s">
        <v>71</v>
      </c>
      <c r="U8" s="114"/>
      <c r="V8" s="114"/>
      <c r="W8" s="114"/>
      <c r="X8" s="114"/>
      <c r="Y8" s="44"/>
      <c r="Z8" s="115" t="s">
        <v>78</v>
      </c>
    </row>
    <row r="9" spans="1:41" ht="16.5" customHeight="1">
      <c r="A9" s="1" t="s">
        <v>0</v>
      </c>
      <c r="C9" s="1" t="s">
        <v>70</v>
      </c>
      <c r="D9" s="1" t="s">
        <v>77</v>
      </c>
      <c r="E9" s="1" t="s">
        <v>87</v>
      </c>
      <c r="F9" s="1" t="s">
        <v>72</v>
      </c>
      <c r="H9" s="24" t="s">
        <v>65</v>
      </c>
      <c r="I9" s="24" t="s">
        <v>66</v>
      </c>
      <c r="J9" s="24" t="s">
        <v>81</v>
      </c>
      <c r="K9" s="1"/>
      <c r="L9" s="24" t="s">
        <v>65</v>
      </c>
      <c r="M9" s="24" t="s">
        <v>66</v>
      </c>
      <c r="N9" s="24" t="s">
        <v>81</v>
      </c>
      <c r="O9" s="24" t="s">
        <v>6</v>
      </c>
      <c r="P9" s="24" t="s">
        <v>7</v>
      </c>
      <c r="Q9" s="39"/>
      <c r="R9" s="115"/>
      <c r="S9" s="24"/>
      <c r="T9" s="24" t="s">
        <v>65</v>
      </c>
      <c r="U9" s="24" t="s">
        <v>66</v>
      </c>
      <c r="V9" s="24" t="s">
        <v>81</v>
      </c>
      <c r="W9" s="24" t="s">
        <v>6</v>
      </c>
      <c r="X9" s="24" t="s">
        <v>7</v>
      </c>
      <c r="Y9" s="88"/>
      <c r="Z9" s="115"/>
    </row>
    <row r="10" spans="1:41">
      <c r="A10" s="45" t="s">
        <v>3</v>
      </c>
      <c r="C10" s="46">
        <v>1</v>
      </c>
      <c r="D10" s="46">
        <f>C10+1</f>
        <v>2</v>
      </c>
      <c r="E10" s="46" t="s">
        <v>88</v>
      </c>
      <c r="F10" s="46">
        <f>D10+1</f>
        <v>3</v>
      </c>
      <c r="H10" s="46">
        <f>F10+1</f>
        <v>4</v>
      </c>
      <c r="I10" s="46">
        <f>H10+1</f>
        <v>5</v>
      </c>
      <c r="J10" s="46">
        <f>I10+1</f>
        <v>6</v>
      </c>
      <c r="K10" s="36"/>
      <c r="L10" s="46">
        <f>J10+1</f>
        <v>7</v>
      </c>
      <c r="M10" s="46">
        <f>L10+1</f>
        <v>8</v>
      </c>
      <c r="N10" s="46">
        <f>M10+1</f>
        <v>9</v>
      </c>
      <c r="O10" s="46">
        <f>N10+1</f>
        <v>10</v>
      </c>
      <c r="P10" s="46">
        <f>O10+1</f>
        <v>11</v>
      </c>
      <c r="Q10" s="39"/>
      <c r="R10" s="46">
        <f>P10+1</f>
        <v>12</v>
      </c>
      <c r="S10" s="24"/>
      <c r="T10" s="46">
        <f>R10+1</f>
        <v>13</v>
      </c>
      <c r="U10" s="46">
        <f>T10+1</f>
        <v>14</v>
      </c>
      <c r="V10" s="46">
        <f>U10+1</f>
        <v>15</v>
      </c>
      <c r="W10" s="46">
        <f>V10+1</f>
        <v>16</v>
      </c>
      <c r="X10" s="46">
        <f>W10+1</f>
        <v>17</v>
      </c>
      <c r="Y10" s="88"/>
      <c r="Z10" s="46">
        <f>X10+1</f>
        <v>18</v>
      </c>
    </row>
    <row r="11" spans="1:41">
      <c r="K11" s="36"/>
      <c r="Q11" s="39"/>
      <c r="S11" s="24"/>
      <c r="Y11" s="88"/>
    </row>
    <row r="12" spans="1:41" ht="20.100000000000001" hidden="1" customHeight="1" thickTop="1" thickBot="1">
      <c r="I12" s="22"/>
      <c r="J12" s="22"/>
      <c r="K12" s="35"/>
      <c r="L12" s="23" t="s">
        <v>57</v>
      </c>
      <c r="M12" s="47"/>
      <c r="N12" s="47"/>
      <c r="O12" s="47"/>
      <c r="P12" s="48"/>
      <c r="Q12" s="39"/>
      <c r="R12" s="24" t="s">
        <v>58</v>
      </c>
      <c r="S12" s="24"/>
      <c r="T12" s="117" t="s">
        <v>59</v>
      </c>
      <c r="U12" s="118"/>
      <c r="V12" s="118"/>
      <c r="W12" s="118"/>
      <c r="X12" s="119"/>
      <c r="Y12" s="88"/>
      <c r="AA12" s="24"/>
      <c r="AB12" s="76"/>
      <c r="AC12" s="24"/>
      <c r="AD12" s="24"/>
      <c r="AM12" s="10"/>
      <c r="AO12" s="10"/>
    </row>
    <row r="13" spans="1:41" ht="20.100000000000001" hidden="1" customHeight="1" thickTop="1" thickBot="1">
      <c r="D13" s="14"/>
      <c r="E13" s="14"/>
      <c r="F13" s="14"/>
      <c r="G13" s="14"/>
      <c r="H13" s="120" t="s">
        <v>60</v>
      </c>
      <c r="I13" s="121"/>
      <c r="J13" s="122"/>
      <c r="K13" s="36"/>
      <c r="L13" s="25"/>
      <c r="P13" s="26"/>
      <c r="Q13" s="39"/>
      <c r="R13" s="24" t="s">
        <v>9</v>
      </c>
      <c r="S13" s="24"/>
      <c r="T13" s="123" t="s">
        <v>61</v>
      </c>
      <c r="U13" s="124"/>
      <c r="V13" s="90"/>
      <c r="W13" s="90"/>
      <c r="X13" s="91"/>
      <c r="Y13" s="88"/>
      <c r="AA13" s="24"/>
      <c r="AB13" s="76"/>
      <c r="AC13" s="24"/>
      <c r="AD13" s="24"/>
      <c r="AE13" s="1"/>
      <c r="AF13" s="1"/>
      <c r="AG13" s="1"/>
      <c r="AH13" s="1"/>
      <c r="AI13" s="1"/>
      <c r="AM13" s="10"/>
      <c r="AO13" s="10"/>
    </row>
    <row r="14" spans="1:41" s="1" customFormat="1" ht="51.75" hidden="1" thickBot="1">
      <c r="C14" s="1" t="s">
        <v>70</v>
      </c>
      <c r="D14" s="1" t="s">
        <v>69</v>
      </c>
      <c r="E14" s="1" t="s">
        <v>69</v>
      </c>
      <c r="H14" s="27" t="s">
        <v>62</v>
      </c>
      <c r="I14" s="28" t="s">
        <v>63</v>
      </c>
      <c r="J14" s="29" t="s">
        <v>64</v>
      </c>
      <c r="K14" s="37"/>
      <c r="L14" s="27" t="s">
        <v>65</v>
      </c>
      <c r="M14" s="30" t="s">
        <v>66</v>
      </c>
      <c r="N14" s="29" t="s">
        <v>64</v>
      </c>
      <c r="O14" s="21" t="s">
        <v>67</v>
      </c>
      <c r="P14" s="31" t="s">
        <v>7</v>
      </c>
      <c r="Q14" s="39"/>
      <c r="R14" s="32" t="s">
        <v>68</v>
      </c>
      <c r="S14" s="24"/>
      <c r="T14" s="92" t="s">
        <v>65</v>
      </c>
      <c r="U14" s="92" t="s">
        <v>66</v>
      </c>
      <c r="V14" s="29" t="s">
        <v>64</v>
      </c>
      <c r="W14" s="21" t="s">
        <v>67</v>
      </c>
      <c r="X14" s="93" t="s">
        <v>7</v>
      </c>
      <c r="Y14" s="88"/>
      <c r="AA14" s="32"/>
      <c r="AB14" s="77"/>
      <c r="AD14" s="32"/>
      <c r="AE14" s="33"/>
      <c r="AF14" s="33"/>
      <c r="AG14" s="14"/>
      <c r="AH14" s="14"/>
      <c r="AI14" s="14"/>
      <c r="AL14" s="49"/>
      <c r="AN14" s="50"/>
    </row>
    <row r="15" spans="1:41">
      <c r="C15" s="5" t="s">
        <v>54</v>
      </c>
      <c r="F15" s="34"/>
      <c r="G15" s="34"/>
      <c r="H15" s="51"/>
      <c r="I15" s="51"/>
      <c r="J15" s="51"/>
      <c r="K15" s="52"/>
      <c r="L15" s="53"/>
      <c r="M15" s="53"/>
      <c r="N15" s="53"/>
      <c r="O15" s="53"/>
      <c r="P15" s="53"/>
      <c r="Q15" s="39"/>
      <c r="S15" s="24"/>
      <c r="Y15" s="88"/>
    </row>
    <row r="16" spans="1:41">
      <c r="A16" s="1">
        <f>A15+1</f>
        <v>1</v>
      </c>
      <c r="C16" s="1">
        <v>1</v>
      </c>
      <c r="D16" s="1" t="s">
        <v>89</v>
      </c>
      <c r="E16" s="6">
        <v>149</v>
      </c>
      <c r="H16" s="85">
        <v>2080</v>
      </c>
      <c r="I16" s="85">
        <v>0</v>
      </c>
      <c r="J16" s="85"/>
      <c r="K16" s="85"/>
      <c r="L16" s="54">
        <v>124010</v>
      </c>
      <c r="M16" s="54">
        <v>0</v>
      </c>
      <c r="N16" s="54">
        <v>0</v>
      </c>
      <c r="O16" s="54">
        <v>1200</v>
      </c>
      <c r="P16" s="54">
        <f>SUM(L16:O16)</f>
        <v>125210</v>
      </c>
      <c r="Q16" s="24"/>
      <c r="R16" s="86">
        <v>59.62</v>
      </c>
      <c r="S16" s="24"/>
      <c r="T16" s="87">
        <f t="shared" ref="T16:T22" si="0">2080*R16</f>
        <v>124009.59999999999</v>
      </c>
      <c r="U16" s="87"/>
      <c r="V16" s="87" t="str">
        <f>IF(N16=0," ",+J16*R16)</f>
        <v xml:space="preserve"> </v>
      </c>
      <c r="W16" s="87"/>
      <c r="X16" s="87">
        <f t="shared" ref="X16:X22" si="1">SUM(T16:W16)</f>
        <v>124009.59999999999</v>
      </c>
      <c r="Y16" s="88"/>
      <c r="Z16" s="89">
        <f>X16-P16</f>
        <v>-1200.4000000000087</v>
      </c>
      <c r="AA16" s="79"/>
      <c r="AB16" s="89"/>
      <c r="AC16" s="67"/>
    </row>
    <row r="17" spans="1:29" ht="15.75" customHeight="1">
      <c r="A17" s="1">
        <f t="shared" ref="A17:A76" si="2">A16+1</f>
        <v>2</v>
      </c>
      <c r="C17" s="1">
        <v>1</v>
      </c>
      <c r="D17" s="1" t="s">
        <v>90</v>
      </c>
      <c r="E17" s="6">
        <v>16</v>
      </c>
      <c r="H17" s="51">
        <v>2080</v>
      </c>
      <c r="I17" s="51">
        <v>37.5</v>
      </c>
      <c r="J17" s="51"/>
      <c r="K17" s="52"/>
      <c r="L17" s="53">
        <f>106880.29-M17-N17-O17</f>
        <v>102897.59999999999</v>
      </c>
      <c r="M17" s="53">
        <v>2782.69</v>
      </c>
      <c r="N17" s="53"/>
      <c r="O17" s="54">
        <v>1200</v>
      </c>
      <c r="P17" s="53">
        <f t="shared" ref="P17:P23" si="3">SUM(L17:O17)</f>
        <v>106880.29</v>
      </c>
      <c r="Q17" s="39"/>
      <c r="R17" s="86">
        <v>49.47</v>
      </c>
      <c r="S17" s="24"/>
      <c r="T17" s="87">
        <f t="shared" si="0"/>
        <v>102897.59999999999</v>
      </c>
      <c r="U17" s="87"/>
      <c r="V17" s="87" t="str">
        <f t="shared" ref="V17:V22" si="4">IF(N17=0," ",+J17*R17)</f>
        <v xml:space="preserve"> </v>
      </c>
      <c r="W17" s="87"/>
      <c r="X17" s="87">
        <f t="shared" si="1"/>
        <v>102897.59999999999</v>
      </c>
      <c r="Y17" s="88"/>
      <c r="Z17" s="89">
        <f t="shared" ref="Z17:Z23" si="5">X17-P17</f>
        <v>-3982.6900000000023</v>
      </c>
      <c r="AA17" s="79"/>
      <c r="AC17" s="67"/>
    </row>
    <row r="18" spans="1:29" ht="15.75" customHeight="1">
      <c r="A18" s="1">
        <f t="shared" si="2"/>
        <v>3</v>
      </c>
      <c r="C18" s="1">
        <v>1</v>
      </c>
      <c r="D18" s="1" t="s">
        <v>91</v>
      </c>
      <c r="E18" s="6">
        <v>24</v>
      </c>
      <c r="H18" s="51">
        <v>2117.5</v>
      </c>
      <c r="I18" s="51"/>
      <c r="J18" s="51"/>
      <c r="K18" s="52"/>
      <c r="L18" s="53">
        <f>97016.89-M18-N18-O18</f>
        <v>95816.89</v>
      </c>
      <c r="M18" s="53"/>
      <c r="N18" s="53">
        <v>0</v>
      </c>
      <c r="O18" s="54">
        <v>1200</v>
      </c>
      <c r="P18" s="53">
        <f t="shared" si="3"/>
        <v>97016.89</v>
      </c>
      <c r="Q18" s="39"/>
      <c r="R18" s="86">
        <v>45.25</v>
      </c>
      <c r="S18" s="24"/>
      <c r="T18" s="87">
        <f t="shared" si="0"/>
        <v>94120</v>
      </c>
      <c r="U18" s="87"/>
      <c r="V18" s="87" t="str">
        <f t="shared" si="4"/>
        <v xml:space="preserve"> </v>
      </c>
      <c r="W18" s="87"/>
      <c r="X18" s="87">
        <f t="shared" si="1"/>
        <v>94120</v>
      </c>
      <c r="Y18" s="88"/>
      <c r="Z18" s="89">
        <f t="shared" si="5"/>
        <v>-2896.8899999999994</v>
      </c>
      <c r="AA18" s="79"/>
      <c r="AC18" s="67"/>
    </row>
    <row r="19" spans="1:29">
      <c r="A19" s="1">
        <f>A18+1</f>
        <v>4</v>
      </c>
      <c r="C19" s="1">
        <v>1</v>
      </c>
      <c r="D19" s="1" t="s">
        <v>92</v>
      </c>
      <c r="E19" s="6">
        <v>136</v>
      </c>
      <c r="H19" s="51">
        <v>2070</v>
      </c>
      <c r="I19" s="51">
        <v>10</v>
      </c>
      <c r="J19" s="51"/>
      <c r="K19" s="52"/>
      <c r="L19" s="53">
        <f>90312.9-M19-N19-O19</f>
        <v>88471.799999999988</v>
      </c>
      <c r="M19" s="53">
        <v>641.1</v>
      </c>
      <c r="N19" s="53"/>
      <c r="O19" s="54">
        <v>1200</v>
      </c>
      <c r="P19" s="53">
        <f t="shared" si="3"/>
        <v>90312.9</v>
      </c>
      <c r="Q19" s="39"/>
      <c r="R19" s="86">
        <v>42.74</v>
      </c>
      <c r="S19" s="24"/>
      <c r="T19" s="87">
        <f t="shared" si="0"/>
        <v>88899.199999999997</v>
      </c>
      <c r="U19" s="87"/>
      <c r="V19" s="87" t="str">
        <f t="shared" si="4"/>
        <v xml:space="preserve"> </v>
      </c>
      <c r="W19" s="87"/>
      <c r="X19" s="87">
        <f t="shared" si="1"/>
        <v>88899.199999999997</v>
      </c>
      <c r="Y19" s="88"/>
      <c r="Z19" s="89">
        <f t="shared" si="5"/>
        <v>-1413.6999999999971</v>
      </c>
      <c r="AA19" s="79"/>
      <c r="AC19" s="67"/>
    </row>
    <row r="20" spans="1:29">
      <c r="A20" s="1">
        <f t="shared" si="2"/>
        <v>5</v>
      </c>
      <c r="C20" s="1">
        <v>1</v>
      </c>
      <c r="D20" s="1" t="s">
        <v>93</v>
      </c>
      <c r="E20" s="6">
        <v>139</v>
      </c>
      <c r="H20" s="51">
        <v>2080</v>
      </c>
      <c r="I20" s="51">
        <v>140.5</v>
      </c>
      <c r="J20" s="51"/>
      <c r="K20" s="52"/>
      <c r="L20" s="53">
        <f>80620.38-M20-N20-O20</f>
        <v>72113.66</v>
      </c>
      <c r="M20" s="53">
        <v>7306.72</v>
      </c>
      <c r="N20" s="53"/>
      <c r="O20" s="54">
        <v>1200</v>
      </c>
      <c r="P20" s="53">
        <f t="shared" si="3"/>
        <v>80620.38</v>
      </c>
      <c r="Q20" s="39"/>
      <c r="R20" s="86">
        <v>34.67</v>
      </c>
      <c r="S20" s="24"/>
      <c r="T20" s="87">
        <f t="shared" si="0"/>
        <v>72113.600000000006</v>
      </c>
      <c r="U20" s="87"/>
      <c r="V20" s="87" t="str">
        <f t="shared" si="4"/>
        <v xml:space="preserve"> </v>
      </c>
      <c r="W20" s="87"/>
      <c r="X20" s="87">
        <f t="shared" si="1"/>
        <v>72113.600000000006</v>
      </c>
      <c r="Y20" s="88"/>
      <c r="Z20" s="89">
        <f t="shared" si="5"/>
        <v>-8506.7799999999988</v>
      </c>
      <c r="AA20" s="79"/>
      <c r="AC20" s="67"/>
    </row>
    <row r="21" spans="1:29">
      <c r="A21" s="1">
        <f t="shared" si="2"/>
        <v>6</v>
      </c>
      <c r="C21" s="1">
        <v>1</v>
      </c>
      <c r="D21" s="1" t="s">
        <v>96</v>
      </c>
      <c r="E21" s="6">
        <v>159</v>
      </c>
      <c r="H21" s="51">
        <v>2080</v>
      </c>
      <c r="I21" s="51">
        <v>29</v>
      </c>
      <c r="J21" s="51"/>
      <c r="K21" s="52"/>
      <c r="L21" s="53">
        <f>82147.82-M21-N21-O21</f>
        <v>79289.600000000006</v>
      </c>
      <c r="M21" s="53">
        <v>1658.22</v>
      </c>
      <c r="N21" s="53"/>
      <c r="O21" s="54">
        <v>1200</v>
      </c>
      <c r="P21" s="53">
        <f t="shared" si="3"/>
        <v>82147.820000000007</v>
      </c>
      <c r="Q21" s="39"/>
      <c r="R21" s="86">
        <v>38.119999999999997</v>
      </c>
      <c r="S21" s="24"/>
      <c r="T21" s="87">
        <f t="shared" si="0"/>
        <v>79289.599999999991</v>
      </c>
      <c r="U21" s="87"/>
      <c r="V21" s="87" t="str">
        <f t="shared" si="4"/>
        <v xml:space="preserve"> </v>
      </c>
      <c r="W21" s="87"/>
      <c r="X21" s="87">
        <f t="shared" si="1"/>
        <v>79289.599999999991</v>
      </c>
      <c r="Y21" s="88"/>
      <c r="Z21" s="89">
        <f t="shared" si="5"/>
        <v>-2858.2200000000157</v>
      </c>
      <c r="AA21" s="79"/>
      <c r="AC21" s="67"/>
    </row>
    <row r="22" spans="1:29">
      <c r="A22" s="1">
        <f t="shared" si="2"/>
        <v>7</v>
      </c>
      <c r="C22" s="1">
        <v>1</v>
      </c>
      <c r="D22" s="1" t="s">
        <v>94</v>
      </c>
      <c r="E22" s="6">
        <v>163</v>
      </c>
      <c r="H22" s="51">
        <v>2080</v>
      </c>
      <c r="I22" s="51"/>
      <c r="J22" s="51">
        <v>0</v>
      </c>
      <c r="K22" s="52"/>
      <c r="L22" s="53">
        <f>68779.23-M22-N22-O22</f>
        <v>67579.23</v>
      </c>
      <c r="M22" s="53"/>
      <c r="N22" s="53">
        <v>0</v>
      </c>
      <c r="O22" s="54">
        <v>1200</v>
      </c>
      <c r="P22" s="53">
        <f t="shared" si="3"/>
        <v>68779.23</v>
      </c>
      <c r="Q22" s="39"/>
      <c r="R22" s="86">
        <v>32.49</v>
      </c>
      <c r="S22" s="24"/>
      <c r="T22" s="87">
        <f t="shared" si="0"/>
        <v>67579.199999999997</v>
      </c>
      <c r="U22" s="87"/>
      <c r="V22" s="87" t="str">
        <f t="shared" si="4"/>
        <v xml:space="preserve"> </v>
      </c>
      <c r="W22" s="87"/>
      <c r="X22" s="87">
        <f t="shared" si="1"/>
        <v>67579.199999999997</v>
      </c>
      <c r="Y22" s="88"/>
      <c r="Z22" s="89">
        <f t="shared" si="5"/>
        <v>-1200.0299999999988</v>
      </c>
      <c r="AA22" s="79"/>
      <c r="AC22" s="67"/>
    </row>
    <row r="23" spans="1:29">
      <c r="A23" s="1">
        <f t="shared" si="2"/>
        <v>8</v>
      </c>
      <c r="C23" s="1">
        <v>1</v>
      </c>
      <c r="D23" s="1" t="s">
        <v>95</v>
      </c>
      <c r="E23" s="6">
        <v>172</v>
      </c>
      <c r="H23" s="51">
        <v>2080</v>
      </c>
      <c r="I23" s="51">
        <v>49</v>
      </c>
      <c r="J23" s="51">
        <v>0</v>
      </c>
      <c r="K23" s="52">
        <v>58512.57</v>
      </c>
      <c r="L23" s="53">
        <f>63673.04-M23-N23-O23</f>
        <v>60340.800000000003</v>
      </c>
      <c r="M23" s="53">
        <v>2132.2399999999998</v>
      </c>
      <c r="N23" s="53">
        <v>0</v>
      </c>
      <c r="O23" s="54">
        <v>1200</v>
      </c>
      <c r="P23" s="53">
        <f t="shared" si="3"/>
        <v>63673.04</v>
      </c>
      <c r="Q23" s="39"/>
      <c r="R23" s="86">
        <v>29.01</v>
      </c>
      <c r="S23" s="24"/>
      <c r="T23" s="87">
        <f>2080*R23</f>
        <v>60340.800000000003</v>
      </c>
      <c r="U23" s="87"/>
      <c r="V23" s="87" t="str">
        <f>IF(N23=0," ",+J23*R23)</f>
        <v xml:space="preserve"> </v>
      </c>
      <c r="W23" s="87"/>
      <c r="X23" s="87">
        <f>SUM(T23:W23)</f>
        <v>60340.800000000003</v>
      </c>
      <c r="Y23" s="88"/>
      <c r="Z23" s="89">
        <f t="shared" si="5"/>
        <v>-3332.239999999998</v>
      </c>
      <c r="AA23" s="79"/>
      <c r="AC23" s="67"/>
    </row>
    <row r="24" spans="1:29">
      <c r="A24" s="1" t="s">
        <v>130</v>
      </c>
      <c r="C24" s="4">
        <f>SUM(C16:C23)</f>
        <v>8</v>
      </c>
      <c r="D24" s="40" t="s">
        <v>4</v>
      </c>
      <c r="E24" s="40"/>
      <c r="F24" s="40"/>
      <c r="H24" s="41">
        <f>SUM(H16:H23)</f>
        <v>16667.5</v>
      </c>
      <c r="I24" s="41">
        <f t="shared" ref="I24:J24" si="6">SUM(I16:I23)</f>
        <v>266</v>
      </c>
      <c r="J24" s="41">
        <f t="shared" si="6"/>
        <v>0</v>
      </c>
      <c r="K24" s="52"/>
      <c r="L24" s="78">
        <f>SUM(L16:L23)</f>
        <v>690519.58</v>
      </c>
      <c r="M24" s="42">
        <f t="shared" ref="M24:P24" si="7">SUM(M16:M23)</f>
        <v>14520.97</v>
      </c>
      <c r="N24" s="42">
        <f t="shared" si="7"/>
        <v>0</v>
      </c>
      <c r="O24" s="42">
        <f t="shared" si="7"/>
        <v>9600</v>
      </c>
      <c r="P24" s="42">
        <f t="shared" si="7"/>
        <v>714640.55</v>
      </c>
      <c r="Q24" s="39"/>
      <c r="R24" s="94"/>
      <c r="S24" s="24"/>
      <c r="T24" s="95">
        <f>SUM(T16:T23)</f>
        <v>689249.6</v>
      </c>
      <c r="U24" s="95">
        <f>SUM(U16:U23)</f>
        <v>0</v>
      </c>
      <c r="V24" s="95">
        <f>SUM(V16:V23)</f>
        <v>0</v>
      </c>
      <c r="W24" s="95">
        <f>SUM(W16:W23)</f>
        <v>0</v>
      </c>
      <c r="X24" s="95">
        <f>SUM(X16:X23)</f>
        <v>689249.6</v>
      </c>
      <c r="Y24" s="88"/>
      <c r="Z24" s="96">
        <f>X24-P24</f>
        <v>-25390.95000000007</v>
      </c>
      <c r="AA24" s="79"/>
      <c r="AC24" s="67"/>
    </row>
    <row r="25" spans="1:29">
      <c r="A25" s="1" t="s">
        <v>131</v>
      </c>
      <c r="H25" s="51"/>
      <c r="I25" s="51"/>
      <c r="J25" s="51"/>
      <c r="K25" s="52"/>
      <c r="L25" s="53"/>
      <c r="M25" s="53"/>
      <c r="N25" s="53"/>
      <c r="O25" s="53"/>
      <c r="P25" s="53"/>
      <c r="Q25" s="39"/>
      <c r="R25" s="97"/>
      <c r="S25" s="24"/>
      <c r="T25" s="97"/>
      <c r="U25" s="97"/>
      <c r="V25" s="97"/>
      <c r="W25" s="97"/>
      <c r="X25" s="97"/>
      <c r="Y25" s="88"/>
      <c r="AA25" s="79"/>
      <c r="AC25" s="67"/>
    </row>
    <row r="26" spans="1:29">
      <c r="A26" s="1" t="s">
        <v>131</v>
      </c>
      <c r="C26" s="5" t="s">
        <v>79</v>
      </c>
      <c r="F26" s="34"/>
      <c r="G26" s="34"/>
      <c r="H26" s="17"/>
      <c r="I26" s="17"/>
      <c r="J26" s="17"/>
      <c r="K26" s="38"/>
      <c r="L26" s="18"/>
      <c r="M26" s="18"/>
      <c r="N26" s="18"/>
      <c r="O26" s="18"/>
      <c r="P26" s="18"/>
      <c r="Q26" s="39"/>
      <c r="R26" s="98"/>
      <c r="S26" s="24"/>
      <c r="T26" s="98"/>
      <c r="U26" s="98"/>
      <c r="V26" s="98"/>
      <c r="W26" s="98"/>
      <c r="X26" s="98"/>
      <c r="Y26" s="88"/>
      <c r="AA26" s="79"/>
      <c r="AC26" s="67"/>
    </row>
    <row r="27" spans="1:29">
      <c r="A27" s="1">
        <v>9</v>
      </c>
      <c r="C27" s="1">
        <v>1</v>
      </c>
      <c r="D27" s="1" t="s">
        <v>97</v>
      </c>
      <c r="E27" s="6">
        <v>5</v>
      </c>
      <c r="H27" s="51">
        <v>1580</v>
      </c>
      <c r="I27" s="51">
        <v>98.5</v>
      </c>
      <c r="J27" s="51"/>
      <c r="K27" s="52"/>
      <c r="L27" s="53">
        <f>67493.89-M27-N27-O27</f>
        <v>60627.81</v>
      </c>
      <c r="M27" s="53">
        <v>5666.08</v>
      </c>
      <c r="N27" s="53">
        <v>0</v>
      </c>
      <c r="O27" s="53">
        <v>1200</v>
      </c>
      <c r="P27" s="53">
        <f>SUM(L27:O27)</f>
        <v>67493.89</v>
      </c>
      <c r="Q27" s="39"/>
      <c r="R27" s="86">
        <v>38.409999999999997</v>
      </c>
      <c r="S27" s="24"/>
      <c r="T27" s="87">
        <f t="shared" ref="T27:T61" si="8">2080*R27</f>
        <v>79892.799999999988</v>
      </c>
      <c r="U27" s="87">
        <f>(+I27*R27)*1.5</f>
        <v>5675.0774999999994</v>
      </c>
      <c r="V27" s="87" t="str">
        <f t="shared" ref="V27:V61" si="9">IF(N27=0," ",+J27*R27)</f>
        <v xml:space="preserve"> </v>
      </c>
      <c r="W27" s="87">
        <f t="shared" ref="W27:W61" si="10">IF(O27=0," ",+O27)</f>
        <v>1200</v>
      </c>
      <c r="X27" s="87">
        <f t="shared" ref="X27:X61" si="11">SUM(T27:W27)</f>
        <v>86767.877499999988</v>
      </c>
      <c r="Y27" s="88"/>
      <c r="Z27" s="89">
        <f>X27-P27</f>
        <v>19273.987499999988</v>
      </c>
      <c r="AA27" s="79"/>
      <c r="AC27" s="67"/>
    </row>
    <row r="28" spans="1:29">
      <c r="A28" s="1">
        <f t="shared" si="2"/>
        <v>10</v>
      </c>
      <c r="C28" s="1">
        <v>1</v>
      </c>
      <c r="D28" s="1" t="s">
        <v>98</v>
      </c>
      <c r="E28" s="6">
        <v>10</v>
      </c>
      <c r="H28" s="51">
        <v>2080</v>
      </c>
      <c r="I28" s="51">
        <v>1446</v>
      </c>
      <c r="J28" s="51"/>
      <c r="K28" s="52"/>
      <c r="L28" s="53">
        <f>163595.31-M28-N28-O28</f>
        <v>79500.009999999995</v>
      </c>
      <c r="M28" s="53">
        <v>82895.3</v>
      </c>
      <c r="N28" s="53"/>
      <c r="O28" s="53">
        <v>1200</v>
      </c>
      <c r="P28" s="53">
        <f t="shared" ref="P28:P61" si="12">SUM(L28:O28)</f>
        <v>163595.31</v>
      </c>
      <c r="Q28" s="39"/>
      <c r="R28" s="86">
        <v>38.25</v>
      </c>
      <c r="S28" s="24"/>
      <c r="T28" s="87">
        <f t="shared" si="8"/>
        <v>79560</v>
      </c>
      <c r="U28" s="87">
        <f t="shared" ref="U28:U61" si="13">(+I28*R28)*1.5</f>
        <v>82964.25</v>
      </c>
      <c r="V28" s="87" t="str">
        <f t="shared" si="9"/>
        <v xml:space="preserve"> </v>
      </c>
      <c r="W28" s="87">
        <f t="shared" si="10"/>
        <v>1200</v>
      </c>
      <c r="X28" s="87">
        <f t="shared" si="11"/>
        <v>163724.25</v>
      </c>
      <c r="Y28" s="88"/>
      <c r="Z28" s="89">
        <f>X28-P28</f>
        <v>128.94000000000233</v>
      </c>
      <c r="AA28" s="79"/>
      <c r="AC28" s="67"/>
    </row>
    <row r="29" spans="1:29">
      <c r="A29" s="1">
        <f t="shared" si="2"/>
        <v>11</v>
      </c>
      <c r="C29" s="1">
        <v>1</v>
      </c>
      <c r="D29" s="1" t="s">
        <v>99</v>
      </c>
      <c r="E29" s="6">
        <v>11</v>
      </c>
      <c r="H29" s="51">
        <v>2080</v>
      </c>
      <c r="I29" s="51">
        <v>840</v>
      </c>
      <c r="J29" s="51"/>
      <c r="K29" s="52"/>
      <c r="L29" s="53">
        <f>128864.27-M29-N29-O29</f>
        <v>79500</v>
      </c>
      <c r="M29" s="53">
        <v>48164.27</v>
      </c>
      <c r="N29" s="53"/>
      <c r="O29" s="53">
        <v>1200</v>
      </c>
      <c r="P29" s="53">
        <f t="shared" si="12"/>
        <v>128864.26999999999</v>
      </c>
      <c r="Q29" s="39"/>
      <c r="R29" s="86">
        <v>38.25</v>
      </c>
      <c r="S29" s="24"/>
      <c r="T29" s="87">
        <f t="shared" si="8"/>
        <v>79560</v>
      </c>
      <c r="U29" s="87">
        <f t="shared" si="13"/>
        <v>48195</v>
      </c>
      <c r="V29" s="87" t="str">
        <f t="shared" si="9"/>
        <v xml:space="preserve"> </v>
      </c>
      <c r="W29" s="87">
        <f t="shared" si="10"/>
        <v>1200</v>
      </c>
      <c r="X29" s="87">
        <f t="shared" si="11"/>
        <v>128955</v>
      </c>
      <c r="Y29" s="88"/>
      <c r="Z29" s="89">
        <f>X29-P29</f>
        <v>90.730000000010477</v>
      </c>
      <c r="AA29" s="79"/>
      <c r="AC29" s="67"/>
    </row>
    <row r="30" spans="1:29">
      <c r="A30" s="1">
        <f t="shared" si="2"/>
        <v>12</v>
      </c>
      <c r="C30" s="1">
        <v>1</v>
      </c>
      <c r="D30" s="1" t="s">
        <v>100</v>
      </c>
      <c r="E30" s="6">
        <v>25</v>
      </c>
      <c r="H30" s="85">
        <v>2081</v>
      </c>
      <c r="I30" s="51">
        <v>713</v>
      </c>
      <c r="J30" s="51"/>
      <c r="K30" s="52"/>
      <c r="L30" s="54">
        <f>128627.99-M30-N30-O30</f>
        <v>84178.880000000005</v>
      </c>
      <c r="M30" s="53">
        <v>43249.11</v>
      </c>
      <c r="N30" s="53"/>
      <c r="O30" s="53">
        <v>1200</v>
      </c>
      <c r="P30" s="53">
        <f>SUM(L30:O30)</f>
        <v>128627.99</v>
      </c>
      <c r="Q30" s="39"/>
      <c r="R30" s="86">
        <v>40.479999999999997</v>
      </c>
      <c r="S30" s="24"/>
      <c r="T30" s="87">
        <f t="shared" si="8"/>
        <v>84198.399999999994</v>
      </c>
      <c r="U30" s="87">
        <f t="shared" si="13"/>
        <v>43293.36</v>
      </c>
      <c r="V30" s="87" t="str">
        <f t="shared" si="9"/>
        <v xml:space="preserve"> </v>
      </c>
      <c r="W30" s="87">
        <f t="shared" si="10"/>
        <v>1200</v>
      </c>
      <c r="X30" s="87">
        <f t="shared" si="11"/>
        <v>128691.76</v>
      </c>
      <c r="Y30" s="88"/>
      <c r="Z30" s="89">
        <f t="shared" ref="Z30:Z62" si="14">X30-P30</f>
        <v>63.769999999989523</v>
      </c>
      <c r="AA30" s="79"/>
      <c r="AC30" s="67"/>
    </row>
    <row r="31" spans="1:29">
      <c r="A31" s="1">
        <f t="shared" si="2"/>
        <v>13</v>
      </c>
      <c r="C31" s="1">
        <v>1</v>
      </c>
      <c r="D31" s="1" t="s">
        <v>101</v>
      </c>
      <c r="E31" s="6">
        <v>38</v>
      </c>
      <c r="H31" s="85">
        <f>2380-I31-J31</f>
        <v>2065</v>
      </c>
      <c r="I31" s="51">
        <v>315</v>
      </c>
      <c r="J31" s="51"/>
      <c r="K31" s="52"/>
      <c r="L31" s="53">
        <f>101573.42-M31-N3-O31</f>
        <v>81788</v>
      </c>
      <c r="M31" s="53">
        <v>18585.419999999998</v>
      </c>
      <c r="N31" s="53"/>
      <c r="O31" s="53">
        <v>1200</v>
      </c>
      <c r="P31" s="53">
        <f t="shared" si="12"/>
        <v>101573.42</v>
      </c>
      <c r="Q31" s="39"/>
      <c r="R31" s="86">
        <v>39.35</v>
      </c>
      <c r="S31" s="24"/>
      <c r="T31" s="87">
        <f t="shared" si="8"/>
        <v>81848</v>
      </c>
      <c r="U31" s="87">
        <f t="shared" si="13"/>
        <v>18592.875</v>
      </c>
      <c r="V31" s="87" t="str">
        <f t="shared" si="9"/>
        <v xml:space="preserve"> </v>
      </c>
      <c r="W31" s="87">
        <f t="shared" si="10"/>
        <v>1200</v>
      </c>
      <c r="X31" s="87">
        <f t="shared" si="11"/>
        <v>101640.875</v>
      </c>
      <c r="Y31" s="88"/>
      <c r="Z31" s="89">
        <f t="shared" si="14"/>
        <v>67.455000000001746</v>
      </c>
      <c r="AA31" s="79"/>
      <c r="AC31" s="67"/>
    </row>
    <row r="32" spans="1:29">
      <c r="A32" s="1">
        <f t="shared" si="2"/>
        <v>14</v>
      </c>
      <c r="C32" s="1">
        <v>1</v>
      </c>
      <c r="D32" s="1" t="s">
        <v>102</v>
      </c>
      <c r="E32" s="6">
        <v>40</v>
      </c>
      <c r="H32" s="85">
        <v>2082</v>
      </c>
      <c r="I32" s="51">
        <v>57.5</v>
      </c>
      <c r="J32" s="51"/>
      <c r="K32" s="52"/>
      <c r="L32" s="55">
        <f>82340.98-M32-N32-O32</f>
        <v>77910.909999999989</v>
      </c>
      <c r="M32" s="53">
        <v>3230.07</v>
      </c>
      <c r="N32" s="53"/>
      <c r="O32" s="53">
        <v>1200</v>
      </c>
      <c r="P32" s="53">
        <f t="shared" si="12"/>
        <v>82340.98</v>
      </c>
      <c r="Q32" s="39"/>
      <c r="R32" s="86">
        <v>37.450000000000003</v>
      </c>
      <c r="S32" s="24"/>
      <c r="T32" s="87">
        <f t="shared" si="8"/>
        <v>77896</v>
      </c>
      <c r="U32" s="87">
        <f t="shared" si="13"/>
        <v>3230.0625</v>
      </c>
      <c r="V32" s="87" t="str">
        <f t="shared" si="9"/>
        <v xml:space="preserve"> </v>
      </c>
      <c r="W32" s="87">
        <f t="shared" si="10"/>
        <v>1200</v>
      </c>
      <c r="X32" s="87">
        <f t="shared" si="11"/>
        <v>82326.0625</v>
      </c>
      <c r="Y32" s="88"/>
      <c r="Z32" s="89">
        <f t="shared" si="14"/>
        <v>-14.917499999995925</v>
      </c>
      <c r="AA32" s="79"/>
      <c r="AC32" s="67"/>
    </row>
    <row r="33" spans="1:29">
      <c r="A33" s="1">
        <f t="shared" si="2"/>
        <v>15</v>
      </c>
      <c r="C33" s="1">
        <v>1</v>
      </c>
      <c r="D33" s="1" t="s">
        <v>103</v>
      </c>
      <c r="E33" s="6">
        <v>41</v>
      </c>
      <c r="H33" s="85">
        <v>2080</v>
      </c>
      <c r="I33" s="51">
        <v>134.5</v>
      </c>
      <c r="J33" s="51"/>
      <c r="K33" s="52"/>
      <c r="L33" s="53">
        <f>88782.03-M33-N33-O33</f>
        <v>79832.800000000003</v>
      </c>
      <c r="M33" s="53">
        <v>7749.23</v>
      </c>
      <c r="N33" s="53"/>
      <c r="O33" s="53">
        <v>1200</v>
      </c>
      <c r="P33" s="53">
        <f t="shared" si="12"/>
        <v>88782.03</v>
      </c>
      <c r="Q33" s="39"/>
      <c r="R33" s="86">
        <v>38.409999999999997</v>
      </c>
      <c r="S33" s="24"/>
      <c r="T33" s="87">
        <f t="shared" si="8"/>
        <v>79892.799999999988</v>
      </c>
      <c r="U33" s="87">
        <f t="shared" si="13"/>
        <v>7749.2174999999988</v>
      </c>
      <c r="V33" s="87" t="str">
        <f t="shared" si="9"/>
        <v xml:space="preserve"> </v>
      </c>
      <c r="W33" s="87">
        <f t="shared" si="10"/>
        <v>1200</v>
      </c>
      <c r="X33" s="87">
        <f t="shared" si="11"/>
        <v>88842.017499999987</v>
      </c>
      <c r="Y33" s="88"/>
      <c r="Z33" s="89">
        <f t="shared" si="14"/>
        <v>59.987499999988358</v>
      </c>
      <c r="AA33" s="79"/>
      <c r="AC33" s="67"/>
    </row>
    <row r="34" spans="1:29">
      <c r="A34" s="1">
        <f t="shared" si="2"/>
        <v>16</v>
      </c>
      <c r="C34" s="1">
        <v>1</v>
      </c>
      <c r="D34" s="1" t="s">
        <v>104</v>
      </c>
      <c r="E34" s="6">
        <v>43</v>
      </c>
      <c r="H34" s="85">
        <v>2082</v>
      </c>
      <c r="I34" s="51">
        <v>139.5</v>
      </c>
      <c r="J34" s="51"/>
      <c r="K34" s="52"/>
      <c r="L34" s="53">
        <f>93869.56-M34-N34-O34</f>
        <v>84199.12</v>
      </c>
      <c r="M34" s="53">
        <v>8470.44</v>
      </c>
      <c r="N34" s="53">
        <v>0</v>
      </c>
      <c r="O34" s="53">
        <v>1200</v>
      </c>
      <c r="P34" s="53">
        <f t="shared" si="12"/>
        <v>93869.56</v>
      </c>
      <c r="Q34" s="39"/>
      <c r="R34" s="86">
        <v>40.479999999999997</v>
      </c>
      <c r="S34" s="24"/>
      <c r="T34" s="87">
        <f t="shared" si="8"/>
        <v>84198.399999999994</v>
      </c>
      <c r="U34" s="87">
        <f t="shared" si="13"/>
        <v>8470.4399999999987</v>
      </c>
      <c r="V34" s="87" t="str">
        <f t="shared" si="9"/>
        <v xml:space="preserve"> </v>
      </c>
      <c r="W34" s="87">
        <f t="shared" si="10"/>
        <v>1200</v>
      </c>
      <c r="X34" s="87">
        <f t="shared" si="11"/>
        <v>93868.84</v>
      </c>
      <c r="Y34" s="88"/>
      <c r="Z34" s="89">
        <f t="shared" si="14"/>
        <v>-0.72000000000116415</v>
      </c>
      <c r="AA34" s="79"/>
      <c r="AC34" s="67"/>
    </row>
    <row r="35" spans="1:29">
      <c r="A35" s="1">
        <f t="shared" si="2"/>
        <v>17</v>
      </c>
      <c r="C35" s="1">
        <v>1</v>
      </c>
      <c r="D35" s="1" t="s">
        <v>105</v>
      </c>
      <c r="E35" s="6">
        <v>50</v>
      </c>
      <c r="H35" s="85">
        <v>2070</v>
      </c>
      <c r="I35" s="51">
        <v>122.5</v>
      </c>
      <c r="J35" s="51"/>
      <c r="K35" s="52"/>
      <c r="L35" s="53">
        <f>87281.1-M35-N35-O35</f>
        <v>79069.14</v>
      </c>
      <c r="M35" s="53">
        <v>7011.96</v>
      </c>
      <c r="N35" s="53"/>
      <c r="O35" s="53">
        <v>1200</v>
      </c>
      <c r="P35" s="53">
        <f t="shared" si="12"/>
        <v>87281.1</v>
      </c>
      <c r="Q35" s="39"/>
      <c r="R35" s="86">
        <v>38.25</v>
      </c>
      <c r="S35" s="24"/>
      <c r="T35" s="87">
        <f t="shared" si="8"/>
        <v>79560</v>
      </c>
      <c r="U35" s="87">
        <f t="shared" si="13"/>
        <v>7028.4375</v>
      </c>
      <c r="V35" s="87" t="str">
        <f t="shared" si="9"/>
        <v xml:space="preserve"> </v>
      </c>
      <c r="W35" s="87">
        <f t="shared" si="10"/>
        <v>1200</v>
      </c>
      <c r="X35" s="87">
        <f t="shared" si="11"/>
        <v>87788.4375</v>
      </c>
      <c r="Y35" s="88"/>
      <c r="Z35" s="89">
        <f t="shared" si="14"/>
        <v>507.33749999999418</v>
      </c>
      <c r="AA35" s="79"/>
      <c r="AC35" s="67"/>
    </row>
    <row r="36" spans="1:29">
      <c r="A36" s="1">
        <f t="shared" si="2"/>
        <v>18</v>
      </c>
      <c r="C36" s="1">
        <v>1</v>
      </c>
      <c r="D36" s="1" t="s">
        <v>106</v>
      </c>
      <c r="E36" s="6">
        <v>187</v>
      </c>
      <c r="H36" s="85">
        <v>1839</v>
      </c>
      <c r="I36" s="51">
        <v>192</v>
      </c>
      <c r="J36" s="51"/>
      <c r="K36" s="52"/>
      <c r="L36" s="53">
        <f>82479.77-M36-N36-O36</f>
        <v>70281.75</v>
      </c>
      <c r="M36" s="53">
        <v>10998.02</v>
      </c>
      <c r="N36" s="53"/>
      <c r="O36" s="53">
        <v>1200</v>
      </c>
      <c r="P36" s="53">
        <f t="shared" si="12"/>
        <v>82479.77</v>
      </c>
      <c r="Q36" s="39"/>
      <c r="R36" s="86">
        <v>38.25</v>
      </c>
      <c r="S36" s="24"/>
      <c r="T36" s="87">
        <f t="shared" si="8"/>
        <v>79560</v>
      </c>
      <c r="U36" s="87">
        <f t="shared" si="13"/>
        <v>11016</v>
      </c>
      <c r="V36" s="87" t="str">
        <f t="shared" si="9"/>
        <v xml:space="preserve"> </v>
      </c>
      <c r="W36" s="87">
        <f t="shared" si="10"/>
        <v>1200</v>
      </c>
      <c r="X36" s="87">
        <f t="shared" si="11"/>
        <v>91776</v>
      </c>
      <c r="Y36" s="88"/>
      <c r="Z36" s="89">
        <f t="shared" si="14"/>
        <v>9296.2299999999959</v>
      </c>
      <c r="AA36" s="79"/>
      <c r="AC36" s="67"/>
    </row>
    <row r="37" spans="1:29">
      <c r="A37" s="1">
        <f t="shared" si="2"/>
        <v>19</v>
      </c>
      <c r="C37" s="1">
        <v>1</v>
      </c>
      <c r="D37" s="1" t="s">
        <v>107</v>
      </c>
      <c r="E37" s="6">
        <v>194</v>
      </c>
      <c r="H37" s="85">
        <v>2079</v>
      </c>
      <c r="I37" s="51">
        <v>407.5</v>
      </c>
      <c r="J37" s="51"/>
      <c r="K37" s="52"/>
      <c r="L37" s="53">
        <f>104007.58-M37-N37-O37</f>
        <v>79461.75</v>
      </c>
      <c r="M37" s="53">
        <v>23345.83</v>
      </c>
      <c r="N37" s="53"/>
      <c r="O37" s="53">
        <v>1200</v>
      </c>
      <c r="P37" s="53">
        <f t="shared" si="12"/>
        <v>104007.58</v>
      </c>
      <c r="Q37" s="39"/>
      <c r="R37" s="86">
        <v>38.25</v>
      </c>
      <c r="S37" s="24"/>
      <c r="T37" s="87">
        <f t="shared" si="8"/>
        <v>79560</v>
      </c>
      <c r="U37" s="87">
        <f t="shared" si="13"/>
        <v>23380.3125</v>
      </c>
      <c r="V37" s="87" t="str">
        <f t="shared" si="9"/>
        <v xml:space="preserve"> </v>
      </c>
      <c r="W37" s="87">
        <f t="shared" si="10"/>
        <v>1200</v>
      </c>
      <c r="X37" s="87">
        <f t="shared" si="11"/>
        <v>104140.3125</v>
      </c>
      <c r="Y37" s="88"/>
      <c r="Z37" s="89">
        <f t="shared" si="14"/>
        <v>132.73249999999825</v>
      </c>
      <c r="AA37" s="79"/>
      <c r="AC37" s="67"/>
    </row>
    <row r="38" spans="1:29">
      <c r="A38" s="1">
        <f t="shared" si="2"/>
        <v>20</v>
      </c>
      <c r="C38" s="1">
        <v>1</v>
      </c>
      <c r="D38" s="1" t="s">
        <v>108</v>
      </c>
      <c r="E38" s="6">
        <v>197</v>
      </c>
      <c r="H38" s="85">
        <v>2071</v>
      </c>
      <c r="I38" s="51">
        <v>185</v>
      </c>
      <c r="J38" s="51"/>
      <c r="K38" s="52"/>
      <c r="L38" s="53">
        <f>90471.97-M38-N38-O38</f>
        <v>78742.720000000001</v>
      </c>
      <c r="M38" s="53">
        <v>10529.25</v>
      </c>
      <c r="N38" s="53"/>
      <c r="O38" s="53">
        <v>1200</v>
      </c>
      <c r="P38" s="53">
        <f t="shared" si="12"/>
        <v>90471.97</v>
      </c>
      <c r="Q38" s="39"/>
      <c r="R38" s="86">
        <v>38</v>
      </c>
      <c r="S38" s="24"/>
      <c r="T38" s="87">
        <f t="shared" si="8"/>
        <v>79040</v>
      </c>
      <c r="U38" s="87">
        <f t="shared" si="13"/>
        <v>10545</v>
      </c>
      <c r="V38" s="87" t="str">
        <f t="shared" si="9"/>
        <v xml:space="preserve"> </v>
      </c>
      <c r="W38" s="87">
        <f t="shared" si="10"/>
        <v>1200</v>
      </c>
      <c r="X38" s="87">
        <f t="shared" si="11"/>
        <v>90785</v>
      </c>
      <c r="Y38" s="88"/>
      <c r="Z38" s="89">
        <f t="shared" si="14"/>
        <v>313.02999999999884</v>
      </c>
      <c r="AA38" s="79"/>
      <c r="AC38" s="67"/>
    </row>
    <row r="39" spans="1:29">
      <c r="A39" s="1">
        <f t="shared" si="2"/>
        <v>21</v>
      </c>
      <c r="C39" s="1">
        <v>1</v>
      </c>
      <c r="D39" s="1" t="s">
        <v>109</v>
      </c>
      <c r="E39" s="6">
        <v>200</v>
      </c>
      <c r="H39" s="85">
        <v>716</v>
      </c>
      <c r="I39" s="51"/>
      <c r="J39" s="51"/>
      <c r="K39" s="52"/>
      <c r="L39" s="53">
        <f>27181-M39-N39-O39</f>
        <v>25981</v>
      </c>
      <c r="M39" s="53"/>
      <c r="N39" s="53"/>
      <c r="O39" s="53">
        <v>1200</v>
      </c>
      <c r="P39" s="53">
        <f t="shared" si="12"/>
        <v>27181</v>
      </c>
      <c r="Q39" s="39"/>
      <c r="R39" s="86">
        <v>38</v>
      </c>
      <c r="S39" s="24"/>
      <c r="T39" s="87">
        <f t="shared" si="8"/>
        <v>79040</v>
      </c>
      <c r="U39" s="87">
        <f t="shared" si="13"/>
        <v>0</v>
      </c>
      <c r="V39" s="87" t="str">
        <f t="shared" si="9"/>
        <v xml:space="preserve"> </v>
      </c>
      <c r="W39" s="87">
        <f t="shared" si="10"/>
        <v>1200</v>
      </c>
      <c r="X39" s="87">
        <f t="shared" si="11"/>
        <v>80240</v>
      </c>
      <c r="Y39" s="88"/>
      <c r="Z39" s="89">
        <f t="shared" si="14"/>
        <v>53059</v>
      </c>
      <c r="AA39" s="79"/>
      <c r="AC39" s="67"/>
    </row>
    <row r="40" spans="1:29">
      <c r="A40" s="1">
        <f t="shared" si="2"/>
        <v>22</v>
      </c>
      <c r="C40" s="1">
        <v>1</v>
      </c>
      <c r="D40" s="1" t="s">
        <v>110</v>
      </c>
      <c r="E40" s="6">
        <v>201</v>
      </c>
      <c r="H40" s="85">
        <v>2078</v>
      </c>
      <c r="I40" s="51">
        <v>270.5</v>
      </c>
      <c r="J40" s="51"/>
      <c r="K40" s="52"/>
      <c r="L40" s="53">
        <f>94536.17-M40-N40-O40</f>
        <v>78145.600000000006</v>
      </c>
      <c r="M40" s="53">
        <v>15190.57</v>
      </c>
      <c r="N40" s="53"/>
      <c r="O40" s="53">
        <v>1200</v>
      </c>
      <c r="P40" s="53">
        <f t="shared" si="12"/>
        <v>94536.170000000013</v>
      </c>
      <c r="Q40" s="39"/>
      <c r="R40" s="86">
        <v>36.479999999999997</v>
      </c>
      <c r="S40" s="24"/>
      <c r="T40" s="87">
        <f t="shared" si="8"/>
        <v>75878.399999999994</v>
      </c>
      <c r="U40" s="87">
        <f t="shared" si="13"/>
        <v>14801.759999999998</v>
      </c>
      <c r="V40" s="87" t="str">
        <f t="shared" si="9"/>
        <v xml:space="preserve"> </v>
      </c>
      <c r="W40" s="87">
        <f t="shared" si="10"/>
        <v>1200</v>
      </c>
      <c r="X40" s="87">
        <f t="shared" si="11"/>
        <v>91880.159999999989</v>
      </c>
      <c r="Y40" s="88"/>
      <c r="Z40" s="89">
        <f t="shared" si="14"/>
        <v>-2656.0100000000239</v>
      </c>
      <c r="AA40" s="79"/>
      <c r="AC40" s="67"/>
    </row>
    <row r="41" spans="1:29">
      <c r="A41" s="1">
        <f t="shared" si="2"/>
        <v>23</v>
      </c>
      <c r="C41" s="1">
        <v>1</v>
      </c>
      <c r="D41" s="1" t="s">
        <v>111</v>
      </c>
      <c r="E41" s="6">
        <v>205</v>
      </c>
      <c r="H41" s="85">
        <v>2082</v>
      </c>
      <c r="I41" s="51">
        <v>146.5</v>
      </c>
      <c r="J41" s="51"/>
      <c r="K41" s="52"/>
      <c r="L41" s="53">
        <f>88917.34-M41-N41-O41</f>
        <v>79329.64</v>
      </c>
      <c r="M41" s="53">
        <v>8387.7000000000007</v>
      </c>
      <c r="N41" s="53"/>
      <c r="O41" s="53">
        <v>1200</v>
      </c>
      <c r="P41" s="53">
        <f t="shared" si="12"/>
        <v>88917.34</v>
      </c>
      <c r="Q41" s="39"/>
      <c r="R41" s="86">
        <v>38</v>
      </c>
      <c r="S41" s="24"/>
      <c r="T41" s="87">
        <f t="shared" si="8"/>
        <v>79040</v>
      </c>
      <c r="U41" s="87">
        <f t="shared" si="13"/>
        <v>8350.5</v>
      </c>
      <c r="V41" s="87" t="str">
        <f t="shared" si="9"/>
        <v xml:space="preserve"> </v>
      </c>
      <c r="W41" s="87">
        <f t="shared" si="10"/>
        <v>1200</v>
      </c>
      <c r="X41" s="87">
        <f t="shared" si="11"/>
        <v>88590.5</v>
      </c>
      <c r="Y41" s="88"/>
      <c r="Z41" s="89">
        <f t="shared" si="14"/>
        <v>-326.83999999999651</v>
      </c>
      <c r="AA41" s="79"/>
      <c r="AC41" s="67"/>
    </row>
    <row r="42" spans="1:29">
      <c r="A42" s="1">
        <f t="shared" si="2"/>
        <v>24</v>
      </c>
      <c r="C42" s="1">
        <v>1</v>
      </c>
      <c r="D42" s="1" t="s">
        <v>112</v>
      </c>
      <c r="E42" s="6">
        <v>208</v>
      </c>
      <c r="H42" s="85">
        <v>2080</v>
      </c>
      <c r="I42" s="51">
        <v>110.5</v>
      </c>
      <c r="J42" s="51"/>
      <c r="K42" s="52"/>
      <c r="L42" s="53">
        <f>83581.51-M42-N42-O42</f>
        <v>76296.799999999988</v>
      </c>
      <c r="M42" s="53">
        <v>6084.71</v>
      </c>
      <c r="N42" s="53"/>
      <c r="O42" s="53">
        <v>1200</v>
      </c>
      <c r="P42" s="53">
        <f t="shared" si="12"/>
        <v>83581.509999999995</v>
      </c>
      <c r="Q42" s="39"/>
      <c r="R42" s="86">
        <v>36.71</v>
      </c>
      <c r="S42" s="24"/>
      <c r="T42" s="87">
        <f t="shared" si="8"/>
        <v>76356.800000000003</v>
      </c>
      <c r="U42" s="87">
        <f t="shared" si="13"/>
        <v>6084.6824999999999</v>
      </c>
      <c r="V42" s="87" t="str">
        <f t="shared" si="9"/>
        <v xml:space="preserve"> </v>
      </c>
      <c r="W42" s="87">
        <f t="shared" si="10"/>
        <v>1200</v>
      </c>
      <c r="X42" s="87">
        <f t="shared" si="11"/>
        <v>83641.482499999998</v>
      </c>
      <c r="Y42" s="88"/>
      <c r="Z42" s="89">
        <f t="shared" si="14"/>
        <v>59.972500000003492</v>
      </c>
      <c r="AA42" s="79"/>
      <c r="AC42" s="67"/>
    </row>
    <row r="43" spans="1:29">
      <c r="A43" s="1">
        <f t="shared" si="2"/>
        <v>25</v>
      </c>
      <c r="C43" s="1">
        <v>1</v>
      </c>
      <c r="D43" s="1" t="s">
        <v>113</v>
      </c>
      <c r="E43" s="6">
        <v>214</v>
      </c>
      <c r="F43" s="1" t="s">
        <v>73</v>
      </c>
      <c r="H43" s="85"/>
      <c r="I43" s="51"/>
      <c r="J43" s="51"/>
      <c r="K43" s="52"/>
      <c r="L43" s="53"/>
      <c r="M43" s="53"/>
      <c r="N43" s="53"/>
      <c r="O43" s="53">
        <v>0</v>
      </c>
      <c r="P43" s="53">
        <f t="shared" si="12"/>
        <v>0</v>
      </c>
      <c r="Q43" s="39"/>
      <c r="R43" s="86">
        <v>0</v>
      </c>
      <c r="S43" s="24"/>
      <c r="T43" s="87">
        <f t="shared" si="8"/>
        <v>0</v>
      </c>
      <c r="U43" s="87">
        <f t="shared" si="13"/>
        <v>0</v>
      </c>
      <c r="V43" s="87" t="str">
        <f t="shared" si="9"/>
        <v xml:space="preserve"> </v>
      </c>
      <c r="W43" s="87" t="str">
        <f t="shared" si="10"/>
        <v xml:space="preserve"> </v>
      </c>
      <c r="X43" s="87">
        <f t="shared" si="11"/>
        <v>0</v>
      </c>
      <c r="Y43" s="88"/>
      <c r="Z43" s="89">
        <f t="shared" si="14"/>
        <v>0</v>
      </c>
      <c r="AA43" s="79"/>
      <c r="AC43" s="67"/>
    </row>
    <row r="44" spans="1:29">
      <c r="A44" s="1">
        <f t="shared" si="2"/>
        <v>26</v>
      </c>
      <c r="C44" s="1">
        <v>1</v>
      </c>
      <c r="D44" s="1" t="s">
        <v>114</v>
      </c>
      <c r="E44" s="1">
        <v>216</v>
      </c>
      <c r="H44" s="85">
        <v>2078</v>
      </c>
      <c r="I44" s="51">
        <v>252.5</v>
      </c>
      <c r="J44" s="51"/>
      <c r="K44" s="52"/>
      <c r="L44" s="53">
        <f>83435.16-M44-N44-O44</f>
        <v>69553</v>
      </c>
      <c r="M44" s="53">
        <v>12682.16</v>
      </c>
      <c r="N44" s="53"/>
      <c r="O44" s="53">
        <v>1200</v>
      </c>
      <c r="P44" s="53">
        <f t="shared" si="12"/>
        <v>83435.16</v>
      </c>
      <c r="Q44" s="39"/>
      <c r="R44" s="99">
        <v>33.5</v>
      </c>
      <c r="S44" s="24"/>
      <c r="T44" s="87">
        <f t="shared" si="8"/>
        <v>69680</v>
      </c>
      <c r="U44" s="87">
        <f t="shared" si="13"/>
        <v>12688.125</v>
      </c>
      <c r="V44" s="87" t="str">
        <f t="shared" si="9"/>
        <v xml:space="preserve"> </v>
      </c>
      <c r="W44" s="87">
        <f t="shared" si="10"/>
        <v>1200</v>
      </c>
      <c r="X44" s="87">
        <f t="shared" si="11"/>
        <v>83568.125</v>
      </c>
      <c r="Y44" s="88"/>
      <c r="Z44" s="89">
        <f t="shared" si="14"/>
        <v>132.96499999999651</v>
      </c>
      <c r="AA44" s="79"/>
      <c r="AC44" s="67"/>
    </row>
    <row r="45" spans="1:29">
      <c r="A45" s="1">
        <f t="shared" si="2"/>
        <v>27</v>
      </c>
      <c r="C45" s="1">
        <v>1</v>
      </c>
      <c r="D45" s="1" t="s">
        <v>115</v>
      </c>
      <c r="E45" s="1">
        <v>222</v>
      </c>
      <c r="H45" s="85">
        <v>2075</v>
      </c>
      <c r="I45" s="51">
        <v>348.5</v>
      </c>
      <c r="J45" s="51"/>
      <c r="K45" s="52"/>
      <c r="L45" s="53">
        <f>99701.5-M45-N45-O45</f>
        <v>78694</v>
      </c>
      <c r="M45" s="53">
        <v>19807.5</v>
      </c>
      <c r="N45" s="53"/>
      <c r="O45" s="53">
        <v>1200</v>
      </c>
      <c r="P45" s="53">
        <f t="shared" si="12"/>
        <v>99701.5</v>
      </c>
      <c r="Q45" s="39"/>
      <c r="R45" s="99">
        <v>38</v>
      </c>
      <c r="S45" s="24"/>
      <c r="T45" s="87">
        <f t="shared" si="8"/>
        <v>79040</v>
      </c>
      <c r="U45" s="87">
        <f t="shared" si="13"/>
        <v>19864.5</v>
      </c>
      <c r="V45" s="87" t="str">
        <f t="shared" si="9"/>
        <v xml:space="preserve"> </v>
      </c>
      <c r="W45" s="87">
        <f t="shared" si="10"/>
        <v>1200</v>
      </c>
      <c r="X45" s="87">
        <f t="shared" si="11"/>
        <v>100104.5</v>
      </c>
      <c r="Y45" s="88"/>
      <c r="Z45" s="89">
        <f t="shared" si="14"/>
        <v>403</v>
      </c>
      <c r="AA45" s="79"/>
      <c r="AC45" s="67"/>
    </row>
    <row r="46" spans="1:29">
      <c r="A46" s="1">
        <f t="shared" si="2"/>
        <v>28</v>
      </c>
      <c r="C46" s="1">
        <v>1</v>
      </c>
      <c r="D46" s="1" t="s">
        <v>116</v>
      </c>
      <c r="E46" s="1">
        <v>224</v>
      </c>
      <c r="H46" s="85">
        <v>2072</v>
      </c>
      <c r="I46" s="51">
        <v>158</v>
      </c>
      <c r="J46" s="51"/>
      <c r="K46" s="52"/>
      <c r="L46" s="53">
        <f>88748-M46-N46-O46</f>
        <v>78542</v>
      </c>
      <c r="M46" s="53">
        <v>9006</v>
      </c>
      <c r="N46" s="53"/>
      <c r="O46" s="53">
        <v>1200</v>
      </c>
      <c r="P46" s="53">
        <f t="shared" si="12"/>
        <v>88748</v>
      </c>
      <c r="Q46" s="39"/>
      <c r="R46" s="99">
        <v>38</v>
      </c>
      <c r="S46" s="24"/>
      <c r="T46" s="87">
        <f t="shared" si="8"/>
        <v>79040</v>
      </c>
      <c r="U46" s="87">
        <f t="shared" si="13"/>
        <v>9006</v>
      </c>
      <c r="V46" s="87" t="str">
        <f t="shared" si="9"/>
        <v xml:space="preserve"> </v>
      </c>
      <c r="W46" s="87">
        <f t="shared" si="10"/>
        <v>1200</v>
      </c>
      <c r="X46" s="87">
        <f t="shared" si="11"/>
        <v>89246</v>
      </c>
      <c r="Y46" s="88"/>
      <c r="Z46" s="89">
        <f t="shared" si="14"/>
        <v>498</v>
      </c>
      <c r="AA46" s="79"/>
      <c r="AC46" s="67"/>
    </row>
    <row r="47" spans="1:29">
      <c r="A47" s="1">
        <f t="shared" si="2"/>
        <v>29</v>
      </c>
      <c r="C47" s="1">
        <v>1</v>
      </c>
      <c r="D47" s="1" t="s">
        <v>117</v>
      </c>
      <c r="E47" s="6">
        <v>164</v>
      </c>
      <c r="H47" s="85">
        <v>2080</v>
      </c>
      <c r="I47" s="51">
        <v>3.5</v>
      </c>
      <c r="J47" s="51"/>
      <c r="K47" s="52"/>
      <c r="L47" s="53">
        <f>59587-M47-N47-O47</f>
        <v>58240</v>
      </c>
      <c r="M47" s="53">
        <v>147</v>
      </c>
      <c r="N47" s="53"/>
      <c r="O47" s="53">
        <v>1200</v>
      </c>
      <c r="P47" s="53">
        <f t="shared" si="12"/>
        <v>59587</v>
      </c>
      <c r="Q47" s="39"/>
      <c r="R47" s="86">
        <v>28</v>
      </c>
      <c r="S47" s="24"/>
      <c r="T47" s="87">
        <f t="shared" si="8"/>
        <v>58240</v>
      </c>
      <c r="U47" s="87">
        <f t="shared" si="13"/>
        <v>147</v>
      </c>
      <c r="V47" s="87" t="str">
        <f t="shared" si="9"/>
        <v xml:space="preserve"> </v>
      </c>
      <c r="W47" s="87">
        <f t="shared" si="10"/>
        <v>1200</v>
      </c>
      <c r="X47" s="87">
        <f t="shared" si="11"/>
        <v>59587</v>
      </c>
      <c r="Y47" s="88"/>
      <c r="Z47" s="89">
        <f t="shared" si="14"/>
        <v>0</v>
      </c>
      <c r="AA47" s="79"/>
      <c r="AC47" s="67"/>
    </row>
    <row r="48" spans="1:29">
      <c r="A48" s="1">
        <f t="shared" si="2"/>
        <v>30</v>
      </c>
      <c r="C48" s="1">
        <v>1</v>
      </c>
      <c r="D48" s="1" t="s">
        <v>118</v>
      </c>
      <c r="E48" s="6">
        <v>166</v>
      </c>
      <c r="H48" s="85">
        <v>2080</v>
      </c>
      <c r="I48" s="51">
        <v>57.5</v>
      </c>
      <c r="J48" s="51"/>
      <c r="K48" s="52"/>
      <c r="L48" s="53">
        <f>63696.31-M48-N48-O48</f>
        <v>60048</v>
      </c>
      <c r="M48" s="53">
        <v>2448.31</v>
      </c>
      <c r="N48" s="53"/>
      <c r="O48" s="53">
        <v>1200</v>
      </c>
      <c r="P48" s="53">
        <f t="shared" si="12"/>
        <v>63696.31</v>
      </c>
      <c r="Q48" s="39"/>
      <c r="R48" s="86">
        <v>28.85</v>
      </c>
      <c r="S48" s="24"/>
      <c r="T48" s="87">
        <f t="shared" si="8"/>
        <v>60008</v>
      </c>
      <c r="U48" s="87">
        <f t="shared" si="13"/>
        <v>2488.3125</v>
      </c>
      <c r="V48" s="87" t="str">
        <f t="shared" si="9"/>
        <v xml:space="preserve"> </v>
      </c>
      <c r="W48" s="87">
        <f t="shared" si="10"/>
        <v>1200</v>
      </c>
      <c r="X48" s="87">
        <f t="shared" si="11"/>
        <v>63696.3125</v>
      </c>
      <c r="Y48" s="88"/>
      <c r="Z48" s="89">
        <f t="shared" si="14"/>
        <v>2.5000000023283064E-3</v>
      </c>
      <c r="AA48" s="79"/>
      <c r="AC48" s="67"/>
    </row>
    <row r="49" spans="1:29">
      <c r="A49" s="1">
        <f t="shared" si="2"/>
        <v>31</v>
      </c>
      <c r="C49" s="1">
        <v>1</v>
      </c>
      <c r="D49" s="1" t="s">
        <v>119</v>
      </c>
      <c r="E49" s="6">
        <v>182</v>
      </c>
      <c r="H49" s="85">
        <v>2080</v>
      </c>
      <c r="I49" s="51">
        <v>32.5</v>
      </c>
      <c r="J49" s="51"/>
      <c r="K49" s="52"/>
      <c r="L49" s="53">
        <f>68213.05-M49-N49-O49</f>
        <v>65478.400000000009</v>
      </c>
      <c r="M49" s="53">
        <v>1534.65</v>
      </c>
      <c r="N49" s="53"/>
      <c r="O49" s="53">
        <v>1200</v>
      </c>
      <c r="P49" s="53">
        <f t="shared" si="12"/>
        <v>68213.05</v>
      </c>
      <c r="Q49" s="39"/>
      <c r="R49" s="86">
        <v>31.48</v>
      </c>
      <c r="S49" s="24"/>
      <c r="T49" s="87">
        <f t="shared" si="8"/>
        <v>65478.400000000001</v>
      </c>
      <c r="U49" s="87">
        <f t="shared" si="13"/>
        <v>1534.65</v>
      </c>
      <c r="V49" s="87" t="str">
        <f t="shared" si="9"/>
        <v xml:space="preserve"> </v>
      </c>
      <c r="W49" s="87">
        <f t="shared" si="10"/>
        <v>1200</v>
      </c>
      <c r="X49" s="87">
        <f t="shared" si="11"/>
        <v>68213.05</v>
      </c>
      <c r="Y49" s="88"/>
      <c r="Z49" s="89">
        <f t="shared" si="14"/>
        <v>0</v>
      </c>
      <c r="AA49" s="79"/>
      <c r="AC49" s="67"/>
    </row>
    <row r="50" spans="1:29">
      <c r="A50" s="1">
        <f t="shared" si="2"/>
        <v>32</v>
      </c>
      <c r="C50" s="1">
        <v>1</v>
      </c>
      <c r="D50" s="1" t="s">
        <v>120</v>
      </c>
      <c r="E50" s="6">
        <v>189</v>
      </c>
      <c r="H50" s="85">
        <v>2080</v>
      </c>
      <c r="I50" s="51">
        <v>22.5</v>
      </c>
      <c r="J50" s="51"/>
      <c r="K50" s="52"/>
      <c r="L50" s="53">
        <f>73025.23-M50-N50-O50</f>
        <v>70678.399999999994</v>
      </c>
      <c r="M50" s="53">
        <v>1146.83</v>
      </c>
      <c r="N50" s="53"/>
      <c r="O50" s="53">
        <v>1200</v>
      </c>
      <c r="P50" s="53">
        <f t="shared" si="12"/>
        <v>73025.23</v>
      </c>
      <c r="Q50" s="39"/>
      <c r="R50" s="86">
        <v>33.979999999999997</v>
      </c>
      <c r="S50" s="24"/>
      <c r="T50" s="87">
        <f t="shared" si="8"/>
        <v>70678.399999999994</v>
      </c>
      <c r="U50" s="87">
        <f t="shared" si="13"/>
        <v>1146.8249999999998</v>
      </c>
      <c r="V50" s="87" t="str">
        <f t="shared" si="9"/>
        <v xml:space="preserve"> </v>
      </c>
      <c r="W50" s="87">
        <f t="shared" si="10"/>
        <v>1200</v>
      </c>
      <c r="X50" s="87">
        <f t="shared" si="11"/>
        <v>73025.224999999991</v>
      </c>
      <c r="Y50" s="88"/>
      <c r="Z50" s="89">
        <f t="shared" si="14"/>
        <v>-5.0000000046566129E-3</v>
      </c>
      <c r="AA50" s="79"/>
      <c r="AC50" s="67"/>
    </row>
    <row r="51" spans="1:29">
      <c r="A51" s="1">
        <f t="shared" si="2"/>
        <v>33</v>
      </c>
      <c r="C51" s="1">
        <v>1</v>
      </c>
      <c r="D51" s="1" t="s">
        <v>121</v>
      </c>
      <c r="E51" s="6">
        <v>191</v>
      </c>
      <c r="H51" s="85">
        <v>1910.5</v>
      </c>
      <c r="I51" s="51">
        <v>16.5</v>
      </c>
      <c r="J51" s="51"/>
      <c r="K51" s="52"/>
      <c r="L51" s="53">
        <f>44906.7-M51-N51-O51</f>
        <v>43152.84</v>
      </c>
      <c r="M51" s="53">
        <v>553.86</v>
      </c>
      <c r="N51" s="53"/>
      <c r="O51" s="53">
        <v>1200</v>
      </c>
      <c r="P51" s="53">
        <f t="shared" si="12"/>
        <v>44906.7</v>
      </c>
      <c r="Q51" s="39"/>
      <c r="R51" s="86">
        <v>22.65</v>
      </c>
      <c r="S51" s="24"/>
      <c r="T51" s="87">
        <f t="shared" si="8"/>
        <v>47112</v>
      </c>
      <c r="U51" s="87">
        <f t="shared" si="13"/>
        <v>560.58749999999998</v>
      </c>
      <c r="V51" s="87" t="str">
        <f t="shared" si="9"/>
        <v xml:space="preserve"> </v>
      </c>
      <c r="W51" s="87">
        <f t="shared" si="10"/>
        <v>1200</v>
      </c>
      <c r="X51" s="87">
        <f t="shared" si="11"/>
        <v>48872.587500000001</v>
      </c>
      <c r="Y51" s="88"/>
      <c r="Z51" s="89">
        <f t="shared" si="14"/>
        <v>3965.8875000000044</v>
      </c>
      <c r="AA51" s="79"/>
      <c r="AC51" s="67"/>
    </row>
    <row r="52" spans="1:29">
      <c r="A52" s="1">
        <f t="shared" si="2"/>
        <v>34</v>
      </c>
      <c r="C52" s="1">
        <v>1</v>
      </c>
      <c r="D52" s="1" t="s">
        <v>122</v>
      </c>
      <c r="E52" s="6">
        <v>192</v>
      </c>
      <c r="H52" s="85">
        <v>2170</v>
      </c>
      <c r="I52" s="51">
        <v>40.5</v>
      </c>
      <c r="J52" s="51"/>
      <c r="K52" s="52"/>
      <c r="L52" s="53">
        <f>48746.15-M52-N52-O52</f>
        <v>46196.810000000005</v>
      </c>
      <c r="M52" s="53">
        <v>1349.34</v>
      </c>
      <c r="N52" s="53"/>
      <c r="O52" s="53">
        <v>1200</v>
      </c>
      <c r="P52" s="53">
        <f>SUM(L52:O52)</f>
        <v>48746.15</v>
      </c>
      <c r="Q52" s="39"/>
      <c r="R52" s="86">
        <v>22.21</v>
      </c>
      <c r="S52" s="24"/>
      <c r="T52" s="87">
        <f t="shared" si="8"/>
        <v>46196.800000000003</v>
      </c>
      <c r="U52" s="87">
        <f t="shared" si="13"/>
        <v>1349.2574999999999</v>
      </c>
      <c r="V52" s="87" t="str">
        <f t="shared" si="9"/>
        <v xml:space="preserve"> </v>
      </c>
      <c r="W52" s="87">
        <f t="shared" si="10"/>
        <v>1200</v>
      </c>
      <c r="X52" s="87">
        <f t="shared" si="11"/>
        <v>48746.057500000003</v>
      </c>
      <c r="Y52" s="88"/>
      <c r="Z52" s="89">
        <f t="shared" si="14"/>
        <v>-9.2499999998835847E-2</v>
      </c>
      <c r="AA52" s="79"/>
      <c r="AC52" s="67"/>
    </row>
    <row r="53" spans="1:29">
      <c r="A53" s="1">
        <f t="shared" si="2"/>
        <v>35</v>
      </c>
      <c r="C53" s="1">
        <v>1</v>
      </c>
      <c r="D53" s="1" t="s">
        <v>123</v>
      </c>
      <c r="E53" s="6">
        <v>169</v>
      </c>
      <c r="H53" s="85">
        <v>2080</v>
      </c>
      <c r="I53" s="51">
        <v>30.5</v>
      </c>
      <c r="J53" s="51"/>
      <c r="K53" s="52"/>
      <c r="L53" s="53">
        <f>57319.8-M53-N53-O53</f>
        <v>54912</v>
      </c>
      <c r="M53" s="53">
        <v>1207.8</v>
      </c>
      <c r="N53" s="53"/>
      <c r="O53" s="53">
        <v>1200</v>
      </c>
      <c r="P53" s="53">
        <f t="shared" si="12"/>
        <v>57319.8</v>
      </c>
      <c r="Q53" s="39"/>
      <c r="R53" s="100">
        <v>26.4</v>
      </c>
      <c r="S53" s="24"/>
      <c r="T53" s="87">
        <f t="shared" si="8"/>
        <v>54912</v>
      </c>
      <c r="U53" s="87">
        <f t="shared" si="13"/>
        <v>1207.8</v>
      </c>
      <c r="V53" s="87" t="str">
        <f t="shared" si="9"/>
        <v xml:space="preserve"> </v>
      </c>
      <c r="W53" s="87">
        <f t="shared" si="10"/>
        <v>1200</v>
      </c>
      <c r="X53" s="87">
        <f t="shared" si="11"/>
        <v>57319.8</v>
      </c>
      <c r="Y53" s="88"/>
      <c r="Z53" s="89">
        <f t="shared" si="14"/>
        <v>0</v>
      </c>
      <c r="AA53" s="79"/>
      <c r="AC53" s="67"/>
    </row>
    <row r="54" spans="1:29">
      <c r="A54" s="1">
        <f t="shared" si="2"/>
        <v>36</v>
      </c>
      <c r="C54" s="1">
        <v>1</v>
      </c>
      <c r="D54" s="1" t="s">
        <v>124</v>
      </c>
      <c r="E54" s="6">
        <v>198</v>
      </c>
      <c r="H54" s="85">
        <v>2080</v>
      </c>
      <c r="I54" s="51">
        <v>19</v>
      </c>
      <c r="J54" s="51"/>
      <c r="K54" s="52"/>
      <c r="L54" s="53">
        <f>41556.71-M54-N54-O54</f>
        <v>39811.199999999997</v>
      </c>
      <c r="M54" s="53">
        <v>545.51</v>
      </c>
      <c r="N54" s="53"/>
      <c r="O54" s="53">
        <v>1200</v>
      </c>
      <c r="P54" s="53">
        <f t="shared" si="12"/>
        <v>41556.71</v>
      </c>
      <c r="Q54" s="39"/>
      <c r="R54" s="86">
        <v>19.14</v>
      </c>
      <c r="S54" s="24"/>
      <c r="T54" s="87">
        <f t="shared" si="8"/>
        <v>39811.200000000004</v>
      </c>
      <c r="U54" s="87">
        <f t="shared" si="13"/>
        <v>545.49</v>
      </c>
      <c r="V54" s="87" t="str">
        <f t="shared" si="9"/>
        <v xml:space="preserve"> </v>
      </c>
      <c r="W54" s="87">
        <f t="shared" si="10"/>
        <v>1200</v>
      </c>
      <c r="X54" s="87">
        <f t="shared" si="11"/>
        <v>41556.69</v>
      </c>
      <c r="Y54" s="88"/>
      <c r="Z54" s="89">
        <f t="shared" si="14"/>
        <v>-1.9999999996798579E-2</v>
      </c>
      <c r="AA54" s="79"/>
      <c r="AC54" s="67"/>
    </row>
    <row r="55" spans="1:29">
      <c r="A55" s="1">
        <f t="shared" si="2"/>
        <v>37</v>
      </c>
      <c r="C55" s="1">
        <v>1</v>
      </c>
      <c r="D55" s="1" t="s">
        <v>125</v>
      </c>
      <c r="E55" s="6">
        <v>203</v>
      </c>
      <c r="H55" s="85">
        <v>2080</v>
      </c>
      <c r="I55" s="51"/>
      <c r="J55" s="51"/>
      <c r="K55" s="52"/>
      <c r="L55" s="53">
        <f>41864.07-M55-N55-O55</f>
        <v>40664.07</v>
      </c>
      <c r="M55" s="53"/>
      <c r="N55" s="53"/>
      <c r="O55" s="53">
        <v>1200</v>
      </c>
      <c r="P55" s="53">
        <f t="shared" si="12"/>
        <v>41864.07</v>
      </c>
      <c r="Q55" s="39"/>
      <c r="R55" s="86">
        <v>19.55</v>
      </c>
      <c r="S55" s="24"/>
      <c r="T55" s="87">
        <f t="shared" si="8"/>
        <v>40664</v>
      </c>
      <c r="U55" s="87">
        <f t="shared" si="13"/>
        <v>0</v>
      </c>
      <c r="V55" s="87" t="str">
        <f t="shared" si="9"/>
        <v xml:space="preserve"> </v>
      </c>
      <c r="W55" s="87">
        <f t="shared" si="10"/>
        <v>1200</v>
      </c>
      <c r="X55" s="87">
        <f t="shared" si="11"/>
        <v>41864</v>
      </c>
      <c r="Y55" s="88"/>
      <c r="Z55" s="89">
        <f t="shared" si="14"/>
        <v>-6.9999999999708962E-2</v>
      </c>
      <c r="AA55" s="79"/>
      <c r="AC55" s="67"/>
    </row>
    <row r="56" spans="1:29">
      <c r="A56" s="1">
        <f t="shared" si="2"/>
        <v>38</v>
      </c>
      <c r="C56" s="1">
        <v>1</v>
      </c>
      <c r="D56" s="1" t="s">
        <v>132</v>
      </c>
      <c r="E56" s="6">
        <v>204</v>
      </c>
      <c r="H56" s="85">
        <v>2080</v>
      </c>
      <c r="I56" s="51">
        <v>1.5</v>
      </c>
      <c r="J56" s="51"/>
      <c r="K56" s="52"/>
      <c r="L56" s="53">
        <f>40533.75-M56-N56-O56</f>
        <v>39291.24</v>
      </c>
      <c r="M56" s="53">
        <v>42.51</v>
      </c>
      <c r="N56" s="53"/>
      <c r="O56" s="53">
        <v>1200</v>
      </c>
      <c r="P56" s="53">
        <f t="shared" si="12"/>
        <v>40533.75</v>
      </c>
      <c r="Q56" s="39"/>
      <c r="R56" s="86">
        <v>18.89</v>
      </c>
      <c r="S56" s="24"/>
      <c r="T56" s="87">
        <f t="shared" si="8"/>
        <v>39291.200000000004</v>
      </c>
      <c r="U56" s="87">
        <f t="shared" si="13"/>
        <v>42.502499999999998</v>
      </c>
      <c r="V56" s="87" t="str">
        <f t="shared" si="9"/>
        <v xml:space="preserve"> </v>
      </c>
      <c r="W56" s="87">
        <f t="shared" si="10"/>
        <v>1200</v>
      </c>
      <c r="X56" s="87">
        <f t="shared" si="11"/>
        <v>40533.702500000007</v>
      </c>
      <c r="Y56" s="88"/>
      <c r="Z56" s="89">
        <f t="shared" si="14"/>
        <v>-4.7499999993306119E-2</v>
      </c>
      <c r="AA56" s="79"/>
      <c r="AC56" s="67"/>
    </row>
    <row r="57" spans="1:29">
      <c r="A57" s="1">
        <f t="shared" si="2"/>
        <v>39</v>
      </c>
      <c r="C57" s="1">
        <v>1</v>
      </c>
      <c r="D57" s="1" t="s">
        <v>133</v>
      </c>
      <c r="E57" s="6">
        <v>211</v>
      </c>
      <c r="H57" s="85">
        <v>2085</v>
      </c>
      <c r="I57" s="51"/>
      <c r="J57" s="51"/>
      <c r="K57" s="52"/>
      <c r="L57" s="53">
        <f>37687.5-M57-N57-O57</f>
        <v>36487.5</v>
      </c>
      <c r="M57" s="53"/>
      <c r="N57" s="53"/>
      <c r="O57" s="53">
        <v>1200</v>
      </c>
      <c r="P57" s="53">
        <f t="shared" si="12"/>
        <v>37687.5</v>
      </c>
      <c r="Q57" s="39"/>
      <c r="R57" s="86">
        <v>17.5</v>
      </c>
      <c r="S57" s="24"/>
      <c r="T57" s="87">
        <f t="shared" si="8"/>
        <v>36400</v>
      </c>
      <c r="U57" s="87">
        <f t="shared" si="13"/>
        <v>0</v>
      </c>
      <c r="V57" s="87" t="str">
        <f t="shared" si="9"/>
        <v xml:space="preserve"> </v>
      </c>
      <c r="W57" s="87">
        <f t="shared" si="10"/>
        <v>1200</v>
      </c>
      <c r="X57" s="87">
        <f t="shared" si="11"/>
        <v>37600</v>
      </c>
      <c r="Y57" s="88"/>
      <c r="Z57" s="89">
        <f t="shared" si="14"/>
        <v>-87.5</v>
      </c>
      <c r="AA57" s="79"/>
      <c r="AC57" s="67"/>
    </row>
    <row r="58" spans="1:29">
      <c r="A58" s="1">
        <f t="shared" si="2"/>
        <v>40</v>
      </c>
      <c r="C58" s="1">
        <v>1</v>
      </c>
      <c r="D58" s="1" t="s">
        <v>134</v>
      </c>
      <c r="E58" s="6">
        <v>223</v>
      </c>
      <c r="H58" s="85">
        <v>2082</v>
      </c>
      <c r="I58" s="51"/>
      <c r="J58" s="51"/>
      <c r="K58" s="52"/>
      <c r="L58" s="53">
        <f>33920-M58-N58-O58</f>
        <v>32720</v>
      </c>
      <c r="M58" s="53"/>
      <c r="N58" s="53"/>
      <c r="O58" s="53">
        <v>1200</v>
      </c>
      <c r="P58" s="53">
        <f t="shared" si="12"/>
        <v>33920</v>
      </c>
      <c r="Q58" s="39"/>
      <c r="R58" s="86">
        <v>16</v>
      </c>
      <c r="S58" s="24"/>
      <c r="T58" s="87">
        <f t="shared" si="8"/>
        <v>33280</v>
      </c>
      <c r="U58" s="87">
        <f t="shared" si="13"/>
        <v>0</v>
      </c>
      <c r="V58" s="87" t="str">
        <f t="shared" si="9"/>
        <v xml:space="preserve"> </v>
      </c>
      <c r="W58" s="87">
        <f t="shared" si="10"/>
        <v>1200</v>
      </c>
      <c r="X58" s="87">
        <f t="shared" si="11"/>
        <v>34480</v>
      </c>
      <c r="Y58" s="88"/>
      <c r="Z58" s="89">
        <f t="shared" si="14"/>
        <v>560</v>
      </c>
      <c r="AA58" s="79"/>
      <c r="AC58" s="67"/>
    </row>
    <row r="59" spans="1:29">
      <c r="A59" s="1">
        <f t="shared" si="2"/>
        <v>41</v>
      </c>
      <c r="C59" s="1">
        <v>1</v>
      </c>
      <c r="D59" s="1" t="s">
        <v>135</v>
      </c>
      <c r="E59" s="6">
        <v>221</v>
      </c>
      <c r="H59" s="85"/>
      <c r="I59" s="51"/>
      <c r="J59" s="51"/>
      <c r="K59" s="52"/>
      <c r="L59" s="53"/>
      <c r="M59" s="53"/>
      <c r="N59" s="53"/>
      <c r="O59" s="53">
        <v>0</v>
      </c>
      <c r="P59" s="53">
        <f t="shared" si="12"/>
        <v>0</v>
      </c>
      <c r="Q59" s="39"/>
      <c r="R59" s="86">
        <v>0</v>
      </c>
      <c r="S59" s="24"/>
      <c r="T59" s="87">
        <f t="shared" si="8"/>
        <v>0</v>
      </c>
      <c r="U59" s="87">
        <f t="shared" si="13"/>
        <v>0</v>
      </c>
      <c r="V59" s="87" t="str">
        <f t="shared" si="9"/>
        <v xml:space="preserve"> </v>
      </c>
      <c r="W59" s="87" t="str">
        <f t="shared" si="10"/>
        <v xml:space="preserve"> </v>
      </c>
      <c r="X59" s="87">
        <f t="shared" si="11"/>
        <v>0</v>
      </c>
      <c r="Y59" s="88"/>
      <c r="Z59" s="89">
        <f t="shared" si="14"/>
        <v>0</v>
      </c>
      <c r="AA59" s="79"/>
      <c r="AC59" s="67"/>
    </row>
    <row r="60" spans="1:29">
      <c r="A60" s="1">
        <f t="shared" si="2"/>
        <v>42</v>
      </c>
      <c r="C60" s="1">
        <v>1</v>
      </c>
      <c r="D60" s="1" t="s">
        <v>136</v>
      </c>
      <c r="E60" s="6">
        <v>219</v>
      </c>
      <c r="H60" s="85">
        <v>2082</v>
      </c>
      <c r="I60" s="51">
        <v>0.5</v>
      </c>
      <c r="J60" s="51"/>
      <c r="K60" s="52"/>
      <c r="L60" s="53">
        <f>34592-M60-N60-O60</f>
        <v>33380</v>
      </c>
      <c r="M60" s="53">
        <v>12</v>
      </c>
      <c r="N60" s="53"/>
      <c r="O60" s="53">
        <v>1200</v>
      </c>
      <c r="P60" s="53">
        <f t="shared" si="12"/>
        <v>34592</v>
      </c>
      <c r="Q60" s="39"/>
      <c r="R60" s="86">
        <v>16</v>
      </c>
      <c r="S60" s="24"/>
      <c r="T60" s="87">
        <f t="shared" si="8"/>
        <v>33280</v>
      </c>
      <c r="U60" s="87">
        <f t="shared" si="13"/>
        <v>12</v>
      </c>
      <c r="V60" s="87" t="str">
        <f t="shared" si="9"/>
        <v xml:space="preserve"> </v>
      </c>
      <c r="W60" s="87">
        <f t="shared" si="10"/>
        <v>1200</v>
      </c>
      <c r="X60" s="87">
        <f t="shared" si="11"/>
        <v>34492</v>
      </c>
      <c r="Y60" s="88"/>
      <c r="Z60" s="89">
        <f t="shared" si="14"/>
        <v>-100</v>
      </c>
      <c r="AA60" s="79"/>
      <c r="AC60" s="67"/>
    </row>
    <row r="61" spans="1:29">
      <c r="A61" s="1">
        <f t="shared" si="2"/>
        <v>43</v>
      </c>
      <c r="C61" s="1">
        <v>1</v>
      </c>
      <c r="D61" s="1" t="s">
        <v>137</v>
      </c>
      <c r="E61" s="6">
        <v>209</v>
      </c>
      <c r="F61" s="1" t="s">
        <v>73</v>
      </c>
      <c r="H61" s="85"/>
      <c r="I61" s="51"/>
      <c r="J61" s="51"/>
      <c r="K61" s="52"/>
      <c r="L61" s="53"/>
      <c r="M61" s="53"/>
      <c r="N61" s="53"/>
      <c r="O61" s="53"/>
      <c r="P61" s="53">
        <f t="shared" si="12"/>
        <v>0</v>
      </c>
      <c r="Q61" s="39"/>
      <c r="R61" s="86">
        <v>0</v>
      </c>
      <c r="S61" s="24"/>
      <c r="T61" s="87">
        <f t="shared" si="8"/>
        <v>0</v>
      </c>
      <c r="U61" s="87">
        <f t="shared" si="13"/>
        <v>0</v>
      </c>
      <c r="V61" s="87" t="str">
        <f t="shared" si="9"/>
        <v xml:space="preserve"> </v>
      </c>
      <c r="W61" s="87" t="str">
        <f t="shared" si="10"/>
        <v xml:space="preserve"> </v>
      </c>
      <c r="X61" s="87">
        <f t="shared" si="11"/>
        <v>0</v>
      </c>
      <c r="Y61" s="88"/>
      <c r="Z61" s="89">
        <f t="shared" si="14"/>
        <v>0</v>
      </c>
      <c r="AA61" s="79"/>
      <c r="AC61" s="67"/>
    </row>
    <row r="62" spans="1:29">
      <c r="A62" s="1">
        <f t="shared" si="2"/>
        <v>44</v>
      </c>
      <c r="C62" s="1">
        <v>1</v>
      </c>
      <c r="D62" s="1" t="s">
        <v>145</v>
      </c>
      <c r="E62" s="6">
        <v>229</v>
      </c>
      <c r="H62" s="85">
        <v>300</v>
      </c>
      <c r="I62" s="51"/>
      <c r="J62" s="51"/>
      <c r="K62" s="52"/>
      <c r="L62" s="53">
        <f>10995-M62-N62-O62</f>
        <v>9795</v>
      </c>
      <c r="M62" s="53"/>
      <c r="N62" s="53"/>
      <c r="O62" s="53">
        <v>1200</v>
      </c>
      <c r="P62" s="53">
        <f>SUM(L62:O62)</f>
        <v>10995</v>
      </c>
      <c r="Q62" s="39"/>
      <c r="R62" s="86"/>
      <c r="S62" s="24"/>
      <c r="T62" s="87"/>
      <c r="U62" s="87"/>
      <c r="V62" s="87"/>
      <c r="W62" s="87"/>
      <c r="X62" s="87"/>
      <c r="Y62" s="88"/>
      <c r="Z62" s="89">
        <f t="shared" si="14"/>
        <v>-10995</v>
      </c>
      <c r="AA62" s="79"/>
      <c r="AC62" s="67"/>
    </row>
    <row r="63" spans="1:29">
      <c r="C63" s="4">
        <f>SUM(C27:C62)</f>
        <v>36</v>
      </c>
      <c r="D63" s="40" t="s">
        <v>4</v>
      </c>
      <c r="E63" s="40"/>
      <c r="F63" s="40"/>
      <c r="H63" s="101">
        <f>SUM(H27:H62)</f>
        <v>64639.5</v>
      </c>
      <c r="I63" s="41">
        <f>SUM(I27:I62)</f>
        <v>6162</v>
      </c>
      <c r="J63" s="41">
        <f>SUM(J27:J62)</f>
        <v>0</v>
      </c>
      <c r="K63" s="52"/>
      <c r="L63" s="78">
        <f>SUM(L27:L62)</f>
        <v>2052490.39</v>
      </c>
      <c r="M63" s="78">
        <f>SUM(M27:M62)</f>
        <v>350041.43000000005</v>
      </c>
      <c r="N63" s="78">
        <f>SUM(N27:N62)</f>
        <v>0</v>
      </c>
      <c r="O63" s="78">
        <f>SUM(O27:O62)</f>
        <v>39600</v>
      </c>
      <c r="P63" s="78">
        <f>SUM(P27:P62)</f>
        <v>2442131.8199999994</v>
      </c>
      <c r="Q63" s="39"/>
      <c r="R63" s="101"/>
      <c r="S63" s="24"/>
      <c r="T63" s="102">
        <f>SUM(T27:T62)</f>
        <v>2128193.5999999996</v>
      </c>
      <c r="U63" s="102">
        <f>SUM(U27:U62)</f>
        <v>349970.02500000002</v>
      </c>
      <c r="V63" s="102">
        <f>SUM(V27:V62)</f>
        <v>0</v>
      </c>
      <c r="W63" s="102">
        <f>SUM(W27:W62)</f>
        <v>38400</v>
      </c>
      <c r="X63" s="102">
        <f>SUM(X27:X62)</f>
        <v>2516563.6249999995</v>
      </c>
      <c r="Y63" s="88"/>
      <c r="Z63" s="96">
        <f t="shared" ref="Z63" si="15">X63-P63</f>
        <v>74431.805000000168</v>
      </c>
      <c r="AA63" s="79"/>
      <c r="AC63" s="67"/>
    </row>
    <row r="64" spans="1:29">
      <c r="D64" s="34"/>
      <c r="E64" s="34"/>
      <c r="F64" s="34"/>
      <c r="H64" s="111"/>
      <c r="I64" s="80"/>
      <c r="J64" s="80"/>
      <c r="K64" s="52"/>
      <c r="L64" s="81"/>
      <c r="M64" s="81"/>
      <c r="N64" s="81"/>
      <c r="O64" s="81"/>
      <c r="P64" s="81"/>
      <c r="Q64" s="39"/>
      <c r="R64" s="98"/>
      <c r="S64" s="24"/>
      <c r="T64" s="103"/>
      <c r="U64" s="103"/>
      <c r="V64" s="103"/>
      <c r="W64" s="103"/>
      <c r="X64" s="103"/>
      <c r="Y64" s="88"/>
      <c r="Z64" s="104"/>
      <c r="AC64" s="67"/>
    </row>
    <row r="65" spans="1:29">
      <c r="C65" s="5" t="s">
        <v>55</v>
      </c>
      <c r="F65" s="34"/>
      <c r="H65" s="85"/>
      <c r="I65" s="51"/>
      <c r="J65" s="51"/>
      <c r="K65" s="52"/>
      <c r="L65" s="53"/>
      <c r="M65" s="53"/>
      <c r="N65" s="53"/>
      <c r="O65" s="53"/>
      <c r="P65" s="53"/>
      <c r="Q65" s="39"/>
      <c r="S65" s="24"/>
      <c r="Y65" s="88"/>
      <c r="AC65" s="67"/>
    </row>
    <row r="66" spans="1:29">
      <c r="A66" s="1">
        <f>A62+1</f>
        <v>45</v>
      </c>
      <c r="C66" s="1">
        <v>1</v>
      </c>
      <c r="D66" s="1" t="s">
        <v>126</v>
      </c>
      <c r="E66" s="6">
        <v>134</v>
      </c>
      <c r="H66" s="85">
        <v>1069</v>
      </c>
      <c r="I66" s="51">
        <v>28</v>
      </c>
      <c r="J66" s="51"/>
      <c r="K66" s="52"/>
      <c r="L66" s="53">
        <f>30213.57-M66-N66-O66</f>
        <v>27888.39</v>
      </c>
      <c r="M66" s="53">
        <v>1125.18</v>
      </c>
      <c r="N66" s="53"/>
      <c r="O66" s="53">
        <v>1200</v>
      </c>
      <c r="P66" s="53">
        <f>SUM(L66:O66)</f>
        <v>30213.57</v>
      </c>
      <c r="Q66" s="39"/>
      <c r="R66" s="97">
        <v>26.79</v>
      </c>
      <c r="S66" s="24"/>
      <c r="T66" s="87">
        <f>1069*R66</f>
        <v>28638.51</v>
      </c>
      <c r="U66" s="87">
        <f>(+I66*R66)*1.5</f>
        <v>1125.18</v>
      </c>
      <c r="V66" s="87" t="str">
        <f t="shared" ref="V66:V71" si="16">IF(N66=0," ",+J66*R66)</f>
        <v xml:space="preserve"> </v>
      </c>
      <c r="W66" s="87">
        <f t="shared" ref="W66:W71" si="17">IF(O66=0," ",+O66)</f>
        <v>1200</v>
      </c>
      <c r="X66" s="87">
        <f t="shared" ref="X66:X71" si="18">SUM(T66:W66)</f>
        <v>30963.69</v>
      </c>
      <c r="Y66" s="88"/>
      <c r="Z66" s="89">
        <f>X66-P66</f>
        <v>750.11999999999898</v>
      </c>
      <c r="AC66" s="67"/>
    </row>
    <row r="67" spans="1:29">
      <c r="A67" s="1">
        <f>A66+1</f>
        <v>46</v>
      </c>
      <c r="C67" s="1">
        <v>1</v>
      </c>
      <c r="D67" s="1" t="s">
        <v>127</v>
      </c>
      <c r="E67" s="6">
        <v>212</v>
      </c>
      <c r="H67" s="85">
        <f>756-I67-J67</f>
        <v>695</v>
      </c>
      <c r="I67" s="51">
        <v>61</v>
      </c>
      <c r="J67" s="51"/>
      <c r="K67" s="52"/>
      <c r="L67" s="53">
        <f>28547.58-M67-N67-O67</f>
        <v>24057.24</v>
      </c>
      <c r="M67" s="53">
        <v>3290.34</v>
      </c>
      <c r="N67" s="53"/>
      <c r="O67" s="53">
        <v>1200</v>
      </c>
      <c r="P67" s="53">
        <f t="shared" ref="P67:P69" si="19">SUM(L67:O67)</f>
        <v>28547.58</v>
      </c>
      <c r="Q67" s="39"/>
      <c r="R67" s="97">
        <v>35.96</v>
      </c>
      <c r="S67" s="24"/>
      <c r="T67" s="87">
        <f>695*R67</f>
        <v>24992.2</v>
      </c>
      <c r="U67" s="87">
        <f t="shared" ref="U67:U71" si="20">(+I67*R67)*1.5</f>
        <v>3290.34</v>
      </c>
      <c r="V67" s="87" t="str">
        <f t="shared" si="16"/>
        <v xml:space="preserve"> </v>
      </c>
      <c r="W67" s="87">
        <f t="shared" si="17"/>
        <v>1200</v>
      </c>
      <c r="X67" s="87">
        <f t="shared" si="18"/>
        <v>29482.54</v>
      </c>
      <c r="Y67" s="88"/>
      <c r="Z67" s="89">
        <f t="shared" ref="Z67:Z69" si="21">X67-P67</f>
        <v>934.95999999999913</v>
      </c>
      <c r="AC67" s="67"/>
    </row>
    <row r="68" spans="1:29">
      <c r="A68" s="1">
        <f t="shared" ref="A68:A71" si="22">A67+1</f>
        <v>47</v>
      </c>
      <c r="C68" s="1">
        <v>1</v>
      </c>
      <c r="D68" s="1" t="s">
        <v>138</v>
      </c>
      <c r="E68" s="6">
        <v>213</v>
      </c>
      <c r="F68" s="1" t="s">
        <v>73</v>
      </c>
      <c r="H68" s="85"/>
      <c r="I68" s="51"/>
      <c r="J68" s="51"/>
      <c r="K68" s="52"/>
      <c r="L68" s="53"/>
      <c r="M68" s="53"/>
      <c r="N68" s="53"/>
      <c r="O68" s="53"/>
      <c r="P68" s="53">
        <f t="shared" si="19"/>
        <v>0</v>
      </c>
      <c r="Q68" s="39"/>
      <c r="R68" s="97">
        <v>0</v>
      </c>
      <c r="S68" s="24"/>
      <c r="T68" s="87">
        <f t="shared" ref="T68:T71" si="23">2080*R68</f>
        <v>0</v>
      </c>
      <c r="U68" s="87">
        <f t="shared" si="20"/>
        <v>0</v>
      </c>
      <c r="V68" s="87" t="str">
        <f t="shared" si="16"/>
        <v xml:space="preserve"> </v>
      </c>
      <c r="W68" s="87" t="str">
        <f t="shared" si="17"/>
        <v xml:space="preserve"> </v>
      </c>
      <c r="X68" s="87">
        <f t="shared" si="18"/>
        <v>0</v>
      </c>
      <c r="Y68" s="88"/>
      <c r="Z68" s="89">
        <f t="shared" si="21"/>
        <v>0</v>
      </c>
      <c r="AC68" s="67"/>
    </row>
    <row r="69" spans="1:29">
      <c r="A69" s="1">
        <f t="shared" si="22"/>
        <v>48</v>
      </c>
      <c r="C69" s="1">
        <v>1</v>
      </c>
      <c r="D69" s="1" t="s">
        <v>139</v>
      </c>
      <c r="E69" s="6">
        <v>217</v>
      </c>
      <c r="H69" s="85">
        <v>1480.5</v>
      </c>
      <c r="I69" s="51">
        <v>82.5</v>
      </c>
      <c r="J69" s="51"/>
      <c r="K69" s="52"/>
      <c r="L69" s="53">
        <f>32443.5-M69-N69-O69</f>
        <v>30216</v>
      </c>
      <c r="M69" s="53">
        <v>2227.5</v>
      </c>
      <c r="N69" s="53"/>
      <c r="O69" s="53"/>
      <c r="P69" s="53">
        <f t="shared" si="19"/>
        <v>32443.5</v>
      </c>
      <c r="Q69" s="39"/>
      <c r="R69" s="97">
        <v>18</v>
      </c>
      <c r="S69" s="24"/>
      <c r="T69" s="87">
        <f>304.5*R69</f>
        <v>5481</v>
      </c>
      <c r="U69" s="87">
        <f t="shared" si="20"/>
        <v>2227.5</v>
      </c>
      <c r="V69" s="87" t="str">
        <f t="shared" si="16"/>
        <v xml:space="preserve"> </v>
      </c>
      <c r="W69" s="87" t="str">
        <f t="shared" si="17"/>
        <v xml:space="preserve"> </v>
      </c>
      <c r="X69" s="87">
        <f t="shared" si="18"/>
        <v>7708.5</v>
      </c>
      <c r="Y69" s="88"/>
      <c r="Z69" s="89">
        <f t="shared" si="21"/>
        <v>-24735</v>
      </c>
      <c r="AC69" s="67"/>
    </row>
    <row r="70" spans="1:29">
      <c r="A70" s="1">
        <f t="shared" si="22"/>
        <v>49</v>
      </c>
      <c r="C70" s="1">
        <v>1</v>
      </c>
      <c r="D70" s="1" t="s">
        <v>140</v>
      </c>
      <c r="E70" s="6">
        <v>218</v>
      </c>
      <c r="F70" s="1" t="s">
        <v>73</v>
      </c>
      <c r="H70" s="85"/>
      <c r="I70" s="51"/>
      <c r="J70" s="51"/>
      <c r="K70" s="52"/>
      <c r="L70" s="53"/>
      <c r="M70" s="53"/>
      <c r="N70" s="53"/>
      <c r="O70" s="53"/>
      <c r="P70" s="53">
        <f>SUM(L70:O70)</f>
        <v>0</v>
      </c>
      <c r="Q70" s="39"/>
      <c r="R70" s="97">
        <v>0</v>
      </c>
      <c r="S70" s="24"/>
      <c r="T70" s="87">
        <f t="shared" si="23"/>
        <v>0</v>
      </c>
      <c r="U70" s="87">
        <f t="shared" si="20"/>
        <v>0</v>
      </c>
      <c r="V70" s="87" t="str">
        <f t="shared" si="16"/>
        <v xml:space="preserve"> </v>
      </c>
      <c r="W70" s="87" t="str">
        <f t="shared" si="17"/>
        <v xml:space="preserve"> </v>
      </c>
      <c r="X70" s="87">
        <f t="shared" si="18"/>
        <v>0</v>
      </c>
      <c r="Y70" s="88"/>
      <c r="Z70" s="89">
        <f t="shared" ref="Z66:Z72" si="24">X70-P70</f>
        <v>0</v>
      </c>
      <c r="AC70" s="67"/>
    </row>
    <row r="71" spans="1:29">
      <c r="A71" s="1">
        <f t="shared" si="22"/>
        <v>50</v>
      </c>
      <c r="C71" s="1">
        <v>1</v>
      </c>
      <c r="D71" s="1" t="s">
        <v>141</v>
      </c>
      <c r="E71" s="6">
        <v>220</v>
      </c>
      <c r="F71" s="1" t="s">
        <v>73</v>
      </c>
      <c r="H71" s="85"/>
      <c r="I71" s="51"/>
      <c r="J71" s="51"/>
      <c r="K71" s="52"/>
      <c r="L71" s="53"/>
      <c r="M71" s="53"/>
      <c r="N71" s="53"/>
      <c r="O71" s="53"/>
      <c r="P71" s="53">
        <f>SUM(L71:O71)</f>
        <v>0</v>
      </c>
      <c r="Q71" s="39"/>
      <c r="R71" s="97">
        <v>0</v>
      </c>
      <c r="S71" s="24"/>
      <c r="T71" s="87">
        <f t="shared" si="23"/>
        <v>0</v>
      </c>
      <c r="U71" s="87">
        <f t="shared" si="20"/>
        <v>0</v>
      </c>
      <c r="V71" s="87" t="str">
        <f t="shared" si="16"/>
        <v xml:space="preserve"> </v>
      </c>
      <c r="W71" s="87" t="str">
        <f t="shared" si="17"/>
        <v xml:space="preserve"> </v>
      </c>
      <c r="X71" s="87">
        <f t="shared" si="18"/>
        <v>0</v>
      </c>
      <c r="Y71" s="88"/>
      <c r="Z71" s="89">
        <f t="shared" si="24"/>
        <v>0</v>
      </c>
      <c r="AC71" s="67"/>
    </row>
    <row r="72" spans="1:29">
      <c r="C72" s="4">
        <f>SUM(C66:C71)</f>
        <v>6</v>
      </c>
      <c r="D72" s="40" t="s">
        <v>4</v>
      </c>
      <c r="E72" s="40"/>
      <c r="F72" s="40"/>
      <c r="H72" s="101">
        <f>SUM(H66:H71)</f>
        <v>3244.5</v>
      </c>
      <c r="I72" s="41">
        <f>SUM(I66:I71)</f>
        <v>171.5</v>
      </c>
      <c r="J72" s="41">
        <f>SUM(J66:J71)</f>
        <v>0</v>
      </c>
      <c r="K72" s="52"/>
      <c r="L72" s="42">
        <f>SUM(L66:L71)</f>
        <v>82161.63</v>
      </c>
      <c r="M72" s="42">
        <f>SUM(M66:M71)</f>
        <v>6643.02</v>
      </c>
      <c r="N72" s="42">
        <f>SUM(N66:N71)</f>
        <v>0</v>
      </c>
      <c r="O72" s="42">
        <f>SUM(O66:O71)</f>
        <v>2400</v>
      </c>
      <c r="P72" s="42">
        <f>SUM(P66:P71)</f>
        <v>91204.65</v>
      </c>
      <c r="Q72" s="39"/>
      <c r="R72" s="94"/>
      <c r="S72" s="24"/>
      <c r="T72" s="95">
        <f>SUM(T66:T71)</f>
        <v>59111.71</v>
      </c>
      <c r="U72" s="95">
        <f>SUM(U66:U71)</f>
        <v>6643.02</v>
      </c>
      <c r="V72" s="95">
        <f>SUM(V66:V71)</f>
        <v>0</v>
      </c>
      <c r="W72" s="95">
        <f>SUM(W66:W71)</f>
        <v>2400</v>
      </c>
      <c r="X72" s="95">
        <f>SUM(X66:X71)</f>
        <v>68154.73</v>
      </c>
      <c r="Y72" s="88"/>
      <c r="Z72" s="96">
        <f t="shared" si="24"/>
        <v>-23049.919999999998</v>
      </c>
      <c r="AC72" s="67"/>
    </row>
    <row r="73" spans="1:29">
      <c r="H73" s="85"/>
      <c r="I73" s="51"/>
      <c r="J73" s="51"/>
      <c r="K73" s="52"/>
      <c r="L73" s="53"/>
      <c r="M73" s="53"/>
      <c r="N73" s="53"/>
      <c r="O73" s="53"/>
      <c r="P73" s="53"/>
      <c r="Q73" s="39"/>
      <c r="S73" s="24"/>
      <c r="Y73" s="88"/>
      <c r="AC73" s="67"/>
    </row>
    <row r="74" spans="1:29">
      <c r="C74" s="5" t="s">
        <v>56</v>
      </c>
      <c r="F74" s="34"/>
      <c r="H74" s="85"/>
      <c r="I74" s="51"/>
      <c r="J74" s="51"/>
      <c r="K74" s="52"/>
      <c r="L74" s="53"/>
      <c r="M74" s="53"/>
      <c r="N74" s="53"/>
      <c r="O74" s="53"/>
      <c r="P74" s="53"/>
      <c r="Q74" s="39"/>
      <c r="S74" s="24"/>
      <c r="Y74" s="88"/>
      <c r="AC74" s="67"/>
    </row>
    <row r="75" spans="1:29">
      <c r="A75" s="1">
        <f>A71+1</f>
        <v>51</v>
      </c>
      <c r="C75" s="1">
        <v>1</v>
      </c>
      <c r="D75" s="1" t="s">
        <v>128</v>
      </c>
      <c r="E75" s="1">
        <v>22</v>
      </c>
      <c r="F75" s="1" t="s">
        <v>73</v>
      </c>
      <c r="H75" s="85">
        <v>0</v>
      </c>
      <c r="I75" s="51">
        <v>0</v>
      </c>
      <c r="J75" s="51"/>
      <c r="K75" s="52"/>
      <c r="L75" s="53">
        <v>0</v>
      </c>
      <c r="M75" s="53">
        <v>0</v>
      </c>
      <c r="N75" s="53"/>
      <c r="O75" s="53"/>
      <c r="P75" s="53">
        <f>SUM(L75:O75)</f>
        <v>0</v>
      </c>
      <c r="Q75" s="39"/>
      <c r="R75" s="97">
        <v>0</v>
      </c>
      <c r="S75" s="24"/>
      <c r="T75" s="87">
        <f t="shared" ref="T75:T76" si="25">2080*R75</f>
        <v>0</v>
      </c>
      <c r="U75" s="87">
        <f t="shared" ref="U75:U76" si="26">(+I75*R75)*1.5</f>
        <v>0</v>
      </c>
      <c r="V75" s="87" t="str">
        <f t="shared" ref="V75:V76" si="27">IF(N75=0," ",+J75*R75)</f>
        <v xml:space="preserve"> </v>
      </c>
      <c r="W75" s="87" t="str">
        <f t="shared" ref="W75:W76" si="28">IF(O75=0," ",+O75)</f>
        <v xml:space="preserve"> </v>
      </c>
      <c r="X75" s="87">
        <f t="shared" ref="X75:X76" si="29">SUM(T75:W75)</f>
        <v>0</v>
      </c>
      <c r="Y75" s="88"/>
      <c r="Z75" s="89">
        <f t="shared" ref="Z75:Z78" si="30">X75-P75</f>
        <v>0</v>
      </c>
      <c r="AC75" s="67"/>
    </row>
    <row r="76" spans="1:29">
      <c r="A76" s="1">
        <f t="shared" si="2"/>
        <v>52</v>
      </c>
      <c r="C76" s="1">
        <v>1</v>
      </c>
      <c r="D76" s="1" t="s">
        <v>129</v>
      </c>
      <c r="E76" s="1">
        <v>195</v>
      </c>
      <c r="F76" s="1" t="s">
        <v>73</v>
      </c>
      <c r="H76" s="51">
        <v>0</v>
      </c>
      <c r="I76" s="51">
        <v>0</v>
      </c>
      <c r="J76" s="51"/>
      <c r="K76" s="52"/>
      <c r="L76" s="53">
        <v>0</v>
      </c>
      <c r="M76" s="53">
        <v>0</v>
      </c>
      <c r="N76" s="53"/>
      <c r="O76" s="53"/>
      <c r="P76" s="53">
        <f>SUM(L76:O76)</f>
        <v>0</v>
      </c>
      <c r="Q76" s="39"/>
      <c r="R76" s="97">
        <v>0</v>
      </c>
      <c r="S76" s="24"/>
      <c r="T76" s="87">
        <f t="shared" si="25"/>
        <v>0</v>
      </c>
      <c r="U76" s="87">
        <f t="shared" si="26"/>
        <v>0</v>
      </c>
      <c r="V76" s="87" t="str">
        <f t="shared" si="27"/>
        <v xml:space="preserve"> </v>
      </c>
      <c r="W76" s="87" t="str">
        <f t="shared" si="28"/>
        <v xml:space="preserve"> </v>
      </c>
      <c r="X76" s="87">
        <f t="shared" si="29"/>
        <v>0</v>
      </c>
      <c r="Y76" s="88"/>
      <c r="Z76" s="89">
        <f t="shared" si="30"/>
        <v>0</v>
      </c>
      <c r="AC76" s="67"/>
    </row>
    <row r="77" spans="1:29">
      <c r="A77" s="1" t="s">
        <v>131</v>
      </c>
      <c r="H77" s="51"/>
      <c r="I77" s="51"/>
      <c r="J77" s="51"/>
      <c r="K77" s="52"/>
      <c r="L77" s="53"/>
      <c r="M77" s="53"/>
      <c r="N77" s="53"/>
      <c r="O77" s="53"/>
      <c r="P77" s="53"/>
      <c r="Q77" s="39"/>
      <c r="R77" s="97"/>
      <c r="S77" s="24"/>
      <c r="T77" s="87"/>
      <c r="U77" s="87"/>
      <c r="V77" s="87" t="str">
        <f>IF(N77=0," ",+J77*R77)</f>
        <v xml:space="preserve"> </v>
      </c>
      <c r="W77" s="87" t="str">
        <f>IF(O77=0," ",+O77)</f>
        <v xml:space="preserve"> </v>
      </c>
      <c r="X77" s="87">
        <f>SUM(T77:W77)</f>
        <v>0</v>
      </c>
      <c r="Y77" s="88"/>
      <c r="Z77" s="89">
        <f t="shared" si="30"/>
        <v>0</v>
      </c>
      <c r="AC77" s="67"/>
    </row>
    <row r="78" spans="1:29">
      <c r="A78" s="1" t="s">
        <v>131</v>
      </c>
      <c r="C78" s="4">
        <f>SUM(C75:C77)</f>
        <v>2</v>
      </c>
      <c r="D78" s="40" t="s">
        <v>4</v>
      </c>
      <c r="E78" s="40"/>
      <c r="F78" s="40"/>
      <c r="H78" s="41">
        <f t="shared" ref="H78:P78" si="31">SUM(H75:H77)</f>
        <v>0</v>
      </c>
      <c r="I78" s="41">
        <f t="shared" si="31"/>
        <v>0</v>
      </c>
      <c r="J78" s="41">
        <f t="shared" si="31"/>
        <v>0</v>
      </c>
      <c r="K78" s="52"/>
      <c r="L78" s="42">
        <f t="shared" si="31"/>
        <v>0</v>
      </c>
      <c r="M78" s="42">
        <f t="shared" si="31"/>
        <v>0</v>
      </c>
      <c r="N78" s="42">
        <f t="shared" si="31"/>
        <v>0</v>
      </c>
      <c r="O78" s="42">
        <f t="shared" si="31"/>
        <v>0</v>
      </c>
      <c r="P78" s="42">
        <f t="shared" si="31"/>
        <v>0</v>
      </c>
      <c r="Q78" s="39"/>
      <c r="R78" s="94"/>
      <c r="S78" s="24"/>
      <c r="T78" s="95">
        <f>SUM(T75:T77)</f>
        <v>0</v>
      </c>
      <c r="U78" s="95">
        <f>SUM(U75:U77)</f>
        <v>0</v>
      </c>
      <c r="V78" s="95">
        <f>SUM(V75:V77)</f>
        <v>0</v>
      </c>
      <c r="W78" s="95">
        <f>SUM(W75:W77)</f>
        <v>0</v>
      </c>
      <c r="X78" s="105">
        <f>SUM(X75:X77)</f>
        <v>0</v>
      </c>
      <c r="Y78" s="88"/>
      <c r="Z78" s="96">
        <f t="shared" si="30"/>
        <v>0</v>
      </c>
      <c r="AC78" s="67"/>
    </row>
    <row r="79" spans="1:29">
      <c r="A79" s="1" t="s">
        <v>131</v>
      </c>
      <c r="H79" s="51"/>
      <c r="I79" s="51"/>
      <c r="J79" s="51"/>
      <c r="K79" s="52"/>
      <c r="L79" s="53"/>
      <c r="M79" s="53"/>
      <c r="N79" s="53"/>
      <c r="O79" s="53"/>
      <c r="P79" s="53"/>
      <c r="Q79" s="39"/>
      <c r="S79" s="24"/>
      <c r="Y79" s="88"/>
      <c r="AC79" s="67"/>
    </row>
    <row r="80" spans="1:29" s="58" customFormat="1" ht="15.75" customHeight="1">
      <c r="A80" s="16" t="s">
        <v>131</v>
      </c>
      <c r="C80" s="59">
        <f>C24+C63</f>
        <v>44</v>
      </c>
      <c r="D80" s="59" t="s">
        <v>1</v>
      </c>
      <c r="E80" s="59"/>
      <c r="F80" s="59"/>
      <c r="G80" s="16"/>
      <c r="H80" s="60">
        <f>H24+H63+H72+H78</f>
        <v>84551.5</v>
      </c>
      <c r="I80" s="60">
        <f>I24+I63+I72+I78</f>
        <v>6599.5</v>
      </c>
      <c r="J80" s="60">
        <f>J24+J63+J72+J78</f>
        <v>0</v>
      </c>
      <c r="K80" s="61"/>
      <c r="L80" s="62">
        <f>L24+L63+L72+L78</f>
        <v>2825171.5999999996</v>
      </c>
      <c r="M80" s="62">
        <f>M24+M63+M72+M78</f>
        <v>371205.42000000004</v>
      </c>
      <c r="N80" s="62">
        <f>N24+N63+N72+N78</f>
        <v>0</v>
      </c>
      <c r="O80" s="62">
        <f>O24+O63+O72+O78</f>
        <v>51600</v>
      </c>
      <c r="P80" s="62">
        <f>P24+P63+P72+P78</f>
        <v>3247977.0199999991</v>
      </c>
      <c r="Q80" s="63"/>
      <c r="R80" s="106"/>
      <c r="S80" s="24"/>
      <c r="T80" s="107">
        <f>T24+T63+T72+T78</f>
        <v>2876554.9099999997</v>
      </c>
      <c r="U80" s="107">
        <f>U24+U63+U72+U78</f>
        <v>356613.04500000004</v>
      </c>
      <c r="V80" s="107">
        <f>V24+V63+V72+V78</f>
        <v>0</v>
      </c>
      <c r="W80" s="107">
        <f>W24+W63+W72+W78</f>
        <v>40800</v>
      </c>
      <c r="X80" s="107">
        <f>X24+X63+X72+X78</f>
        <v>3273967.9549999996</v>
      </c>
      <c r="Y80" s="108"/>
      <c r="Z80" s="109">
        <f>X80-P80</f>
        <v>25990.935000000522</v>
      </c>
      <c r="AB80" s="55"/>
      <c r="AC80" s="67"/>
    </row>
    <row r="81" spans="1:29" s="58" customFormat="1">
      <c r="A81" s="16" t="s">
        <v>131</v>
      </c>
      <c r="C81" s="16"/>
      <c r="D81" s="16"/>
      <c r="E81" s="16"/>
      <c r="F81" s="16"/>
      <c r="G81" s="16"/>
      <c r="K81" s="61"/>
      <c r="Q81" s="63"/>
      <c r="S81" s="24"/>
      <c r="Y81" s="108"/>
      <c r="AB81" s="55"/>
      <c r="AC81" s="67"/>
    </row>
    <row r="82" spans="1:29" s="58" customFormat="1" ht="13.5" customHeight="1" thickBot="1">
      <c r="A82" s="16" t="s">
        <v>130</v>
      </c>
      <c r="C82" s="65"/>
      <c r="D82" s="74" t="s">
        <v>2</v>
      </c>
      <c r="E82" s="74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110">
        <f>Z80</f>
        <v>25990.935000000522</v>
      </c>
      <c r="AB82" s="55"/>
      <c r="AC82" s="67"/>
    </row>
    <row r="83" spans="1:29" ht="13.5" thickTop="1">
      <c r="A83" s="16"/>
    </row>
    <row r="84" spans="1:29">
      <c r="A84" s="16"/>
      <c r="D84" s="73" t="s">
        <v>84</v>
      </c>
      <c r="E84" s="73"/>
      <c r="H84" s="1" t="s">
        <v>73</v>
      </c>
      <c r="I84" s="2" t="s">
        <v>75</v>
      </c>
      <c r="L84" s="1" t="s">
        <v>74</v>
      </c>
      <c r="M84" s="2" t="s">
        <v>143</v>
      </c>
      <c r="AB84" s="64"/>
    </row>
    <row r="85" spans="1:29">
      <c r="A85" s="16"/>
      <c r="AB85" s="64"/>
    </row>
    <row r="86" spans="1:29" ht="15.75" customHeight="1">
      <c r="A86" s="16"/>
      <c r="B86" s="57"/>
      <c r="C86" s="125" t="s">
        <v>80</v>
      </c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57"/>
      <c r="Z86" s="57"/>
      <c r="AB86" s="64"/>
    </row>
    <row r="88" spans="1:29">
      <c r="A88" s="16"/>
      <c r="D88" s="8" t="s">
        <v>37</v>
      </c>
      <c r="E88" s="8"/>
      <c r="L88" s="72" t="s">
        <v>85</v>
      </c>
      <c r="M88" s="72" t="s">
        <v>83</v>
      </c>
      <c r="N88" s="72"/>
      <c r="O88" s="72"/>
      <c r="P88" s="72" t="s">
        <v>2</v>
      </c>
      <c r="Q88" s="71"/>
    </row>
    <row r="89" spans="1:29" ht="3.75" customHeight="1">
      <c r="A89" s="16"/>
    </row>
    <row r="90" spans="1:29">
      <c r="A90" s="16"/>
      <c r="C90" s="2"/>
      <c r="D90" s="1" t="s">
        <v>46</v>
      </c>
      <c r="E90" s="1" t="s">
        <v>46</v>
      </c>
      <c r="F90" s="2" t="s">
        <v>47</v>
      </c>
      <c r="H90" s="1"/>
      <c r="L90" s="19">
        <f>L117+L118+L119+L120+L121</f>
        <v>747313</v>
      </c>
      <c r="M90" s="20">
        <f>M117+M118+M119+M120+M121</f>
        <v>0.13889360243740745</v>
      </c>
      <c r="P90" s="67">
        <f>$Z$82*M90</f>
        <v>3609.9745928665711</v>
      </c>
    </row>
    <row r="91" spans="1:29">
      <c r="A91" s="16"/>
      <c r="C91" s="2"/>
      <c r="D91" s="1" t="s">
        <v>48</v>
      </c>
      <c r="E91" s="1" t="s">
        <v>48</v>
      </c>
      <c r="F91" s="2" t="s">
        <v>49</v>
      </c>
      <c r="H91" s="1"/>
      <c r="L91" s="19">
        <f>L122+L123+L124+L125+L126</f>
        <v>1036760</v>
      </c>
      <c r="M91" s="20">
        <f>M122+M123+M124+M125+M126</f>
        <v>0.19268945042171959</v>
      </c>
      <c r="P91" s="67">
        <f>$Z$82*M91</f>
        <v>5008.1789810967366</v>
      </c>
    </row>
    <row r="92" spans="1:29">
      <c r="A92" s="16"/>
      <c r="C92" s="2"/>
      <c r="D92" s="1" t="s">
        <v>50</v>
      </c>
      <c r="E92" s="1" t="s">
        <v>50</v>
      </c>
      <c r="F92" s="2" t="s">
        <v>10</v>
      </c>
      <c r="H92" s="1"/>
      <c r="L92" s="19">
        <f>L127+L128</f>
        <v>617810</v>
      </c>
      <c r="M92" s="20">
        <f>M127+M128</f>
        <v>0.11482452000949359</v>
      </c>
      <c r="P92" s="67">
        <f>$Z$82*M92</f>
        <v>2984.3966359730071</v>
      </c>
    </row>
    <row r="93" spans="1:29">
      <c r="A93" s="16"/>
      <c r="C93" s="2"/>
      <c r="D93" s="1" t="s">
        <v>51</v>
      </c>
      <c r="E93" s="1" t="s">
        <v>51</v>
      </c>
      <c r="F93" s="2" t="s">
        <v>8</v>
      </c>
      <c r="H93" s="1"/>
      <c r="L93" s="19">
        <f>L129</f>
        <v>99080</v>
      </c>
      <c r="M93" s="20">
        <f>M129</f>
        <v>1.8414744731455667E-2</v>
      </c>
      <c r="P93" s="67">
        <f>$Z$82*M93</f>
        <v>478.61643335686631</v>
      </c>
    </row>
    <row r="94" spans="1:29">
      <c r="A94" s="16"/>
      <c r="C94" s="2"/>
      <c r="D94" s="1" t="s">
        <v>52</v>
      </c>
      <c r="E94" s="1" t="s">
        <v>52</v>
      </c>
      <c r="F94" s="2" t="s">
        <v>35</v>
      </c>
      <c r="H94" s="1"/>
      <c r="L94" s="19">
        <f>L130+L131+L132</f>
        <v>1127737</v>
      </c>
      <c r="M94" s="20">
        <f>M130+M131+M132</f>
        <v>0.20959819316933406</v>
      </c>
      <c r="P94" s="67">
        <f>$Z$82*M94</f>
        <v>5447.6530147817148</v>
      </c>
    </row>
    <row r="95" spans="1:29" ht="15" customHeight="1">
      <c r="A95" s="16"/>
      <c r="C95" s="2"/>
      <c r="D95" s="4"/>
      <c r="E95" s="4"/>
      <c r="F95" s="11"/>
      <c r="G95" s="4"/>
      <c r="H95" s="4"/>
      <c r="I95" s="11" t="s">
        <v>4</v>
      </c>
      <c r="J95" s="11"/>
      <c r="K95" s="116">
        <f>SUM(L90:L94)</f>
        <v>3628700</v>
      </c>
      <c r="L95" s="116"/>
      <c r="M95" s="13">
        <f>SUM(M90:M94)</f>
        <v>0.67442051076941034</v>
      </c>
      <c r="P95" s="75">
        <f>SUM(P90:P94)</f>
        <v>17528.819658074895</v>
      </c>
    </row>
    <row r="96" spans="1:29" ht="5.25" customHeight="1">
      <c r="A96" s="16"/>
      <c r="C96" s="2"/>
      <c r="F96" s="2"/>
      <c r="H96" s="1"/>
      <c r="K96" s="66"/>
      <c r="L96" s="66"/>
      <c r="M96" s="20"/>
    </row>
    <row r="97" spans="1:17">
      <c r="A97" s="16"/>
      <c r="C97" s="2"/>
      <c r="D97" s="1" t="s">
        <v>38</v>
      </c>
      <c r="E97" s="1" t="s">
        <v>38</v>
      </c>
      <c r="F97" s="2" t="s">
        <v>39</v>
      </c>
      <c r="H97" s="1"/>
      <c r="L97" s="19">
        <f>L112+L113</f>
        <v>1343199</v>
      </c>
      <c r="M97" s="20">
        <f>M112+M113</f>
        <v>0.24964338623886273</v>
      </c>
      <c r="P97" s="67">
        <f>$Z$82*M97</f>
        <v>6488.465024914306</v>
      </c>
    </row>
    <row r="98" spans="1:17">
      <c r="A98" s="16"/>
      <c r="C98" s="2"/>
      <c r="D98" s="1" t="s">
        <v>40</v>
      </c>
      <c r="E98" s="1" t="s">
        <v>40</v>
      </c>
      <c r="F98" s="2" t="s">
        <v>41</v>
      </c>
      <c r="H98" s="1"/>
      <c r="L98" s="19">
        <f t="shared" ref="L98:M100" si="32">L114</f>
        <v>85852</v>
      </c>
      <c r="M98" s="20">
        <f t="shared" si="32"/>
        <v>1.5956223906791803E-2</v>
      </c>
      <c r="P98" s="67">
        <f>$Z$82*M98</f>
        <v>414.71717840688012</v>
      </c>
    </row>
    <row r="99" spans="1:17">
      <c r="A99" s="16"/>
      <c r="C99" s="2"/>
      <c r="D99" s="1" t="s">
        <v>42</v>
      </c>
      <c r="E99" s="1" t="s">
        <v>42</v>
      </c>
      <c r="F99" s="2" t="s">
        <v>43</v>
      </c>
      <c r="H99" s="1"/>
      <c r="L99" s="19">
        <f t="shared" si="32"/>
        <v>125497</v>
      </c>
      <c r="M99" s="20">
        <f t="shared" si="32"/>
        <v>2.3324537944726401E-2</v>
      </c>
      <c r="P99" s="67">
        <f>$Z$82*M99</f>
        <v>606.22654962642969</v>
      </c>
    </row>
    <row r="100" spans="1:17">
      <c r="A100" s="16"/>
      <c r="C100" s="2"/>
      <c r="D100" s="1" t="s">
        <v>44</v>
      </c>
      <c r="E100" s="1" t="s">
        <v>44</v>
      </c>
      <c r="F100" s="2" t="s">
        <v>45</v>
      </c>
      <c r="H100" s="1"/>
      <c r="L100" s="19">
        <f t="shared" si="32"/>
        <v>197223</v>
      </c>
      <c r="M100" s="20">
        <f t="shared" si="32"/>
        <v>3.6655341140208728E-2</v>
      </c>
      <c r="P100" s="67">
        <f>$Z$82*M100</f>
        <v>952.70658897801002</v>
      </c>
    </row>
    <row r="101" spans="1:17" ht="15" customHeight="1">
      <c r="A101" s="16"/>
      <c r="C101" s="2"/>
      <c r="D101" s="4"/>
      <c r="E101" s="4"/>
      <c r="F101" s="11"/>
      <c r="G101" s="4"/>
      <c r="H101" s="4"/>
      <c r="I101" s="11" t="s">
        <v>4</v>
      </c>
      <c r="J101" s="11"/>
      <c r="K101" s="116">
        <f>SUM(L97:L100)</f>
        <v>1751771</v>
      </c>
      <c r="L101" s="116"/>
      <c r="M101" s="13">
        <f>SUM(M97:M100)</f>
        <v>0.32557948923058966</v>
      </c>
      <c r="P101" s="68">
        <f>SUM(P97:P100)</f>
        <v>8462.1153419256261</v>
      </c>
    </row>
    <row r="102" spans="1:17" ht="5.25" customHeight="1">
      <c r="A102" s="16"/>
      <c r="C102" s="2"/>
      <c r="F102" s="2"/>
      <c r="H102" s="1"/>
      <c r="K102" s="66"/>
      <c r="L102" s="66"/>
      <c r="M102" s="20"/>
    </row>
    <row r="103" spans="1:17" ht="15" customHeight="1" thickBot="1">
      <c r="A103" s="16"/>
      <c r="C103" s="2"/>
      <c r="D103" s="15"/>
      <c r="E103" s="15"/>
      <c r="F103" s="3" t="s">
        <v>7</v>
      </c>
      <c r="G103" s="15"/>
      <c r="H103" s="15"/>
      <c r="I103" s="3"/>
      <c r="J103" s="3"/>
      <c r="K103" s="126">
        <f>K95+K101</f>
        <v>5380471</v>
      </c>
      <c r="L103" s="126"/>
      <c r="M103" s="69">
        <f>M95+M101</f>
        <v>1</v>
      </c>
      <c r="P103" s="70">
        <f>P95+P101</f>
        <v>25990.935000000522</v>
      </c>
      <c r="Q103" s="70"/>
    </row>
    <row r="104" spans="1:17" ht="13.5" thickTop="1"/>
    <row r="108" spans="1:17">
      <c r="D108" s="8" t="s">
        <v>53</v>
      </c>
      <c r="E108" s="8" t="s">
        <v>53</v>
      </c>
    </row>
    <row r="109" spans="1:17">
      <c r="J109" s="1"/>
      <c r="K109" s="1"/>
      <c r="L109" s="2">
        <v>2023</v>
      </c>
    </row>
    <row r="110" spans="1:17">
      <c r="D110" s="8" t="s">
        <v>82</v>
      </c>
      <c r="E110" s="8" t="s">
        <v>82</v>
      </c>
      <c r="F110" s="8" t="s">
        <v>13</v>
      </c>
      <c r="G110" s="8"/>
      <c r="L110" s="9" t="s">
        <v>14</v>
      </c>
      <c r="M110" s="9" t="s">
        <v>15</v>
      </c>
    </row>
    <row r="111" spans="1:17">
      <c r="F111" s="2"/>
    </row>
    <row r="112" spans="1:17">
      <c r="D112" s="7">
        <v>107.2</v>
      </c>
      <c r="E112" s="7">
        <v>107.2</v>
      </c>
      <c r="F112" s="2" t="s">
        <v>16</v>
      </c>
      <c r="L112" s="82">
        <v>982206</v>
      </c>
      <c r="M112" s="10">
        <f t="shared" ref="M112:M132" si="33">L112/K$133</f>
        <v>0.18255018937933129</v>
      </c>
    </row>
    <row r="113" spans="4:13">
      <c r="D113" s="7">
        <v>108.8</v>
      </c>
      <c r="E113" s="7">
        <v>108.8</v>
      </c>
      <c r="F113" s="2" t="s">
        <v>17</v>
      </c>
      <c r="L113" s="82">
        <v>360993</v>
      </c>
      <c r="M113" s="10">
        <f t="shared" si="33"/>
        <v>6.709319685953144E-2</v>
      </c>
    </row>
    <row r="114" spans="4:13">
      <c r="D114" s="7">
        <v>163</v>
      </c>
      <c r="E114" s="7">
        <v>163</v>
      </c>
      <c r="F114" s="2" t="s">
        <v>18</v>
      </c>
      <c r="L114" s="82">
        <v>85852</v>
      </c>
      <c r="M114" s="10">
        <f t="shared" si="33"/>
        <v>1.5956223906791803E-2</v>
      </c>
    </row>
    <row r="115" spans="4:13">
      <c r="D115" s="7">
        <v>184.1</v>
      </c>
      <c r="E115" s="7">
        <v>184.1</v>
      </c>
      <c r="F115" s="2" t="s">
        <v>19</v>
      </c>
      <c r="L115" s="82">
        <v>125497</v>
      </c>
      <c r="M115" s="10">
        <f t="shared" si="33"/>
        <v>2.3324537944726401E-2</v>
      </c>
    </row>
    <row r="116" spans="4:13">
      <c r="D116" s="7">
        <v>242</v>
      </c>
      <c r="E116" s="7">
        <v>242</v>
      </c>
      <c r="F116" s="2" t="s">
        <v>20</v>
      </c>
      <c r="L116" s="82">
        <v>197223</v>
      </c>
      <c r="M116" s="10">
        <f t="shared" si="33"/>
        <v>3.6655341140208728E-2</v>
      </c>
    </row>
    <row r="117" spans="4:13">
      <c r="D117" s="7">
        <v>580</v>
      </c>
      <c r="E117" s="7">
        <v>580</v>
      </c>
      <c r="F117" s="2" t="s">
        <v>21</v>
      </c>
      <c r="L117" s="82">
        <v>181408</v>
      </c>
      <c r="M117" s="10">
        <f t="shared" si="33"/>
        <v>3.3716007390431062E-2</v>
      </c>
    </row>
    <row r="118" spans="4:13">
      <c r="D118" s="7">
        <v>583</v>
      </c>
      <c r="E118" s="7">
        <v>583</v>
      </c>
      <c r="F118" s="2" t="s">
        <v>22</v>
      </c>
      <c r="L118" s="82">
        <v>28742</v>
      </c>
      <c r="M118" s="10">
        <f t="shared" si="33"/>
        <v>5.3419115166683361E-3</v>
      </c>
    </row>
    <row r="119" spans="4:13">
      <c r="D119" s="7">
        <v>586</v>
      </c>
      <c r="E119" s="7">
        <v>586</v>
      </c>
      <c r="F119" s="2" t="s">
        <v>23</v>
      </c>
      <c r="L119" s="82">
        <v>467712</v>
      </c>
      <c r="M119" s="10">
        <f t="shared" si="33"/>
        <v>8.6927705771483579E-2</v>
      </c>
    </row>
    <row r="120" spans="4:13">
      <c r="D120" s="7">
        <v>587</v>
      </c>
      <c r="E120" s="7">
        <v>587</v>
      </c>
      <c r="F120" s="2" t="s">
        <v>24</v>
      </c>
      <c r="L120" s="82">
        <v>0</v>
      </c>
      <c r="M120" s="10">
        <f t="shared" si="33"/>
        <v>0</v>
      </c>
    </row>
    <row r="121" spans="4:13">
      <c r="D121" s="7">
        <v>588</v>
      </c>
      <c r="E121" s="7">
        <v>588</v>
      </c>
      <c r="F121" s="2" t="s">
        <v>25</v>
      </c>
      <c r="L121" s="82">
        <v>69451</v>
      </c>
      <c r="M121" s="10">
        <f t="shared" si="33"/>
        <v>1.2907977758824459E-2</v>
      </c>
    </row>
    <row r="122" spans="4:13">
      <c r="D122" s="7">
        <v>590</v>
      </c>
      <c r="E122" s="7">
        <v>590</v>
      </c>
      <c r="F122" s="2" t="s">
        <v>26</v>
      </c>
      <c r="L122" s="82">
        <v>196498</v>
      </c>
      <c r="M122" s="10">
        <f t="shared" si="33"/>
        <v>3.6520594572482593E-2</v>
      </c>
    </row>
    <row r="123" spans="4:13">
      <c r="D123" s="7">
        <v>593</v>
      </c>
      <c r="E123" s="7">
        <v>593</v>
      </c>
      <c r="F123" s="2" t="s">
        <v>27</v>
      </c>
      <c r="L123" s="82">
        <f>664552+147071+6041+987</f>
        <v>818651</v>
      </c>
      <c r="M123" s="10">
        <f t="shared" si="33"/>
        <v>0.15215229298698943</v>
      </c>
    </row>
    <row r="124" spans="4:13">
      <c r="D124" s="7">
        <v>595</v>
      </c>
      <c r="E124" s="7">
        <v>595</v>
      </c>
      <c r="F124" s="2" t="s">
        <v>28</v>
      </c>
      <c r="L124" s="82">
        <v>1511</v>
      </c>
      <c r="M124" s="10">
        <f t="shared" si="33"/>
        <v>2.8083043287474276E-4</v>
      </c>
    </row>
    <row r="125" spans="4:13">
      <c r="D125" s="7">
        <v>597</v>
      </c>
      <c r="E125" s="7">
        <v>597</v>
      </c>
      <c r="F125" s="2" t="s">
        <v>29</v>
      </c>
      <c r="L125" s="82">
        <v>0</v>
      </c>
      <c r="M125" s="10">
        <f t="shared" si="33"/>
        <v>0</v>
      </c>
    </row>
    <row r="126" spans="4:13">
      <c r="D126" s="7">
        <v>598</v>
      </c>
      <c r="E126" s="7">
        <v>598</v>
      </c>
      <c r="F126" s="2" t="s">
        <v>30</v>
      </c>
      <c r="L126" s="82">
        <v>20100</v>
      </c>
      <c r="M126" s="10">
        <f t="shared" si="33"/>
        <v>3.7357324293728188E-3</v>
      </c>
    </row>
    <row r="127" spans="4:13">
      <c r="D127" s="7">
        <v>902</v>
      </c>
      <c r="E127" s="7">
        <v>902</v>
      </c>
      <c r="F127" s="2" t="s">
        <v>31</v>
      </c>
      <c r="L127" s="82">
        <v>125831</v>
      </c>
      <c r="M127" s="10">
        <f t="shared" si="33"/>
        <v>2.338661429454782E-2</v>
      </c>
    </row>
    <row r="128" spans="4:13">
      <c r="D128" s="7">
        <v>903</v>
      </c>
      <c r="E128" s="7">
        <v>903</v>
      </c>
      <c r="F128" s="2" t="s">
        <v>32</v>
      </c>
      <c r="L128" s="82">
        <v>491979</v>
      </c>
      <c r="M128" s="10">
        <f t="shared" si="33"/>
        <v>9.1437905714945769E-2</v>
      </c>
    </row>
    <row r="129" spans="4:13">
      <c r="D129" s="56" t="s">
        <v>33</v>
      </c>
      <c r="E129" s="56" t="s">
        <v>33</v>
      </c>
      <c r="F129" s="2" t="s">
        <v>34</v>
      </c>
      <c r="L129" s="82">
        <v>99080</v>
      </c>
      <c r="M129" s="10">
        <f t="shared" si="33"/>
        <v>1.8414744731455667E-2</v>
      </c>
    </row>
    <row r="130" spans="4:13">
      <c r="D130" s="7">
        <v>920</v>
      </c>
      <c r="E130" s="7">
        <v>920</v>
      </c>
      <c r="F130" s="2" t="s">
        <v>35</v>
      </c>
      <c r="L130" s="82">
        <v>724000</v>
      </c>
      <c r="M130" s="10">
        <f t="shared" si="33"/>
        <v>0.13456071039133935</v>
      </c>
    </row>
    <row r="131" spans="4:13">
      <c r="D131" s="7">
        <v>926</v>
      </c>
      <c r="E131" s="7">
        <v>926</v>
      </c>
      <c r="F131" s="2" t="s">
        <v>36</v>
      </c>
      <c r="L131" s="82">
        <v>400023</v>
      </c>
      <c r="M131" s="10">
        <f t="shared" si="33"/>
        <v>7.4347208636567325E-2</v>
      </c>
    </row>
    <row r="132" spans="4:13">
      <c r="D132" s="7">
        <v>930.2</v>
      </c>
      <c r="E132" s="7">
        <v>932.2</v>
      </c>
      <c r="F132" s="2"/>
      <c r="L132" s="82">
        <v>3714</v>
      </c>
      <c r="M132" s="10">
        <f t="shared" si="33"/>
        <v>6.9027414142739545E-4</v>
      </c>
    </row>
    <row r="133" spans="4:13" ht="15" customHeight="1">
      <c r="D133" s="4"/>
      <c r="E133" s="4"/>
      <c r="F133" s="11" t="s">
        <v>7</v>
      </c>
      <c r="G133" s="4"/>
      <c r="H133" s="11"/>
      <c r="I133" s="11"/>
      <c r="J133" s="11"/>
      <c r="K133" s="116">
        <f>SUM(L112:L132)</f>
        <v>5380471</v>
      </c>
      <c r="L133" s="116"/>
      <c r="M133" s="12">
        <f>K133/K$133</f>
        <v>1</v>
      </c>
    </row>
    <row r="136" spans="4:13">
      <c r="F136" s="2" t="s">
        <v>47</v>
      </c>
      <c r="L136" s="67">
        <f>L117+L118+L119+L120+L121</f>
        <v>747313</v>
      </c>
      <c r="M136" s="83">
        <f>L136/L$147</f>
        <v>0.13889360243740742</v>
      </c>
    </row>
    <row r="137" spans="4:13">
      <c r="F137" s="2" t="s">
        <v>49</v>
      </c>
      <c r="L137" s="67">
        <f>L122+L123+L124+L125+L126</f>
        <v>1036760</v>
      </c>
      <c r="M137" s="83">
        <f t="shared" ref="M137:M147" si="34">L137/L$147</f>
        <v>0.19268945042171959</v>
      </c>
    </row>
    <row r="138" spans="4:13">
      <c r="F138" s="2" t="s">
        <v>10</v>
      </c>
      <c r="L138" s="67">
        <f>L127+L128</f>
        <v>617810</v>
      </c>
      <c r="M138" s="83">
        <f t="shared" si="34"/>
        <v>0.11482452000949359</v>
      </c>
    </row>
    <row r="139" spans="4:13">
      <c r="F139" s="2" t="s">
        <v>8</v>
      </c>
      <c r="L139" s="67">
        <f>L129</f>
        <v>99080</v>
      </c>
      <c r="M139" s="83">
        <f t="shared" si="34"/>
        <v>1.8414744731455667E-2</v>
      </c>
    </row>
    <row r="140" spans="4:13">
      <c r="F140" s="2" t="s">
        <v>35</v>
      </c>
      <c r="L140" s="67">
        <f>L130+L131+L132</f>
        <v>1127737</v>
      </c>
      <c r="M140" s="83">
        <f t="shared" si="34"/>
        <v>0.20959819316933406</v>
      </c>
    </row>
    <row r="141" spans="4:13">
      <c r="F141" s="11" t="s">
        <v>4</v>
      </c>
      <c r="L141" s="68">
        <f>SUM(L136:L140)</f>
        <v>3628700</v>
      </c>
      <c r="M141" s="84">
        <f t="shared" si="34"/>
        <v>0.67442051076941034</v>
      </c>
    </row>
    <row r="142" spans="4:13">
      <c r="F142" s="2"/>
      <c r="M142" s="83"/>
    </row>
    <row r="143" spans="4:13">
      <c r="F143" s="2" t="s">
        <v>86</v>
      </c>
      <c r="L143" s="67">
        <f>L112+L113</f>
        <v>1343199</v>
      </c>
      <c r="M143" s="83">
        <f t="shared" si="34"/>
        <v>0.24964338623886273</v>
      </c>
    </row>
    <row r="144" spans="4:13">
      <c r="F144" s="2" t="s">
        <v>6</v>
      </c>
      <c r="L144" s="67">
        <f>L114+L115+L116</f>
        <v>408572</v>
      </c>
      <c r="M144" s="83">
        <f t="shared" si="34"/>
        <v>7.5936102991726928E-2</v>
      </c>
    </row>
    <row r="145" spans="6:13">
      <c r="F145" s="11" t="s">
        <v>4</v>
      </c>
      <c r="L145" s="68">
        <f>SUM(L143:L144)</f>
        <v>1751771</v>
      </c>
      <c r="M145" s="84">
        <f t="shared" si="34"/>
        <v>0.32557948923058966</v>
      </c>
    </row>
    <row r="146" spans="6:13">
      <c r="F146" s="2"/>
      <c r="M146" s="83"/>
    </row>
    <row r="147" spans="6:13" ht="13.5" thickBot="1">
      <c r="F147" s="3" t="s">
        <v>7</v>
      </c>
      <c r="L147" s="67">
        <f>L141+L145</f>
        <v>5380471</v>
      </c>
      <c r="M147" s="83">
        <f t="shared" si="34"/>
        <v>1</v>
      </c>
    </row>
    <row r="148" spans="6:13" ht="13.5" thickTop="1"/>
  </sheetData>
  <mergeCells count="17">
    <mergeCell ref="K133:L133"/>
    <mergeCell ref="T12:X12"/>
    <mergeCell ref="H13:J13"/>
    <mergeCell ref="T13:U13"/>
    <mergeCell ref="C86:X86"/>
    <mergeCell ref="K95:L95"/>
    <mergeCell ref="K101:L101"/>
    <mergeCell ref="K103:L103"/>
    <mergeCell ref="A3:Z3"/>
    <mergeCell ref="A4:Z4"/>
    <mergeCell ref="A6:Z6"/>
    <mergeCell ref="C8:F8"/>
    <mergeCell ref="H8:J8"/>
    <mergeCell ref="L8:P8"/>
    <mergeCell ref="R8:R9"/>
    <mergeCell ref="T8:X8"/>
    <mergeCell ref="Z8:Z9"/>
  </mergeCells>
  <phoneticPr fontId="11" type="noConversion"/>
  <printOptions gridLines="1"/>
  <pageMargins left="0.25" right="0.25" top="0.75" bottom="0.5" header="0.5" footer="0.5"/>
  <pageSetup scale="37" orientation="landscape" r:id="rId1"/>
  <headerFooter alignWithMargins="0">
    <oddFooter>&amp;RExhibit JW-2
Page &amp;P of &amp;N</oddFooter>
  </headerFooter>
  <rowBreaks count="1" manualBreakCount="1">
    <brk id="63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1.10 Wage</vt:lpstr>
      <vt:lpstr>'1.10 Wage'!Print_Area</vt:lpstr>
      <vt:lpstr>'1.10 Wage'!Print_Titles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Robin Slone</cp:lastModifiedBy>
  <cp:lastPrinted>2024-12-09T12:18:57Z</cp:lastPrinted>
  <dcterms:created xsi:type="dcterms:W3CDTF">2012-11-02T18:45:21Z</dcterms:created>
  <dcterms:modified xsi:type="dcterms:W3CDTF">2024-12-09T19:26:25Z</dcterms:modified>
</cp:coreProperties>
</file>