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Big Sandy/2024 Rate Case 2024-00287/COS ^0 Rates/"/>
    </mc:Choice>
  </mc:AlternateContent>
  <xr:revisionPtr revIDLastSave="41" documentId="8_{728E34F9-DF77-4023-8715-27F1CA127C52}" xr6:coauthVersionLast="47" xr6:coauthVersionMax="47" xr10:uidLastSave="{C123D8D5-8C07-4D16-AEA1-D685AEEC0FE4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ResIncr" sheetId="6" r:id="rId3"/>
    <sheet name="Notice Table" sheetId="3" r:id="rId4"/>
    <sheet name="Reconciliation" sheetId="5" r:id="rId5"/>
  </sheets>
  <externalReferences>
    <externalReference r:id="rId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EquityPercent">#REF!</definedName>
    <definedName name="Goto14">'[1]Table of Contents'!#REF!</definedName>
    <definedName name="Goto15">'[1]Table of Contents'!#REF!</definedName>
    <definedName name="Goto16">'[1]Table of Contents'!#REF!</definedName>
    <definedName name="Goto21">'[1]Table of Contents'!#REF!</definedName>
    <definedName name="Goto22">'[1]Table of Contents'!#REF!</definedName>
    <definedName name="Goto23">'[1]Table of Contents'!#REF!</definedName>
    <definedName name="Goto24">'[1]Table of Contents'!#REF!</definedName>
    <definedName name="Goto26">'[1]Table of Contents'!#REF!</definedName>
    <definedName name="Goto27">'[1]Table of Contents'!#REF!</definedName>
    <definedName name="Goto28">'[1]Table of Contents'!#REF!</definedName>
    <definedName name="Goto29">'[1]Table of Contents'!#REF!</definedName>
    <definedName name="Goto30">'[1]Table of Contents'!#REF!</definedName>
    <definedName name="Goto9">'[1]Table of Contents'!#REF!</definedName>
    <definedName name="GRE_Equity_Share">#REF!</definedName>
    <definedName name="HW_Equity_Share">#REF!</definedName>
    <definedName name="HW_ROI_Threshold">#REF!</definedName>
    <definedName name="Oppty_Availability">#REF!</definedName>
    <definedName name="Oppty_DollarMwh">#REF!</definedName>
    <definedName name="Oppty_MW">#REF!</definedName>
    <definedName name="Price_CapacityPayment">#REF!</definedName>
    <definedName name="Price_Corn">#REF!</definedName>
    <definedName name="Price_Steam">#REF!</definedName>
    <definedName name="_xlnm.Print_Area" localSheetId="1">'Billing Detail'!$A$1:$N$113</definedName>
    <definedName name="_xlnm.Print_Area" localSheetId="3">'Notice Table'!$A$1:$G$56</definedName>
    <definedName name="_xlnm.Print_Area" localSheetId="4">Reconciliation!$A$1:$H$12</definedName>
    <definedName name="_xlnm.Print_Area" localSheetId="2">ResIncr!$A$1:$M$41</definedName>
    <definedName name="_xlnm.Print_Area" localSheetId="0">Summary!$A$1:$I$15</definedName>
    <definedName name="_xlnm.Print_Titles" localSheetId="1">'Billing Detail'!$1:$5</definedName>
    <definedName name="_xlnm.Print_Titles" localSheetId="2">ResIncr!$1:$1</definedName>
    <definedName name="ProducerPayoutFlag">#REF!</definedName>
    <definedName name="ProjectCapitalCos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ll_DDGS">#REF!</definedName>
    <definedName name="Sell_DWGS">#REF!</definedName>
    <definedName name="Sell_Ethanol">#REF!</definedName>
    <definedName name="Tax_GRE">#REF!</definedName>
    <definedName name="Tax_HW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6" i="1" l="1"/>
  <c r="W68" i="1"/>
  <c r="W22" i="1"/>
  <c r="I12" i="3" l="1"/>
  <c r="H48" i="1" l="1"/>
  <c r="H34" i="1"/>
  <c r="H89" i="1"/>
  <c r="H88" i="1"/>
  <c r="H85" i="1"/>
  <c r="H84" i="1"/>
  <c r="H83" i="1"/>
  <c r="H82" i="1"/>
  <c r="H81" i="1"/>
  <c r="H79" i="1"/>
  <c r="H90" i="1"/>
  <c r="H87" i="1"/>
  <c r="H80" i="1"/>
  <c r="H78" i="1"/>
  <c r="AB14" i="1" l="1"/>
  <c r="I67" i="1"/>
  <c r="I52" i="1"/>
  <c r="I24" i="1"/>
  <c r="I11" i="1"/>
  <c r="H65" i="1"/>
  <c r="H64" i="1"/>
  <c r="H50" i="1"/>
  <c r="H49" i="1"/>
  <c r="H36" i="1"/>
  <c r="H35" i="1"/>
  <c r="H22" i="1"/>
  <c r="H9" i="1"/>
  <c r="E7" i="6" s="1"/>
  <c r="E8" i="6" s="1"/>
  <c r="G91" i="1"/>
  <c r="G92" i="1"/>
  <c r="G65" i="1"/>
  <c r="G64" i="1"/>
  <c r="G63" i="1"/>
  <c r="G62" i="1"/>
  <c r="G61" i="1"/>
  <c r="G50" i="1"/>
  <c r="G49" i="1"/>
  <c r="G48" i="1"/>
  <c r="G47" i="1"/>
  <c r="G34" i="1"/>
  <c r="G33" i="1"/>
  <c r="G22" i="1"/>
  <c r="G21" i="1"/>
  <c r="G20" i="1"/>
  <c r="G9" i="1"/>
  <c r="G8" i="1"/>
  <c r="G107" i="1"/>
  <c r="G106" i="1"/>
  <c r="G105" i="1"/>
  <c r="G104" i="1"/>
  <c r="G98" i="1"/>
  <c r="G71" i="1"/>
  <c r="G56" i="1"/>
  <c r="G42" i="1"/>
  <c r="G28" i="1"/>
  <c r="G15" i="1"/>
  <c r="G108" i="1" s="1"/>
  <c r="B9" i="6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H7" i="6"/>
  <c r="H26" i="6" s="1"/>
  <c r="D7" i="6"/>
  <c r="D32" i="6" s="1"/>
  <c r="A1" i="6"/>
  <c r="C9" i="6"/>
  <c r="C10" i="6" s="1"/>
  <c r="H16" i="6" l="1"/>
  <c r="H8" i="6"/>
  <c r="H17" i="6"/>
  <c r="H18" i="6"/>
  <c r="H32" i="6"/>
  <c r="H38" i="6"/>
  <c r="H31" i="6"/>
  <c r="H33" i="6"/>
  <c r="H28" i="6"/>
  <c r="G66" i="1"/>
  <c r="G72" i="1" s="1"/>
  <c r="G73" i="1" s="1"/>
  <c r="G51" i="1"/>
  <c r="G57" i="1" s="1"/>
  <c r="G58" i="1" s="1"/>
  <c r="G23" i="1"/>
  <c r="G29" i="1" s="1"/>
  <c r="G30" i="1" s="1"/>
  <c r="G10" i="1"/>
  <c r="G16" i="1" s="1"/>
  <c r="G17" i="1" s="1"/>
  <c r="H34" i="6"/>
  <c r="H15" i="6"/>
  <c r="H24" i="6"/>
  <c r="H39" i="6"/>
  <c r="H10" i="6"/>
  <c r="H25" i="6"/>
  <c r="E10" i="6"/>
  <c r="H23" i="6"/>
  <c r="H36" i="6"/>
  <c r="H12" i="6"/>
  <c r="H9" i="6"/>
  <c r="H20" i="6"/>
  <c r="D16" i="6"/>
  <c r="D35" i="6"/>
  <c r="D34" i="6"/>
  <c r="D27" i="6"/>
  <c r="D19" i="6"/>
  <c r="D24" i="6"/>
  <c r="D8" i="6"/>
  <c r="D11" i="6"/>
  <c r="C11" i="6"/>
  <c r="D13" i="6"/>
  <c r="D21" i="6"/>
  <c r="D29" i="6"/>
  <c r="D37" i="6"/>
  <c r="D14" i="6"/>
  <c r="D22" i="6"/>
  <c r="D30" i="6"/>
  <c r="D38" i="6"/>
  <c r="D9" i="6"/>
  <c r="H13" i="6"/>
  <c r="D17" i="6"/>
  <c r="H21" i="6"/>
  <c r="D25" i="6"/>
  <c r="H29" i="6"/>
  <c r="D33" i="6"/>
  <c r="H37" i="6"/>
  <c r="E9" i="6"/>
  <c r="D12" i="6"/>
  <c r="D20" i="6"/>
  <c r="D36" i="6"/>
  <c r="H11" i="6"/>
  <c r="D15" i="6"/>
  <c r="H19" i="6"/>
  <c r="D23" i="6"/>
  <c r="H27" i="6"/>
  <c r="D31" i="6"/>
  <c r="H35" i="6"/>
  <c r="D39" i="6"/>
  <c r="D28" i="6"/>
  <c r="D10" i="6"/>
  <c r="H14" i="6"/>
  <c r="D18" i="6"/>
  <c r="H22" i="6"/>
  <c r="D26" i="6"/>
  <c r="H30" i="6"/>
  <c r="E11" i="6" l="1"/>
  <c r="C12" i="6"/>
  <c r="C13" i="6" l="1"/>
  <c r="E12" i="6"/>
  <c r="C14" i="6" l="1"/>
  <c r="E13" i="6"/>
  <c r="C15" i="6" l="1"/>
  <c r="E14" i="6"/>
  <c r="C16" i="6" l="1"/>
  <c r="E15" i="6"/>
  <c r="E16" i="6" l="1"/>
  <c r="C17" i="6"/>
  <c r="C18" i="6" l="1"/>
  <c r="E17" i="6"/>
  <c r="E18" i="6" l="1"/>
  <c r="C19" i="6"/>
  <c r="C20" i="6" l="1"/>
  <c r="E19" i="6"/>
  <c r="C21" i="6" l="1"/>
  <c r="E20" i="6"/>
  <c r="C22" i="6" l="1"/>
  <c r="E21" i="6"/>
  <c r="C23" i="6" l="1"/>
  <c r="E22" i="6"/>
  <c r="C24" i="6" l="1"/>
  <c r="E23" i="6"/>
  <c r="C25" i="6" l="1"/>
  <c r="E24" i="6"/>
  <c r="C26" i="6" l="1"/>
  <c r="E25" i="6"/>
  <c r="E26" i="6" l="1"/>
  <c r="C27" i="6"/>
  <c r="C28" i="6" l="1"/>
  <c r="E27" i="6"/>
  <c r="C29" i="6" l="1"/>
  <c r="E28" i="6"/>
  <c r="E29" i="6" l="1"/>
  <c r="C30" i="6"/>
  <c r="C31" i="6" l="1"/>
  <c r="E30" i="6"/>
  <c r="C32" i="6" l="1"/>
  <c r="E31" i="6"/>
  <c r="E32" i="6" l="1"/>
  <c r="C33" i="6"/>
  <c r="C34" i="6" l="1"/>
  <c r="E33" i="6"/>
  <c r="C35" i="6" l="1"/>
  <c r="E34" i="6"/>
  <c r="C36" i="6" l="1"/>
  <c r="E35" i="6"/>
  <c r="C37" i="6" l="1"/>
  <c r="E36" i="6"/>
  <c r="C38" i="6" l="1"/>
  <c r="E37" i="6"/>
  <c r="E38" i="6" l="1"/>
  <c r="J20" i="1" l="1"/>
  <c r="J64" i="1" l="1"/>
  <c r="J49" i="1"/>
  <c r="J35" i="1"/>
  <c r="J22" i="1"/>
  <c r="J9" i="1"/>
  <c r="I7" i="6" s="1"/>
  <c r="A9" i="2"/>
  <c r="A10" i="2" s="1"/>
  <c r="A11" i="2" s="1"/>
  <c r="A12" i="2" s="1"/>
  <c r="A13" i="2" s="1"/>
  <c r="A14" i="2" s="1"/>
  <c r="A15" i="2" s="1"/>
  <c r="J76" i="1"/>
  <c r="S36" i="1"/>
  <c r="J36" i="1" s="1"/>
  <c r="S50" i="1"/>
  <c r="J50" i="1" s="1"/>
  <c r="S65" i="1"/>
  <c r="J65" i="1" s="1"/>
  <c r="S77" i="1"/>
  <c r="J77" i="1" s="1"/>
  <c r="I9" i="6" l="1"/>
  <c r="I10" i="6"/>
  <c r="I8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S78" i="1"/>
  <c r="S79" i="1" s="1"/>
  <c r="J79" i="1" s="1"/>
  <c r="E11" i="5"/>
  <c r="E10" i="5"/>
  <c r="E9" i="5"/>
  <c r="E8" i="5"/>
  <c r="E7" i="5"/>
  <c r="E6" i="5"/>
  <c r="D10" i="5"/>
  <c r="D9" i="5"/>
  <c r="D7" i="5"/>
  <c r="D6" i="5"/>
  <c r="A1" i="5"/>
  <c r="J21" i="1"/>
  <c r="E35" i="1"/>
  <c r="E36" i="1"/>
  <c r="G36" i="1" s="1"/>
  <c r="P109" i="1"/>
  <c r="I38" i="1" l="1"/>
  <c r="G35" i="1"/>
  <c r="G37" i="1" s="1"/>
  <c r="D8" i="5"/>
  <c r="E12" i="5"/>
  <c r="D12" i="5"/>
  <c r="J78" i="1"/>
  <c r="S80" i="1"/>
  <c r="J80" i="1" s="1"/>
  <c r="G43" i="1" l="1"/>
  <c r="S81" i="1"/>
  <c r="J81" i="1" s="1"/>
  <c r="G44" i="1" l="1"/>
  <c r="S82" i="1"/>
  <c r="S83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G93" i="1" l="1"/>
  <c r="J82" i="1"/>
  <c r="K82" i="1" s="1"/>
  <c r="S84" i="1"/>
  <c r="J83" i="1"/>
  <c r="K83" i="1" s="1"/>
  <c r="I104" i="1"/>
  <c r="I105" i="1"/>
  <c r="I106" i="1"/>
  <c r="I107" i="1"/>
  <c r="K8" i="1"/>
  <c r="G13" i="2"/>
  <c r="K9" i="1"/>
  <c r="K77" i="1"/>
  <c r="K78" i="1"/>
  <c r="K79" i="1"/>
  <c r="K80" i="1"/>
  <c r="K81" i="1"/>
  <c r="K76" i="1"/>
  <c r="K65" i="1"/>
  <c r="K64" i="1"/>
  <c r="K63" i="1"/>
  <c r="K62" i="1"/>
  <c r="J61" i="1"/>
  <c r="K61" i="1" s="1"/>
  <c r="K50" i="1"/>
  <c r="K49" i="1"/>
  <c r="J48" i="1"/>
  <c r="K48" i="1" s="1"/>
  <c r="J47" i="1"/>
  <c r="K47" i="1" s="1"/>
  <c r="K36" i="1"/>
  <c r="K35" i="1"/>
  <c r="J34" i="1"/>
  <c r="K34" i="1" s="1"/>
  <c r="J33" i="1"/>
  <c r="K33" i="1" s="1"/>
  <c r="K22" i="1"/>
  <c r="K21" i="1"/>
  <c r="K20" i="1"/>
  <c r="G99" i="1" l="1"/>
  <c r="G109" i="1" s="1"/>
  <c r="G103" i="1"/>
  <c r="S85" i="1"/>
  <c r="J84" i="1"/>
  <c r="K84" i="1" s="1"/>
  <c r="S86" i="1" l="1"/>
  <c r="J85" i="1"/>
  <c r="K85" i="1" s="1"/>
  <c r="L67" i="1"/>
  <c r="M67" i="1" s="1"/>
  <c r="F33" i="3"/>
  <c r="F32" i="3"/>
  <c r="F31" i="3"/>
  <c r="E24" i="3"/>
  <c r="F24" i="3"/>
  <c r="E25" i="3"/>
  <c r="F25" i="3"/>
  <c r="E26" i="3"/>
  <c r="F26" i="3"/>
  <c r="E27" i="3"/>
  <c r="F27" i="3"/>
  <c r="F23" i="3"/>
  <c r="E23" i="3"/>
  <c r="D22" i="3"/>
  <c r="C22" i="3"/>
  <c r="E19" i="3"/>
  <c r="F19" i="3"/>
  <c r="E20" i="3"/>
  <c r="F20" i="3"/>
  <c r="E21" i="3"/>
  <c r="F21" i="3"/>
  <c r="E18" i="3"/>
  <c r="F18" i="3"/>
  <c r="E14" i="3"/>
  <c r="F14" i="3"/>
  <c r="E15" i="3"/>
  <c r="F15" i="3"/>
  <c r="E16" i="3"/>
  <c r="F16" i="3"/>
  <c r="C10" i="2"/>
  <c r="B10" i="2"/>
  <c r="D55" i="3" s="1"/>
  <c r="E73" i="1"/>
  <c r="E55" i="3" s="1"/>
  <c r="L70" i="1"/>
  <c r="M70" i="1" s="1"/>
  <c r="L69" i="1"/>
  <c r="M69" i="1" s="1"/>
  <c r="L68" i="1"/>
  <c r="M68" i="1" s="1"/>
  <c r="I65" i="1"/>
  <c r="I64" i="1"/>
  <c r="I61" i="1"/>
  <c r="S87" i="1" l="1"/>
  <c r="J86" i="1"/>
  <c r="K86" i="1" s="1"/>
  <c r="D43" i="3"/>
  <c r="C55" i="3"/>
  <c r="C43" i="3"/>
  <c r="I62" i="1"/>
  <c r="I63" i="1"/>
  <c r="I71" i="1"/>
  <c r="L71" i="1"/>
  <c r="I91" i="1"/>
  <c r="I80" i="1"/>
  <c r="I81" i="1"/>
  <c r="I82" i="1"/>
  <c r="I48" i="1"/>
  <c r="I49" i="1"/>
  <c r="I34" i="1"/>
  <c r="I35" i="1"/>
  <c r="S88" i="1" l="1"/>
  <c r="J87" i="1"/>
  <c r="K87" i="1" s="1"/>
  <c r="I66" i="1"/>
  <c r="D10" i="2"/>
  <c r="M71" i="1"/>
  <c r="E58" i="1"/>
  <c r="E54" i="3" s="1"/>
  <c r="E44" i="1"/>
  <c r="E53" i="3" s="1"/>
  <c r="E30" i="1"/>
  <c r="E52" i="3" s="1"/>
  <c r="S89" i="1" l="1"/>
  <c r="J88" i="1"/>
  <c r="K88" i="1" s="1"/>
  <c r="I72" i="1"/>
  <c r="E17" i="1"/>
  <c r="E51" i="3" l="1"/>
  <c r="C39" i="6"/>
  <c r="E10" i="2"/>
  <c r="F10" i="5"/>
  <c r="G10" i="5" s="1"/>
  <c r="H10" i="5" s="1"/>
  <c r="S90" i="1"/>
  <c r="J89" i="1"/>
  <c r="K89" i="1" s="1"/>
  <c r="I73" i="1"/>
  <c r="Q72" i="1"/>
  <c r="F29" i="3"/>
  <c r="F30" i="3"/>
  <c r="C28" i="3"/>
  <c r="D28" i="3"/>
  <c r="C17" i="3"/>
  <c r="D17" i="3"/>
  <c r="E13" i="3"/>
  <c r="C12" i="3"/>
  <c r="D12" i="3"/>
  <c r="E10" i="3"/>
  <c r="F10" i="3"/>
  <c r="E11" i="3"/>
  <c r="F11" i="3"/>
  <c r="F9" i="3"/>
  <c r="E9" i="3"/>
  <c r="C8" i="3"/>
  <c r="D8" i="3"/>
  <c r="E7" i="3"/>
  <c r="F7" i="3"/>
  <c r="F6" i="3"/>
  <c r="E6" i="3"/>
  <c r="C5" i="3"/>
  <c r="D5" i="3"/>
  <c r="E39" i="6" l="1"/>
  <c r="I39" i="6"/>
  <c r="S91" i="1"/>
  <c r="J90" i="1"/>
  <c r="K90" i="1" s="1"/>
  <c r="F13" i="3"/>
  <c r="S92" i="1" l="1"/>
  <c r="J92" i="1" s="1"/>
  <c r="K92" i="1" s="1"/>
  <c r="J91" i="1"/>
  <c r="K91" i="1" s="1"/>
  <c r="A1" i="3"/>
  <c r="C8" i="2" l="1"/>
  <c r="C53" i="3" l="1"/>
  <c r="C41" i="3"/>
  <c r="I50" i="1"/>
  <c r="I36" i="1" l="1"/>
  <c r="I21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L55" i="1"/>
  <c r="M55" i="1" s="1"/>
  <c r="L54" i="1"/>
  <c r="L53" i="1"/>
  <c r="L41" i="1"/>
  <c r="M41" i="1" s="1"/>
  <c r="L40" i="1"/>
  <c r="L39" i="1"/>
  <c r="L27" i="1"/>
  <c r="M27" i="1" s="1"/>
  <c r="A61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62" i="1"/>
  <c r="L13" i="1"/>
  <c r="L12" i="1"/>
  <c r="L14" i="1"/>
  <c r="I42" i="1"/>
  <c r="L25" i="1"/>
  <c r="L26" i="1"/>
  <c r="M14" i="1" l="1"/>
  <c r="M107" i="1" s="1"/>
  <c r="L107" i="1"/>
  <c r="I15" i="1"/>
  <c r="F7" i="6" s="1"/>
  <c r="I56" i="1"/>
  <c r="I28" i="1"/>
  <c r="I92" i="1"/>
  <c r="I90" i="1"/>
  <c r="I89" i="1"/>
  <c r="I88" i="1"/>
  <c r="I87" i="1"/>
  <c r="I86" i="1"/>
  <c r="I85" i="1"/>
  <c r="I84" i="1"/>
  <c r="I83" i="1"/>
  <c r="I79" i="1"/>
  <c r="I78" i="1"/>
  <c r="I77" i="1"/>
  <c r="F8" i="6" l="1"/>
  <c r="G8" i="6" s="1"/>
  <c r="F39" i="6"/>
  <c r="G39" i="6" s="1"/>
  <c r="F9" i="6"/>
  <c r="G9" i="6" s="1"/>
  <c r="F10" i="6"/>
  <c r="G10" i="6" s="1"/>
  <c r="J7" i="6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C7" i="2"/>
  <c r="C9" i="2"/>
  <c r="C11" i="2"/>
  <c r="B11" i="2"/>
  <c r="B9" i="2"/>
  <c r="B8" i="2"/>
  <c r="B7" i="2"/>
  <c r="C6" i="2"/>
  <c r="B6" i="2"/>
  <c r="M40" i="1"/>
  <c r="M39" i="1"/>
  <c r="L38" i="1"/>
  <c r="I33" i="1"/>
  <c r="M25" i="1"/>
  <c r="L24" i="1"/>
  <c r="I22" i="1"/>
  <c r="I20" i="1"/>
  <c r="M54" i="1"/>
  <c r="M53" i="1"/>
  <c r="L52" i="1"/>
  <c r="I47" i="1"/>
  <c r="J11" i="6" l="1"/>
  <c r="K11" i="6" s="1"/>
  <c r="L11" i="6" s="1"/>
  <c r="M11" i="6" s="1"/>
  <c r="J8" i="6"/>
  <c r="K8" i="6" s="1"/>
  <c r="L8" i="6" s="1"/>
  <c r="M8" i="6" s="1"/>
  <c r="J10" i="6"/>
  <c r="K10" i="6" s="1"/>
  <c r="L10" i="6" s="1"/>
  <c r="M10" i="6" s="1"/>
  <c r="J9" i="6"/>
  <c r="K9" i="6" s="1"/>
  <c r="L9" i="6" s="1"/>
  <c r="M9" i="6" s="1"/>
  <c r="J12" i="6"/>
  <c r="K12" i="6" s="1"/>
  <c r="L12" i="6" s="1"/>
  <c r="M12" i="6" s="1"/>
  <c r="J13" i="6"/>
  <c r="K13" i="6" s="1"/>
  <c r="L13" i="6" s="1"/>
  <c r="M13" i="6" s="1"/>
  <c r="J14" i="6"/>
  <c r="K14" i="6" s="1"/>
  <c r="L14" i="6" s="1"/>
  <c r="M14" i="6" s="1"/>
  <c r="J15" i="6"/>
  <c r="K15" i="6" s="1"/>
  <c r="L15" i="6" s="1"/>
  <c r="M15" i="6" s="1"/>
  <c r="J16" i="6"/>
  <c r="K16" i="6" s="1"/>
  <c r="L16" i="6" s="1"/>
  <c r="M16" i="6" s="1"/>
  <c r="J17" i="6"/>
  <c r="K17" i="6" s="1"/>
  <c r="L17" i="6" s="1"/>
  <c r="M17" i="6" s="1"/>
  <c r="J18" i="6"/>
  <c r="K18" i="6" s="1"/>
  <c r="L18" i="6" s="1"/>
  <c r="M18" i="6" s="1"/>
  <c r="J19" i="6"/>
  <c r="K19" i="6" s="1"/>
  <c r="L19" i="6" s="1"/>
  <c r="M19" i="6" s="1"/>
  <c r="J20" i="6"/>
  <c r="K20" i="6" s="1"/>
  <c r="L20" i="6" s="1"/>
  <c r="M20" i="6" s="1"/>
  <c r="J21" i="6"/>
  <c r="K21" i="6" s="1"/>
  <c r="L21" i="6" s="1"/>
  <c r="M21" i="6" s="1"/>
  <c r="J22" i="6"/>
  <c r="K22" i="6" s="1"/>
  <c r="L22" i="6" s="1"/>
  <c r="M22" i="6" s="1"/>
  <c r="J23" i="6"/>
  <c r="K23" i="6" s="1"/>
  <c r="L23" i="6" s="1"/>
  <c r="M23" i="6" s="1"/>
  <c r="J24" i="6"/>
  <c r="K24" i="6" s="1"/>
  <c r="L24" i="6" s="1"/>
  <c r="M24" i="6" s="1"/>
  <c r="J25" i="6"/>
  <c r="K25" i="6" s="1"/>
  <c r="L25" i="6" s="1"/>
  <c r="M25" i="6" s="1"/>
  <c r="J26" i="6"/>
  <c r="K26" i="6" s="1"/>
  <c r="L26" i="6" s="1"/>
  <c r="M26" i="6" s="1"/>
  <c r="J27" i="6"/>
  <c r="K27" i="6" s="1"/>
  <c r="L27" i="6" s="1"/>
  <c r="M27" i="6" s="1"/>
  <c r="J28" i="6"/>
  <c r="K28" i="6" s="1"/>
  <c r="L28" i="6" s="1"/>
  <c r="M28" i="6" s="1"/>
  <c r="J29" i="6"/>
  <c r="K29" i="6" s="1"/>
  <c r="L29" i="6" s="1"/>
  <c r="M29" i="6" s="1"/>
  <c r="J30" i="6"/>
  <c r="K30" i="6" s="1"/>
  <c r="L30" i="6" s="1"/>
  <c r="M30" i="6" s="1"/>
  <c r="J31" i="6"/>
  <c r="K31" i="6" s="1"/>
  <c r="L31" i="6" s="1"/>
  <c r="M31" i="6" s="1"/>
  <c r="J32" i="6"/>
  <c r="K32" i="6" s="1"/>
  <c r="L32" i="6" s="1"/>
  <c r="M32" i="6" s="1"/>
  <c r="J33" i="6"/>
  <c r="K33" i="6" s="1"/>
  <c r="L33" i="6" s="1"/>
  <c r="M33" i="6" s="1"/>
  <c r="J34" i="6"/>
  <c r="K34" i="6" s="1"/>
  <c r="L34" i="6" s="1"/>
  <c r="M34" i="6" s="1"/>
  <c r="J35" i="6"/>
  <c r="K35" i="6" s="1"/>
  <c r="L35" i="6" s="1"/>
  <c r="M35" i="6" s="1"/>
  <c r="J36" i="6"/>
  <c r="K36" i="6" s="1"/>
  <c r="L36" i="6" s="1"/>
  <c r="M36" i="6" s="1"/>
  <c r="J37" i="6"/>
  <c r="K37" i="6" s="1"/>
  <c r="L37" i="6" s="1"/>
  <c r="M37" i="6" s="1"/>
  <c r="J38" i="6"/>
  <c r="K38" i="6" s="1"/>
  <c r="L38" i="6" s="1"/>
  <c r="M38" i="6" s="1"/>
  <c r="J39" i="6"/>
  <c r="K39" i="6" s="1"/>
  <c r="L39" i="6" s="1"/>
  <c r="M39" i="6" s="1"/>
  <c r="D44" i="3"/>
  <c r="D56" i="3"/>
  <c r="C56" i="3"/>
  <c r="C44" i="3"/>
  <c r="C52" i="3"/>
  <c r="C40" i="3"/>
  <c r="D52" i="3"/>
  <c r="D40" i="3"/>
  <c r="C51" i="3"/>
  <c r="C39" i="3"/>
  <c r="C54" i="3"/>
  <c r="C42" i="3"/>
  <c r="D54" i="3"/>
  <c r="D42" i="3"/>
  <c r="D53" i="3"/>
  <c r="D41" i="3"/>
  <c r="D39" i="3"/>
  <c r="D51" i="3"/>
  <c r="M52" i="1"/>
  <c r="L56" i="1"/>
  <c r="M38" i="1"/>
  <c r="L42" i="1"/>
  <c r="M24" i="1"/>
  <c r="L28" i="1"/>
  <c r="M28" i="1" s="1"/>
  <c r="D8" i="2"/>
  <c r="I37" i="1"/>
  <c r="M26" i="1"/>
  <c r="I23" i="1"/>
  <c r="I51" i="1"/>
  <c r="I76" i="1"/>
  <c r="L96" i="1"/>
  <c r="L106" i="1" s="1"/>
  <c r="L95" i="1"/>
  <c r="L105" i="1" s="1"/>
  <c r="L94" i="1"/>
  <c r="L11" i="1"/>
  <c r="I9" i="1"/>
  <c r="I8" i="1"/>
  <c r="A2" i="1"/>
  <c r="A1" i="1"/>
  <c r="L104" i="1" l="1"/>
  <c r="A7" i="2"/>
  <c r="A8" i="2" s="1"/>
  <c r="L15" i="1"/>
  <c r="M94" i="1"/>
  <c r="M95" i="1"/>
  <c r="M96" i="1"/>
  <c r="M12" i="1"/>
  <c r="M105" i="1" s="1"/>
  <c r="M13" i="1"/>
  <c r="M106" i="1" s="1"/>
  <c r="D7" i="2"/>
  <c r="I43" i="1"/>
  <c r="D9" i="2"/>
  <c r="I57" i="1"/>
  <c r="I29" i="1"/>
  <c r="M42" i="1"/>
  <c r="M56" i="1"/>
  <c r="I10" i="1"/>
  <c r="I98" i="1"/>
  <c r="I108" i="1" s="1"/>
  <c r="I93" i="1"/>
  <c r="M11" i="1"/>
  <c r="E9" i="2" l="1"/>
  <c r="F9" i="5"/>
  <c r="G9" i="5" s="1"/>
  <c r="H9" i="5" s="1"/>
  <c r="M104" i="1"/>
  <c r="N104" i="1" s="1"/>
  <c r="E7" i="2"/>
  <c r="F7" i="5"/>
  <c r="G7" i="5" s="1"/>
  <c r="H7" i="5" s="1"/>
  <c r="E8" i="2"/>
  <c r="F8" i="5"/>
  <c r="G8" i="5" s="1"/>
  <c r="H8" i="5" s="1"/>
  <c r="I44" i="1"/>
  <c r="Q43" i="1"/>
  <c r="I58" i="1"/>
  <c r="Q57" i="1"/>
  <c r="I30" i="1"/>
  <c r="Q29" i="1"/>
  <c r="N106" i="1"/>
  <c r="N105" i="1"/>
  <c r="I103" i="1"/>
  <c r="D11" i="2"/>
  <c r="D6" i="2"/>
  <c r="I99" i="1"/>
  <c r="L98" i="1"/>
  <c r="L108" i="1" s="1"/>
  <c r="I16" i="1"/>
  <c r="M15" i="1"/>
  <c r="E11" i="2" l="1"/>
  <c r="F11" i="5"/>
  <c r="G11" i="5" s="1"/>
  <c r="H11" i="5" s="1"/>
  <c r="Q99" i="1"/>
  <c r="E6" i="2"/>
  <c r="F6" i="5"/>
  <c r="I17" i="1"/>
  <c r="Q16" i="1"/>
  <c r="I109" i="1"/>
  <c r="D12" i="2"/>
  <c r="M98" i="1"/>
  <c r="M108" i="1" s="1"/>
  <c r="N108" i="1" s="1"/>
  <c r="G6" i="5" l="1"/>
  <c r="F12" i="5"/>
  <c r="E12" i="2"/>
  <c r="Q109" i="1"/>
  <c r="H6" i="5" l="1"/>
  <c r="G12" i="5"/>
  <c r="H12" i="5" s="1"/>
  <c r="G31" i="3"/>
  <c r="I31" i="3" s="1"/>
  <c r="J31" i="3" s="1"/>
  <c r="G7" i="3" l="1"/>
  <c r="I7" i="3" s="1"/>
  <c r="J7" i="3" s="1"/>
  <c r="G9" i="3"/>
  <c r="I9" i="3" s="1"/>
  <c r="J9" i="3" s="1"/>
  <c r="G11" i="3"/>
  <c r="I11" i="3" s="1"/>
  <c r="J11" i="3" s="1"/>
  <c r="G10" i="3"/>
  <c r="I10" i="3" s="1"/>
  <c r="J10" i="3" s="1"/>
  <c r="G16" i="3"/>
  <c r="I16" i="3" s="1"/>
  <c r="J16" i="3" s="1"/>
  <c r="G15" i="3"/>
  <c r="I15" i="3" s="1"/>
  <c r="J15" i="3" s="1"/>
  <c r="G19" i="3"/>
  <c r="I19" i="3" s="1"/>
  <c r="J19" i="3" s="1"/>
  <c r="G20" i="3"/>
  <c r="I20" i="3" s="1"/>
  <c r="J20" i="3" s="1"/>
  <c r="L50" i="1"/>
  <c r="M50" i="1" s="1"/>
  <c r="N50" i="1" s="1"/>
  <c r="G14" i="3"/>
  <c r="I14" i="3" s="1"/>
  <c r="J14" i="3" s="1"/>
  <c r="L91" i="1"/>
  <c r="L81" i="1"/>
  <c r="L80" i="1"/>
  <c r="L82" i="1"/>
  <c r="G32" i="3"/>
  <c r="I32" i="3" s="1"/>
  <c r="J32" i="3" s="1"/>
  <c r="G29" i="3"/>
  <c r="I29" i="3" s="1"/>
  <c r="J29" i="3" s="1"/>
  <c r="G30" i="3"/>
  <c r="I30" i="3" s="1"/>
  <c r="J30" i="3" s="1"/>
  <c r="L89" i="1" l="1"/>
  <c r="M89" i="1" s="1"/>
  <c r="N89" i="1" s="1"/>
  <c r="G33" i="3"/>
  <c r="I33" i="3" s="1"/>
  <c r="J33" i="3" s="1"/>
  <c r="G23" i="3"/>
  <c r="I23" i="3" s="1"/>
  <c r="J23" i="3" s="1"/>
  <c r="L61" i="1"/>
  <c r="G24" i="3"/>
  <c r="I24" i="3" s="1"/>
  <c r="J24" i="3" s="1"/>
  <c r="L62" i="1"/>
  <c r="L63" i="1"/>
  <c r="G25" i="3"/>
  <c r="I25" i="3" s="1"/>
  <c r="J25" i="3" s="1"/>
  <c r="L64" i="1"/>
  <c r="L65" i="1"/>
  <c r="G27" i="3"/>
  <c r="I27" i="3" s="1"/>
  <c r="J27" i="3" s="1"/>
  <c r="G26" i="3"/>
  <c r="I26" i="3" s="1"/>
  <c r="J26" i="3" s="1"/>
  <c r="L9" i="1"/>
  <c r="M9" i="1" s="1"/>
  <c r="N9" i="1" s="1"/>
  <c r="L47" i="1"/>
  <c r="M47" i="1" s="1"/>
  <c r="N47" i="1" s="1"/>
  <c r="G18" i="3"/>
  <c r="I18" i="3" s="1"/>
  <c r="J18" i="3" s="1"/>
  <c r="G21" i="3"/>
  <c r="I21" i="3" s="1"/>
  <c r="J21" i="3" s="1"/>
  <c r="L20" i="1"/>
  <c r="M20" i="1" s="1"/>
  <c r="N20" i="1" s="1"/>
  <c r="L49" i="1"/>
  <c r="M49" i="1" s="1"/>
  <c r="N49" i="1" s="1"/>
  <c r="L48" i="1"/>
  <c r="M48" i="1" s="1"/>
  <c r="N48" i="1" s="1"/>
  <c r="L34" i="1"/>
  <c r="M34" i="1" s="1"/>
  <c r="N34" i="1" s="1"/>
  <c r="M91" i="1"/>
  <c r="N91" i="1" s="1"/>
  <c r="M82" i="1"/>
  <c r="N82" i="1" s="1"/>
  <c r="M80" i="1"/>
  <c r="N80" i="1" s="1"/>
  <c r="M81" i="1"/>
  <c r="N81" i="1" s="1"/>
  <c r="G6" i="3"/>
  <c r="I6" i="3" s="1"/>
  <c r="J6" i="3" s="1"/>
  <c r="L83" i="1"/>
  <c r="M83" i="1" s="1"/>
  <c r="N83" i="1" s="1"/>
  <c r="L90" i="1"/>
  <c r="M90" i="1" s="1"/>
  <c r="N90" i="1" s="1"/>
  <c r="L92" i="1"/>
  <c r="M92" i="1" s="1"/>
  <c r="N92" i="1" s="1"/>
  <c r="L86" i="1"/>
  <c r="M86" i="1" s="1"/>
  <c r="N86" i="1" s="1"/>
  <c r="L8" i="1"/>
  <c r="M8" i="1" s="1"/>
  <c r="L33" i="1"/>
  <c r="M33" i="1" s="1"/>
  <c r="L87" i="1"/>
  <c r="M87" i="1" s="1"/>
  <c r="N87" i="1" s="1"/>
  <c r="L78" i="1"/>
  <c r="M78" i="1" s="1"/>
  <c r="N78" i="1" s="1"/>
  <c r="L22" i="1"/>
  <c r="M22" i="1" s="1"/>
  <c r="N22" i="1" s="1"/>
  <c r="L85" i="1"/>
  <c r="M85" i="1" s="1"/>
  <c r="N85" i="1" s="1"/>
  <c r="L21" i="1"/>
  <c r="M21" i="1" s="1"/>
  <c r="N21" i="1" s="1"/>
  <c r="L84" i="1"/>
  <c r="M84" i="1" s="1"/>
  <c r="N84" i="1" s="1"/>
  <c r="L88" i="1"/>
  <c r="M88" i="1" s="1"/>
  <c r="N88" i="1" s="1"/>
  <c r="L79" i="1"/>
  <c r="M79" i="1" s="1"/>
  <c r="N79" i="1" s="1"/>
  <c r="L76" i="1"/>
  <c r="M76" i="1" s="1"/>
  <c r="N76" i="1" s="1"/>
  <c r="L77" i="1"/>
  <c r="M77" i="1" s="1"/>
  <c r="N77" i="1" s="1"/>
  <c r="L36" i="1"/>
  <c r="M64" i="1" l="1"/>
  <c r="N64" i="1" s="1"/>
  <c r="M61" i="1"/>
  <c r="N61" i="1" s="1"/>
  <c r="M63" i="1"/>
  <c r="N63" i="1" s="1"/>
  <c r="M62" i="1"/>
  <c r="N62" i="1" s="1"/>
  <c r="M10" i="1"/>
  <c r="L66" i="1"/>
  <c r="M65" i="1"/>
  <c r="N65" i="1" s="1"/>
  <c r="M51" i="1"/>
  <c r="L51" i="1"/>
  <c r="L35" i="1"/>
  <c r="N8" i="1"/>
  <c r="L23" i="1"/>
  <c r="G13" i="3"/>
  <c r="I13" i="3" s="1"/>
  <c r="J13" i="3" s="1"/>
  <c r="M23" i="1"/>
  <c r="N23" i="1" s="1"/>
  <c r="L10" i="1"/>
  <c r="L93" i="1"/>
  <c r="M93" i="1"/>
  <c r="N33" i="1"/>
  <c r="M36" i="1"/>
  <c r="N36" i="1" s="1"/>
  <c r="N10" i="1" l="1"/>
  <c r="R10" i="1"/>
  <c r="N93" i="1"/>
  <c r="M66" i="1"/>
  <c r="L72" i="1"/>
  <c r="F10" i="2" s="1"/>
  <c r="L57" i="1"/>
  <c r="M35" i="1"/>
  <c r="N35" i="1" s="1"/>
  <c r="L37" i="1"/>
  <c r="L103" i="1" s="1"/>
  <c r="L29" i="1"/>
  <c r="L16" i="1"/>
  <c r="L99" i="1"/>
  <c r="F11" i="2" s="1"/>
  <c r="N51" i="1"/>
  <c r="L58" i="1" l="1"/>
  <c r="M58" i="1" s="1"/>
  <c r="F54" i="3" s="1"/>
  <c r="F9" i="2"/>
  <c r="L30" i="1"/>
  <c r="M30" i="1" s="1"/>
  <c r="F52" i="3" s="1"/>
  <c r="F7" i="2"/>
  <c r="L17" i="1"/>
  <c r="M17" i="1" s="1"/>
  <c r="F51" i="3" s="1"/>
  <c r="F6" i="2"/>
  <c r="U76" i="1"/>
  <c r="M99" i="1"/>
  <c r="N66" i="1"/>
  <c r="M72" i="1"/>
  <c r="AA12" i="1" s="1"/>
  <c r="AC12" i="1" s="1"/>
  <c r="L73" i="1"/>
  <c r="M73" i="1" s="1"/>
  <c r="I10" i="2" s="1"/>
  <c r="M57" i="1"/>
  <c r="AA11" i="1" s="1"/>
  <c r="AC11" i="1" s="1"/>
  <c r="W49" i="1" s="1"/>
  <c r="L43" i="1"/>
  <c r="M37" i="1"/>
  <c r="M29" i="1"/>
  <c r="AA9" i="1" s="1"/>
  <c r="AC9" i="1" s="1"/>
  <c r="M16" i="1"/>
  <c r="AA8" i="1" s="1"/>
  <c r="G11" i="2" l="1"/>
  <c r="F44" i="3" s="1"/>
  <c r="AA13" i="1"/>
  <c r="AC13" i="1" s="1"/>
  <c r="AC8" i="1"/>
  <c r="W9" i="1" s="1"/>
  <c r="N72" i="1"/>
  <c r="H10" i="2" s="1"/>
  <c r="G55" i="3" s="1"/>
  <c r="G10" i="2"/>
  <c r="N57" i="1"/>
  <c r="H9" i="2" s="1"/>
  <c r="G54" i="3" s="1"/>
  <c r="G9" i="2"/>
  <c r="N58" i="1"/>
  <c r="I9" i="2"/>
  <c r="L44" i="1"/>
  <c r="M44" i="1" s="1"/>
  <c r="F53" i="3" s="1"/>
  <c r="F8" i="2"/>
  <c r="N29" i="1"/>
  <c r="H7" i="2" s="1"/>
  <c r="G40" i="3" s="1"/>
  <c r="G7" i="2"/>
  <c r="N30" i="1"/>
  <c r="I7" i="2"/>
  <c r="N17" i="1"/>
  <c r="I6" i="2"/>
  <c r="N16" i="1"/>
  <c r="H6" i="2" s="1"/>
  <c r="G51" i="3" s="1"/>
  <c r="G6" i="2"/>
  <c r="L109" i="1"/>
  <c r="N37" i="1"/>
  <c r="M103" i="1"/>
  <c r="N99" i="1"/>
  <c r="H11" i="2" s="1"/>
  <c r="N73" i="1"/>
  <c r="F55" i="3"/>
  <c r="M43" i="1"/>
  <c r="AA10" i="1" s="1"/>
  <c r="AC10" i="1" s="1"/>
  <c r="W35" i="1" s="1"/>
  <c r="AA14" i="1" l="1"/>
  <c r="AC14" i="1" s="1"/>
  <c r="G42" i="3"/>
  <c r="G52" i="3"/>
  <c r="G39" i="3"/>
  <c r="G43" i="3"/>
  <c r="U64" i="1"/>
  <c r="F43" i="3"/>
  <c r="U49" i="1"/>
  <c r="F42" i="3"/>
  <c r="N43" i="1"/>
  <c r="H8" i="2" s="1"/>
  <c r="G53" i="3" s="1"/>
  <c r="G8" i="2"/>
  <c r="U35" i="1" s="1"/>
  <c r="N44" i="1"/>
  <c r="I8" i="2"/>
  <c r="U22" i="1"/>
  <c r="F40" i="3"/>
  <c r="U9" i="1"/>
  <c r="F39" i="3"/>
  <c r="M109" i="1"/>
  <c r="G56" i="3"/>
  <c r="G44" i="3"/>
  <c r="G41" i="3" l="1"/>
  <c r="F41" i="3"/>
  <c r="F12" i="2"/>
  <c r="M111" i="1" l="1"/>
  <c r="G12" i="2"/>
  <c r="N103" i="1"/>
  <c r="N111" i="1" l="1"/>
  <c r="O5" i="1"/>
  <c r="F45" i="3"/>
  <c r="N109" i="1"/>
  <c r="H12" i="2" s="1"/>
  <c r="G14" i="2" l="1"/>
  <c r="G15" i="2" s="1"/>
  <c r="G45" i="3"/>
</calcChain>
</file>

<file path=xl/sharedStrings.xml><?xml version="1.0" encoding="utf-8"?>
<sst xmlns="http://schemas.openxmlformats.org/spreadsheetml/2006/main" count="218" uniqueCount="115">
  <si>
    <t>#</t>
  </si>
  <si>
    <t>Item</t>
  </si>
  <si>
    <t>Proposed Revenue</t>
  </si>
  <si>
    <t>Total Base Rates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</si>
  <si>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</si>
  <si>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</si>
  <si>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</si>
  <si>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</si>
  <si>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</si>
  <si>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</si>
  <si>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</si>
  <si>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</si>
  <si>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</si>
  <si>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</si>
  <si>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</si>
  <si>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</si>
  <si>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2019 Revenue</t>
  </si>
  <si>
    <t>Proposed Rate</t>
  </si>
  <si>
    <t xml:space="preserve">       Present Rate</t>
  </si>
  <si>
    <t xml:space="preserve">            Present Revenue</t>
  </si>
  <si>
    <t xml:space="preserve">    FAC</t>
  </si>
  <si>
    <t xml:space="preserve">    ES</t>
  </si>
  <si>
    <t>TOTALS</t>
  </si>
  <si>
    <t>Lighting</t>
  </si>
  <si>
    <t>Rate Rounding Variance</t>
  </si>
  <si>
    <t xml:space="preserve">    Other</t>
  </si>
  <si>
    <t>Present</t>
  </si>
  <si>
    <t>Proposed</t>
  </si>
  <si>
    <t>Energy Charge per kWh</t>
  </si>
  <si>
    <t>Demand Charge per kW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</si>
  <si>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</si>
  <si>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</si>
  <si>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</si>
  <si>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</si>
  <si>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</si>
  <si>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</si>
  <si>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</si>
  <si>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</si>
  <si>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</si>
  <si>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 xml:space="preserve">Farm &amp; Home </t>
  </si>
  <si>
    <t>A1</t>
  </si>
  <si>
    <t xml:space="preserve">Commercial &amp; Small Power </t>
  </si>
  <si>
    <t>A2</t>
  </si>
  <si>
    <t>Large Power Service (25-750 kV)</t>
  </si>
  <si>
    <t>LP</t>
  </si>
  <si>
    <t>Energy Charge Secondary per kWh</t>
  </si>
  <si>
    <t>Energy Charge Primary per kWh</t>
  </si>
  <si>
    <t>LPR</t>
  </si>
  <si>
    <t xml:space="preserve">146 WATT FLOOD </t>
  </si>
  <si>
    <t>150 WATT HIGH PRESSURE SODIUM</t>
  </si>
  <si>
    <t>250 WATT HIGH PRESSURE SODIUM</t>
  </si>
  <si>
    <t>85 WATT INDUCTION</t>
  </si>
  <si>
    <t>145  WATT LED</t>
  </si>
  <si>
    <t>55 WATT LED</t>
  </si>
  <si>
    <t>60 WATT LED</t>
  </si>
  <si>
    <t>65 WATT LED</t>
  </si>
  <si>
    <t>70 WATT LED</t>
  </si>
  <si>
    <t>100 WATT METAL HALIDE</t>
  </si>
  <si>
    <t>250 WATT FLOOD METAL HALIDE</t>
  </si>
  <si>
    <t>250 WATT METAL HALIDE</t>
  </si>
  <si>
    <t>175 WATT MERCURY VAPOR</t>
  </si>
  <si>
    <t xml:space="preserve">400 WATT FLOOD MERCURY VAPOR </t>
  </si>
  <si>
    <t>400 WATT MERCURY VAPOR</t>
  </si>
  <si>
    <t>500 WATT MERCURY VAPOR</t>
  </si>
  <si>
    <t>YL1</t>
  </si>
  <si>
    <t>1500 WATT MERCURY VAPOR</t>
  </si>
  <si>
    <t>Industrial</t>
  </si>
  <si>
    <t>IND-1B</t>
  </si>
  <si>
    <t>Demand Charge-Contract per kW</t>
  </si>
  <si>
    <t>Demand Charge-Excess per kW</t>
  </si>
  <si>
    <t>175 Watt 6000-13000 Lumens</t>
  </si>
  <si>
    <t>400 Watt 13001-25000 Lumens</t>
  </si>
  <si>
    <t>500 Watt</t>
  </si>
  <si>
    <t>1500 Watt</t>
  </si>
  <si>
    <t>400 Watt Flood 13000-25000 Lumens</t>
  </si>
  <si>
    <t>Large Power Service (750 kVA +)</t>
  </si>
  <si>
    <t>Present &amp; Proposed Rates</t>
  </si>
  <si>
    <t>Present and Proposed Rates</t>
  </si>
  <si>
    <t xml:space="preserve">    Envirowatts</t>
  </si>
  <si>
    <t>TARGET INCREASE:</t>
  </si>
  <si>
    <t>Rate Change</t>
  </si>
  <si>
    <t>Revenue</t>
  </si>
  <si>
    <t>Billing Proof Reconciliation</t>
  </si>
  <si>
    <t>Energy</t>
  </si>
  <si>
    <t>Booked</t>
  </si>
  <si>
    <t>Calculated</t>
  </si>
  <si>
    <t>Variance</t>
  </si>
  <si>
    <t>$</t>
  </si>
  <si>
    <t>Rate</t>
  </si>
  <si>
    <t>kWh</t>
  </si>
  <si>
    <t>Avg Bill Incr $</t>
  </si>
  <si>
    <t>Revenue Increase $</t>
  </si>
  <si>
    <t>Proposed Revenue $</t>
  </si>
  <si>
    <t>Present Revenue $</t>
  </si>
  <si>
    <t>EKPC</t>
  </si>
  <si>
    <t xml:space="preserve">Residential </t>
  </si>
  <si>
    <t>Monthly</t>
  </si>
  <si>
    <t>Present Base Rates</t>
  </si>
  <si>
    <t>Proposed Base Rates</t>
  </si>
  <si>
    <t>Customer</t>
  </si>
  <si>
    <t xml:space="preserve">Energy </t>
  </si>
  <si>
    <t>Riders</t>
  </si>
  <si>
    <t>SubTotal</t>
  </si>
  <si>
    <t xml:space="preserve">Customer </t>
  </si>
  <si>
    <t>AVG</t>
  </si>
  <si>
    <t xml:space="preserve">Estimated Monthly Increase by Usage </t>
  </si>
  <si>
    <t>BIG SANDY R.E.C.C.</t>
  </si>
  <si>
    <t>Test Year Rate</t>
  </si>
  <si>
    <t>Test Year Revenue</t>
  </si>
  <si>
    <t>FAC Roll-in &gt;</t>
  </si>
  <si>
    <t>Targets</t>
  </si>
  <si>
    <t>TOTAL</t>
  </si>
  <si>
    <t>Result</t>
  </si>
  <si>
    <t>Var</t>
  </si>
  <si>
    <t>Revenue Increase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</si>
</sst>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* #,##0.0000_);_(* \(#,##0.0000\);_(* &quot;-&quot;??_);_(@_)"/>
    <numFmt numFmtId="169" formatCode="_(&quot;$&quot;* #,##0.00000_);_(&quot;$&quot;* \(#,##0.00000\);_(&quot;$&quot;* &quot;-&quot;??_);_(@_)"/>
    <numFmt numFmtId="170" formatCode="&quot;$&quot;#,##0"/>
    <numFmt numFmtId="171" formatCode="0.00000"/>
    <numFmt numFmtId="172" formatCode="0.0%"/>
    <numFmt numFmtId="173" formatCode="0.000"/>
    <numFmt numFmtId="174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sz val="11"/>
      <name val="Times New Roman"/>
      <family val="1"/>
    </font>
    <font>
      <i/>
      <sz val="10"/>
      <color theme="1"/>
      <name val="Arial"/>
      <family val="2"/>
    </font>
    <font>
      <i/>
      <sz val="10"/>
      <name val="Arial"/>
      <family val="2"/>
    </font>
    <font>
      <sz val="12"/>
      <color theme="1"/>
      <name val="Times New Roman"/>
      <family val="1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center"/>
    </xf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4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10" fontId="3" fillId="0" borderId="3" xfId="3" applyNumberFormat="1" applyFont="1" applyBorder="1" applyAlignment="1"/>
    <xf numFmtId="0" fontId="2" fillId="0" borderId="4" xfId="0" applyFont="1" applyBorder="1"/>
    <xf numFmtId="44" fontId="3" fillId="0" borderId="0" xfId="2" applyFont="1"/>
    <xf numFmtId="169" fontId="3" fillId="0" borderId="0" xfId="2" applyNumberFormat="1" applyFont="1"/>
    <xf numFmtId="0" fontId="2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2" xfId="3" applyNumberFormat="1" applyFont="1" applyBorder="1"/>
    <xf numFmtId="170" fontId="3" fillId="0" borderId="0" xfId="0" applyNumberFormat="1" applyFont="1"/>
    <xf numFmtId="10" fontId="3" fillId="0" borderId="0" xfId="3" applyNumberFormat="1" applyFont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NumberFormat="1" applyFont="1"/>
    <xf numFmtId="0" fontId="8" fillId="0" borderId="0" xfId="0" applyFont="1"/>
    <xf numFmtId="0" fontId="5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5" fillId="0" borderId="0" xfId="0" applyFont="1" applyAlignment="1">
      <alignment horizontal="left"/>
    </xf>
    <xf numFmtId="165" fontId="3" fillId="0" borderId="2" xfId="2" applyNumberFormat="1" applyFont="1" applyBorder="1"/>
    <xf numFmtId="0" fontId="2" fillId="0" borderId="4" xfId="0" applyFont="1" applyBorder="1" applyAlignment="1">
      <alignment horizontal="left"/>
    </xf>
    <xf numFmtId="44" fontId="3" fillId="0" borderId="0" xfId="0" applyNumberFormat="1" applyFont="1"/>
    <xf numFmtId="169" fontId="3" fillId="0" borderId="0" xfId="0" applyNumberFormat="1" applyFont="1"/>
    <xf numFmtId="164" fontId="3" fillId="0" borderId="0" xfId="1" applyNumberFormat="1" applyFont="1"/>
    <xf numFmtId="165" fontId="3" fillId="0" borderId="0" xfId="2" applyNumberFormat="1" applyFont="1"/>
    <xf numFmtId="0" fontId="2" fillId="0" borderId="4" xfId="0" applyFont="1" applyBorder="1" applyAlignment="1">
      <alignment horizontal="center"/>
    </xf>
    <xf numFmtId="165" fontId="10" fillId="0" borderId="0" xfId="2" applyNumberFormat="1" applyFont="1" applyBorder="1" applyAlignment="1"/>
    <xf numFmtId="164" fontId="3" fillId="0" borderId="3" xfId="1" applyNumberFormat="1" applyFont="1" applyBorder="1"/>
    <xf numFmtId="10" fontId="3" fillId="0" borderId="3" xfId="3" applyNumberFormat="1" applyFont="1" applyBorder="1"/>
    <xf numFmtId="0" fontId="2" fillId="0" borderId="0" xfId="0" applyFont="1" applyAlignment="1">
      <alignment horizontal="right"/>
    </xf>
    <xf numFmtId="165" fontId="3" fillId="0" borderId="3" xfId="2" applyNumberFormat="1" applyFont="1" applyBorder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7" fillId="0" borderId="7" xfId="6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7" fillId="0" borderId="14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0" xfId="6" applyFont="1"/>
    <xf numFmtId="0" fontId="7" fillId="0" borderId="16" xfId="6" applyFont="1" applyBorder="1" applyAlignment="1">
      <alignment horizontal="center" vertical="center"/>
    </xf>
    <xf numFmtId="0" fontId="7" fillId="0" borderId="17" xfId="6" applyFont="1" applyBorder="1" applyAlignment="1">
      <alignment horizontal="center" vertical="center"/>
    </xf>
    <xf numFmtId="44" fontId="11" fillId="0" borderId="17" xfId="6" applyNumberFormat="1" applyFont="1" applyBorder="1" applyAlignment="1">
      <alignment horizontal="center" vertical="center"/>
    </xf>
    <xf numFmtId="169" fontId="11" fillId="0" borderId="17" xfId="7" applyNumberFormat="1" applyFont="1" applyBorder="1" applyAlignment="1">
      <alignment horizontal="center" vertical="center"/>
    </xf>
    <xf numFmtId="0" fontId="11" fillId="0" borderId="17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44" fontId="5" fillId="0" borderId="21" xfId="9" applyFont="1" applyBorder="1"/>
    <xf numFmtId="44" fontId="5" fillId="0" borderId="22" xfId="9" applyFont="1" applyBorder="1"/>
    <xf numFmtId="172" fontId="5" fillId="0" borderId="23" xfId="10" applyNumberFormat="1" applyFont="1" applyBorder="1"/>
    <xf numFmtId="164" fontId="5" fillId="0" borderId="24" xfId="8" applyNumberFormat="1" applyFont="1" applyBorder="1"/>
    <xf numFmtId="44" fontId="5" fillId="0" borderId="24" xfId="9" applyFont="1" applyBorder="1"/>
    <xf numFmtId="172" fontId="5" fillId="0" borderId="26" xfId="10" applyNumberFormat="1" applyFont="1" applyBorder="1"/>
    <xf numFmtId="44" fontId="5" fillId="0" borderId="28" xfId="9" applyFont="1" applyBorder="1" applyAlignment="1">
      <alignment vertical="center"/>
    </xf>
    <xf numFmtId="44" fontId="5" fillId="0" borderId="30" xfId="9" applyFont="1" applyBorder="1" applyAlignment="1">
      <alignment vertical="center"/>
    </xf>
    <xf numFmtId="172" fontId="5" fillId="0" borderId="31" xfId="10" applyNumberFormat="1" applyFont="1" applyBorder="1" applyAlignment="1">
      <alignment vertical="center"/>
    </xf>
    <xf numFmtId="0" fontId="7" fillId="0" borderId="4" xfId="0" applyFont="1" applyBorder="1" applyAlignment="1">
      <alignment horizontal="left"/>
    </xf>
    <xf numFmtId="164" fontId="3" fillId="0" borderId="0" xfId="0" applyNumberFormat="1" applyFont="1"/>
    <xf numFmtId="43" fontId="3" fillId="0" borderId="0" xfId="0" applyNumberFormat="1" applyFont="1"/>
    <xf numFmtId="0" fontId="2" fillId="0" borderId="0" xfId="0" applyFont="1" applyAlignment="1">
      <alignment horizontal="right" wrapText="1"/>
    </xf>
    <xf numFmtId="0" fontId="3" fillId="0" borderId="6" xfId="0" applyFont="1" applyBorder="1"/>
    <xf numFmtId="43" fontId="3" fillId="0" borderId="0" xfId="1" applyFont="1" applyFill="1"/>
    <xf numFmtId="166" fontId="3" fillId="0" borderId="0" xfId="1" applyNumberFormat="1" applyFont="1" applyFill="1"/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3" xfId="0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/>
    </xf>
    <xf numFmtId="164" fontId="3" fillId="0" borderId="0" xfId="1" applyNumberFormat="1" applyFont="1" applyFill="1"/>
    <xf numFmtId="165" fontId="3" fillId="0" borderId="0" xfId="2" applyNumberFormat="1" applyFont="1" applyFill="1"/>
    <xf numFmtId="10" fontId="3" fillId="0" borderId="0" xfId="3" applyNumberFormat="1" applyFont="1" applyFill="1"/>
    <xf numFmtId="2" fontId="3" fillId="0" borderId="0" xfId="0" applyNumberFormat="1" applyFont="1"/>
    <xf numFmtId="0" fontId="12" fillId="0" borderId="0" xfId="5" applyFont="1"/>
    <xf numFmtId="43" fontId="12" fillId="0" borderId="0" xfId="1" applyFont="1" applyFill="1"/>
    <xf numFmtId="171" fontId="3" fillId="0" borderId="0" xfId="0" applyNumberFormat="1" applyFont="1"/>
    <xf numFmtId="168" fontId="3" fillId="0" borderId="0" xfId="1" applyNumberFormat="1" applyFont="1" applyFill="1"/>
    <xf numFmtId="16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5" xfId="2" applyNumberFormat="1" applyFont="1" applyFill="1" applyBorder="1" applyAlignment="1">
      <alignment vertical="center"/>
    </xf>
    <xf numFmtId="168" fontId="3" fillId="0" borderId="0" xfId="1" applyNumberFormat="1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0" xfId="2" applyNumberFormat="1" applyFont="1" applyFill="1" applyAlignment="1">
      <alignment vertical="center"/>
    </xf>
    <xf numFmtId="9" fontId="12" fillId="0" borderId="0" xfId="5" applyNumberFormat="1" applyFont="1"/>
    <xf numFmtId="165" fontId="3" fillId="0" borderId="5" xfId="2" applyNumberFormat="1" applyFont="1" applyFill="1" applyBorder="1"/>
    <xf numFmtId="165" fontId="3" fillId="0" borderId="3" xfId="2" applyNumberFormat="1" applyFont="1" applyFill="1" applyBorder="1" applyAlignment="1">
      <alignment vertical="center"/>
    </xf>
    <xf numFmtId="10" fontId="3" fillId="0" borderId="0" xfId="3" applyNumberFormat="1" applyFont="1" applyFill="1" applyAlignment="1"/>
    <xf numFmtId="172" fontId="12" fillId="0" borderId="0" xfId="3" applyNumberFormat="1" applyFont="1" applyFill="1"/>
    <xf numFmtId="43" fontId="12" fillId="0" borderId="0" xfId="5" applyNumberFormat="1" applyFont="1"/>
    <xf numFmtId="173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2" fillId="0" borderId="3" xfId="2" applyNumberFormat="1" applyFont="1" applyFill="1" applyBorder="1" applyAlignment="1">
      <alignment vertical="center"/>
    </xf>
    <xf numFmtId="0" fontId="13" fillId="0" borderId="0" xfId="0" applyFont="1"/>
    <xf numFmtId="165" fontId="2" fillId="0" borderId="1" xfId="0" applyNumberFormat="1" applyFont="1" applyBorder="1"/>
    <xf numFmtId="172" fontId="3" fillId="0" borderId="0" xfId="3" applyNumberFormat="1" applyFont="1" applyFill="1"/>
    <xf numFmtId="172" fontId="3" fillId="0" borderId="5" xfId="3" applyNumberFormat="1" applyFont="1" applyFill="1" applyBorder="1" applyAlignment="1">
      <alignment vertical="center"/>
    </xf>
    <xf numFmtId="172" fontId="3" fillId="0" borderId="0" xfId="1" applyNumberFormat="1" applyFont="1" applyFill="1"/>
    <xf numFmtId="172" fontId="3" fillId="0" borderId="5" xfId="1" applyNumberFormat="1" applyFont="1" applyFill="1" applyBorder="1"/>
    <xf numFmtId="172" fontId="3" fillId="0" borderId="3" xfId="3" applyNumberFormat="1" applyFont="1" applyFill="1" applyBorder="1" applyAlignment="1">
      <alignment vertical="center"/>
    </xf>
    <xf numFmtId="172" fontId="3" fillId="0" borderId="0" xfId="0" applyNumberFormat="1" applyFont="1"/>
    <xf numFmtId="172" fontId="3" fillId="0" borderId="6" xfId="0" applyNumberFormat="1" applyFont="1" applyBorder="1"/>
    <xf numFmtId="172" fontId="3" fillId="0" borderId="5" xfId="3" applyNumberFormat="1" applyFont="1" applyFill="1" applyBorder="1"/>
    <xf numFmtId="172" fontId="2" fillId="0" borderId="3" xfId="3" applyNumberFormat="1" applyFont="1" applyFill="1" applyBorder="1" applyAlignment="1">
      <alignment vertical="center"/>
    </xf>
    <xf numFmtId="0" fontId="5" fillId="0" borderId="0" xfId="6" applyAlignment="1">
      <alignment horizontal="center"/>
    </xf>
    <xf numFmtId="0" fontId="5" fillId="0" borderId="0" xfId="6"/>
    <xf numFmtId="0" fontId="7" fillId="0" borderId="0" xfId="5" applyFont="1"/>
    <xf numFmtId="0" fontId="7" fillId="0" borderId="0" xfId="6" applyFont="1" applyAlignment="1">
      <alignment horizontal="left"/>
    </xf>
    <xf numFmtId="0" fontId="5" fillId="0" borderId="19" xfId="6" applyBorder="1" applyAlignment="1">
      <alignment horizontal="center"/>
    </xf>
    <xf numFmtId="164" fontId="3" fillId="0" borderId="20" xfId="8" applyNumberFormat="1" applyFont="1" applyBorder="1"/>
    <xf numFmtId="44" fontId="5" fillId="0" borderId="21" xfId="6" applyNumberFormat="1" applyBorder="1"/>
    <xf numFmtId="44" fontId="5" fillId="0" borderId="0" xfId="6" applyNumberFormat="1"/>
    <xf numFmtId="44" fontId="5" fillId="0" borderId="22" xfId="6" applyNumberFormat="1" applyBorder="1"/>
    <xf numFmtId="44" fontId="5" fillId="0" borderId="24" xfId="6" applyNumberFormat="1" applyBorder="1"/>
    <xf numFmtId="44" fontId="5" fillId="0" borderId="25" xfId="6" applyNumberFormat="1" applyBorder="1"/>
    <xf numFmtId="0" fontId="5" fillId="0" borderId="0" xfId="6" applyAlignment="1">
      <alignment horizontal="center" vertical="center"/>
    </xf>
    <xf numFmtId="0" fontId="5" fillId="0" borderId="1" xfId="6" applyBorder="1" applyAlignment="1">
      <alignment horizontal="center"/>
    </xf>
    <xf numFmtId="164" fontId="3" fillId="0" borderId="27" xfId="8" applyNumberFormat="1" applyFont="1" applyBorder="1" applyAlignment="1">
      <alignment vertical="center"/>
    </xf>
    <xf numFmtId="44" fontId="5" fillId="0" borderId="28" xfId="6" applyNumberFormat="1" applyBorder="1" applyAlignment="1">
      <alignment vertical="center"/>
    </xf>
    <xf numFmtId="44" fontId="5" fillId="0" borderId="29" xfId="6" applyNumberFormat="1" applyBorder="1" applyAlignment="1">
      <alignment vertical="center"/>
    </xf>
    <xf numFmtId="44" fontId="5" fillId="0" borderId="30" xfId="6" applyNumberFormat="1" applyBorder="1" applyAlignment="1">
      <alignment vertical="center"/>
    </xf>
    <xf numFmtId="0" fontId="5" fillId="0" borderId="0" xfId="6" applyAlignment="1">
      <alignment vertical="center"/>
    </xf>
    <xf numFmtId="0" fontId="5" fillId="0" borderId="0" xfId="6" applyAlignment="1">
      <alignment horizontal="left"/>
    </xf>
    <xf numFmtId="174" fontId="3" fillId="0" borderId="0" xfId="3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72" fontId="3" fillId="2" borderId="0" xfId="0" applyNumberFormat="1" applyFont="1" applyFill="1"/>
    <xf numFmtId="0" fontId="7" fillId="0" borderId="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1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165" fontId="12" fillId="0" borderId="0" xfId="5" applyNumberFormat="1" applyFont="1"/>
  </cellXfs>
  <cellStyles count="11">
    <cellStyle name="Comma" xfId="1" builtinId="3"/>
    <cellStyle name="Comma 3 2" xfId="8" xr:uid="{E2A3B101-1D62-428B-8469-6B55DA4B96C2}"/>
    <cellStyle name="Currency" xfId="2" builtinId="4"/>
    <cellStyle name="Currency 2" xfId="7" xr:uid="{91F93A0B-AF78-47F2-9F28-3CFDABEE5C39}"/>
    <cellStyle name="Currency 2 2" xfId="9" xr:uid="{B4A10B0C-0475-47CE-BA68-23C937E35689}"/>
    <cellStyle name="Normal" xfId="0" builtinId="0"/>
    <cellStyle name="Normal 2" xfId="4" xr:uid="{07BB8BC8-C5A2-4D23-8181-BEF9162D0260}"/>
    <cellStyle name="Normal 2 2" xfId="6" xr:uid="{B17F8F72-BA30-4A26-BE7F-A5F44A327095}"/>
    <cellStyle name="Normal 3" xfId="5" xr:uid="{5B295A7E-3EB4-4FE8-9EE2-F68D7847C02F}"/>
    <cellStyle name="Percent" xfId="3" builtinId="5"/>
    <cellStyle name="Percent 3 2" xfId="10" xr:uid="{73336C2F-33B2-4ADD-BAAD-6DE48382FAC3}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holly\Local%20Settings\Temporary%20Internet%20Files\OLK2A\Clark%20Energy%20Model%202009%2007-29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Ledger Master"/>
      <sheetName val="Exec Drivers"/>
      <sheetName val="Global Inputs"/>
      <sheetName val="Start"/>
      <sheetName val="Revenue"/>
      <sheetName val="Purch Power"/>
      <sheetName val="Misc Revenue"/>
      <sheetName val="O&amp;M"/>
      <sheetName val="Misc Exp"/>
      <sheetName val="Cnst&amp;Plt"/>
      <sheetName val="RUS Debt (1)"/>
      <sheetName val="RUS Debt (2)"/>
      <sheetName val="CFC Debt"/>
      <sheetName val="FFB Debt"/>
      <sheetName val="End"/>
      <sheetName val="Consolidation"/>
      <sheetName val="Fin Rpts"/>
      <sheetName val="Var Rpt"/>
      <sheetName val="Budget Inc Rpt"/>
      <sheetName val="Actuals"/>
      <sheetName val="Variance"/>
      <sheetName val="Budget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R17"/>
  <sheetViews>
    <sheetView tabSelected="1" view="pageBreakPreview" zoomScaleNormal="75" zoomScaleSheetLayoutView="100" workbookViewId="0">
      <selection activeCell="G38" sqref="G38"/>
    </sheetView>
  </sheetViews>
  <sheetFormatPr defaultColWidth="8.85546875" defaultRowHeight="12.75" x14ac:dyDescent="0.2"/>
  <cols>
    <col min="1" max="1" width="4.7109375" style="2" customWidth="1"/>
    <col min="2" max="2" width="30" style="2" bestFit="1" customWidth="1"/>
    <col min="3" max="3" width="7.28515625" style="11" bestFit="1" customWidth="1"/>
    <col min="4" max="4" width="14.28515625" style="2" hidden="1" customWidth="1"/>
    <col min="5" max="6" width="12.7109375" style="2" bestFit="1" customWidth="1"/>
    <col min="7" max="7" width="12.7109375" style="2" customWidth="1"/>
    <col min="8" max="8" width="10.7109375" style="2" bestFit="1" customWidth="1"/>
    <col min="9" max="9" width="11.28515625" style="2" customWidth="1"/>
    <col min="10" max="10" width="10.28515625" style="2" bestFit="1" customWidth="1"/>
    <col min="11" max="11" width="11" style="2" customWidth="1"/>
    <col min="12" max="12" width="14.5703125" style="2" customWidth="1"/>
    <col min="13" max="13" width="9" style="2" customWidth="1"/>
    <col min="14" max="14" width="14.7109375" style="2" customWidth="1"/>
    <col min="15" max="15" width="10" style="2" customWidth="1"/>
    <col min="16" max="16384" width="8.85546875" style="2"/>
  </cols>
  <sheetData>
    <row r="1" spans="1:18" x14ac:dyDescent="0.2">
      <c r="A1" s="1" t="s">
        <v>106</v>
      </c>
      <c r="I1" s="1"/>
    </row>
    <row r="2" spans="1:18" x14ac:dyDescent="0.2">
      <c r="A2" s="1" t="s">
        <v>77</v>
      </c>
    </row>
    <row r="3" spans="1:18" x14ac:dyDescent="0.2">
      <c r="A3" s="1"/>
    </row>
    <row r="4" spans="1:18" x14ac:dyDescent="0.2">
      <c r="H4" s="4"/>
    </row>
    <row r="5" spans="1:18" s="7" customFormat="1" ht="31.9" customHeight="1" x14ac:dyDescent="0.2">
      <c r="A5" s="5" t="s">
        <v>0</v>
      </c>
      <c r="B5" s="5" t="s">
        <v>1</v>
      </c>
      <c r="C5" s="6" t="s">
        <v>7</v>
      </c>
      <c r="D5" s="8" t="s">
        <v>16</v>
      </c>
      <c r="E5" s="8" t="s">
        <v>93</v>
      </c>
      <c r="F5" s="8" t="s">
        <v>92</v>
      </c>
      <c r="G5" s="8" t="s">
        <v>91</v>
      </c>
      <c r="H5" s="8" t="s">
        <v>114</v>
      </c>
      <c r="I5" s="8" t="s">
        <v>90</v>
      </c>
      <c r="K5" s="2"/>
      <c r="L5" s="2"/>
      <c r="M5" s="2"/>
      <c r="N5" s="2"/>
      <c r="O5" s="2"/>
      <c r="P5" s="2"/>
      <c r="Q5" s="2"/>
      <c r="R5" s="2"/>
    </row>
    <row r="6" spans="1:18" x14ac:dyDescent="0.2">
      <c r="A6" s="3">
        <v>1</v>
      </c>
      <c r="B6" s="2" t="str">
        <f>'Billing Detail'!B7</f>
        <v xml:space="preserve">Farm &amp; Home </v>
      </c>
      <c r="C6" s="11" t="str">
        <f>'Billing Detail'!C7</f>
        <v>A1</v>
      </c>
      <c r="D6" s="13" t="e">
        <f>'Billing Detail'!#REF!</f>
        <v>#REF!</v>
      </c>
      <c r="E6" s="13">
        <f>'Billing Detail'!I16</f>
        <v>19446233.811550003</v>
      </c>
      <c r="F6" s="13">
        <f>'Billing Detail'!L16</f>
        <v>21959971.112500001</v>
      </c>
      <c r="G6" s="13">
        <f>'Billing Detail'!M16</f>
        <v>2513737.3009499982</v>
      </c>
      <c r="H6" s="12">
        <f>'Billing Detail'!N16</f>
        <v>0.12926602268131607</v>
      </c>
      <c r="I6" s="46">
        <f>'Billing Detail'!M17</f>
        <v>18.068452383502375</v>
      </c>
    </row>
    <row r="7" spans="1:18" x14ac:dyDescent="0.2">
      <c r="A7" s="3">
        <f>A6+1</f>
        <v>2</v>
      </c>
      <c r="B7" s="2" t="str">
        <f>'Billing Detail'!B19</f>
        <v xml:space="preserve">Commercial &amp; Small Power </v>
      </c>
      <c r="C7" s="11" t="str">
        <f>'Billing Detail'!C19</f>
        <v>A2</v>
      </c>
      <c r="D7" s="13" t="e">
        <f>'Billing Detail'!#REF!</f>
        <v>#REF!</v>
      </c>
      <c r="E7" s="13">
        <f>'Billing Detail'!I29</f>
        <v>1383781.71129</v>
      </c>
      <c r="F7" s="13">
        <f>'Billing Detail'!L29</f>
        <v>1383781.71129</v>
      </c>
      <c r="G7" s="13">
        <f>'Billing Detail'!M29</f>
        <v>0</v>
      </c>
      <c r="H7" s="12">
        <f>'Billing Detail'!N29</f>
        <v>0</v>
      </c>
      <c r="I7" s="46">
        <f>'Billing Detail'!M30</f>
        <v>0</v>
      </c>
    </row>
    <row r="8" spans="1:18" x14ac:dyDescent="0.2">
      <c r="A8" s="3">
        <f t="shared" ref="A8:A15" si="0">A7+1</f>
        <v>3</v>
      </c>
      <c r="B8" s="2" t="str">
        <f>'Billing Detail'!B32</f>
        <v>Large Power Service (25-750 kV)</v>
      </c>
      <c r="C8" s="11" t="str">
        <f>'Billing Detail'!C32</f>
        <v>LP</v>
      </c>
      <c r="D8" s="13" t="e">
        <f>'Billing Detail'!#REF!</f>
        <v>#REF!</v>
      </c>
      <c r="E8" s="13">
        <f>'Billing Detail'!I43</f>
        <v>2478590.5090019996</v>
      </c>
      <c r="F8" s="13">
        <f>'Billing Detail'!L43</f>
        <v>2683269.1265770001</v>
      </c>
      <c r="G8" s="13">
        <f>'Billing Detail'!M43</f>
        <v>204678.61757500051</v>
      </c>
      <c r="H8" s="12">
        <f>'Billing Detail'!N43</f>
        <v>8.2578633635377721E-2</v>
      </c>
      <c r="I8" s="46">
        <f>'Billing Detail'!M44</f>
        <v>106.43713862454524</v>
      </c>
    </row>
    <row r="9" spans="1:18" x14ac:dyDescent="0.2">
      <c r="A9" s="3">
        <f t="shared" si="0"/>
        <v>4</v>
      </c>
      <c r="B9" s="2" t="str">
        <f>'Billing Detail'!B46</f>
        <v>Large Power Service (750 kVA +)</v>
      </c>
      <c r="C9" s="11" t="str">
        <f>'Billing Detail'!C46</f>
        <v>LPR</v>
      </c>
      <c r="D9" s="13" t="e">
        <f>'Billing Detail'!#REF!</f>
        <v>#REF!</v>
      </c>
      <c r="E9" s="13">
        <f>'Billing Detail'!I57</f>
        <v>1056846.7164</v>
      </c>
      <c r="F9" s="13">
        <f>'Billing Detail'!L57</f>
        <v>1067457.7562000002</v>
      </c>
      <c r="G9" s="13">
        <f>'Billing Detail'!M57</f>
        <v>10611.039800000144</v>
      </c>
      <c r="H9" s="12">
        <f>'Billing Detail'!N57</f>
        <v>1.0040282696950757E-2</v>
      </c>
      <c r="I9" s="46">
        <f>'Billing Detail'!M58</f>
        <v>104.02980196078715</v>
      </c>
    </row>
    <row r="10" spans="1:18" x14ac:dyDescent="0.2">
      <c r="A10" s="3">
        <f t="shared" si="0"/>
        <v>5</v>
      </c>
      <c r="B10" s="2" t="str">
        <f>'Billing Detail'!B60</f>
        <v>Industrial</v>
      </c>
      <c r="C10" s="11" t="str">
        <f>'Billing Detail'!C60</f>
        <v>IND-1B</v>
      </c>
      <c r="D10" s="13" t="e">
        <f>'Billing Detail'!#REF!</f>
        <v>#REF!</v>
      </c>
      <c r="E10" s="13">
        <f>'Billing Detail'!I72</f>
        <v>580947.8899999999</v>
      </c>
      <c r="F10" s="13">
        <f>'Billing Detail'!L72</f>
        <v>622986.79842105252</v>
      </c>
      <c r="G10" s="13">
        <f>'Billing Detail'!M72</f>
        <v>42038.90842105262</v>
      </c>
      <c r="H10" s="12">
        <f>'Billing Detail'!N72</f>
        <v>7.2362614865599445E-2</v>
      </c>
      <c r="I10" s="46">
        <f>'Billing Detail'!M73</f>
        <v>3503.2423684210517</v>
      </c>
    </row>
    <row r="11" spans="1:18" x14ac:dyDescent="0.2">
      <c r="A11" s="3">
        <f t="shared" si="0"/>
        <v>6</v>
      </c>
      <c r="B11" s="2" t="str">
        <f>'Billing Detail'!B75</f>
        <v>Lighting</v>
      </c>
      <c r="C11" s="11" t="str">
        <f>'Billing Detail'!C75</f>
        <v>YL1</v>
      </c>
      <c r="D11" s="13" t="e">
        <f>'Billing Detail'!#REF!</f>
        <v>#REF!</v>
      </c>
      <c r="E11" s="13">
        <f>'Billing Detail'!I99</f>
        <v>980844.12</v>
      </c>
      <c r="F11" s="13">
        <f>'Billing Detail'!L99</f>
        <v>1071149.76</v>
      </c>
      <c r="G11" s="13">
        <f>'Billing Detail'!M99</f>
        <v>90305.640000000014</v>
      </c>
      <c r="H11" s="12">
        <f>'Billing Detail'!N99</f>
        <v>9.206930862775628E-2</v>
      </c>
      <c r="I11" s="56" t="s">
        <v>38</v>
      </c>
    </row>
    <row r="12" spans="1:18" ht="18" customHeight="1" thickBot="1" x14ac:dyDescent="0.25">
      <c r="A12" s="3">
        <f t="shared" si="0"/>
        <v>7</v>
      </c>
      <c r="B12" s="17" t="s">
        <v>5</v>
      </c>
      <c r="C12" s="26"/>
      <c r="D12" s="18" t="e">
        <f>#REF!+#REF!</f>
        <v>#REF!</v>
      </c>
      <c r="E12" s="18">
        <f>'Billing Detail'!I109</f>
        <v>25927244.758242004</v>
      </c>
      <c r="F12" s="18">
        <f>'Billing Detail'!L109</f>
        <v>28788616.264988054</v>
      </c>
      <c r="G12" s="19">
        <f>'Billing Detail'!M109</f>
        <v>2861371.5067460514</v>
      </c>
      <c r="H12" s="20">
        <f>'Billing Detail'!N109</f>
        <v>0.11036157267873405</v>
      </c>
      <c r="I12" s="57" t="s">
        <v>38</v>
      </c>
    </row>
    <row r="13" spans="1:18" ht="18" customHeight="1" thickTop="1" x14ac:dyDescent="0.2">
      <c r="A13" s="3">
        <f t="shared" si="0"/>
        <v>8</v>
      </c>
      <c r="B13" s="2" t="s">
        <v>6</v>
      </c>
      <c r="D13" s="14"/>
      <c r="G13" s="51">
        <f>'Billing Detail'!M113</f>
        <v>2861405.5442734645</v>
      </c>
    </row>
    <row r="14" spans="1:18" ht="15" customHeight="1" x14ac:dyDescent="0.2">
      <c r="A14" s="3">
        <f t="shared" si="0"/>
        <v>9</v>
      </c>
      <c r="B14" s="15" t="s">
        <v>24</v>
      </c>
      <c r="C14" s="25"/>
      <c r="D14" s="16"/>
      <c r="E14" s="15"/>
      <c r="F14" s="15"/>
      <c r="G14" s="16">
        <f>G12-G13</f>
        <v>-34.037527413107455</v>
      </c>
    </row>
    <row r="15" spans="1:18" ht="15" customHeight="1" x14ac:dyDescent="0.2">
      <c r="A15" s="3">
        <f t="shared" si="0"/>
        <v>10</v>
      </c>
      <c r="B15" s="2" t="s">
        <v>24</v>
      </c>
      <c r="D15" s="12"/>
      <c r="G15" s="12">
        <f>G14/G13</f>
        <v>-1.189538738443658E-5</v>
      </c>
    </row>
    <row r="16" spans="1:18" x14ac:dyDescent="0.2">
      <c r="A16" s="3"/>
    </row>
    <row r="17" spans="1:1" x14ac:dyDescent="0.2">
      <c r="A17" s="39"/>
    </row>
  </sheetData>
  <printOptions horizontalCentered="1"/>
  <pageMargins left="0.7" right="0.7" top="0.75" bottom="0.75" header="0.3" footer="0.3"/>
  <pageSetup orientation="landscape" r:id="rId1"/>
  <headerFooter>
    <oddFooter>&amp;R&amp;"Arial,Bold"&amp;10Exhibit JW-9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AD115"/>
  <sheetViews>
    <sheetView tabSelected="1" view="pageBreakPreview" zoomScaleNormal="75" zoomScaleSheetLayoutView="100" workbookViewId="0">
      <pane xSplit="4" ySplit="5" topLeftCell="F6" activePane="bottomRight" state="frozen"/>
      <selection activeCell="G38" sqref="G38"/>
      <selection pane="topRight" activeCell="G38" sqref="G38"/>
      <selection pane="bottomLeft" activeCell="G38" sqref="G38"/>
      <selection pane="bottomRight" activeCell="G38" sqref="G38"/>
    </sheetView>
  </sheetViews>
  <sheetFormatPr defaultColWidth="8.85546875" defaultRowHeight="12.75" x14ac:dyDescent="0.2"/>
  <cols>
    <col min="1" max="1" width="7" style="94" customWidth="1"/>
    <col min="2" max="2" width="31" style="2" bestFit="1" customWidth="1"/>
    <col min="3" max="3" width="6.7109375" style="11" customWidth="1"/>
    <col min="4" max="4" width="35.7109375" style="2" bestFit="1" customWidth="1"/>
    <col min="5" max="5" width="13.140625" style="2" bestFit="1" customWidth="1"/>
    <col min="6" max="6" width="10" style="2" customWidth="1"/>
    <col min="7" max="7" width="15.5703125" style="2" customWidth="1"/>
    <col min="8" max="8" width="10" style="2" customWidth="1"/>
    <col min="9" max="9" width="16.85546875" style="2" bestFit="1" customWidth="1"/>
    <col min="10" max="10" width="11.42578125" style="2" customWidth="1"/>
    <col min="11" max="11" width="10" style="2" customWidth="1"/>
    <col min="12" max="12" width="13.85546875" style="2" bestFit="1" customWidth="1"/>
    <col min="13" max="13" width="15.28515625" style="2" customWidth="1"/>
    <col min="14" max="14" width="9.7109375" style="2" customWidth="1"/>
    <col min="15" max="15" width="15.7109375" style="2" customWidth="1"/>
    <col min="16" max="16" width="15.5703125" style="2" bestFit="1" customWidth="1"/>
    <col min="17" max="17" width="8.85546875" style="2" customWidth="1"/>
    <col min="18" max="18" width="11" style="2" bestFit="1" customWidth="1"/>
    <col min="19" max="20" width="8.85546875" style="2"/>
    <col min="21" max="21" width="11.7109375" style="2" customWidth="1"/>
    <col min="22" max="26" width="8.85546875" style="2"/>
    <col min="27" max="28" width="14.7109375" style="2" bestFit="1" customWidth="1"/>
    <col min="29" max="29" width="12.5703125" style="2" bestFit="1" customWidth="1"/>
    <col min="30" max="16384" width="8.85546875" style="2"/>
  </cols>
  <sheetData>
    <row r="1" spans="1:30" x14ac:dyDescent="0.2">
      <c r="A1" s="93" t="str">
        <f>Summary!A1</f>
        <v>BIG SANDY R.E.C.C.</v>
      </c>
    </row>
    <row r="2" spans="1:30" ht="14.45" customHeight="1" x14ac:dyDescent="0.2">
      <c r="A2" s="93" t="str">
        <f>Summary!A2</f>
        <v>Present and Proposed Rates</v>
      </c>
      <c r="F2" s="3"/>
      <c r="K2" s="3"/>
    </row>
    <row r="3" spans="1:30" x14ac:dyDescent="0.2">
      <c r="E3" s="81"/>
      <c r="F3" s="81"/>
      <c r="H3" s="81"/>
      <c r="K3" s="81"/>
    </row>
    <row r="4" spans="1:30" x14ac:dyDescent="0.2">
      <c r="E4" s="82"/>
      <c r="F4" s="82"/>
      <c r="H4" s="82"/>
      <c r="K4" s="82"/>
    </row>
    <row r="5" spans="1:30" ht="38.450000000000003" customHeight="1" x14ac:dyDescent="0.2">
      <c r="A5" s="95" t="s">
        <v>0</v>
      </c>
      <c r="B5" s="95" t="s">
        <v>8</v>
      </c>
      <c r="C5" s="6" t="s">
        <v>7</v>
      </c>
      <c r="D5" s="95" t="s">
        <v>9</v>
      </c>
      <c r="E5" s="8" t="s">
        <v>10</v>
      </c>
      <c r="F5" s="8" t="s">
        <v>107</v>
      </c>
      <c r="G5" s="8" t="s">
        <v>108</v>
      </c>
      <c r="H5" s="8" t="s">
        <v>18</v>
      </c>
      <c r="I5" s="8" t="s">
        <v>19</v>
      </c>
      <c r="J5" s="8" t="s">
        <v>17</v>
      </c>
      <c r="K5" s="8" t="s">
        <v>80</v>
      </c>
      <c r="L5" s="8" t="s">
        <v>2</v>
      </c>
      <c r="M5" s="8" t="s">
        <v>11</v>
      </c>
      <c r="N5" s="6" t="s">
        <v>12</v>
      </c>
      <c r="O5" s="9">
        <f>M111</f>
        <v>-34.037527413107455</v>
      </c>
    </row>
    <row r="6" spans="1:30" ht="30.6" customHeight="1" thickBot="1" x14ac:dyDescent="0.25">
      <c r="A6" s="96"/>
      <c r="B6" s="97"/>
      <c r="C6" s="98"/>
      <c r="D6" s="97"/>
      <c r="E6" s="83"/>
      <c r="F6" s="83"/>
      <c r="G6" s="83"/>
      <c r="H6" s="83"/>
      <c r="I6" s="83"/>
      <c r="J6" s="83"/>
      <c r="K6" s="83"/>
      <c r="L6" s="83"/>
      <c r="M6" s="83"/>
      <c r="N6" s="98"/>
    </row>
    <row r="7" spans="1:30" x14ac:dyDescent="0.2">
      <c r="A7" s="99">
        <v>1</v>
      </c>
      <c r="B7" s="84" t="s">
        <v>39</v>
      </c>
      <c r="C7" s="100" t="s">
        <v>40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AA7" s="2" t="s">
        <v>112</v>
      </c>
      <c r="AB7" s="2" t="s">
        <v>110</v>
      </c>
      <c r="AC7" s="2" t="s">
        <v>113</v>
      </c>
    </row>
    <row r="8" spans="1:30" ht="15.75" x14ac:dyDescent="0.25">
      <c r="A8" s="99">
        <f>A7+1</f>
        <v>2</v>
      </c>
      <c r="C8" s="2"/>
      <c r="D8" s="2" t="s">
        <v>13</v>
      </c>
      <c r="E8" s="101">
        <v>139123</v>
      </c>
      <c r="F8" s="85">
        <v>21.95</v>
      </c>
      <c r="G8" s="102">
        <f>F8*E8</f>
        <v>3053749.85</v>
      </c>
      <c r="H8" s="85">
        <v>21.95</v>
      </c>
      <c r="I8" s="102">
        <f>H8*E8</f>
        <v>3053749.85</v>
      </c>
      <c r="J8" s="85">
        <v>29</v>
      </c>
      <c r="K8" s="85">
        <f>J8-H8</f>
        <v>7.0500000000000007</v>
      </c>
      <c r="L8" s="102">
        <f>J8*E8</f>
        <v>4034567</v>
      </c>
      <c r="M8" s="102">
        <f>L8-I8</f>
        <v>980817.14999999991</v>
      </c>
      <c r="N8" s="126">
        <f>IF(I8=0,0,M8/I8)</f>
        <v>0.32118451025056943</v>
      </c>
      <c r="O8" s="104">
        <v>1.94</v>
      </c>
      <c r="P8" s="9"/>
      <c r="W8" s="105"/>
      <c r="X8" s="106"/>
      <c r="AA8" s="102">
        <f>M16</f>
        <v>2513737.3009499982</v>
      </c>
      <c r="AB8" s="102">
        <v>2514207.66</v>
      </c>
      <c r="AC8" s="102">
        <f>AA8-AB8</f>
        <v>-470.35905000194907</v>
      </c>
      <c r="AD8" s="2" t="s">
        <v>39</v>
      </c>
    </row>
    <row r="9" spans="1:30" ht="15.75" x14ac:dyDescent="0.25">
      <c r="A9" s="99">
        <f t="shared" ref="A9:A76" si="0">A8+1</f>
        <v>3</v>
      </c>
      <c r="B9" s="85"/>
      <c r="D9" s="2" t="s">
        <v>28</v>
      </c>
      <c r="E9" s="101">
        <v>142863015</v>
      </c>
      <c r="F9" s="86">
        <v>8.8770000000000002E-2</v>
      </c>
      <c r="G9" s="102">
        <f>F9*E9</f>
        <v>12681949.84155</v>
      </c>
      <c r="H9" s="86">
        <f>F9+H$112</f>
        <v>0.10064000000000001</v>
      </c>
      <c r="I9" s="102">
        <f>H9*E9</f>
        <v>14377733.829600001</v>
      </c>
      <c r="J9" s="107">
        <f>ROUND(H9*S9,5)</f>
        <v>0.11137</v>
      </c>
      <c r="K9" s="86">
        <f>J9-H9</f>
        <v>1.072999999999999E-2</v>
      </c>
      <c r="L9" s="102">
        <f>J9*E9</f>
        <v>15910653.98055</v>
      </c>
      <c r="M9" s="102">
        <f>L9-I9</f>
        <v>1532920.1509499997</v>
      </c>
      <c r="N9" s="126">
        <f>IF(I9=0,0,M9/I9)</f>
        <v>0.1066176470588235</v>
      </c>
      <c r="O9" s="108">
        <v>1.1698</v>
      </c>
      <c r="Q9" s="2">
        <v>1.1698</v>
      </c>
      <c r="S9" s="108">
        <v>1.1066</v>
      </c>
      <c r="U9" s="2">
        <f>Summary!L6</f>
        <v>0</v>
      </c>
      <c r="W9" s="164">
        <f>AC8</f>
        <v>-470.35905000194907</v>
      </c>
      <c r="X9" s="106"/>
      <c r="AA9" s="102">
        <f>M29</f>
        <v>0</v>
      </c>
      <c r="AB9" s="102">
        <v>0</v>
      </c>
      <c r="AC9" s="102">
        <f t="shared" ref="AC9:AC14" si="1">AA9-AB9</f>
        <v>0</v>
      </c>
      <c r="AD9" s="2" t="s">
        <v>41</v>
      </c>
    </row>
    <row r="10" spans="1:30" s="94" customFormat="1" ht="20.45" customHeight="1" x14ac:dyDescent="0.25">
      <c r="A10" s="99">
        <f t="shared" si="0"/>
        <v>4</v>
      </c>
      <c r="B10" s="109"/>
      <c r="C10" s="110"/>
      <c r="D10" s="87" t="s">
        <v>3</v>
      </c>
      <c r="E10" s="87"/>
      <c r="F10" s="87"/>
      <c r="G10" s="111">
        <f>SUM(G8:G9)</f>
        <v>15735699.69155</v>
      </c>
      <c r="H10" s="87"/>
      <c r="I10" s="111">
        <f>SUM(I8:I9)</f>
        <v>17431483.6796</v>
      </c>
      <c r="J10" s="87"/>
      <c r="K10" s="87"/>
      <c r="L10" s="111">
        <f>SUM(L8:L9)</f>
        <v>19945220.980549999</v>
      </c>
      <c r="M10" s="111">
        <f>SUM(M8:M9)</f>
        <v>2513737.3009499996</v>
      </c>
      <c r="N10" s="127">
        <f>M10/I10</f>
        <v>0.14420673232146136</v>
      </c>
      <c r="O10" s="112"/>
      <c r="P10" s="2"/>
      <c r="Q10" s="94">
        <v>3012666</v>
      </c>
      <c r="R10" s="113">
        <f>Q10-M10</f>
        <v>498928.6990500004</v>
      </c>
      <c r="W10" s="105"/>
      <c r="X10" s="106"/>
      <c r="AA10" s="114">
        <f>M43</f>
        <v>204678.61757500051</v>
      </c>
      <c r="AB10" s="114">
        <v>204646.34</v>
      </c>
      <c r="AC10" s="102">
        <f t="shared" si="1"/>
        <v>32.277575000509387</v>
      </c>
      <c r="AD10" s="94" t="s">
        <v>43</v>
      </c>
    </row>
    <row r="11" spans="1:30" ht="15.75" x14ac:dyDescent="0.25">
      <c r="A11" s="99">
        <f t="shared" si="0"/>
        <v>5</v>
      </c>
      <c r="D11" s="2" t="s">
        <v>20</v>
      </c>
      <c r="G11" s="9">
        <v>1753824.9000000004</v>
      </c>
      <c r="I11" s="9">
        <f>G11-(E9*H$112)</f>
        <v>58040.911950000329</v>
      </c>
      <c r="L11" s="102">
        <f>I11</f>
        <v>58040.911950000329</v>
      </c>
      <c r="M11" s="102">
        <f t="shared" ref="M11:M17" si="2">L11-I11</f>
        <v>0</v>
      </c>
      <c r="N11" s="128">
        <v>0</v>
      </c>
      <c r="W11" s="105"/>
      <c r="X11" s="106"/>
      <c r="AA11" s="102">
        <f>M57</f>
        <v>10611.039800000144</v>
      </c>
      <c r="AB11" s="102">
        <v>10609.81</v>
      </c>
      <c r="AC11" s="102">
        <f t="shared" si="1"/>
        <v>1.2298000001446781</v>
      </c>
      <c r="AD11" s="2" t="s">
        <v>75</v>
      </c>
    </row>
    <row r="12" spans="1:30" ht="15.75" x14ac:dyDescent="0.25">
      <c r="A12" s="99">
        <f t="shared" si="0"/>
        <v>6</v>
      </c>
      <c r="D12" s="2" t="s">
        <v>21</v>
      </c>
      <c r="G12" s="9">
        <v>1956145.4700000002</v>
      </c>
      <c r="I12" s="9">
        <v>1956145.4700000002</v>
      </c>
      <c r="L12" s="102">
        <f>I12</f>
        <v>1956145.4700000002</v>
      </c>
      <c r="M12" s="102">
        <f t="shared" si="2"/>
        <v>0</v>
      </c>
      <c r="N12" s="128">
        <v>0</v>
      </c>
      <c r="W12" s="115"/>
      <c r="X12" s="106"/>
      <c r="AA12" s="102">
        <f>M72</f>
        <v>42038.90842105262</v>
      </c>
      <c r="AB12" s="102">
        <v>41643.07</v>
      </c>
      <c r="AC12" s="102">
        <f t="shared" si="1"/>
        <v>395.83842105262011</v>
      </c>
      <c r="AD12" s="2" t="s">
        <v>66</v>
      </c>
    </row>
    <row r="13" spans="1:30" ht="15.75" x14ac:dyDescent="0.25">
      <c r="A13" s="99">
        <f t="shared" si="0"/>
        <v>7</v>
      </c>
      <c r="D13" s="2" t="s">
        <v>78</v>
      </c>
      <c r="G13" s="9">
        <v>563.75</v>
      </c>
      <c r="I13" s="9">
        <v>563.75</v>
      </c>
      <c r="L13" s="102">
        <f>I13</f>
        <v>563.75</v>
      </c>
      <c r="M13" s="102">
        <f t="shared" si="2"/>
        <v>0</v>
      </c>
      <c r="N13" s="128">
        <v>0</v>
      </c>
      <c r="W13" s="115"/>
      <c r="X13" s="106"/>
      <c r="AA13" s="102">
        <f>M99</f>
        <v>90305.640000000014</v>
      </c>
      <c r="AB13" s="102">
        <v>90298.77</v>
      </c>
      <c r="AC13" s="102">
        <f t="shared" si="1"/>
        <v>6.8700000000098953</v>
      </c>
      <c r="AD13" s="2" t="s">
        <v>23</v>
      </c>
    </row>
    <row r="14" spans="1:30" ht="15.75" x14ac:dyDescent="0.25">
      <c r="A14" s="99">
        <f t="shared" si="0"/>
        <v>8</v>
      </c>
      <c r="D14" s="2" t="s">
        <v>25</v>
      </c>
      <c r="G14" s="9">
        <v>0</v>
      </c>
      <c r="I14" s="9">
        <v>0</v>
      </c>
      <c r="L14" s="102">
        <f>I14</f>
        <v>0</v>
      </c>
      <c r="M14" s="102">
        <f t="shared" si="2"/>
        <v>0</v>
      </c>
      <c r="N14" s="128">
        <v>0</v>
      </c>
      <c r="W14" s="115"/>
      <c r="X14" s="106"/>
      <c r="AA14" s="102">
        <f>SUM(AA8:AA13)</f>
        <v>2861371.5067460514</v>
      </c>
      <c r="AB14" s="102">
        <f>SUM(AB8:AB13)</f>
        <v>2861405.65</v>
      </c>
      <c r="AC14" s="102">
        <f t="shared" si="1"/>
        <v>-34.143253948539495</v>
      </c>
      <c r="AD14" s="2" t="s">
        <v>111</v>
      </c>
    </row>
    <row r="15" spans="1:30" ht="15.75" x14ac:dyDescent="0.25">
      <c r="A15" s="99">
        <f t="shared" si="0"/>
        <v>9</v>
      </c>
      <c r="D15" s="88" t="s">
        <v>4</v>
      </c>
      <c r="E15" s="88"/>
      <c r="F15" s="88"/>
      <c r="G15" s="116">
        <f>SUM(G11:G14)</f>
        <v>3710534.1200000006</v>
      </c>
      <c r="H15" s="88"/>
      <c r="I15" s="116">
        <f>SUM(I11:I14)</f>
        <v>2014750.1319500005</v>
      </c>
      <c r="J15" s="88"/>
      <c r="K15" s="88"/>
      <c r="L15" s="116">
        <f>SUM(L11:L14)</f>
        <v>2014750.1319500005</v>
      </c>
      <c r="M15" s="116">
        <f t="shared" si="2"/>
        <v>0</v>
      </c>
      <c r="N15" s="129">
        <v>0</v>
      </c>
      <c r="W15" s="115"/>
      <c r="X15" s="106"/>
    </row>
    <row r="16" spans="1:30" s="94" customFormat="1" ht="26.45" customHeight="1" thickBot="1" x14ac:dyDescent="0.3">
      <c r="A16" s="99">
        <f t="shared" si="0"/>
        <v>10</v>
      </c>
      <c r="C16" s="110"/>
      <c r="D16" s="89" t="s">
        <v>15</v>
      </c>
      <c r="E16" s="89"/>
      <c r="F16" s="89"/>
      <c r="G16" s="92">
        <f>G15+G10</f>
        <v>19446233.811549999</v>
      </c>
      <c r="H16" s="89"/>
      <c r="I16" s="92">
        <f>I15+I10</f>
        <v>19446233.811550003</v>
      </c>
      <c r="J16" s="89"/>
      <c r="K16" s="89"/>
      <c r="L16" s="117">
        <f>L15+L10</f>
        <v>21959971.112500001</v>
      </c>
      <c r="M16" s="117">
        <f t="shared" si="2"/>
        <v>2513737.3009499982</v>
      </c>
      <c r="N16" s="130">
        <f>M16/I16</f>
        <v>0.12926602268131607</v>
      </c>
      <c r="P16" s="102">
        <v>19440092.170000002</v>
      </c>
      <c r="Q16" s="118">
        <f>P16/I16-1</f>
        <v>-3.1582678731101321E-4</v>
      </c>
      <c r="W16" s="119"/>
      <c r="X16" s="120"/>
    </row>
    <row r="17" spans="1:23" ht="13.5" thickTop="1" x14ac:dyDescent="0.2">
      <c r="A17" s="99">
        <f t="shared" si="0"/>
        <v>11</v>
      </c>
      <c r="D17" s="2" t="s">
        <v>14</v>
      </c>
      <c r="E17" s="101">
        <f>E9/E8</f>
        <v>1026.8827943618237</v>
      </c>
      <c r="G17" s="46">
        <f>G16/E8</f>
        <v>139.7772748686414</v>
      </c>
      <c r="I17" s="46">
        <f>I16/E8</f>
        <v>139.77727486864143</v>
      </c>
      <c r="L17" s="46">
        <f>L16/E8</f>
        <v>157.8457272521438</v>
      </c>
      <c r="M17" s="46">
        <f t="shared" si="2"/>
        <v>18.068452383502375</v>
      </c>
      <c r="N17" s="126">
        <f>M17/I17</f>
        <v>0.12926602268131623</v>
      </c>
      <c r="P17" s="102"/>
    </row>
    <row r="18" spans="1:23" ht="13.5" thickBot="1" x14ac:dyDescent="0.25">
      <c r="A18" s="99">
        <f t="shared" si="0"/>
        <v>12</v>
      </c>
      <c r="P18" s="102"/>
    </row>
    <row r="19" spans="1:23" x14ac:dyDescent="0.2">
      <c r="A19" s="99">
        <f t="shared" si="0"/>
        <v>13</v>
      </c>
      <c r="B19" s="84" t="s">
        <v>41</v>
      </c>
      <c r="C19" s="100" t="s">
        <v>42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P19" s="102"/>
    </row>
    <row r="20" spans="1:23" x14ac:dyDescent="0.2">
      <c r="A20" s="99">
        <f t="shared" si="0"/>
        <v>14</v>
      </c>
      <c r="C20" s="2"/>
      <c r="D20" s="2" t="s">
        <v>13</v>
      </c>
      <c r="E20" s="101">
        <v>10481</v>
      </c>
      <c r="F20" s="85">
        <v>30.98</v>
      </c>
      <c r="G20" s="102">
        <f>F20*E20</f>
        <v>324701.38</v>
      </c>
      <c r="H20" s="85">
        <v>30.98</v>
      </c>
      <c r="I20" s="102">
        <f>H20*E20</f>
        <v>324701.38</v>
      </c>
      <c r="J20" s="85">
        <f>H20</f>
        <v>30.98</v>
      </c>
      <c r="K20" s="85">
        <f>J20-H20</f>
        <v>0</v>
      </c>
      <c r="L20" s="102">
        <f>J20*E20</f>
        <v>324701.38</v>
      </c>
      <c r="M20" s="102">
        <f>L20-I20</f>
        <v>0</v>
      </c>
      <c r="N20" s="126">
        <f>IF(I20=0,0,M20/I20)</f>
        <v>0</v>
      </c>
      <c r="P20" s="102"/>
    </row>
    <row r="21" spans="1:23" x14ac:dyDescent="0.2">
      <c r="A21" s="99">
        <f t="shared" si="0"/>
        <v>15</v>
      </c>
      <c r="D21" s="2" t="s">
        <v>29</v>
      </c>
      <c r="E21" s="101">
        <v>39332.480633802814</v>
      </c>
      <c r="F21" s="85">
        <v>5.68</v>
      </c>
      <c r="G21" s="102">
        <f>F21*E21</f>
        <v>223408.48999999996</v>
      </c>
      <c r="H21" s="85">
        <v>5.68</v>
      </c>
      <c r="I21" s="102">
        <f>H21*E21</f>
        <v>223408.48999999996</v>
      </c>
      <c r="J21" s="85">
        <f>H21</f>
        <v>5.68</v>
      </c>
      <c r="K21" s="85">
        <f>J21-H21</f>
        <v>0</v>
      </c>
      <c r="L21" s="102">
        <f>J21*E21</f>
        <v>223408.48999999996</v>
      </c>
      <c r="M21" s="102">
        <f>L21-I21</f>
        <v>0</v>
      </c>
      <c r="N21" s="126">
        <f>IF(I21=0,0,M21/I21)</f>
        <v>0</v>
      </c>
      <c r="P21" s="102"/>
    </row>
    <row r="22" spans="1:23" x14ac:dyDescent="0.2">
      <c r="A22" s="99">
        <f t="shared" si="0"/>
        <v>16</v>
      </c>
      <c r="D22" s="2" t="s">
        <v>28</v>
      </c>
      <c r="E22" s="101">
        <v>8504773</v>
      </c>
      <c r="F22" s="86">
        <v>6.973E-2</v>
      </c>
      <c r="G22" s="102">
        <f>F22*E22</f>
        <v>593037.82128999999</v>
      </c>
      <c r="H22" s="86">
        <f>F22+H$112</f>
        <v>8.1600000000000006E-2</v>
      </c>
      <c r="I22" s="102">
        <f>H22*E22</f>
        <v>693989.47680000006</v>
      </c>
      <c r="J22" s="107">
        <f>ROUND(H22*S22,5)</f>
        <v>8.1600000000000006E-2</v>
      </c>
      <c r="K22" s="86">
        <f>J22-H22</f>
        <v>0</v>
      </c>
      <c r="L22" s="102">
        <f>J22*E22</f>
        <v>693989.47680000006</v>
      </c>
      <c r="M22" s="102">
        <f>L22-I22</f>
        <v>0</v>
      </c>
      <c r="N22" s="126">
        <f>IF(I22=0,0,M22/I22)</f>
        <v>0</v>
      </c>
      <c r="P22" s="102"/>
      <c r="S22" s="108">
        <v>1</v>
      </c>
      <c r="U22" s="2">
        <f>Summary!L7</f>
        <v>0</v>
      </c>
      <c r="W22" s="9">
        <f>AC9</f>
        <v>0</v>
      </c>
    </row>
    <row r="23" spans="1:23" s="94" customFormat="1" ht="20.45" customHeight="1" x14ac:dyDescent="0.2">
      <c r="A23" s="99">
        <f t="shared" si="0"/>
        <v>17</v>
      </c>
      <c r="C23" s="110"/>
      <c r="D23" s="87" t="s">
        <v>3</v>
      </c>
      <c r="E23" s="87"/>
      <c r="F23" s="87"/>
      <c r="G23" s="111">
        <f>SUM(G20:G22)</f>
        <v>1141147.69129</v>
      </c>
      <c r="H23" s="87"/>
      <c r="I23" s="111">
        <f>SUM(I20:I22)</f>
        <v>1242099.3467999999</v>
      </c>
      <c r="J23" s="87"/>
      <c r="K23" s="87"/>
      <c r="L23" s="111">
        <f>SUM(L20:L22)</f>
        <v>1242099.3467999999</v>
      </c>
      <c r="M23" s="111">
        <f>SUM(M20:M22)</f>
        <v>0</v>
      </c>
      <c r="N23" s="127">
        <f>M23/I23</f>
        <v>0</v>
      </c>
      <c r="O23" s="112"/>
      <c r="P23" s="102"/>
    </row>
    <row r="24" spans="1:23" x14ac:dyDescent="0.2">
      <c r="A24" s="99">
        <f t="shared" si="0"/>
        <v>18</v>
      </c>
      <c r="D24" s="2" t="s">
        <v>20</v>
      </c>
      <c r="G24" s="9">
        <v>104385.43000000002</v>
      </c>
      <c r="I24" s="9">
        <f>G24-(E22*H$112)</f>
        <v>3433.7744900000253</v>
      </c>
      <c r="L24" s="102">
        <f>I24</f>
        <v>3433.7744900000253</v>
      </c>
      <c r="M24" s="102">
        <f t="shared" ref="M24:M30" si="3">L24-I24</f>
        <v>0</v>
      </c>
      <c r="N24" s="128">
        <v>0</v>
      </c>
      <c r="P24" s="102"/>
    </row>
    <row r="25" spans="1:23" x14ac:dyDescent="0.2">
      <c r="A25" s="99">
        <f t="shared" si="0"/>
        <v>19</v>
      </c>
      <c r="D25" s="2" t="s">
        <v>21</v>
      </c>
      <c r="G25" s="9">
        <v>138215.59</v>
      </c>
      <c r="I25" s="9">
        <v>138215.59</v>
      </c>
      <c r="L25" s="102">
        <f>I25</f>
        <v>138215.59</v>
      </c>
      <c r="M25" s="102">
        <f t="shared" si="3"/>
        <v>0</v>
      </c>
      <c r="N25" s="128">
        <v>0</v>
      </c>
      <c r="P25" s="102"/>
    </row>
    <row r="26" spans="1:23" x14ac:dyDescent="0.2">
      <c r="A26" s="99">
        <f t="shared" si="0"/>
        <v>20</v>
      </c>
      <c r="D26" s="2" t="s">
        <v>78</v>
      </c>
      <c r="G26" s="9">
        <v>33</v>
      </c>
      <c r="I26" s="9">
        <v>33</v>
      </c>
      <c r="L26" s="102">
        <f>I26</f>
        <v>33</v>
      </c>
      <c r="M26" s="102">
        <f t="shared" si="3"/>
        <v>0</v>
      </c>
      <c r="N26" s="128">
        <v>0</v>
      </c>
      <c r="P26" s="102"/>
    </row>
    <row r="27" spans="1:23" x14ac:dyDescent="0.2">
      <c r="A27" s="99">
        <f t="shared" si="0"/>
        <v>21</v>
      </c>
      <c r="D27" s="2" t="s">
        <v>25</v>
      </c>
      <c r="G27" s="9">
        <v>0</v>
      </c>
      <c r="I27" s="9">
        <v>0</v>
      </c>
      <c r="L27" s="102">
        <f>I27</f>
        <v>0</v>
      </c>
      <c r="M27" s="102">
        <f t="shared" si="3"/>
        <v>0</v>
      </c>
      <c r="N27" s="128"/>
      <c r="P27" s="102"/>
    </row>
    <row r="28" spans="1:23" x14ac:dyDescent="0.2">
      <c r="A28" s="99">
        <f t="shared" si="0"/>
        <v>22</v>
      </c>
      <c r="D28" s="88" t="s">
        <v>4</v>
      </c>
      <c r="E28" s="88"/>
      <c r="F28" s="88"/>
      <c r="G28" s="116">
        <f>SUM(G24:G27)</f>
        <v>242634.02000000002</v>
      </c>
      <c r="H28" s="88"/>
      <c r="I28" s="116">
        <f>SUM(I24:I27)</f>
        <v>141682.36449000001</v>
      </c>
      <c r="J28" s="88"/>
      <c r="K28" s="88"/>
      <c r="L28" s="116">
        <f>SUM(L24:L27)</f>
        <v>141682.36449000001</v>
      </c>
      <c r="M28" s="116">
        <f t="shared" si="3"/>
        <v>0</v>
      </c>
      <c r="N28" s="129">
        <v>0</v>
      </c>
      <c r="P28" s="102"/>
    </row>
    <row r="29" spans="1:23" s="94" customFormat="1" ht="26.45" customHeight="1" thickBot="1" x14ac:dyDescent="0.25">
      <c r="A29" s="99">
        <f t="shared" si="0"/>
        <v>23</v>
      </c>
      <c r="C29" s="110"/>
      <c r="D29" s="89" t="s">
        <v>15</v>
      </c>
      <c r="E29" s="89"/>
      <c r="F29" s="89"/>
      <c r="G29" s="92">
        <f>G28+G23</f>
        <v>1383781.71129</v>
      </c>
      <c r="H29" s="89"/>
      <c r="I29" s="92">
        <f>I28+I23</f>
        <v>1383781.71129</v>
      </c>
      <c r="J29" s="89"/>
      <c r="K29" s="89"/>
      <c r="L29" s="117">
        <f>L28+L23</f>
        <v>1383781.71129</v>
      </c>
      <c r="M29" s="117">
        <f t="shared" si="3"/>
        <v>0</v>
      </c>
      <c r="N29" s="130">
        <f>M29/I29</f>
        <v>0</v>
      </c>
      <c r="P29" s="102">
        <v>1385991.1199999999</v>
      </c>
      <c r="Q29" s="118">
        <f>P29/I29-1</f>
        <v>1.5966454043825351E-3</v>
      </c>
    </row>
    <row r="30" spans="1:23" ht="13.5" thickTop="1" x14ac:dyDescent="0.2">
      <c r="A30" s="99">
        <f t="shared" si="0"/>
        <v>24</v>
      </c>
      <c r="D30" s="2" t="s">
        <v>14</v>
      </c>
      <c r="E30" s="101">
        <f>(E21+E22)/E20</f>
        <v>815.19945431102019</v>
      </c>
      <c r="G30" s="46">
        <f>G29/E20</f>
        <v>132.02764156950673</v>
      </c>
      <c r="I30" s="46">
        <f>I29/E20</f>
        <v>132.02764156950673</v>
      </c>
      <c r="L30" s="46">
        <f>L29/E20</f>
        <v>132.02764156950673</v>
      </c>
      <c r="M30" s="46">
        <f t="shared" si="3"/>
        <v>0</v>
      </c>
      <c r="N30" s="126">
        <f>M30/I30</f>
        <v>0</v>
      </c>
      <c r="P30" s="102"/>
    </row>
    <row r="31" spans="1:23" ht="13.5" thickBot="1" x14ac:dyDescent="0.25">
      <c r="A31" s="99">
        <f t="shared" si="0"/>
        <v>25</v>
      </c>
      <c r="N31" s="131"/>
      <c r="P31" s="102"/>
    </row>
    <row r="32" spans="1:23" x14ac:dyDescent="0.2">
      <c r="A32" s="99">
        <f t="shared" si="0"/>
        <v>26</v>
      </c>
      <c r="B32" s="84" t="s">
        <v>43</v>
      </c>
      <c r="C32" s="100" t="s">
        <v>44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132"/>
      <c r="P32" s="102"/>
    </row>
    <row r="33" spans="1:23" x14ac:dyDescent="0.2">
      <c r="A33" s="99">
        <f t="shared" si="0"/>
        <v>27</v>
      </c>
      <c r="C33" s="2"/>
      <c r="D33" s="2" t="s">
        <v>13</v>
      </c>
      <c r="E33" s="101">
        <v>1923</v>
      </c>
      <c r="F33" s="85">
        <v>96.34</v>
      </c>
      <c r="G33" s="102">
        <f>F33*E33</f>
        <v>185261.82</v>
      </c>
      <c r="H33" s="85">
        <v>96.34</v>
      </c>
      <c r="I33" s="102">
        <f>H33*E33</f>
        <v>185261.82</v>
      </c>
      <c r="J33" s="85">
        <f>H33</f>
        <v>96.34</v>
      </c>
      <c r="K33" s="85">
        <f>J33-H33</f>
        <v>0</v>
      </c>
      <c r="L33" s="102">
        <f>J33*E33</f>
        <v>185261.82</v>
      </c>
      <c r="M33" s="102">
        <f>L33-I33</f>
        <v>0</v>
      </c>
      <c r="N33" s="126">
        <f>IF(I33=0,0,M33/I33)</f>
        <v>0</v>
      </c>
      <c r="P33" s="102"/>
    </row>
    <row r="34" spans="1:23" x14ac:dyDescent="0.2">
      <c r="A34" s="99">
        <f t="shared" si="0"/>
        <v>28</v>
      </c>
      <c r="D34" s="2" t="s">
        <v>29</v>
      </c>
      <c r="E34" s="101">
        <v>79986.506172839494</v>
      </c>
      <c r="F34" s="85">
        <v>6.48</v>
      </c>
      <c r="G34" s="102">
        <f>F34*E34</f>
        <v>518312.55999999994</v>
      </c>
      <c r="H34" s="85">
        <f>F34</f>
        <v>6.48</v>
      </c>
      <c r="I34" s="102">
        <f>H34*E34</f>
        <v>518312.55999999994</v>
      </c>
      <c r="J34" s="85">
        <f>H34</f>
        <v>6.48</v>
      </c>
      <c r="K34" s="85">
        <f>J34-H34</f>
        <v>0</v>
      </c>
      <c r="L34" s="102">
        <f>J34*E34</f>
        <v>518312.55999999994</v>
      </c>
      <c r="M34" s="102">
        <f>L34-I34</f>
        <v>0</v>
      </c>
      <c r="N34" s="126">
        <f>IF(I34=0,0,M34/I34)</f>
        <v>0</v>
      </c>
      <c r="P34" s="102"/>
    </row>
    <row r="35" spans="1:23" x14ac:dyDescent="0.2">
      <c r="A35" s="99">
        <f t="shared" si="0"/>
        <v>29</v>
      </c>
      <c r="B35" s="121"/>
      <c r="D35" s="2" t="s">
        <v>45</v>
      </c>
      <c r="E35" s="101">
        <f>22805417*0.3</f>
        <v>6841625.0999999996</v>
      </c>
      <c r="F35" s="86">
        <v>5.8930000000000003E-2</v>
      </c>
      <c r="G35" s="102">
        <f>F35*E35</f>
        <v>403176.96714299999</v>
      </c>
      <c r="H35" s="86">
        <f>F35+H$112</f>
        <v>7.0800000000000002E-2</v>
      </c>
      <c r="I35" s="102">
        <f>H35*E35</f>
        <v>484387.05708</v>
      </c>
      <c r="J35" s="107">
        <f>ROUND(H35*S35,5)</f>
        <v>8.0369999999999997E-2</v>
      </c>
      <c r="K35" s="86">
        <f>J35-H35</f>
        <v>9.5699999999999952E-3</v>
      </c>
      <c r="L35" s="102">
        <f>J35*E35</f>
        <v>549861.40928699996</v>
      </c>
      <c r="M35" s="102">
        <f>L35-I35</f>
        <v>65474.35220699996</v>
      </c>
      <c r="N35" s="126">
        <f>IF(I35=0,0,M35/I35)</f>
        <v>0.13516949152542365</v>
      </c>
      <c r="P35" s="102"/>
      <c r="S35" s="108">
        <v>1.1352</v>
      </c>
      <c r="U35" s="2">
        <f>Summary!L8</f>
        <v>0</v>
      </c>
      <c r="W35" s="9">
        <f>AC10</f>
        <v>32.277575000509387</v>
      </c>
    </row>
    <row r="36" spans="1:23" x14ac:dyDescent="0.2">
      <c r="A36" s="99">
        <f t="shared" si="0"/>
        <v>30</v>
      </c>
      <c r="B36" s="121"/>
      <c r="D36" s="2" t="s">
        <v>46</v>
      </c>
      <c r="E36" s="101">
        <f>22805417*0.7</f>
        <v>15963791.899999999</v>
      </c>
      <c r="F36" s="86">
        <v>5.2609999999999997E-2</v>
      </c>
      <c r="G36" s="102">
        <f>F36*E36</f>
        <v>839855.09185899992</v>
      </c>
      <c r="H36" s="86">
        <f>F36+H$112</f>
        <v>6.4479999999999996E-2</v>
      </c>
      <c r="I36" s="102">
        <f>H36*E36</f>
        <v>1029345.3017119998</v>
      </c>
      <c r="J36" s="107">
        <f>ROUND(H36*S36,5)</f>
        <v>7.3200000000000001E-2</v>
      </c>
      <c r="K36" s="86">
        <f>J36-H36</f>
        <v>8.7200000000000055E-3</v>
      </c>
      <c r="L36" s="102">
        <f>J36*E36</f>
        <v>1168549.5670799999</v>
      </c>
      <c r="M36" s="102">
        <f>L36-I36</f>
        <v>139204.26536800014</v>
      </c>
      <c r="N36" s="126">
        <f>IF(I36=0,0,M36/I36)</f>
        <v>0.13523573200992572</v>
      </c>
      <c r="P36" s="102"/>
      <c r="S36" s="108">
        <f>S35</f>
        <v>1.1352</v>
      </c>
    </row>
    <row r="37" spans="1:23" s="94" customFormat="1" ht="20.45" customHeight="1" x14ac:dyDescent="0.2">
      <c r="A37" s="99">
        <f t="shared" si="0"/>
        <v>31</v>
      </c>
      <c r="C37" s="110"/>
      <c r="D37" s="87" t="s">
        <v>3</v>
      </c>
      <c r="E37" s="87"/>
      <c r="F37" s="87"/>
      <c r="G37" s="111">
        <f>SUM(G33:G36)</f>
        <v>1946606.4390019998</v>
      </c>
      <c r="H37" s="87"/>
      <c r="I37" s="111">
        <f>SUM(I33:I36)</f>
        <v>2217306.7387919994</v>
      </c>
      <c r="J37" s="87"/>
      <c r="K37" s="87"/>
      <c r="L37" s="111">
        <f>SUM(L33:L36)</f>
        <v>2421985.3563669999</v>
      </c>
      <c r="M37" s="111">
        <f>SUM(M33:M36)</f>
        <v>204678.6175750001</v>
      </c>
      <c r="N37" s="127">
        <f>M37/I37</f>
        <v>9.2309563667546557E-2</v>
      </c>
      <c r="O37" s="112"/>
      <c r="P37" s="102"/>
    </row>
    <row r="38" spans="1:23" x14ac:dyDescent="0.2">
      <c r="A38" s="99">
        <f t="shared" si="0"/>
        <v>32</v>
      </c>
      <c r="D38" s="2" t="s">
        <v>20</v>
      </c>
      <c r="G38" s="9">
        <v>276653.21000000002</v>
      </c>
      <c r="I38" s="9">
        <f>G38-(E35*H$112+E36*H$112)</f>
        <v>5952.91021000006</v>
      </c>
      <c r="L38" s="102">
        <f>I38</f>
        <v>5952.91021000006</v>
      </c>
      <c r="M38" s="102">
        <f t="shared" ref="M38:M44" si="4">L38-I38</f>
        <v>0</v>
      </c>
      <c r="N38" s="128">
        <v>0</v>
      </c>
      <c r="P38" s="102"/>
    </row>
    <row r="39" spans="1:23" x14ac:dyDescent="0.2">
      <c r="A39" s="99">
        <f t="shared" si="0"/>
        <v>33</v>
      </c>
      <c r="D39" s="2" t="s">
        <v>21</v>
      </c>
      <c r="G39" s="9">
        <v>255330.86000000004</v>
      </c>
      <c r="I39" s="9">
        <v>255330.86000000004</v>
      </c>
      <c r="L39" s="102">
        <f>I39</f>
        <v>255330.86000000004</v>
      </c>
      <c r="M39" s="102">
        <f t="shared" si="4"/>
        <v>0</v>
      </c>
      <c r="N39" s="128">
        <v>0</v>
      </c>
      <c r="P39" s="102"/>
    </row>
    <row r="40" spans="1:23" x14ac:dyDescent="0.2">
      <c r="A40" s="99">
        <f t="shared" si="0"/>
        <v>34</v>
      </c>
      <c r="D40" s="2" t="s">
        <v>78</v>
      </c>
      <c r="G40" s="9">
        <v>0</v>
      </c>
      <c r="I40" s="9">
        <v>0</v>
      </c>
      <c r="L40" s="102">
        <f>I40</f>
        <v>0</v>
      </c>
      <c r="M40" s="102">
        <f t="shared" si="4"/>
        <v>0</v>
      </c>
      <c r="N40" s="128">
        <v>0</v>
      </c>
      <c r="P40" s="102"/>
    </row>
    <row r="41" spans="1:23" x14ac:dyDescent="0.2">
      <c r="A41" s="99">
        <f t="shared" si="0"/>
        <v>35</v>
      </c>
      <c r="D41" s="2" t="s">
        <v>25</v>
      </c>
      <c r="G41" s="9">
        <v>0</v>
      </c>
      <c r="I41" s="9">
        <v>0</v>
      </c>
      <c r="L41" s="102">
        <f>I41</f>
        <v>0</v>
      </c>
      <c r="M41" s="102">
        <f t="shared" si="4"/>
        <v>0</v>
      </c>
      <c r="N41" s="128"/>
      <c r="P41" s="102"/>
    </row>
    <row r="42" spans="1:23" x14ac:dyDescent="0.2">
      <c r="A42" s="99">
        <f t="shared" si="0"/>
        <v>36</v>
      </c>
      <c r="D42" s="88" t="s">
        <v>4</v>
      </c>
      <c r="E42" s="88"/>
      <c r="F42" s="88"/>
      <c r="G42" s="116">
        <f>SUM(G38:G41)</f>
        <v>531984.07000000007</v>
      </c>
      <c r="H42" s="88"/>
      <c r="I42" s="116">
        <f>SUM(I38:I41)</f>
        <v>261283.7702100001</v>
      </c>
      <c r="J42" s="88"/>
      <c r="K42" s="88"/>
      <c r="L42" s="116">
        <f>SUM(L38:L41)</f>
        <v>261283.7702100001</v>
      </c>
      <c r="M42" s="116">
        <f t="shared" si="4"/>
        <v>0</v>
      </c>
      <c r="N42" s="129">
        <v>0</v>
      </c>
      <c r="P42" s="102"/>
    </row>
    <row r="43" spans="1:23" s="94" customFormat="1" ht="26.45" customHeight="1" thickBot="1" x14ac:dyDescent="0.25">
      <c r="A43" s="99">
        <f t="shared" si="0"/>
        <v>37</v>
      </c>
      <c r="C43" s="110"/>
      <c r="D43" s="89" t="s">
        <v>15</v>
      </c>
      <c r="E43" s="89"/>
      <c r="F43" s="89"/>
      <c r="G43" s="92">
        <f>G42+G37</f>
        <v>2478590.5090020001</v>
      </c>
      <c r="H43" s="89"/>
      <c r="I43" s="92">
        <f>I42+I37</f>
        <v>2478590.5090019996</v>
      </c>
      <c r="J43" s="89"/>
      <c r="K43" s="89"/>
      <c r="L43" s="117">
        <f>L42+L37</f>
        <v>2683269.1265770001</v>
      </c>
      <c r="M43" s="117">
        <f t="shared" si="4"/>
        <v>204678.61757500051</v>
      </c>
      <c r="N43" s="130">
        <f>M43/I43</f>
        <v>8.2578633635377721E-2</v>
      </c>
      <c r="P43" s="102">
        <v>2519950.35</v>
      </c>
      <c r="Q43" s="118">
        <f>P43/I43-1</f>
        <v>1.6686839091727856E-2</v>
      </c>
    </row>
    <row r="44" spans="1:23" ht="13.5" thickTop="1" x14ac:dyDescent="0.2">
      <c r="A44" s="99">
        <f t="shared" si="0"/>
        <v>38</v>
      </c>
      <c r="D44" s="2" t="s">
        <v>14</v>
      </c>
      <c r="E44" s="101">
        <f>E36/E33</f>
        <v>8301.503848153925</v>
      </c>
      <c r="G44" s="46">
        <f>G43/E33</f>
        <v>1288.9186214258971</v>
      </c>
      <c r="I44" s="46">
        <f>I43/E33</f>
        <v>1288.9186214258968</v>
      </c>
      <c r="L44" s="46">
        <f>L43/E33</f>
        <v>1395.3557600504421</v>
      </c>
      <c r="M44" s="46">
        <f t="shared" si="4"/>
        <v>106.43713862454524</v>
      </c>
      <c r="N44" s="126">
        <f>M44/I44</f>
        <v>8.2578633635377721E-2</v>
      </c>
      <c r="P44" s="102"/>
    </row>
    <row r="45" spans="1:23" ht="13.5" thickBot="1" x14ac:dyDescent="0.25">
      <c r="A45" s="99">
        <f t="shared" si="0"/>
        <v>39</v>
      </c>
      <c r="N45" s="131"/>
      <c r="P45" s="102"/>
    </row>
    <row r="46" spans="1:23" x14ac:dyDescent="0.2">
      <c r="A46" s="99">
        <f t="shared" si="0"/>
        <v>40</v>
      </c>
      <c r="B46" s="84" t="s">
        <v>75</v>
      </c>
      <c r="C46" s="100" t="s">
        <v>47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132"/>
      <c r="P46" s="102"/>
    </row>
    <row r="47" spans="1:23" x14ac:dyDescent="0.2">
      <c r="A47" s="99">
        <f t="shared" si="0"/>
        <v>41</v>
      </c>
      <c r="C47" s="2"/>
      <c r="D47" s="2" t="s">
        <v>13</v>
      </c>
      <c r="E47" s="101">
        <v>102</v>
      </c>
      <c r="F47" s="85">
        <v>118.25</v>
      </c>
      <c r="G47" s="102">
        <f>F47*E47</f>
        <v>12061.5</v>
      </c>
      <c r="H47" s="85">
        <v>118.25</v>
      </c>
      <c r="I47" s="102">
        <f>H47*E47</f>
        <v>12061.5</v>
      </c>
      <c r="J47" s="85">
        <f>H47</f>
        <v>118.25</v>
      </c>
      <c r="K47" s="85">
        <f>J47-H47</f>
        <v>0</v>
      </c>
      <c r="L47" s="102">
        <f>J47*E47</f>
        <v>12061.5</v>
      </c>
      <c r="M47" s="102">
        <f>L47-I47</f>
        <v>0</v>
      </c>
      <c r="N47" s="126">
        <f>IF(I47=0,0,M47/I47)</f>
        <v>0</v>
      </c>
      <c r="P47" s="102"/>
    </row>
    <row r="48" spans="1:23" x14ac:dyDescent="0.2">
      <c r="A48" s="99">
        <f t="shared" si="0"/>
        <v>42</v>
      </c>
      <c r="D48" s="2" t="s">
        <v>29</v>
      </c>
      <c r="E48" s="101">
        <v>39891.143712574856</v>
      </c>
      <c r="F48" s="85">
        <v>6.68</v>
      </c>
      <c r="G48" s="102">
        <f>F48*E48</f>
        <v>266472.84000000003</v>
      </c>
      <c r="H48" s="85">
        <f>F48</f>
        <v>6.68</v>
      </c>
      <c r="I48" s="102">
        <f>H48*E48</f>
        <v>266472.84000000003</v>
      </c>
      <c r="J48" s="85">
        <f>H48</f>
        <v>6.68</v>
      </c>
      <c r="K48" s="85">
        <f>J48-H48</f>
        <v>0</v>
      </c>
      <c r="L48" s="102">
        <f>J48*E48</f>
        <v>266472.84000000003</v>
      </c>
      <c r="M48" s="102">
        <f>L48-I48</f>
        <v>0</v>
      </c>
      <c r="N48" s="126">
        <f>IF(I48=0,0,M48/I48)</f>
        <v>0</v>
      </c>
      <c r="P48" s="102"/>
    </row>
    <row r="49" spans="1:24" x14ac:dyDescent="0.2">
      <c r="A49" s="99">
        <f t="shared" si="0"/>
        <v>43</v>
      </c>
      <c r="D49" s="2" t="s">
        <v>45</v>
      </c>
      <c r="E49" s="101">
        <v>0</v>
      </c>
      <c r="F49" s="86">
        <v>5.8439999999999999E-2</v>
      </c>
      <c r="G49" s="102">
        <f>F49*E49</f>
        <v>0</v>
      </c>
      <c r="H49" s="86">
        <f>F49+H$112</f>
        <v>7.0309999999999997E-2</v>
      </c>
      <c r="I49" s="102">
        <f>H49*E49</f>
        <v>0</v>
      </c>
      <c r="J49" s="107">
        <f>ROUND(H49*S49,5)</f>
        <v>7.1410000000000001E-2</v>
      </c>
      <c r="K49" s="86">
        <f>J49-H49</f>
        <v>1.1000000000000038E-3</v>
      </c>
      <c r="L49" s="102">
        <f>J49*E49</f>
        <v>0</v>
      </c>
      <c r="M49" s="102">
        <f>L49-I49</f>
        <v>0</v>
      </c>
      <c r="N49" s="126">
        <f>IF(I49=0,0,M49/I49)</f>
        <v>0</v>
      </c>
      <c r="P49" s="102"/>
      <c r="S49" s="108">
        <v>1.0157</v>
      </c>
      <c r="U49" s="85">
        <f>Summary!L9</f>
        <v>0</v>
      </c>
      <c r="W49" s="9">
        <f>AC11</f>
        <v>1.2298000001446781</v>
      </c>
    </row>
    <row r="50" spans="1:24" x14ac:dyDescent="0.2">
      <c r="A50" s="99">
        <f t="shared" si="0"/>
        <v>44</v>
      </c>
      <c r="D50" s="2" t="s">
        <v>46</v>
      </c>
      <c r="E50" s="101">
        <v>10505980</v>
      </c>
      <c r="F50" s="86">
        <v>5.2179999999999997E-2</v>
      </c>
      <c r="G50" s="102">
        <f>F50*E50</f>
        <v>548202.03639999998</v>
      </c>
      <c r="H50" s="86">
        <f>F50+H$112</f>
        <v>6.4049999999999996E-2</v>
      </c>
      <c r="I50" s="102">
        <f>H50*E50</f>
        <v>672908.01899999997</v>
      </c>
      <c r="J50" s="107">
        <f>ROUND(H50*S50,5)</f>
        <v>6.5060000000000007E-2</v>
      </c>
      <c r="K50" s="86">
        <f>J50-H50</f>
        <v>1.0100000000000109E-3</v>
      </c>
      <c r="L50" s="102">
        <f>J50*E50</f>
        <v>683519.05880000012</v>
      </c>
      <c r="M50" s="102">
        <f>L50-I50</f>
        <v>10611.039800000144</v>
      </c>
      <c r="N50" s="126">
        <f>IF(I50=0,0,M50/I50)</f>
        <v>1.57689305230291E-2</v>
      </c>
      <c r="P50" s="102"/>
      <c r="S50" s="108">
        <f>S49</f>
        <v>1.0157</v>
      </c>
    </row>
    <row r="51" spans="1:24" s="94" customFormat="1" ht="20.45" customHeight="1" x14ac:dyDescent="0.2">
      <c r="A51" s="99">
        <f t="shared" si="0"/>
        <v>45</v>
      </c>
      <c r="C51" s="110"/>
      <c r="D51" s="87" t="s">
        <v>3</v>
      </c>
      <c r="E51" s="87"/>
      <c r="F51" s="87"/>
      <c r="G51" s="111">
        <f>SUM(G47:G50)</f>
        <v>826736.37639999995</v>
      </c>
      <c r="H51" s="87"/>
      <c r="I51" s="111">
        <f>SUM(I47:I50)</f>
        <v>951442.35899999994</v>
      </c>
      <c r="J51" s="87"/>
      <c r="K51" s="87"/>
      <c r="L51" s="111">
        <f>SUM(L47:L50)</f>
        <v>962053.39880000008</v>
      </c>
      <c r="M51" s="111">
        <f>SUM(M47:M50)</f>
        <v>10611.039800000144</v>
      </c>
      <c r="N51" s="127">
        <f>M51/I51</f>
        <v>1.1152582917532416E-2</v>
      </c>
      <c r="O51" s="112"/>
      <c r="P51" s="102"/>
    </row>
    <row r="52" spans="1:24" x14ac:dyDescent="0.2">
      <c r="A52" s="99">
        <f t="shared" si="0"/>
        <v>46</v>
      </c>
      <c r="D52" s="2" t="s">
        <v>20</v>
      </c>
      <c r="G52" s="9">
        <v>127876.39</v>
      </c>
      <c r="I52" s="9">
        <f>G52-(E49*H$112+E50*H$112)</f>
        <v>3170.4073999999964</v>
      </c>
      <c r="L52" s="102">
        <f>I52</f>
        <v>3170.4073999999964</v>
      </c>
      <c r="M52" s="102">
        <f t="shared" ref="M52:M58" si="5">L52-I52</f>
        <v>0</v>
      </c>
      <c r="N52" s="128">
        <v>0</v>
      </c>
      <c r="P52" s="102"/>
    </row>
    <row r="53" spans="1:24" x14ac:dyDescent="0.2">
      <c r="A53" s="99">
        <f t="shared" si="0"/>
        <v>47</v>
      </c>
      <c r="D53" s="2" t="s">
        <v>21</v>
      </c>
      <c r="G53" s="9">
        <v>102233.95</v>
      </c>
      <c r="I53" s="9">
        <v>102233.95</v>
      </c>
      <c r="L53" s="102">
        <f>I53</f>
        <v>102233.95</v>
      </c>
      <c r="M53" s="102">
        <f t="shared" si="5"/>
        <v>0</v>
      </c>
      <c r="N53" s="128">
        <v>0</v>
      </c>
      <c r="P53" s="102"/>
    </row>
    <row r="54" spans="1:24" x14ac:dyDescent="0.2">
      <c r="A54" s="99">
        <f t="shared" si="0"/>
        <v>48</v>
      </c>
      <c r="D54" s="2" t="s">
        <v>78</v>
      </c>
      <c r="G54" s="9">
        <v>0</v>
      </c>
      <c r="I54" s="9">
        <v>0</v>
      </c>
      <c r="L54" s="102">
        <f>I54</f>
        <v>0</v>
      </c>
      <c r="M54" s="102">
        <f t="shared" si="5"/>
        <v>0</v>
      </c>
      <c r="N54" s="128">
        <v>0</v>
      </c>
      <c r="P54" s="102"/>
    </row>
    <row r="55" spans="1:24" x14ac:dyDescent="0.2">
      <c r="A55" s="99">
        <f t="shared" si="0"/>
        <v>49</v>
      </c>
      <c r="D55" s="2" t="s">
        <v>25</v>
      </c>
      <c r="G55" s="9">
        <v>0</v>
      </c>
      <c r="I55" s="9">
        <v>0</v>
      </c>
      <c r="L55" s="102">
        <f>I55</f>
        <v>0</v>
      </c>
      <c r="M55" s="102">
        <f t="shared" si="5"/>
        <v>0</v>
      </c>
      <c r="N55" s="128"/>
      <c r="P55" s="102"/>
    </row>
    <row r="56" spans="1:24" x14ac:dyDescent="0.2">
      <c r="A56" s="99">
        <f t="shared" si="0"/>
        <v>50</v>
      </c>
      <c r="D56" s="88" t="s">
        <v>4</v>
      </c>
      <c r="E56" s="88"/>
      <c r="F56" s="88"/>
      <c r="G56" s="116">
        <f>SUM(G52:G55)</f>
        <v>230110.34</v>
      </c>
      <c r="H56" s="88"/>
      <c r="I56" s="116">
        <f>SUM(I52:I55)</f>
        <v>105404.35739999999</v>
      </c>
      <c r="J56" s="88"/>
      <c r="K56" s="88"/>
      <c r="L56" s="116">
        <f>SUM(L52:L55)</f>
        <v>105404.35739999999</v>
      </c>
      <c r="M56" s="116">
        <f t="shared" si="5"/>
        <v>0</v>
      </c>
      <c r="N56" s="129">
        <v>0</v>
      </c>
      <c r="P56" s="102"/>
    </row>
    <row r="57" spans="1:24" s="94" customFormat="1" ht="26.45" customHeight="1" thickBot="1" x14ac:dyDescent="0.25">
      <c r="A57" s="99">
        <f t="shared" si="0"/>
        <v>51</v>
      </c>
      <c r="C57" s="110"/>
      <c r="D57" s="89" t="s">
        <v>15</v>
      </c>
      <c r="E57" s="89"/>
      <c r="F57" s="89"/>
      <c r="G57" s="92">
        <f>G56+G51</f>
        <v>1056846.7164</v>
      </c>
      <c r="H57" s="89"/>
      <c r="I57" s="92">
        <f>I56+I51</f>
        <v>1056846.7164</v>
      </c>
      <c r="J57" s="89"/>
      <c r="K57" s="89"/>
      <c r="L57" s="117">
        <f>L56+L51</f>
        <v>1067457.7562000002</v>
      </c>
      <c r="M57" s="117">
        <f t="shared" si="5"/>
        <v>10611.039800000144</v>
      </c>
      <c r="N57" s="130">
        <f>M57/I57</f>
        <v>1.0040282696950757E-2</v>
      </c>
      <c r="P57" s="102">
        <v>1060512.9200000002</v>
      </c>
      <c r="Q57" s="118">
        <f>P57/I57-1</f>
        <v>3.4690022148988753E-3</v>
      </c>
    </row>
    <row r="58" spans="1:24" ht="13.5" thickTop="1" x14ac:dyDescent="0.2">
      <c r="A58" s="99">
        <f t="shared" si="0"/>
        <v>52</v>
      </c>
      <c r="D58" s="2" t="s">
        <v>14</v>
      </c>
      <c r="E58" s="101">
        <f>E50/E47</f>
        <v>102999.80392156863</v>
      </c>
      <c r="G58" s="46">
        <f>G57/E47</f>
        <v>10361.242317647058</v>
      </c>
      <c r="I58" s="46">
        <f>I57/E47</f>
        <v>10361.242317647058</v>
      </c>
      <c r="L58" s="46">
        <f>L57/E47</f>
        <v>10465.272119607846</v>
      </c>
      <c r="M58" s="46">
        <f t="shared" si="5"/>
        <v>104.02980196078715</v>
      </c>
      <c r="N58" s="126">
        <f>M58/I58</f>
        <v>1.0040282696950896E-2</v>
      </c>
      <c r="P58" s="102"/>
    </row>
    <row r="59" spans="1:24" ht="13.5" thickBot="1" x14ac:dyDescent="0.25">
      <c r="A59" s="99">
        <f t="shared" si="0"/>
        <v>53</v>
      </c>
      <c r="N59" s="131"/>
      <c r="P59" s="102"/>
    </row>
    <row r="60" spans="1:24" x14ac:dyDescent="0.2">
      <c r="A60" s="99">
        <f t="shared" si="0"/>
        <v>54</v>
      </c>
      <c r="B60" s="84" t="s">
        <v>66</v>
      </c>
      <c r="C60" s="100" t="s">
        <v>67</v>
      </c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132"/>
      <c r="P60" s="102"/>
    </row>
    <row r="61" spans="1:24" x14ac:dyDescent="0.2">
      <c r="A61" s="99">
        <f t="shared" si="0"/>
        <v>55</v>
      </c>
      <c r="C61" s="2"/>
      <c r="D61" s="2" t="s">
        <v>13</v>
      </c>
      <c r="E61" s="101">
        <v>12</v>
      </c>
      <c r="F61" s="85">
        <v>179.01</v>
      </c>
      <c r="G61" s="102">
        <f>F61*E61</f>
        <v>2148.12</v>
      </c>
      <c r="H61" s="85">
        <v>179.01</v>
      </c>
      <c r="I61" s="102">
        <f>H61*E61</f>
        <v>2148.12</v>
      </c>
      <c r="J61" s="85">
        <f>H61</f>
        <v>179.01</v>
      </c>
      <c r="K61" s="85">
        <f>J61-H61</f>
        <v>0</v>
      </c>
      <c r="L61" s="102">
        <f>J61*E61</f>
        <v>2148.12</v>
      </c>
      <c r="M61" s="102">
        <f>L61-I61</f>
        <v>0</v>
      </c>
      <c r="N61" s="126">
        <f>IF(I61=0,0,M61/I61)</f>
        <v>0</v>
      </c>
      <c r="P61" s="102"/>
      <c r="X61" s="2" t="s">
        <v>94</v>
      </c>
    </row>
    <row r="62" spans="1:24" x14ac:dyDescent="0.2">
      <c r="A62" s="99">
        <f>A60+1</f>
        <v>55</v>
      </c>
      <c r="D62" s="2" t="s">
        <v>68</v>
      </c>
      <c r="E62" s="101">
        <v>12520.819548872178</v>
      </c>
      <c r="F62" s="85">
        <v>6.65</v>
      </c>
      <c r="G62" s="102">
        <f>F62*E62</f>
        <v>83263.449999999983</v>
      </c>
      <c r="H62" s="85">
        <v>6.65</v>
      </c>
      <c r="I62" s="102">
        <f>H62*E62</f>
        <v>83263.449999999983</v>
      </c>
      <c r="J62" s="85">
        <v>7.49</v>
      </c>
      <c r="K62" s="85">
        <f>J62-H62</f>
        <v>0.83999999999999986</v>
      </c>
      <c r="L62" s="102">
        <f>J62*E62</f>
        <v>93780.938421052619</v>
      </c>
      <c r="M62" s="102">
        <f>L62-I62</f>
        <v>10517.488421052636</v>
      </c>
      <c r="N62" s="126">
        <f>IF(I62=0,0,M62/I62)</f>
        <v>0.1263157894736843</v>
      </c>
      <c r="P62" s="102"/>
      <c r="X62" s="2">
        <v>7.49</v>
      </c>
    </row>
    <row r="63" spans="1:24" x14ac:dyDescent="0.2">
      <c r="A63" s="99">
        <f>A61+1</f>
        <v>56</v>
      </c>
      <c r="D63" s="2" t="s">
        <v>69</v>
      </c>
      <c r="E63" s="101">
        <v>0</v>
      </c>
      <c r="F63" s="85">
        <v>9.65</v>
      </c>
      <c r="G63" s="102">
        <f>F63*E63</f>
        <v>0</v>
      </c>
      <c r="H63" s="85">
        <v>9.65</v>
      </c>
      <c r="I63" s="102">
        <f>H63*E63</f>
        <v>0</v>
      </c>
      <c r="J63" s="85">
        <v>9.98</v>
      </c>
      <c r="K63" s="85">
        <f>J63-H63</f>
        <v>0.33000000000000007</v>
      </c>
      <c r="L63" s="102">
        <f>J63*E63</f>
        <v>0</v>
      </c>
      <c r="M63" s="102">
        <f>L63-I63</f>
        <v>0</v>
      </c>
      <c r="N63" s="126">
        <f>IF(I63=0,0,M63/I63)</f>
        <v>0</v>
      </c>
      <c r="P63" s="102"/>
      <c r="X63" s="2">
        <v>9.98</v>
      </c>
    </row>
    <row r="64" spans="1:24" x14ac:dyDescent="0.2">
      <c r="A64" s="99">
        <f t="shared" si="0"/>
        <v>57</v>
      </c>
      <c r="D64" s="2" t="s">
        <v>45</v>
      </c>
      <c r="E64" s="101">
        <v>0</v>
      </c>
      <c r="F64" s="107">
        <v>5.348E-2</v>
      </c>
      <c r="G64" s="102">
        <f>F64*E64</f>
        <v>0</v>
      </c>
      <c r="H64" s="86">
        <f>F64+H$112</f>
        <v>6.5350000000000005E-2</v>
      </c>
      <c r="I64" s="102">
        <f>H64*E64</f>
        <v>0</v>
      </c>
      <c r="J64" s="107">
        <f>ROUND(H64*S64,5)</f>
        <v>7.0059999999999997E-2</v>
      </c>
      <c r="K64" s="86">
        <f>J64-H64</f>
        <v>4.709999999999992E-3</v>
      </c>
      <c r="L64" s="102">
        <f>J64*E64</f>
        <v>0</v>
      </c>
      <c r="M64" s="102">
        <f>L64-I64</f>
        <v>0</v>
      </c>
      <c r="N64" s="126">
        <f>IF(I64=0,0,M64/I64)</f>
        <v>0</v>
      </c>
      <c r="P64" s="102"/>
      <c r="S64" s="108">
        <v>1.0720000000000001</v>
      </c>
      <c r="U64" s="85">
        <f>Summary!L10</f>
        <v>0</v>
      </c>
      <c r="X64" s="2">
        <v>3.9843999999999997E-2</v>
      </c>
    </row>
    <row r="65" spans="1:23" x14ac:dyDescent="0.2">
      <c r="A65" s="99">
        <f t="shared" si="0"/>
        <v>58</v>
      </c>
      <c r="D65" s="2" t="s">
        <v>46</v>
      </c>
      <c r="E65" s="101">
        <v>6778800</v>
      </c>
      <c r="F65" s="107">
        <v>5.2749999999999998E-2</v>
      </c>
      <c r="G65" s="102">
        <f>F65*E65</f>
        <v>357581.7</v>
      </c>
      <c r="H65" s="86">
        <f>F65+H$112</f>
        <v>6.4619999999999997E-2</v>
      </c>
      <c r="I65" s="102">
        <f>H65*E65</f>
        <v>438046.05599999998</v>
      </c>
      <c r="J65" s="107">
        <f>ROUND(H65*S65,5)</f>
        <v>6.9269999999999998E-2</v>
      </c>
      <c r="K65" s="86">
        <f>J65-H65</f>
        <v>4.6500000000000014E-3</v>
      </c>
      <c r="L65" s="102">
        <f>J65*E65</f>
        <v>469567.47599999997</v>
      </c>
      <c r="M65" s="102">
        <f>L65-I65</f>
        <v>31521.419999999984</v>
      </c>
      <c r="N65" s="126">
        <f>IF(I65=0,0,M65/I65)</f>
        <v>7.1959145775301728E-2</v>
      </c>
      <c r="P65" s="102"/>
      <c r="S65" s="108">
        <f>S64</f>
        <v>1.0720000000000001</v>
      </c>
    </row>
    <row r="66" spans="1:23" s="94" customFormat="1" ht="20.45" customHeight="1" x14ac:dyDescent="0.2">
      <c r="A66" s="99">
        <f t="shared" si="0"/>
        <v>59</v>
      </c>
      <c r="C66" s="110"/>
      <c r="D66" s="87" t="s">
        <v>3</v>
      </c>
      <c r="E66" s="87"/>
      <c r="F66" s="87"/>
      <c r="G66" s="111">
        <f>SUM(G61:G65)</f>
        <v>442993.27</v>
      </c>
      <c r="H66" s="87"/>
      <c r="I66" s="111">
        <f>SUM(I61:I65)</f>
        <v>523457.62599999993</v>
      </c>
      <c r="J66" s="87"/>
      <c r="K66" s="87"/>
      <c r="L66" s="111">
        <f>SUM(L61:L65)</f>
        <v>565496.53442105255</v>
      </c>
      <c r="M66" s="111">
        <f>SUM(M61:M65)</f>
        <v>42038.90842105262</v>
      </c>
      <c r="N66" s="127">
        <f>M66/I66</f>
        <v>8.0310050580966463E-2</v>
      </c>
      <c r="O66" s="112"/>
      <c r="P66" s="102"/>
    </row>
    <row r="67" spans="1:23" x14ac:dyDescent="0.2">
      <c r="A67" s="99">
        <f t="shared" si="0"/>
        <v>60</v>
      </c>
      <c r="D67" s="2" t="s">
        <v>20</v>
      </c>
      <c r="G67" s="9">
        <v>81844.31</v>
      </c>
      <c r="I67" s="9">
        <f>G67-(E64*H$112+E65*H$112)</f>
        <v>1379.9539999999979</v>
      </c>
      <c r="L67" s="102">
        <f>I67</f>
        <v>1379.9539999999979</v>
      </c>
      <c r="M67" s="102">
        <f t="shared" ref="M67:M73" si="6">L67-I67</f>
        <v>0</v>
      </c>
      <c r="N67" s="128">
        <v>0</v>
      </c>
      <c r="P67" s="102"/>
    </row>
    <row r="68" spans="1:23" x14ac:dyDescent="0.2">
      <c r="A68" s="99">
        <f t="shared" si="0"/>
        <v>61</v>
      </c>
      <c r="D68" s="2" t="s">
        <v>21</v>
      </c>
      <c r="G68" s="9">
        <v>56110.310000000005</v>
      </c>
      <c r="I68" s="9">
        <v>56110.310000000005</v>
      </c>
      <c r="L68" s="102">
        <f>I68</f>
        <v>56110.310000000005</v>
      </c>
      <c r="M68" s="102">
        <f t="shared" si="6"/>
        <v>0</v>
      </c>
      <c r="N68" s="128">
        <v>0</v>
      </c>
      <c r="P68" s="102"/>
      <c r="W68" s="9">
        <f>AC12</f>
        <v>395.83842105262011</v>
      </c>
    </row>
    <row r="69" spans="1:23" x14ac:dyDescent="0.2">
      <c r="A69" s="99">
        <f t="shared" si="0"/>
        <v>62</v>
      </c>
      <c r="D69" s="2" t="s">
        <v>78</v>
      </c>
      <c r="G69" s="9">
        <v>0</v>
      </c>
      <c r="I69" s="9">
        <v>0</v>
      </c>
      <c r="L69" s="102">
        <f>I69</f>
        <v>0</v>
      </c>
      <c r="M69" s="102">
        <f t="shared" si="6"/>
        <v>0</v>
      </c>
      <c r="N69" s="128">
        <v>0</v>
      </c>
      <c r="P69" s="102"/>
    </row>
    <row r="70" spans="1:23" x14ac:dyDescent="0.2">
      <c r="A70" s="99">
        <f t="shared" si="0"/>
        <v>63</v>
      </c>
      <c r="D70" s="2" t="s">
        <v>25</v>
      </c>
      <c r="G70" s="9">
        <v>0</v>
      </c>
      <c r="I70" s="9">
        <v>0</v>
      </c>
      <c r="L70" s="102">
        <f>I70</f>
        <v>0</v>
      </c>
      <c r="M70" s="102">
        <f t="shared" si="6"/>
        <v>0</v>
      </c>
      <c r="N70" s="128"/>
      <c r="P70" s="102"/>
    </row>
    <row r="71" spans="1:23" x14ac:dyDescent="0.2">
      <c r="A71" s="99">
        <f t="shared" si="0"/>
        <v>64</v>
      </c>
      <c r="D71" s="88" t="s">
        <v>4</v>
      </c>
      <c r="E71" s="88"/>
      <c r="F71" s="88"/>
      <c r="G71" s="116">
        <f>SUM(G67:G70)</f>
        <v>137954.62</v>
      </c>
      <c r="H71" s="88"/>
      <c r="I71" s="116">
        <f>SUM(I67:I70)</f>
        <v>57490.264000000003</v>
      </c>
      <c r="J71" s="88"/>
      <c r="K71" s="88"/>
      <c r="L71" s="116">
        <f>SUM(L67:L70)</f>
        <v>57490.264000000003</v>
      </c>
      <c r="M71" s="116">
        <f t="shared" si="6"/>
        <v>0</v>
      </c>
      <c r="N71" s="129">
        <v>0</v>
      </c>
      <c r="P71" s="102"/>
    </row>
    <row r="72" spans="1:23" s="94" customFormat="1" ht="26.45" customHeight="1" thickBot="1" x14ac:dyDescent="0.25">
      <c r="A72" s="99">
        <f t="shared" si="0"/>
        <v>65</v>
      </c>
      <c r="C72" s="110"/>
      <c r="D72" s="89" t="s">
        <v>15</v>
      </c>
      <c r="E72" s="89"/>
      <c r="F72" s="89"/>
      <c r="G72" s="92">
        <f>G71+G66</f>
        <v>580947.89</v>
      </c>
      <c r="H72" s="89"/>
      <c r="I72" s="92">
        <f>I71+I66</f>
        <v>580947.8899999999</v>
      </c>
      <c r="J72" s="89"/>
      <c r="K72" s="89"/>
      <c r="L72" s="117">
        <f>L71+L66</f>
        <v>622986.79842105252</v>
      </c>
      <c r="M72" s="117">
        <f t="shared" si="6"/>
        <v>42038.90842105262</v>
      </c>
      <c r="N72" s="130">
        <f>M72/I72</f>
        <v>7.2362614865599445E-2</v>
      </c>
      <c r="P72" s="102">
        <v>580947.91999999993</v>
      </c>
      <c r="Q72" s="118">
        <f>P72/I72-1</f>
        <v>5.1639743592346576E-8</v>
      </c>
    </row>
    <row r="73" spans="1:23" ht="13.5" thickTop="1" x14ac:dyDescent="0.2">
      <c r="A73" s="99">
        <f t="shared" si="0"/>
        <v>66</v>
      </c>
      <c r="D73" s="2" t="s">
        <v>14</v>
      </c>
      <c r="E73" s="101">
        <f>E65/E61</f>
        <v>564900</v>
      </c>
      <c r="G73" s="46">
        <f>G72/E61</f>
        <v>48412.324166666665</v>
      </c>
      <c r="I73" s="46">
        <f>I72/E61</f>
        <v>48412.324166666658</v>
      </c>
      <c r="L73" s="46">
        <f>L72/E61</f>
        <v>51915.56653508771</v>
      </c>
      <c r="M73" s="46">
        <f t="shared" si="6"/>
        <v>3503.2423684210517</v>
      </c>
      <c r="N73" s="126">
        <f>M73/I73</f>
        <v>7.2362614865599445E-2</v>
      </c>
      <c r="P73" s="102"/>
    </row>
    <row r="74" spans="1:23" ht="13.5" thickBot="1" x14ac:dyDescent="0.25">
      <c r="A74" s="99">
        <f t="shared" si="0"/>
        <v>67</v>
      </c>
      <c r="N74" s="131"/>
      <c r="P74" s="102"/>
      <c r="R74" s="94"/>
      <c r="S74" s="94"/>
      <c r="T74" s="94"/>
    </row>
    <row r="75" spans="1:23" x14ac:dyDescent="0.2">
      <c r="A75" s="99">
        <f t="shared" si="0"/>
        <v>68</v>
      </c>
      <c r="B75" s="84" t="s">
        <v>23</v>
      </c>
      <c r="C75" s="100" t="s">
        <v>64</v>
      </c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132"/>
      <c r="P75" s="102"/>
    </row>
    <row r="76" spans="1:23" x14ac:dyDescent="0.2">
      <c r="A76" s="99">
        <f t="shared" si="0"/>
        <v>69</v>
      </c>
      <c r="B76" s="122"/>
      <c r="C76" s="9"/>
      <c r="D76" s="2" t="s">
        <v>48</v>
      </c>
      <c r="E76" s="101">
        <f>29*12</f>
        <v>348</v>
      </c>
      <c r="F76" s="85">
        <v>14.09</v>
      </c>
      <c r="G76" s="102">
        <f>F76*E76</f>
        <v>4903.32</v>
      </c>
      <c r="H76" s="85">
        <v>15.91</v>
      </c>
      <c r="I76" s="102">
        <f t="shared" ref="I76:I92" si="7">H76*E76</f>
        <v>5536.68</v>
      </c>
      <c r="J76" s="85">
        <f>ROUND(H76*S76,2)</f>
        <v>17.38</v>
      </c>
      <c r="K76" s="85">
        <f>J76-H76</f>
        <v>1.4699999999999989</v>
      </c>
      <c r="L76" s="102">
        <f t="shared" ref="L76:L92" si="8">J76*E76</f>
        <v>6048.24</v>
      </c>
      <c r="M76" s="102">
        <f t="shared" ref="M76:M92" si="9">L76-I76</f>
        <v>511.55999999999949</v>
      </c>
      <c r="N76" s="126">
        <f t="shared" ref="N76:N92" si="10">IF(I76=0,0,M76/I76)</f>
        <v>9.2394720301696945E-2</v>
      </c>
      <c r="P76" s="102"/>
      <c r="R76" s="94"/>
      <c r="S76" s="108">
        <v>1.0922000000000001</v>
      </c>
      <c r="T76" s="94"/>
      <c r="U76" s="2">
        <f>Summary!L11</f>
        <v>0</v>
      </c>
      <c r="W76" s="9">
        <f>AC13</f>
        <v>6.8700000000098953</v>
      </c>
    </row>
    <row r="77" spans="1:23" x14ac:dyDescent="0.2">
      <c r="A77" s="99">
        <f t="shared" ref="A77:A113" si="11">A76+1</f>
        <v>70</v>
      </c>
      <c r="B77" s="122"/>
      <c r="C77" s="9"/>
      <c r="D77" s="2" t="s">
        <v>49</v>
      </c>
      <c r="E77" s="101">
        <f>8*12</f>
        <v>96</v>
      </c>
      <c r="F77" s="85">
        <v>9.5</v>
      </c>
      <c r="G77" s="102">
        <f>F77*E77</f>
        <v>912</v>
      </c>
      <c r="H77" s="85">
        <v>10.33</v>
      </c>
      <c r="I77" s="102">
        <f t="shared" si="7"/>
        <v>991.68000000000006</v>
      </c>
      <c r="J77" s="85">
        <f t="shared" ref="J77:J92" si="12">ROUND(H77*S77,2)</f>
        <v>11.28</v>
      </c>
      <c r="K77" s="85">
        <f t="shared" ref="K77:K92" si="13">J77-H77</f>
        <v>0.94999999999999929</v>
      </c>
      <c r="L77" s="102">
        <f t="shared" si="8"/>
        <v>1082.8799999999999</v>
      </c>
      <c r="M77" s="102">
        <f t="shared" si="9"/>
        <v>91.199999999999818</v>
      </c>
      <c r="N77" s="126">
        <f t="shared" si="10"/>
        <v>9.1965150048402527E-2</v>
      </c>
      <c r="P77" s="102"/>
      <c r="S77" s="108">
        <f>S76</f>
        <v>1.0922000000000001</v>
      </c>
    </row>
    <row r="78" spans="1:23" x14ac:dyDescent="0.2">
      <c r="A78" s="99">
        <f t="shared" si="11"/>
        <v>71</v>
      </c>
      <c r="B78" s="122"/>
      <c r="C78" s="9"/>
      <c r="D78" s="2" t="s">
        <v>50</v>
      </c>
      <c r="E78" s="101">
        <f>4*12</f>
        <v>48</v>
      </c>
      <c r="F78" s="85">
        <v>14.09</v>
      </c>
      <c r="G78" s="102">
        <f>F78*E78</f>
        <v>676.31999999999994</v>
      </c>
      <c r="H78" s="85">
        <f>H76</f>
        <v>15.91</v>
      </c>
      <c r="I78" s="102">
        <f t="shared" si="7"/>
        <v>763.68000000000006</v>
      </c>
      <c r="J78" s="85">
        <f t="shared" si="12"/>
        <v>17.38</v>
      </c>
      <c r="K78" s="85">
        <f t="shared" si="13"/>
        <v>1.4699999999999989</v>
      </c>
      <c r="L78" s="102">
        <f t="shared" si="8"/>
        <v>834.24</v>
      </c>
      <c r="M78" s="102">
        <f t="shared" si="9"/>
        <v>70.559999999999945</v>
      </c>
      <c r="N78" s="126">
        <f t="shared" si="10"/>
        <v>9.2394720301696973E-2</v>
      </c>
      <c r="P78" s="102"/>
      <c r="R78" s="94"/>
      <c r="S78" s="108">
        <f t="shared" ref="S78:S92" si="14">S77</f>
        <v>1.0922000000000001</v>
      </c>
      <c r="T78" s="94"/>
    </row>
    <row r="79" spans="1:23" x14ac:dyDescent="0.2">
      <c r="A79" s="99">
        <f t="shared" si="11"/>
        <v>72</v>
      </c>
      <c r="B79" s="122"/>
      <c r="C79" s="9"/>
      <c r="D79" s="2" t="s">
        <v>51</v>
      </c>
      <c r="E79" s="101">
        <f>172*12</f>
        <v>2064</v>
      </c>
      <c r="F79" s="85">
        <v>9.5</v>
      </c>
      <c r="G79" s="102">
        <f>F79*E79</f>
        <v>19608</v>
      </c>
      <c r="H79" s="85">
        <f>H77</f>
        <v>10.33</v>
      </c>
      <c r="I79" s="102">
        <f t="shared" si="7"/>
        <v>21321.119999999999</v>
      </c>
      <c r="J79" s="85">
        <f t="shared" si="12"/>
        <v>11.28</v>
      </c>
      <c r="K79" s="85">
        <f t="shared" si="13"/>
        <v>0.94999999999999929</v>
      </c>
      <c r="L79" s="102">
        <f t="shared" si="8"/>
        <v>23281.919999999998</v>
      </c>
      <c r="M79" s="102">
        <f t="shared" si="9"/>
        <v>1960.7999999999993</v>
      </c>
      <c r="N79" s="126">
        <f t="shared" si="10"/>
        <v>9.196515004840268E-2</v>
      </c>
      <c r="P79" s="102"/>
      <c r="S79" s="108">
        <f t="shared" si="14"/>
        <v>1.0922000000000001</v>
      </c>
    </row>
    <row r="80" spans="1:23" x14ac:dyDescent="0.2">
      <c r="A80" s="99">
        <f t="shared" si="11"/>
        <v>73</v>
      </c>
      <c r="B80" s="122"/>
      <c r="C80" s="9"/>
      <c r="D80" s="2" t="s">
        <v>52</v>
      </c>
      <c r="E80" s="101">
        <f>997*12</f>
        <v>11964</v>
      </c>
      <c r="F80" s="85">
        <v>14.09</v>
      </c>
      <c r="G80" s="102">
        <f t="shared" ref="G80:G92" si="15">F80*E80</f>
        <v>168572.76</v>
      </c>
      <c r="H80" s="85">
        <f>H76</f>
        <v>15.91</v>
      </c>
      <c r="I80" s="102">
        <f t="shared" si="7"/>
        <v>190347.24</v>
      </c>
      <c r="J80" s="85">
        <f t="shared" si="12"/>
        <v>17.38</v>
      </c>
      <c r="K80" s="85">
        <f t="shared" si="13"/>
        <v>1.4699999999999989</v>
      </c>
      <c r="L80" s="102">
        <f t="shared" si="8"/>
        <v>207934.31999999998</v>
      </c>
      <c r="M80" s="102">
        <f t="shared" si="9"/>
        <v>17587.079999999987</v>
      </c>
      <c r="N80" s="126">
        <f t="shared" si="10"/>
        <v>9.2394720301696986E-2</v>
      </c>
      <c r="P80" s="102"/>
      <c r="R80" s="94"/>
      <c r="S80" s="108">
        <f t="shared" si="14"/>
        <v>1.0922000000000001</v>
      </c>
      <c r="T80" s="94"/>
    </row>
    <row r="81" spans="1:20" x14ac:dyDescent="0.2">
      <c r="A81" s="99">
        <f t="shared" si="11"/>
        <v>74</v>
      </c>
      <c r="B81" s="122"/>
      <c r="C81" s="9"/>
      <c r="D81" s="2" t="s">
        <v>53</v>
      </c>
      <c r="E81" s="101">
        <f>1359*12</f>
        <v>16308</v>
      </c>
      <c r="F81" s="85">
        <v>9.5</v>
      </c>
      <c r="G81" s="102">
        <f t="shared" si="15"/>
        <v>154926</v>
      </c>
      <c r="H81" s="85">
        <f>H77</f>
        <v>10.33</v>
      </c>
      <c r="I81" s="102">
        <f t="shared" si="7"/>
        <v>168461.64</v>
      </c>
      <c r="J81" s="85">
        <f t="shared" si="12"/>
        <v>11.28</v>
      </c>
      <c r="K81" s="85">
        <f t="shared" si="13"/>
        <v>0.94999999999999929</v>
      </c>
      <c r="L81" s="102">
        <f t="shared" si="8"/>
        <v>183954.24</v>
      </c>
      <c r="M81" s="102">
        <f t="shared" si="9"/>
        <v>15492.599999999977</v>
      </c>
      <c r="N81" s="126">
        <f t="shared" si="10"/>
        <v>9.1965150048402569E-2</v>
      </c>
      <c r="P81" s="102"/>
      <c r="S81" s="108">
        <f t="shared" si="14"/>
        <v>1.0922000000000001</v>
      </c>
    </row>
    <row r="82" spans="1:20" x14ac:dyDescent="0.2">
      <c r="A82" s="99">
        <f t="shared" si="11"/>
        <v>75</v>
      </c>
      <c r="B82" s="122"/>
      <c r="C82" s="9"/>
      <c r="D82" s="2" t="s">
        <v>54</v>
      </c>
      <c r="E82" s="101">
        <f>140*12</f>
        <v>1680</v>
      </c>
      <c r="F82" s="85">
        <v>9.5</v>
      </c>
      <c r="G82" s="102">
        <f t="shared" si="15"/>
        <v>15960</v>
      </c>
      <c r="H82" s="85">
        <f>H77</f>
        <v>10.33</v>
      </c>
      <c r="I82" s="102">
        <f t="shared" si="7"/>
        <v>17354.400000000001</v>
      </c>
      <c r="J82" s="85">
        <f t="shared" si="12"/>
        <v>11.28</v>
      </c>
      <c r="K82" s="85">
        <f t="shared" si="13"/>
        <v>0.94999999999999929</v>
      </c>
      <c r="L82" s="102">
        <f t="shared" si="8"/>
        <v>18950.399999999998</v>
      </c>
      <c r="M82" s="102">
        <f t="shared" si="9"/>
        <v>1595.9999999999964</v>
      </c>
      <c r="N82" s="126">
        <f t="shared" si="10"/>
        <v>9.19651500484025E-2</v>
      </c>
      <c r="P82" s="102"/>
      <c r="R82" s="94"/>
      <c r="S82" s="108">
        <f t="shared" si="14"/>
        <v>1.0922000000000001</v>
      </c>
      <c r="T82" s="94"/>
    </row>
    <row r="83" spans="1:20" x14ac:dyDescent="0.2">
      <c r="A83" s="99">
        <f t="shared" si="11"/>
        <v>76</v>
      </c>
      <c r="B83" s="122"/>
      <c r="C83" s="9"/>
      <c r="D83" s="2" t="s">
        <v>55</v>
      </c>
      <c r="E83" s="101">
        <f>530*12</f>
        <v>6360</v>
      </c>
      <c r="F83" s="85">
        <v>9.5</v>
      </c>
      <c r="G83" s="102">
        <f t="shared" si="15"/>
        <v>60420</v>
      </c>
      <c r="H83" s="85">
        <f>H77</f>
        <v>10.33</v>
      </c>
      <c r="I83" s="102">
        <f t="shared" si="7"/>
        <v>65698.8</v>
      </c>
      <c r="J83" s="85">
        <f t="shared" si="12"/>
        <v>11.28</v>
      </c>
      <c r="K83" s="85">
        <f t="shared" si="13"/>
        <v>0.94999999999999929</v>
      </c>
      <c r="L83" s="102">
        <f t="shared" si="8"/>
        <v>71740.800000000003</v>
      </c>
      <c r="M83" s="102">
        <f t="shared" si="9"/>
        <v>6042</v>
      </c>
      <c r="N83" s="126">
        <f t="shared" si="10"/>
        <v>9.1965150048402708E-2</v>
      </c>
      <c r="P83" s="102"/>
      <c r="S83" s="108">
        <f t="shared" si="14"/>
        <v>1.0922000000000001</v>
      </c>
    </row>
    <row r="84" spans="1:20" x14ac:dyDescent="0.2">
      <c r="A84" s="99">
        <f t="shared" si="11"/>
        <v>77</v>
      </c>
      <c r="B84" s="122"/>
      <c r="C84" s="9"/>
      <c r="D84" s="2" t="s">
        <v>56</v>
      </c>
      <c r="E84" s="101">
        <f>2005*12</f>
        <v>24060</v>
      </c>
      <c r="F84" s="85">
        <v>9.5</v>
      </c>
      <c r="G84" s="102">
        <f t="shared" si="15"/>
        <v>228570</v>
      </c>
      <c r="H84" s="85">
        <f>H77</f>
        <v>10.33</v>
      </c>
      <c r="I84" s="102">
        <f t="shared" si="7"/>
        <v>248539.8</v>
      </c>
      <c r="J84" s="85">
        <f t="shared" si="12"/>
        <v>11.28</v>
      </c>
      <c r="K84" s="85">
        <f t="shared" si="13"/>
        <v>0.94999999999999929</v>
      </c>
      <c r="L84" s="102">
        <f t="shared" si="8"/>
        <v>271396.8</v>
      </c>
      <c r="M84" s="102">
        <f t="shared" si="9"/>
        <v>22857</v>
      </c>
      <c r="N84" s="126">
        <f t="shared" si="10"/>
        <v>9.1965150048402722E-2</v>
      </c>
      <c r="P84" s="102"/>
      <c r="R84" s="94"/>
      <c r="S84" s="108">
        <f t="shared" si="14"/>
        <v>1.0922000000000001</v>
      </c>
      <c r="T84" s="94"/>
    </row>
    <row r="85" spans="1:20" x14ac:dyDescent="0.2">
      <c r="A85" s="99">
        <f t="shared" si="11"/>
        <v>78</v>
      </c>
      <c r="B85" s="122"/>
      <c r="C85" s="9"/>
      <c r="D85" s="2" t="s">
        <v>57</v>
      </c>
      <c r="E85" s="101">
        <f>67*12</f>
        <v>804</v>
      </c>
      <c r="F85" s="85">
        <v>9.5</v>
      </c>
      <c r="G85" s="102">
        <f t="shared" si="15"/>
        <v>7638</v>
      </c>
      <c r="H85" s="85">
        <f>H77</f>
        <v>10.33</v>
      </c>
      <c r="I85" s="102">
        <f t="shared" si="7"/>
        <v>8305.32</v>
      </c>
      <c r="J85" s="85">
        <f t="shared" si="12"/>
        <v>11.28</v>
      </c>
      <c r="K85" s="85">
        <f t="shared" si="13"/>
        <v>0.94999999999999929</v>
      </c>
      <c r="L85" s="102">
        <f t="shared" si="8"/>
        <v>9069.119999999999</v>
      </c>
      <c r="M85" s="102">
        <f t="shared" si="9"/>
        <v>763.79999999999927</v>
      </c>
      <c r="N85" s="126">
        <f t="shared" si="10"/>
        <v>9.1965150048402625E-2</v>
      </c>
      <c r="P85" s="102"/>
      <c r="S85" s="108">
        <f t="shared" si="14"/>
        <v>1.0922000000000001</v>
      </c>
    </row>
    <row r="86" spans="1:20" x14ac:dyDescent="0.2">
      <c r="A86" s="99">
        <f t="shared" si="11"/>
        <v>79</v>
      </c>
      <c r="B86" s="122"/>
      <c r="C86" s="9"/>
      <c r="D86" s="2" t="s">
        <v>58</v>
      </c>
      <c r="E86" s="101">
        <f>28*12</f>
        <v>336</v>
      </c>
      <c r="F86" s="85">
        <v>19.260000000000002</v>
      </c>
      <c r="G86" s="102">
        <f t="shared" si="15"/>
        <v>6471.3600000000006</v>
      </c>
      <c r="H86" s="85">
        <v>21.08</v>
      </c>
      <c r="I86" s="102">
        <f t="shared" si="7"/>
        <v>7082.8799999999992</v>
      </c>
      <c r="J86" s="85">
        <f t="shared" si="12"/>
        <v>23.02</v>
      </c>
      <c r="K86" s="85">
        <f t="shared" si="13"/>
        <v>1.9400000000000013</v>
      </c>
      <c r="L86" s="102">
        <f t="shared" si="8"/>
        <v>7734.72</v>
      </c>
      <c r="M86" s="102">
        <f t="shared" si="9"/>
        <v>651.84000000000106</v>
      </c>
      <c r="N86" s="126">
        <f t="shared" si="10"/>
        <v>9.203036053130946E-2</v>
      </c>
      <c r="P86" s="102"/>
      <c r="R86" s="94"/>
      <c r="S86" s="108">
        <f t="shared" si="14"/>
        <v>1.0922000000000001</v>
      </c>
      <c r="T86" s="94"/>
    </row>
    <row r="87" spans="1:20" x14ac:dyDescent="0.2">
      <c r="A87" s="99">
        <f t="shared" si="11"/>
        <v>80</v>
      </c>
      <c r="B87" s="122"/>
      <c r="C87" s="9"/>
      <c r="D87" s="2" t="s">
        <v>59</v>
      </c>
      <c r="E87" s="101">
        <f>15*12</f>
        <v>180</v>
      </c>
      <c r="F87" s="85">
        <v>14.09</v>
      </c>
      <c r="G87" s="102">
        <f t="shared" si="15"/>
        <v>2536.1999999999998</v>
      </c>
      <c r="H87" s="85">
        <f>H76</f>
        <v>15.91</v>
      </c>
      <c r="I87" s="102">
        <f t="shared" si="7"/>
        <v>2863.8</v>
      </c>
      <c r="J87" s="85">
        <f t="shared" si="12"/>
        <v>17.38</v>
      </c>
      <c r="K87" s="85">
        <f t="shared" si="13"/>
        <v>1.4699999999999989</v>
      </c>
      <c r="L87" s="102">
        <f t="shared" si="8"/>
        <v>3128.3999999999996</v>
      </c>
      <c r="M87" s="102">
        <f t="shared" si="9"/>
        <v>264.59999999999945</v>
      </c>
      <c r="N87" s="126">
        <f t="shared" si="10"/>
        <v>9.2394720301696848E-2</v>
      </c>
      <c r="P87" s="102"/>
      <c r="S87" s="108">
        <f t="shared" si="14"/>
        <v>1.0922000000000001</v>
      </c>
    </row>
    <row r="88" spans="1:20" x14ac:dyDescent="0.2">
      <c r="A88" s="99">
        <f t="shared" si="11"/>
        <v>81</v>
      </c>
      <c r="B88" s="122"/>
      <c r="C88" s="9"/>
      <c r="D88" s="2" t="s">
        <v>60</v>
      </c>
      <c r="E88" s="101">
        <f>1578*12</f>
        <v>18936</v>
      </c>
      <c r="F88" s="85">
        <v>9.5</v>
      </c>
      <c r="G88" s="102">
        <f t="shared" si="15"/>
        <v>179892</v>
      </c>
      <c r="H88" s="85">
        <f>H77</f>
        <v>10.33</v>
      </c>
      <c r="I88" s="102">
        <f t="shared" si="7"/>
        <v>195608.88</v>
      </c>
      <c r="J88" s="85">
        <f t="shared" si="12"/>
        <v>11.28</v>
      </c>
      <c r="K88" s="85">
        <f t="shared" si="13"/>
        <v>0.94999999999999929</v>
      </c>
      <c r="L88" s="102">
        <f t="shared" si="8"/>
        <v>213598.07999999999</v>
      </c>
      <c r="M88" s="102">
        <f t="shared" si="9"/>
        <v>17989.199999999983</v>
      </c>
      <c r="N88" s="126">
        <f t="shared" si="10"/>
        <v>9.1965150048402625E-2</v>
      </c>
      <c r="P88" s="102"/>
      <c r="R88" s="94"/>
      <c r="S88" s="108">
        <f t="shared" si="14"/>
        <v>1.0922000000000001</v>
      </c>
      <c r="T88" s="94"/>
    </row>
    <row r="89" spans="1:20" x14ac:dyDescent="0.2">
      <c r="A89" s="99">
        <f t="shared" si="11"/>
        <v>82</v>
      </c>
      <c r="B89" s="122"/>
      <c r="C89" s="9"/>
      <c r="D89" s="2" t="s">
        <v>61</v>
      </c>
      <c r="E89" s="101">
        <f>50*12</f>
        <v>600</v>
      </c>
      <c r="F89" s="85">
        <v>19.260000000000002</v>
      </c>
      <c r="G89" s="102">
        <f t="shared" si="15"/>
        <v>11556.000000000002</v>
      </c>
      <c r="H89" s="85">
        <f>H86</f>
        <v>21.08</v>
      </c>
      <c r="I89" s="102">
        <f t="shared" si="7"/>
        <v>12647.999999999998</v>
      </c>
      <c r="J89" s="85">
        <f t="shared" si="12"/>
        <v>23.02</v>
      </c>
      <c r="K89" s="85">
        <f t="shared" si="13"/>
        <v>1.9400000000000013</v>
      </c>
      <c r="L89" s="102">
        <f t="shared" si="8"/>
        <v>13812</v>
      </c>
      <c r="M89" s="102">
        <f t="shared" si="9"/>
        <v>1164.0000000000018</v>
      </c>
      <c r="N89" s="126">
        <f t="shared" si="10"/>
        <v>9.203036053130946E-2</v>
      </c>
      <c r="P89" s="102"/>
      <c r="S89" s="108">
        <f t="shared" si="14"/>
        <v>1.0922000000000001</v>
      </c>
    </row>
    <row r="90" spans="1:20" x14ac:dyDescent="0.2">
      <c r="A90" s="99">
        <f t="shared" si="11"/>
        <v>83</v>
      </c>
      <c r="B90" s="122"/>
      <c r="C90" s="9"/>
      <c r="D90" s="2" t="s">
        <v>62</v>
      </c>
      <c r="E90" s="101">
        <f>185*12</f>
        <v>2220</v>
      </c>
      <c r="F90" s="85">
        <v>14.09</v>
      </c>
      <c r="G90" s="102">
        <f t="shared" si="15"/>
        <v>31279.8</v>
      </c>
      <c r="H90" s="85">
        <f>H76</f>
        <v>15.91</v>
      </c>
      <c r="I90" s="102">
        <f t="shared" si="7"/>
        <v>35320.199999999997</v>
      </c>
      <c r="J90" s="85">
        <f t="shared" si="12"/>
        <v>17.38</v>
      </c>
      <c r="K90" s="85">
        <f t="shared" si="13"/>
        <v>1.4699999999999989</v>
      </c>
      <c r="L90" s="102">
        <f t="shared" si="8"/>
        <v>38583.599999999999</v>
      </c>
      <c r="M90" s="102">
        <f t="shared" si="9"/>
        <v>3263.4000000000015</v>
      </c>
      <c r="N90" s="126">
        <f t="shared" si="10"/>
        <v>9.2394720301697097E-2</v>
      </c>
      <c r="P90" s="102"/>
      <c r="R90" s="94"/>
      <c r="S90" s="108">
        <f t="shared" si="14"/>
        <v>1.0922000000000001</v>
      </c>
      <c r="T90" s="94"/>
    </row>
    <row r="91" spans="1:20" x14ac:dyDescent="0.2">
      <c r="A91" s="99">
        <f t="shared" si="11"/>
        <v>84</v>
      </c>
      <c r="B91" s="122"/>
      <c r="C91" s="9"/>
      <c r="D91" s="2" t="s">
        <v>63</v>
      </c>
      <c r="E91" s="101">
        <v>0</v>
      </c>
      <c r="F91" s="85">
        <v>16.47</v>
      </c>
      <c r="G91" s="102">
        <f t="shared" si="15"/>
        <v>0</v>
      </c>
      <c r="H91" s="85">
        <v>18.96</v>
      </c>
      <c r="I91" s="102">
        <f t="shared" si="7"/>
        <v>0</v>
      </c>
      <c r="J91" s="85">
        <f t="shared" si="12"/>
        <v>20.71</v>
      </c>
      <c r="K91" s="85">
        <f t="shared" si="13"/>
        <v>1.75</v>
      </c>
      <c r="L91" s="102">
        <f t="shared" si="8"/>
        <v>0</v>
      </c>
      <c r="M91" s="102">
        <f t="shared" si="9"/>
        <v>0</v>
      </c>
      <c r="N91" s="126">
        <f t="shared" si="10"/>
        <v>0</v>
      </c>
      <c r="P91" s="102"/>
      <c r="S91" s="108">
        <f t="shared" si="14"/>
        <v>1.0922000000000001</v>
      </c>
    </row>
    <row r="92" spans="1:20" x14ac:dyDescent="0.2">
      <c r="A92" s="99">
        <f t="shared" si="11"/>
        <v>85</v>
      </c>
      <c r="B92" s="122"/>
      <c r="C92" s="9"/>
      <c r="D92" s="2" t="s">
        <v>65</v>
      </c>
      <c r="E92" s="101">
        <v>0</v>
      </c>
      <c r="F92" s="85">
        <v>37.74</v>
      </c>
      <c r="G92" s="102">
        <f t="shared" si="15"/>
        <v>0</v>
      </c>
      <c r="H92" s="85">
        <v>45.22</v>
      </c>
      <c r="I92" s="102">
        <f t="shared" si="7"/>
        <v>0</v>
      </c>
      <c r="J92" s="85">
        <f t="shared" si="12"/>
        <v>49.39</v>
      </c>
      <c r="K92" s="85">
        <f t="shared" si="13"/>
        <v>4.1700000000000017</v>
      </c>
      <c r="L92" s="102">
        <f t="shared" si="8"/>
        <v>0</v>
      </c>
      <c r="M92" s="102">
        <f t="shared" si="9"/>
        <v>0</v>
      </c>
      <c r="N92" s="126">
        <f t="shared" si="10"/>
        <v>0</v>
      </c>
      <c r="P92" s="102"/>
      <c r="R92" s="94"/>
      <c r="S92" s="108">
        <f t="shared" si="14"/>
        <v>1.0922000000000001</v>
      </c>
      <c r="T92" s="94"/>
    </row>
    <row r="93" spans="1:20" s="94" customFormat="1" ht="24.6" customHeight="1" x14ac:dyDescent="0.2">
      <c r="A93" s="99">
        <f t="shared" si="11"/>
        <v>86</v>
      </c>
      <c r="C93" s="110"/>
      <c r="D93" s="87" t="s">
        <v>3</v>
      </c>
      <c r="E93" s="87"/>
      <c r="F93" s="87"/>
      <c r="G93" s="111">
        <f>SUM(G76:G92)</f>
        <v>893921.76</v>
      </c>
      <c r="H93" s="87"/>
      <c r="I93" s="111">
        <f>SUM(I76:I92)</f>
        <v>980844.12</v>
      </c>
      <c r="J93" s="87"/>
      <c r="K93" s="87"/>
      <c r="L93" s="111">
        <f>SUM(L76:L92)</f>
        <v>1071149.76</v>
      </c>
      <c r="M93" s="111">
        <f>SUM(M76:M92)</f>
        <v>90305.639999999956</v>
      </c>
      <c r="N93" s="127">
        <f>M93/I93</f>
        <v>9.2069308627756224E-2</v>
      </c>
      <c r="O93" s="112"/>
      <c r="P93" s="102"/>
      <c r="R93" s="2"/>
      <c r="S93" s="2"/>
      <c r="T93" s="2"/>
    </row>
    <row r="94" spans="1:20" x14ac:dyDescent="0.2">
      <c r="A94" s="99">
        <f t="shared" si="11"/>
        <v>87</v>
      </c>
      <c r="D94" s="2" t="s">
        <v>20</v>
      </c>
      <c r="G94" s="9">
        <v>0</v>
      </c>
      <c r="I94" s="9">
        <v>0</v>
      </c>
      <c r="L94" s="102">
        <f>I94</f>
        <v>0</v>
      </c>
      <c r="M94" s="102">
        <f>L94-I94</f>
        <v>0</v>
      </c>
      <c r="N94" s="128">
        <v>0</v>
      </c>
      <c r="P94" s="102"/>
      <c r="R94" s="94"/>
      <c r="S94" s="94"/>
      <c r="T94" s="94"/>
    </row>
    <row r="95" spans="1:20" x14ac:dyDescent="0.2">
      <c r="A95" s="99">
        <f t="shared" si="11"/>
        <v>88</v>
      </c>
      <c r="D95" s="2" t="s">
        <v>21</v>
      </c>
      <c r="G95" s="9">
        <v>0</v>
      </c>
      <c r="I95" s="9">
        <v>0</v>
      </c>
      <c r="L95" s="102">
        <f>I95</f>
        <v>0</v>
      </c>
      <c r="M95" s="102">
        <f>L95-I95</f>
        <v>0</v>
      </c>
      <c r="N95" s="128">
        <v>0</v>
      </c>
      <c r="P95" s="102"/>
    </row>
    <row r="96" spans="1:20" x14ac:dyDescent="0.2">
      <c r="A96" s="99">
        <f t="shared" si="11"/>
        <v>89</v>
      </c>
      <c r="D96" s="2" t="s">
        <v>78</v>
      </c>
      <c r="G96" s="9">
        <v>0</v>
      </c>
      <c r="I96" s="9">
        <v>0</v>
      </c>
      <c r="L96" s="102">
        <f>I96</f>
        <v>0</v>
      </c>
      <c r="M96" s="102">
        <f>L96-I96</f>
        <v>0</v>
      </c>
      <c r="N96" s="128">
        <v>0</v>
      </c>
      <c r="P96" s="102"/>
      <c r="R96" s="94"/>
      <c r="S96" s="94"/>
      <c r="T96" s="94"/>
    </row>
    <row r="97" spans="1:20" x14ac:dyDescent="0.2">
      <c r="A97" s="99">
        <f t="shared" si="11"/>
        <v>90</v>
      </c>
      <c r="D97" s="2" t="s">
        <v>25</v>
      </c>
      <c r="G97" s="9"/>
      <c r="I97" s="9"/>
      <c r="L97" s="102"/>
      <c r="M97" s="102"/>
      <c r="N97" s="128"/>
      <c r="P97" s="102"/>
    </row>
    <row r="98" spans="1:20" x14ac:dyDescent="0.2">
      <c r="A98" s="99">
        <f t="shared" si="11"/>
        <v>91</v>
      </c>
      <c r="D98" s="88" t="s">
        <v>4</v>
      </c>
      <c r="E98" s="88"/>
      <c r="F98" s="88"/>
      <c r="G98" s="116">
        <f>SUM(G94:G96)</f>
        <v>0</v>
      </c>
      <c r="H98" s="88"/>
      <c r="I98" s="116">
        <f>SUM(I94:I96)</f>
        <v>0</v>
      </c>
      <c r="J98" s="88"/>
      <c r="K98" s="88"/>
      <c r="L98" s="116">
        <f>SUM(L94:L96)</f>
        <v>0</v>
      </c>
      <c r="M98" s="116">
        <f>L98-I98</f>
        <v>0</v>
      </c>
      <c r="N98" s="129">
        <v>0</v>
      </c>
      <c r="P98" s="102"/>
      <c r="R98" s="94"/>
      <c r="S98" s="94"/>
      <c r="T98" s="94"/>
    </row>
    <row r="99" spans="1:20" s="94" customFormat="1" ht="26.45" customHeight="1" thickBot="1" x14ac:dyDescent="0.25">
      <c r="A99" s="99">
        <f t="shared" si="11"/>
        <v>92</v>
      </c>
      <c r="C99" s="110"/>
      <c r="D99" s="89" t="s">
        <v>15</v>
      </c>
      <c r="E99" s="89"/>
      <c r="F99" s="89"/>
      <c r="G99" s="92">
        <f>G98+G93</f>
        <v>893921.76</v>
      </c>
      <c r="H99" s="89"/>
      <c r="I99" s="92">
        <f>I98+I93</f>
        <v>980844.12</v>
      </c>
      <c r="J99" s="89"/>
      <c r="K99" s="89"/>
      <c r="L99" s="117">
        <f>L98+L93</f>
        <v>1071149.76</v>
      </c>
      <c r="M99" s="117">
        <f>L99-I99</f>
        <v>90305.640000000014</v>
      </c>
      <c r="N99" s="130">
        <f>M99/I99</f>
        <v>9.206930862775628E-2</v>
      </c>
      <c r="P99" s="102">
        <v>896440.3600000001</v>
      </c>
      <c r="Q99" s="118">
        <f>P99/I99-1</f>
        <v>-8.6052164945434884E-2</v>
      </c>
      <c r="R99" s="2"/>
      <c r="S99" s="2"/>
      <c r="T99" s="2"/>
    </row>
    <row r="100" spans="1:20" ht="13.5" thickTop="1" x14ac:dyDescent="0.2">
      <c r="A100" s="99">
        <f t="shared" si="11"/>
        <v>93</v>
      </c>
      <c r="G100" s="46"/>
      <c r="I100" s="46"/>
      <c r="L100" s="46"/>
      <c r="M100" s="46"/>
      <c r="N100" s="126"/>
      <c r="P100" s="102"/>
      <c r="R100" s="94"/>
      <c r="S100" s="94"/>
      <c r="T100" s="94"/>
    </row>
    <row r="101" spans="1:20" x14ac:dyDescent="0.2">
      <c r="A101" s="99">
        <f t="shared" si="11"/>
        <v>94</v>
      </c>
      <c r="B101" s="155"/>
      <c r="C101" s="156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7"/>
      <c r="P101" s="102"/>
    </row>
    <row r="102" spans="1:20" x14ac:dyDescent="0.2">
      <c r="A102" s="99">
        <f t="shared" si="11"/>
        <v>95</v>
      </c>
      <c r="N102" s="131"/>
      <c r="P102" s="102"/>
      <c r="R102" s="94"/>
      <c r="S102" s="94"/>
      <c r="T102" s="94"/>
    </row>
    <row r="103" spans="1:20" s="94" customFormat="1" ht="19.899999999999999" customHeight="1" x14ac:dyDescent="0.2">
      <c r="A103" s="99">
        <f t="shared" si="11"/>
        <v>96</v>
      </c>
      <c r="B103" s="94" t="s">
        <v>22</v>
      </c>
      <c r="C103" s="110"/>
      <c r="D103" s="87" t="s">
        <v>3</v>
      </c>
      <c r="E103" s="87"/>
      <c r="F103" s="90"/>
      <c r="G103" s="111">
        <f>G10+G23+G37+G51+G93+G66</f>
        <v>20987105.228242002</v>
      </c>
      <c r="H103" s="90"/>
      <c r="I103" s="111">
        <f>I10+I23+I37+I51+I93+I66</f>
        <v>23346633.870191999</v>
      </c>
      <c r="J103" s="87"/>
      <c r="K103" s="90"/>
      <c r="L103" s="111">
        <f>L10+L23+L37+L51+L93+L66</f>
        <v>26208005.376938052</v>
      </c>
      <c r="M103" s="111">
        <f>M10+M23+M37+M51+M93+M66</f>
        <v>2861371.5067460523</v>
      </c>
      <c r="N103" s="127">
        <f>M103/I103</f>
        <v>0.12256034521530451</v>
      </c>
      <c r="P103" s="114"/>
      <c r="R103" s="2"/>
      <c r="S103" s="2"/>
      <c r="T103" s="2"/>
    </row>
    <row r="104" spans="1:20" x14ac:dyDescent="0.2">
      <c r="A104" s="99">
        <f t="shared" si="11"/>
        <v>97</v>
      </c>
      <c r="D104" s="2" t="s">
        <v>20</v>
      </c>
      <c r="F104" s="9"/>
      <c r="G104" s="102">
        <f t="shared" ref="G104:I109" si="16">G11+G24+G38+G52+G94+G67</f>
        <v>2344584.2400000007</v>
      </c>
      <c r="H104" s="9"/>
      <c r="I104" s="102">
        <f t="shared" si="16"/>
        <v>71977.958050000409</v>
      </c>
      <c r="K104" s="9"/>
      <c r="L104" s="102">
        <f t="shared" ref="L104:M109" si="17">L11+L24+L38+L52+L94+L67</f>
        <v>71977.958050000409</v>
      </c>
      <c r="M104" s="102">
        <f t="shared" si="17"/>
        <v>0</v>
      </c>
      <c r="N104" s="126">
        <f t="shared" ref="N104:N108" si="18">M104/I104</f>
        <v>0</v>
      </c>
      <c r="P104" s="102"/>
      <c r="R104" s="94"/>
      <c r="S104" s="94"/>
      <c r="T104" s="94"/>
    </row>
    <row r="105" spans="1:20" x14ac:dyDescent="0.2">
      <c r="A105" s="99">
        <f t="shared" si="11"/>
        <v>98</v>
      </c>
      <c r="D105" s="2" t="s">
        <v>21</v>
      </c>
      <c r="F105" s="9"/>
      <c r="G105" s="102">
        <f t="shared" si="16"/>
        <v>2508036.1800000006</v>
      </c>
      <c r="H105" s="9"/>
      <c r="I105" s="102">
        <f t="shared" si="16"/>
        <v>2508036.1800000006</v>
      </c>
      <c r="K105" s="9"/>
      <c r="L105" s="102">
        <f t="shared" si="17"/>
        <v>2508036.1800000006</v>
      </c>
      <c r="M105" s="102">
        <f t="shared" si="17"/>
        <v>0</v>
      </c>
      <c r="N105" s="126">
        <f t="shared" si="18"/>
        <v>0</v>
      </c>
      <c r="P105" s="102"/>
    </row>
    <row r="106" spans="1:20" x14ac:dyDescent="0.2">
      <c r="A106" s="99">
        <f t="shared" si="11"/>
        <v>99</v>
      </c>
      <c r="D106" s="2" t="s">
        <v>78</v>
      </c>
      <c r="F106" s="9"/>
      <c r="G106" s="102">
        <f t="shared" si="16"/>
        <v>596.75</v>
      </c>
      <c r="H106" s="9"/>
      <c r="I106" s="102">
        <f t="shared" si="16"/>
        <v>596.75</v>
      </c>
      <c r="K106" s="9"/>
      <c r="L106" s="102">
        <f t="shared" si="17"/>
        <v>596.75</v>
      </c>
      <c r="M106" s="102">
        <f t="shared" si="17"/>
        <v>0</v>
      </c>
      <c r="N106" s="126">
        <f t="shared" si="18"/>
        <v>0</v>
      </c>
      <c r="P106" s="102"/>
      <c r="R106" s="94"/>
      <c r="S106" s="94"/>
      <c r="T106" s="94"/>
    </row>
    <row r="107" spans="1:20" x14ac:dyDescent="0.2">
      <c r="A107" s="99">
        <f t="shared" si="11"/>
        <v>100</v>
      </c>
      <c r="D107" s="2" t="s">
        <v>25</v>
      </c>
      <c r="G107" s="102">
        <f t="shared" si="16"/>
        <v>0</v>
      </c>
      <c r="I107" s="102">
        <f t="shared" si="16"/>
        <v>0</v>
      </c>
      <c r="L107" s="102">
        <f t="shared" si="17"/>
        <v>0</v>
      </c>
      <c r="M107" s="102">
        <f t="shared" si="17"/>
        <v>0</v>
      </c>
      <c r="N107" s="126">
        <v>0</v>
      </c>
      <c r="P107" s="102"/>
    </row>
    <row r="108" spans="1:20" x14ac:dyDescent="0.2">
      <c r="A108" s="99">
        <f t="shared" si="11"/>
        <v>101</v>
      </c>
      <c r="D108" s="88" t="s">
        <v>4</v>
      </c>
      <c r="E108" s="88"/>
      <c r="F108" s="91"/>
      <c r="G108" s="116">
        <f t="shared" si="16"/>
        <v>4853217.1700000009</v>
      </c>
      <c r="H108" s="91"/>
      <c r="I108" s="116">
        <f t="shared" si="16"/>
        <v>2580610.8880500006</v>
      </c>
      <c r="J108" s="88"/>
      <c r="K108" s="91"/>
      <c r="L108" s="116">
        <f t="shared" si="17"/>
        <v>2580610.8880500006</v>
      </c>
      <c r="M108" s="116">
        <f t="shared" si="17"/>
        <v>0</v>
      </c>
      <c r="N108" s="133">
        <f t="shared" si="18"/>
        <v>0</v>
      </c>
      <c r="P108" s="102"/>
    </row>
    <row r="109" spans="1:20" s="94" customFormat="1" ht="21" customHeight="1" thickBot="1" x14ac:dyDescent="0.25">
      <c r="A109" s="99">
        <f t="shared" si="11"/>
        <v>102</v>
      </c>
      <c r="C109" s="110"/>
      <c r="D109" s="89" t="s">
        <v>15</v>
      </c>
      <c r="E109" s="89"/>
      <c r="F109" s="92"/>
      <c r="G109" s="117">
        <f t="shared" si="16"/>
        <v>25840322.398242004</v>
      </c>
      <c r="H109" s="92"/>
      <c r="I109" s="117">
        <f t="shared" si="16"/>
        <v>25927244.758242004</v>
      </c>
      <c r="J109" s="89"/>
      <c r="K109" s="92"/>
      <c r="L109" s="117">
        <f t="shared" si="17"/>
        <v>28788616.264988054</v>
      </c>
      <c r="M109" s="123">
        <f t="shared" si="17"/>
        <v>2861371.5067460514</v>
      </c>
      <c r="N109" s="134">
        <f>M109/I109</f>
        <v>0.11036157267873405</v>
      </c>
      <c r="P109" s="102">
        <f>P99+P72+P57+P43+P29+P16</f>
        <v>25883934.840000004</v>
      </c>
      <c r="Q109" s="118">
        <f>P109/I109-1</f>
        <v>-1.6704404438590004E-3</v>
      </c>
    </row>
    <row r="110" spans="1:20" ht="13.5" thickTop="1" x14ac:dyDescent="0.2">
      <c r="A110" s="99">
        <f t="shared" si="11"/>
        <v>103</v>
      </c>
    </row>
    <row r="111" spans="1:20" x14ac:dyDescent="0.2">
      <c r="A111" s="99">
        <f t="shared" si="11"/>
        <v>104</v>
      </c>
      <c r="D111" s="2" t="s">
        <v>24</v>
      </c>
      <c r="M111" s="9">
        <f>M109-M113</f>
        <v>-34.037527413107455</v>
      </c>
      <c r="N111" s="154">
        <f>M111/M113</f>
        <v>-1.189538738443658E-5</v>
      </c>
    </row>
    <row r="112" spans="1:20" x14ac:dyDescent="0.2">
      <c r="A112" s="99">
        <f t="shared" si="11"/>
        <v>105</v>
      </c>
      <c r="G112" s="56" t="s">
        <v>109</v>
      </c>
      <c r="H112" s="2">
        <v>1.187E-2</v>
      </c>
      <c r="M112" s="9"/>
    </row>
    <row r="113" spans="1:13" x14ac:dyDescent="0.2">
      <c r="A113" s="99">
        <f t="shared" si="11"/>
        <v>106</v>
      </c>
      <c r="B113" s="124" t="s">
        <v>79</v>
      </c>
      <c r="M113" s="125">
        <v>2861405.5442734645</v>
      </c>
    </row>
    <row r="114" spans="1:13" x14ac:dyDescent="0.2">
      <c r="A114" s="99"/>
      <c r="G114" s="9"/>
      <c r="I114" s="9"/>
      <c r="M114" s="9"/>
    </row>
    <row r="115" spans="1:13" x14ac:dyDescent="0.2">
      <c r="G115" s="103"/>
      <c r="I115" s="103"/>
    </row>
  </sheetData>
  <phoneticPr fontId="6" type="noConversion"/>
  <printOptions horizontalCentered="1"/>
  <pageMargins left="0.7" right="0.7" top="0.75" bottom="0.75" header="0.3" footer="0.3"/>
  <pageSetup scale="59" fitToHeight="3" orientation="landscape" r:id="rId1"/>
  <headerFooter>
    <oddFooter>&amp;R&amp;"Arial,Bold"&amp;10Exhibit JW-9
Page &amp;P of &amp;N</oddFooter>
  </headerFooter>
  <rowBreaks count="3" manualBreakCount="3">
    <brk id="31" max="13" man="1"/>
    <brk id="74" max="13" man="1"/>
    <brk id="113" max="13" man="1"/>
  </rowBreaks>
  <ignoredErrors>
    <ignoredError sqref="L10:N10 M23:N23 M37:N37 M51:N51 M66:N66 M93:N93 I34 I4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A3F2-5205-4DE9-9932-E694B46EBABD}">
  <sheetPr>
    <pageSetUpPr fitToPage="1"/>
  </sheetPr>
  <dimension ref="A1:M41"/>
  <sheetViews>
    <sheetView tabSelected="1" view="pageBreakPreview" zoomScaleNormal="100" zoomScaleSheetLayoutView="100" workbookViewId="0">
      <selection activeCell="G38" sqref="G38"/>
    </sheetView>
  </sheetViews>
  <sheetFormatPr defaultColWidth="9.140625" defaultRowHeight="12.75" x14ac:dyDescent="0.2"/>
  <cols>
    <col min="1" max="1" width="3.42578125" style="136" customWidth="1"/>
    <col min="2" max="2" width="4.7109375" style="135" customWidth="1"/>
    <col min="3" max="3" width="9.28515625" style="136" bestFit="1" customWidth="1"/>
    <col min="4" max="4" width="9.5703125" style="136" bestFit="1" customWidth="1"/>
    <col min="5" max="5" width="11.85546875" style="136" bestFit="1" customWidth="1"/>
    <col min="6" max="6" width="11.5703125" style="136" bestFit="1" customWidth="1"/>
    <col min="7" max="7" width="9.85546875" style="136" bestFit="1" customWidth="1"/>
    <col min="8" max="8" width="10.5703125" style="136" customWidth="1"/>
    <col min="9" max="9" width="11.85546875" style="136" bestFit="1" customWidth="1"/>
    <col min="10" max="10" width="11.5703125" style="136" bestFit="1" customWidth="1"/>
    <col min="11" max="11" width="9.85546875" style="136" bestFit="1" customWidth="1"/>
    <col min="12" max="12" width="9" style="136" bestFit="1" customWidth="1"/>
    <col min="13" max="13" width="7.7109375" style="136" customWidth="1"/>
    <col min="14" max="16384" width="9.140625" style="136"/>
  </cols>
  <sheetData>
    <row r="1" spans="1:13" x14ac:dyDescent="0.2">
      <c r="A1" s="64" t="str">
        <f>Summary!A1</f>
        <v>BIG SANDY R.E.C.C.</v>
      </c>
    </row>
    <row r="2" spans="1:13" x14ac:dyDescent="0.2">
      <c r="A2" s="137" t="s">
        <v>105</v>
      </c>
      <c r="I2" s="138"/>
      <c r="J2" s="138"/>
    </row>
    <row r="3" spans="1:13" x14ac:dyDescent="0.2">
      <c r="A3" s="64" t="s">
        <v>95</v>
      </c>
    </row>
    <row r="4" spans="1:13" ht="13.5" thickBot="1" x14ac:dyDescent="0.25"/>
    <row r="5" spans="1:13" ht="21" customHeight="1" thickTop="1" x14ac:dyDescent="0.2">
      <c r="B5" s="58"/>
      <c r="C5" s="59" t="s">
        <v>96</v>
      </c>
      <c r="D5" s="158" t="s">
        <v>97</v>
      </c>
      <c r="E5" s="158"/>
      <c r="F5" s="158"/>
      <c r="G5" s="159"/>
      <c r="H5" s="160" t="s">
        <v>98</v>
      </c>
      <c r="I5" s="158"/>
      <c r="J5" s="158"/>
      <c r="K5" s="159"/>
      <c r="L5" s="160" t="s">
        <v>31</v>
      </c>
      <c r="M5" s="161"/>
    </row>
    <row r="6" spans="1:13" ht="23.25" customHeight="1" x14ac:dyDescent="0.2">
      <c r="B6" s="60" t="s">
        <v>0</v>
      </c>
      <c r="C6" s="61" t="s">
        <v>89</v>
      </c>
      <c r="D6" s="62" t="s">
        <v>99</v>
      </c>
      <c r="E6" s="62" t="s">
        <v>100</v>
      </c>
      <c r="F6" s="62" t="s">
        <v>101</v>
      </c>
      <c r="G6" s="62" t="s">
        <v>102</v>
      </c>
      <c r="H6" s="62" t="s">
        <v>103</v>
      </c>
      <c r="I6" s="62" t="s">
        <v>83</v>
      </c>
      <c r="J6" s="62" t="s">
        <v>101</v>
      </c>
      <c r="K6" s="62" t="s">
        <v>102</v>
      </c>
      <c r="L6" s="62" t="s">
        <v>87</v>
      </c>
      <c r="M6" s="63" t="s">
        <v>12</v>
      </c>
    </row>
    <row r="7" spans="1:13" s="64" customFormat="1" ht="18" customHeight="1" thickBot="1" x14ac:dyDescent="0.25">
      <c r="B7" s="65"/>
      <c r="C7" s="66"/>
      <c r="D7" s="67">
        <f>'Billing Detail'!H8</f>
        <v>21.95</v>
      </c>
      <c r="E7" s="68">
        <f>'Billing Detail'!H9</f>
        <v>0.10064000000000001</v>
      </c>
      <c r="F7" s="68">
        <f>'Billing Detail'!I15/'Billing Detail'!E9</f>
        <v>1.4102671233348957E-2</v>
      </c>
      <c r="G7" s="69"/>
      <c r="H7" s="67">
        <f>'Billing Detail'!J8</f>
        <v>29</v>
      </c>
      <c r="I7" s="68">
        <f>'Billing Detail'!J9</f>
        <v>0.11137</v>
      </c>
      <c r="J7" s="68">
        <f>F7</f>
        <v>1.4102671233348957E-2</v>
      </c>
      <c r="K7" s="66"/>
      <c r="L7" s="66"/>
      <c r="M7" s="70"/>
    </row>
    <row r="8" spans="1:13" ht="13.5" thickTop="1" x14ac:dyDescent="0.2">
      <c r="B8" s="139">
        <v>1</v>
      </c>
      <c r="C8" s="140">
        <v>0</v>
      </c>
      <c r="D8" s="141">
        <f>D$7</f>
        <v>21.95</v>
      </c>
      <c r="E8" s="142">
        <f>$E$7*C8</f>
        <v>0</v>
      </c>
      <c r="F8" s="142">
        <f>F$7*C8</f>
        <v>0</v>
      </c>
      <c r="G8" s="143">
        <f>SUM(D8:F8)</f>
        <v>21.95</v>
      </c>
      <c r="H8" s="71">
        <f>$H$7</f>
        <v>29</v>
      </c>
      <c r="I8" s="142">
        <f>$I$7*C8</f>
        <v>0</v>
      </c>
      <c r="J8" s="142">
        <f>J$7*C8</f>
        <v>0</v>
      </c>
      <c r="K8" s="72">
        <f>SUM(H8:J8)</f>
        <v>29</v>
      </c>
      <c r="L8" s="71">
        <f t="shared" ref="L8:L39" si="0">K8-G8</f>
        <v>7.0500000000000007</v>
      </c>
      <c r="M8" s="73">
        <f t="shared" ref="M8:M39" si="1">L8/G8</f>
        <v>0.32118451025056954</v>
      </c>
    </row>
    <row r="9" spans="1:13" x14ac:dyDescent="0.2">
      <c r="B9" s="139">
        <f>B8+1</f>
        <v>2</v>
      </c>
      <c r="C9" s="140">
        <f t="shared" ref="C9:C38" si="2">C8+100</f>
        <v>100</v>
      </c>
      <c r="D9" s="141">
        <f t="shared" ref="D9:D39" si="3">D$7</f>
        <v>21.95</v>
      </c>
      <c r="E9" s="142">
        <f t="shared" ref="E9:E39" si="4">$E$7*C9</f>
        <v>10.064</v>
      </c>
      <c r="F9" s="142">
        <f t="shared" ref="F9:F38" si="5">F$7*C9</f>
        <v>1.4102671233348958</v>
      </c>
      <c r="G9" s="143">
        <f t="shared" ref="G9:G38" si="6">SUM(D9:F9)</f>
        <v>33.424267123334893</v>
      </c>
      <c r="H9" s="71">
        <f t="shared" ref="H9:H39" si="7">$H$7</f>
        <v>29</v>
      </c>
      <c r="I9" s="142">
        <f t="shared" ref="I9:I39" si="8">$I$7*C9</f>
        <v>11.137</v>
      </c>
      <c r="J9" s="142">
        <f t="shared" ref="J9:J38" si="9">J$7*C9</f>
        <v>1.4102671233348958</v>
      </c>
      <c r="K9" s="72">
        <f t="shared" ref="K9:K38" si="10">SUM(H9:J9)</f>
        <v>41.547267123334898</v>
      </c>
      <c r="L9" s="71">
        <f t="shared" si="0"/>
        <v>8.1230000000000047</v>
      </c>
      <c r="M9" s="73">
        <f t="shared" si="1"/>
        <v>0.24302701896278811</v>
      </c>
    </row>
    <row r="10" spans="1:13" x14ac:dyDescent="0.2">
      <c r="B10" s="139">
        <f t="shared" ref="B10:B38" si="11">B9+1</f>
        <v>3</v>
      </c>
      <c r="C10" s="140">
        <f t="shared" si="2"/>
        <v>200</v>
      </c>
      <c r="D10" s="141">
        <f t="shared" si="3"/>
        <v>21.95</v>
      </c>
      <c r="E10" s="142">
        <f t="shared" si="4"/>
        <v>20.128</v>
      </c>
      <c r="F10" s="142">
        <f t="shared" si="5"/>
        <v>2.8205342466697916</v>
      </c>
      <c r="G10" s="143">
        <f t="shared" si="6"/>
        <v>44.898534246669797</v>
      </c>
      <c r="H10" s="71">
        <f t="shared" si="7"/>
        <v>29</v>
      </c>
      <c r="I10" s="142">
        <f t="shared" si="8"/>
        <v>22.274000000000001</v>
      </c>
      <c r="J10" s="142">
        <f t="shared" si="9"/>
        <v>2.8205342466697916</v>
      </c>
      <c r="K10" s="72">
        <f t="shared" si="10"/>
        <v>54.094534246669795</v>
      </c>
      <c r="L10" s="71">
        <f t="shared" si="0"/>
        <v>9.195999999999998</v>
      </c>
      <c r="M10" s="73">
        <f t="shared" si="1"/>
        <v>0.20481737665371741</v>
      </c>
    </row>
    <row r="11" spans="1:13" x14ac:dyDescent="0.2">
      <c r="B11" s="139">
        <f t="shared" si="11"/>
        <v>4</v>
      </c>
      <c r="C11" s="140">
        <f t="shared" si="2"/>
        <v>300</v>
      </c>
      <c r="D11" s="141">
        <f t="shared" si="3"/>
        <v>21.95</v>
      </c>
      <c r="E11" s="142">
        <f t="shared" si="4"/>
        <v>30.192000000000004</v>
      </c>
      <c r="F11" s="142">
        <f t="shared" si="5"/>
        <v>4.2308013700046869</v>
      </c>
      <c r="G11" s="143">
        <f t="shared" si="6"/>
        <v>56.372801370004687</v>
      </c>
      <c r="H11" s="71">
        <f t="shared" si="7"/>
        <v>29</v>
      </c>
      <c r="I11" s="142">
        <f t="shared" si="8"/>
        <v>33.411000000000001</v>
      </c>
      <c r="J11" s="142">
        <f t="shared" si="9"/>
        <v>4.2308013700046869</v>
      </c>
      <c r="K11" s="72">
        <f t="shared" si="10"/>
        <v>66.641801370004686</v>
      </c>
      <c r="L11" s="71">
        <f t="shared" si="0"/>
        <v>10.268999999999998</v>
      </c>
      <c r="M11" s="73">
        <f t="shared" si="1"/>
        <v>0.18216231498944124</v>
      </c>
    </row>
    <row r="12" spans="1:13" x14ac:dyDescent="0.2">
      <c r="B12" s="139">
        <f t="shared" si="11"/>
        <v>5</v>
      </c>
      <c r="C12" s="140">
        <f t="shared" si="2"/>
        <v>400</v>
      </c>
      <c r="D12" s="141">
        <f t="shared" si="3"/>
        <v>21.95</v>
      </c>
      <c r="E12" s="142">
        <f t="shared" si="4"/>
        <v>40.256</v>
      </c>
      <c r="F12" s="142">
        <f t="shared" si="5"/>
        <v>5.6410684933395832</v>
      </c>
      <c r="G12" s="143">
        <f t="shared" si="6"/>
        <v>67.847068493339592</v>
      </c>
      <c r="H12" s="71">
        <f t="shared" si="7"/>
        <v>29</v>
      </c>
      <c r="I12" s="142">
        <f t="shared" si="8"/>
        <v>44.548000000000002</v>
      </c>
      <c r="J12" s="142">
        <f t="shared" si="9"/>
        <v>5.6410684933395832</v>
      </c>
      <c r="K12" s="72">
        <f t="shared" si="10"/>
        <v>79.18906849333959</v>
      </c>
      <c r="L12" s="71">
        <f t="shared" si="0"/>
        <v>11.341999999999999</v>
      </c>
      <c r="M12" s="73">
        <f t="shared" si="1"/>
        <v>0.16717008194854313</v>
      </c>
    </row>
    <row r="13" spans="1:13" x14ac:dyDescent="0.2">
      <c r="B13" s="139">
        <f t="shared" si="11"/>
        <v>6</v>
      </c>
      <c r="C13" s="140">
        <f t="shared" si="2"/>
        <v>500</v>
      </c>
      <c r="D13" s="141">
        <f t="shared" si="3"/>
        <v>21.95</v>
      </c>
      <c r="E13" s="142">
        <f t="shared" si="4"/>
        <v>50.32</v>
      </c>
      <c r="F13" s="142">
        <f t="shared" si="5"/>
        <v>7.0513356166744785</v>
      </c>
      <c r="G13" s="143">
        <f t="shared" si="6"/>
        <v>79.321335616674475</v>
      </c>
      <c r="H13" s="71">
        <f t="shared" si="7"/>
        <v>29</v>
      </c>
      <c r="I13" s="142">
        <f t="shared" si="8"/>
        <v>55.684999999999995</v>
      </c>
      <c r="J13" s="142">
        <f t="shared" si="9"/>
        <v>7.0513356166744785</v>
      </c>
      <c r="K13" s="72">
        <f t="shared" si="10"/>
        <v>91.736335616674481</v>
      </c>
      <c r="L13" s="71">
        <f t="shared" si="0"/>
        <v>12.415000000000006</v>
      </c>
      <c r="M13" s="73">
        <f t="shared" si="1"/>
        <v>0.15651526671205215</v>
      </c>
    </row>
    <row r="14" spans="1:13" x14ac:dyDescent="0.2">
      <c r="B14" s="139">
        <f t="shared" si="11"/>
        <v>7</v>
      </c>
      <c r="C14" s="140">
        <f t="shared" si="2"/>
        <v>600</v>
      </c>
      <c r="D14" s="141">
        <f t="shared" si="3"/>
        <v>21.95</v>
      </c>
      <c r="E14" s="142">
        <f t="shared" si="4"/>
        <v>60.384000000000007</v>
      </c>
      <c r="F14" s="142">
        <f t="shared" si="5"/>
        <v>8.4616027400093738</v>
      </c>
      <c r="G14" s="143">
        <f t="shared" si="6"/>
        <v>90.795602740009372</v>
      </c>
      <c r="H14" s="71">
        <f t="shared" si="7"/>
        <v>29</v>
      </c>
      <c r="I14" s="142">
        <f t="shared" si="8"/>
        <v>66.822000000000003</v>
      </c>
      <c r="J14" s="142">
        <f t="shared" si="9"/>
        <v>8.4616027400093738</v>
      </c>
      <c r="K14" s="72">
        <f t="shared" si="10"/>
        <v>104.28360274000937</v>
      </c>
      <c r="L14" s="71">
        <f t="shared" si="0"/>
        <v>13.488</v>
      </c>
      <c r="M14" s="73">
        <f t="shared" si="1"/>
        <v>0.14855344964912567</v>
      </c>
    </row>
    <row r="15" spans="1:13" x14ac:dyDescent="0.2">
      <c r="B15" s="139">
        <f t="shared" si="11"/>
        <v>8</v>
      </c>
      <c r="C15" s="140">
        <f t="shared" si="2"/>
        <v>700</v>
      </c>
      <c r="D15" s="141">
        <f t="shared" si="3"/>
        <v>21.95</v>
      </c>
      <c r="E15" s="142">
        <f t="shared" si="4"/>
        <v>70.448000000000008</v>
      </c>
      <c r="F15" s="142">
        <f t="shared" si="5"/>
        <v>9.8718698633442692</v>
      </c>
      <c r="G15" s="143">
        <f t="shared" si="6"/>
        <v>102.26986986334428</v>
      </c>
      <c r="H15" s="71">
        <f t="shared" si="7"/>
        <v>29</v>
      </c>
      <c r="I15" s="142">
        <f t="shared" si="8"/>
        <v>77.959000000000003</v>
      </c>
      <c r="J15" s="142">
        <f t="shared" si="9"/>
        <v>9.8718698633442692</v>
      </c>
      <c r="K15" s="72">
        <f t="shared" si="10"/>
        <v>116.83086986334428</v>
      </c>
      <c r="L15" s="71">
        <f t="shared" si="0"/>
        <v>14.560999999999993</v>
      </c>
      <c r="M15" s="73">
        <f t="shared" si="1"/>
        <v>0.14237820014298236</v>
      </c>
    </row>
    <row r="16" spans="1:13" x14ac:dyDescent="0.2">
      <c r="B16" s="139">
        <f t="shared" si="11"/>
        <v>9</v>
      </c>
      <c r="C16" s="140">
        <f t="shared" si="2"/>
        <v>800</v>
      </c>
      <c r="D16" s="141">
        <f t="shared" si="3"/>
        <v>21.95</v>
      </c>
      <c r="E16" s="142">
        <f t="shared" si="4"/>
        <v>80.512</v>
      </c>
      <c r="F16" s="142">
        <f t="shared" si="5"/>
        <v>11.282136986679166</v>
      </c>
      <c r="G16" s="143">
        <f t="shared" si="6"/>
        <v>113.74413698667917</v>
      </c>
      <c r="H16" s="71">
        <f t="shared" si="7"/>
        <v>29</v>
      </c>
      <c r="I16" s="142">
        <f t="shared" si="8"/>
        <v>89.096000000000004</v>
      </c>
      <c r="J16" s="142">
        <f t="shared" si="9"/>
        <v>11.282136986679166</v>
      </c>
      <c r="K16" s="72">
        <f t="shared" si="10"/>
        <v>129.37813698667918</v>
      </c>
      <c r="L16" s="71">
        <f t="shared" si="0"/>
        <v>15.634000000000015</v>
      </c>
      <c r="M16" s="73">
        <f t="shared" si="1"/>
        <v>0.13744884276392152</v>
      </c>
    </row>
    <row r="17" spans="2:13" x14ac:dyDescent="0.2">
      <c r="B17" s="139">
        <f t="shared" si="11"/>
        <v>10</v>
      </c>
      <c r="C17" s="140">
        <f t="shared" si="2"/>
        <v>900</v>
      </c>
      <c r="D17" s="141">
        <f t="shared" si="3"/>
        <v>21.95</v>
      </c>
      <c r="E17" s="142">
        <f t="shared" si="4"/>
        <v>90.576000000000008</v>
      </c>
      <c r="F17" s="142">
        <f t="shared" si="5"/>
        <v>12.692404110014062</v>
      </c>
      <c r="G17" s="143">
        <f t="shared" si="6"/>
        <v>125.21840411001408</v>
      </c>
      <c r="H17" s="71">
        <f t="shared" si="7"/>
        <v>29</v>
      </c>
      <c r="I17" s="142">
        <f t="shared" si="8"/>
        <v>100.233</v>
      </c>
      <c r="J17" s="142">
        <f t="shared" si="9"/>
        <v>12.692404110014062</v>
      </c>
      <c r="K17" s="72">
        <f t="shared" si="10"/>
        <v>141.92540411001406</v>
      </c>
      <c r="L17" s="71">
        <f t="shared" si="0"/>
        <v>16.706999999999979</v>
      </c>
      <c r="M17" s="73">
        <f t="shared" si="1"/>
        <v>0.13342287915857468</v>
      </c>
    </row>
    <row r="18" spans="2:13" x14ac:dyDescent="0.2">
      <c r="B18" s="139">
        <f t="shared" si="11"/>
        <v>11</v>
      </c>
      <c r="C18" s="140">
        <f t="shared" si="2"/>
        <v>1000</v>
      </c>
      <c r="D18" s="141">
        <f t="shared" si="3"/>
        <v>21.95</v>
      </c>
      <c r="E18" s="142">
        <f t="shared" si="4"/>
        <v>100.64</v>
      </c>
      <c r="F18" s="142">
        <f t="shared" si="5"/>
        <v>14.102671233348957</v>
      </c>
      <c r="G18" s="143">
        <f t="shared" si="6"/>
        <v>136.69267123334896</v>
      </c>
      <c r="H18" s="71">
        <f t="shared" si="7"/>
        <v>29</v>
      </c>
      <c r="I18" s="142">
        <f t="shared" si="8"/>
        <v>111.36999999999999</v>
      </c>
      <c r="J18" s="142">
        <f t="shared" si="9"/>
        <v>14.102671233348957</v>
      </c>
      <c r="K18" s="72">
        <f t="shared" si="10"/>
        <v>154.47267123334896</v>
      </c>
      <c r="L18" s="71">
        <f t="shared" si="0"/>
        <v>17.78</v>
      </c>
      <c r="M18" s="73">
        <f t="shared" si="1"/>
        <v>0.13007281107008031</v>
      </c>
    </row>
    <row r="19" spans="2:13" x14ac:dyDescent="0.2">
      <c r="B19" s="139">
        <f t="shared" si="11"/>
        <v>12</v>
      </c>
      <c r="C19" s="140">
        <f t="shared" si="2"/>
        <v>1100</v>
      </c>
      <c r="D19" s="141">
        <f t="shared" si="3"/>
        <v>21.95</v>
      </c>
      <c r="E19" s="142">
        <f t="shared" si="4"/>
        <v>110.70400000000001</v>
      </c>
      <c r="F19" s="142">
        <f t="shared" si="5"/>
        <v>15.512938356683852</v>
      </c>
      <c r="G19" s="143">
        <f t="shared" si="6"/>
        <v>148.16693835668386</v>
      </c>
      <c r="H19" s="71">
        <f t="shared" si="7"/>
        <v>29</v>
      </c>
      <c r="I19" s="142">
        <f t="shared" si="8"/>
        <v>122.50699999999999</v>
      </c>
      <c r="J19" s="142">
        <f t="shared" si="9"/>
        <v>15.512938356683852</v>
      </c>
      <c r="K19" s="72">
        <f t="shared" si="10"/>
        <v>167.01993835668387</v>
      </c>
      <c r="L19" s="71">
        <f t="shared" si="0"/>
        <v>18.853000000000009</v>
      </c>
      <c r="M19" s="73">
        <f t="shared" si="1"/>
        <v>0.12724161144920859</v>
      </c>
    </row>
    <row r="20" spans="2:13" x14ac:dyDescent="0.2">
      <c r="B20" s="139">
        <f t="shared" si="11"/>
        <v>13</v>
      </c>
      <c r="C20" s="140">
        <f t="shared" si="2"/>
        <v>1200</v>
      </c>
      <c r="D20" s="141">
        <f t="shared" si="3"/>
        <v>21.95</v>
      </c>
      <c r="E20" s="142">
        <f t="shared" si="4"/>
        <v>120.76800000000001</v>
      </c>
      <c r="F20" s="142">
        <f t="shared" si="5"/>
        <v>16.923205480018748</v>
      </c>
      <c r="G20" s="143">
        <f t="shared" si="6"/>
        <v>159.64120548001875</v>
      </c>
      <c r="H20" s="71">
        <f t="shared" si="7"/>
        <v>29</v>
      </c>
      <c r="I20" s="142">
        <f t="shared" si="8"/>
        <v>133.64400000000001</v>
      </c>
      <c r="J20" s="142">
        <f t="shared" si="9"/>
        <v>16.923205480018748</v>
      </c>
      <c r="K20" s="72">
        <f t="shared" si="10"/>
        <v>179.56720548001874</v>
      </c>
      <c r="L20" s="71">
        <f t="shared" si="0"/>
        <v>19.925999999999988</v>
      </c>
      <c r="M20" s="73">
        <f t="shared" si="1"/>
        <v>0.12481739874166757</v>
      </c>
    </row>
    <row r="21" spans="2:13" x14ac:dyDescent="0.2">
      <c r="B21" s="139">
        <f t="shared" si="11"/>
        <v>14</v>
      </c>
      <c r="C21" s="140">
        <f t="shared" si="2"/>
        <v>1300</v>
      </c>
      <c r="D21" s="141">
        <f t="shared" si="3"/>
        <v>21.95</v>
      </c>
      <c r="E21" s="142">
        <f t="shared" si="4"/>
        <v>130.83200000000002</v>
      </c>
      <c r="F21" s="142">
        <f t="shared" si="5"/>
        <v>18.333472603353645</v>
      </c>
      <c r="G21" s="143">
        <f t="shared" si="6"/>
        <v>171.11547260335365</v>
      </c>
      <c r="H21" s="71">
        <f t="shared" si="7"/>
        <v>29</v>
      </c>
      <c r="I21" s="142">
        <f t="shared" si="8"/>
        <v>144.78100000000001</v>
      </c>
      <c r="J21" s="142">
        <f t="shared" si="9"/>
        <v>18.333472603353645</v>
      </c>
      <c r="K21" s="72">
        <f t="shared" si="10"/>
        <v>192.11447260335365</v>
      </c>
      <c r="L21" s="71">
        <f t="shared" si="0"/>
        <v>20.998999999999995</v>
      </c>
      <c r="M21" s="73">
        <f t="shared" si="1"/>
        <v>0.12271830057516635</v>
      </c>
    </row>
    <row r="22" spans="2:13" x14ac:dyDescent="0.2">
      <c r="B22" s="139">
        <f t="shared" si="11"/>
        <v>15</v>
      </c>
      <c r="C22" s="140">
        <f t="shared" si="2"/>
        <v>1400</v>
      </c>
      <c r="D22" s="141">
        <f t="shared" si="3"/>
        <v>21.95</v>
      </c>
      <c r="E22" s="142">
        <f t="shared" si="4"/>
        <v>140.89600000000002</v>
      </c>
      <c r="F22" s="142">
        <f t="shared" si="5"/>
        <v>19.743739726688538</v>
      </c>
      <c r="G22" s="143">
        <f t="shared" si="6"/>
        <v>182.58973972668855</v>
      </c>
      <c r="H22" s="71">
        <f t="shared" si="7"/>
        <v>29</v>
      </c>
      <c r="I22" s="142">
        <f t="shared" si="8"/>
        <v>155.91800000000001</v>
      </c>
      <c r="J22" s="142">
        <f t="shared" si="9"/>
        <v>19.743739726688538</v>
      </c>
      <c r="K22" s="72">
        <f t="shared" si="10"/>
        <v>204.66173972668855</v>
      </c>
      <c r="L22" s="71">
        <f t="shared" si="0"/>
        <v>22.072000000000003</v>
      </c>
      <c r="M22" s="73">
        <f t="shared" si="1"/>
        <v>0.12088302460498995</v>
      </c>
    </row>
    <row r="23" spans="2:13" x14ac:dyDescent="0.2">
      <c r="B23" s="139">
        <f t="shared" si="11"/>
        <v>16</v>
      </c>
      <c r="C23" s="140">
        <f t="shared" si="2"/>
        <v>1500</v>
      </c>
      <c r="D23" s="141">
        <f t="shared" si="3"/>
        <v>21.95</v>
      </c>
      <c r="E23" s="142">
        <f t="shared" si="4"/>
        <v>150.96</v>
      </c>
      <c r="F23" s="142">
        <f t="shared" si="5"/>
        <v>21.154006850023436</v>
      </c>
      <c r="G23" s="143">
        <f t="shared" si="6"/>
        <v>194.06400685002342</v>
      </c>
      <c r="H23" s="71">
        <f t="shared" si="7"/>
        <v>29</v>
      </c>
      <c r="I23" s="142">
        <f t="shared" si="8"/>
        <v>167.05500000000001</v>
      </c>
      <c r="J23" s="142">
        <f t="shared" si="9"/>
        <v>21.154006850023436</v>
      </c>
      <c r="K23" s="72">
        <f t="shared" si="10"/>
        <v>217.20900685002346</v>
      </c>
      <c r="L23" s="71">
        <f t="shared" si="0"/>
        <v>23.145000000000039</v>
      </c>
      <c r="M23" s="73">
        <f t="shared" si="1"/>
        <v>0.11926477441995188</v>
      </c>
    </row>
    <row r="24" spans="2:13" x14ac:dyDescent="0.2">
      <c r="B24" s="139">
        <f t="shared" si="11"/>
        <v>17</v>
      </c>
      <c r="C24" s="140">
        <f t="shared" si="2"/>
        <v>1600</v>
      </c>
      <c r="D24" s="141">
        <f t="shared" si="3"/>
        <v>21.95</v>
      </c>
      <c r="E24" s="142">
        <f t="shared" si="4"/>
        <v>161.024</v>
      </c>
      <c r="F24" s="142">
        <f t="shared" si="5"/>
        <v>22.564273973358333</v>
      </c>
      <c r="G24" s="143">
        <f t="shared" si="6"/>
        <v>205.53827397335832</v>
      </c>
      <c r="H24" s="71">
        <f t="shared" si="7"/>
        <v>29</v>
      </c>
      <c r="I24" s="142">
        <f t="shared" si="8"/>
        <v>178.19200000000001</v>
      </c>
      <c r="J24" s="142">
        <f t="shared" si="9"/>
        <v>22.564273973358333</v>
      </c>
      <c r="K24" s="72">
        <f t="shared" si="10"/>
        <v>229.75627397335833</v>
      </c>
      <c r="L24" s="71">
        <f t="shared" si="0"/>
        <v>24.218000000000018</v>
      </c>
      <c r="M24" s="73">
        <f t="shared" si="1"/>
        <v>0.1178272033321596</v>
      </c>
    </row>
    <row r="25" spans="2:13" x14ac:dyDescent="0.2">
      <c r="B25" s="139">
        <f t="shared" si="11"/>
        <v>18</v>
      </c>
      <c r="C25" s="140">
        <f t="shared" si="2"/>
        <v>1700</v>
      </c>
      <c r="D25" s="141">
        <f t="shared" si="3"/>
        <v>21.95</v>
      </c>
      <c r="E25" s="142">
        <f t="shared" si="4"/>
        <v>171.08800000000002</v>
      </c>
      <c r="F25" s="142">
        <f t="shared" si="5"/>
        <v>23.974541096693226</v>
      </c>
      <c r="G25" s="143">
        <f t="shared" si="6"/>
        <v>217.01254109669324</v>
      </c>
      <c r="H25" s="71">
        <f t="shared" si="7"/>
        <v>29</v>
      </c>
      <c r="I25" s="142">
        <f t="shared" si="8"/>
        <v>189.32900000000001</v>
      </c>
      <c r="J25" s="142">
        <f t="shared" si="9"/>
        <v>23.974541096693226</v>
      </c>
      <c r="K25" s="72">
        <f t="shared" si="10"/>
        <v>242.30354109669324</v>
      </c>
      <c r="L25" s="71">
        <f t="shared" si="0"/>
        <v>25.290999999999997</v>
      </c>
      <c r="M25" s="73">
        <f t="shared" si="1"/>
        <v>0.1165416517966637</v>
      </c>
    </row>
    <row r="26" spans="2:13" x14ac:dyDescent="0.2">
      <c r="B26" s="139">
        <f t="shared" si="11"/>
        <v>19</v>
      </c>
      <c r="C26" s="140">
        <f t="shared" si="2"/>
        <v>1800</v>
      </c>
      <c r="D26" s="141">
        <f t="shared" si="3"/>
        <v>21.95</v>
      </c>
      <c r="E26" s="142">
        <f t="shared" si="4"/>
        <v>181.15200000000002</v>
      </c>
      <c r="F26" s="142">
        <f t="shared" si="5"/>
        <v>25.384808220028123</v>
      </c>
      <c r="G26" s="143">
        <f t="shared" si="6"/>
        <v>228.48680822002814</v>
      </c>
      <c r="H26" s="71">
        <f t="shared" si="7"/>
        <v>29</v>
      </c>
      <c r="I26" s="142">
        <f t="shared" si="8"/>
        <v>200.46600000000001</v>
      </c>
      <c r="J26" s="142">
        <f t="shared" si="9"/>
        <v>25.384808220028123</v>
      </c>
      <c r="K26" s="72">
        <f t="shared" si="10"/>
        <v>254.85080822002814</v>
      </c>
      <c r="L26" s="71">
        <f t="shared" si="0"/>
        <v>26.364000000000004</v>
      </c>
      <c r="M26" s="73">
        <f t="shared" si="1"/>
        <v>0.11538521722712328</v>
      </c>
    </row>
    <row r="27" spans="2:13" x14ac:dyDescent="0.2">
      <c r="B27" s="139">
        <f t="shared" si="11"/>
        <v>20</v>
      </c>
      <c r="C27" s="140">
        <f t="shared" si="2"/>
        <v>1900</v>
      </c>
      <c r="D27" s="141">
        <f t="shared" si="3"/>
        <v>21.95</v>
      </c>
      <c r="E27" s="142">
        <f t="shared" si="4"/>
        <v>191.21600000000001</v>
      </c>
      <c r="F27" s="142">
        <f t="shared" si="5"/>
        <v>26.795075343363017</v>
      </c>
      <c r="G27" s="143">
        <f t="shared" si="6"/>
        <v>239.96107534336301</v>
      </c>
      <c r="H27" s="71">
        <f t="shared" si="7"/>
        <v>29</v>
      </c>
      <c r="I27" s="142">
        <f t="shared" si="8"/>
        <v>211.60299999999998</v>
      </c>
      <c r="J27" s="142">
        <f t="shared" si="9"/>
        <v>26.795075343363017</v>
      </c>
      <c r="K27" s="72">
        <f t="shared" si="10"/>
        <v>267.39807534336302</v>
      </c>
      <c r="L27" s="71">
        <f t="shared" si="0"/>
        <v>27.437000000000012</v>
      </c>
      <c r="M27" s="73">
        <f t="shared" si="1"/>
        <v>0.1143393775875529</v>
      </c>
    </row>
    <row r="28" spans="2:13" x14ac:dyDescent="0.2">
      <c r="B28" s="139">
        <f t="shared" si="11"/>
        <v>21</v>
      </c>
      <c r="C28" s="140">
        <f t="shared" si="2"/>
        <v>2000</v>
      </c>
      <c r="D28" s="141">
        <f t="shared" si="3"/>
        <v>21.95</v>
      </c>
      <c r="E28" s="142">
        <f t="shared" si="4"/>
        <v>201.28</v>
      </c>
      <c r="F28" s="142">
        <f t="shared" si="5"/>
        <v>28.205342466697914</v>
      </c>
      <c r="G28" s="143">
        <f t="shared" si="6"/>
        <v>251.4353424666979</v>
      </c>
      <c r="H28" s="71">
        <f t="shared" si="7"/>
        <v>29</v>
      </c>
      <c r="I28" s="142">
        <f t="shared" si="8"/>
        <v>222.73999999999998</v>
      </c>
      <c r="J28" s="142">
        <f t="shared" si="9"/>
        <v>28.205342466697914</v>
      </c>
      <c r="K28" s="72">
        <f t="shared" si="10"/>
        <v>279.94534246669787</v>
      </c>
      <c r="L28" s="71">
        <f t="shared" si="0"/>
        <v>28.509999999999962</v>
      </c>
      <c r="M28" s="73">
        <f t="shared" si="1"/>
        <v>0.1133889918589152</v>
      </c>
    </row>
    <row r="29" spans="2:13" x14ac:dyDescent="0.2">
      <c r="B29" s="139">
        <f t="shared" si="11"/>
        <v>22</v>
      </c>
      <c r="C29" s="140">
        <f t="shared" si="2"/>
        <v>2100</v>
      </c>
      <c r="D29" s="141">
        <f t="shared" si="3"/>
        <v>21.95</v>
      </c>
      <c r="E29" s="142">
        <f t="shared" si="4"/>
        <v>211.34400000000002</v>
      </c>
      <c r="F29" s="142">
        <f t="shared" si="5"/>
        <v>29.615609590032811</v>
      </c>
      <c r="G29" s="143">
        <f t="shared" si="6"/>
        <v>262.9096095900328</v>
      </c>
      <c r="H29" s="71">
        <f t="shared" si="7"/>
        <v>29</v>
      </c>
      <c r="I29" s="142">
        <f t="shared" si="8"/>
        <v>233.87699999999998</v>
      </c>
      <c r="J29" s="142">
        <f t="shared" si="9"/>
        <v>29.615609590032811</v>
      </c>
      <c r="K29" s="72">
        <f t="shared" si="10"/>
        <v>292.49260959003277</v>
      </c>
      <c r="L29" s="71">
        <f t="shared" si="0"/>
        <v>29.58299999999997</v>
      </c>
      <c r="M29" s="73">
        <f t="shared" si="1"/>
        <v>0.11252156224388343</v>
      </c>
    </row>
    <row r="30" spans="2:13" x14ac:dyDescent="0.2">
      <c r="B30" s="139">
        <f t="shared" si="11"/>
        <v>23</v>
      </c>
      <c r="C30" s="140">
        <f t="shared" si="2"/>
        <v>2200</v>
      </c>
      <c r="D30" s="141">
        <f t="shared" si="3"/>
        <v>21.95</v>
      </c>
      <c r="E30" s="142">
        <f t="shared" si="4"/>
        <v>221.40800000000002</v>
      </c>
      <c r="F30" s="142">
        <f t="shared" si="5"/>
        <v>31.025876713367705</v>
      </c>
      <c r="G30" s="143">
        <f t="shared" si="6"/>
        <v>274.38387671336773</v>
      </c>
      <c r="H30" s="71">
        <f t="shared" si="7"/>
        <v>29</v>
      </c>
      <c r="I30" s="142">
        <f t="shared" si="8"/>
        <v>245.01399999999998</v>
      </c>
      <c r="J30" s="142">
        <f t="shared" si="9"/>
        <v>31.025876713367705</v>
      </c>
      <c r="K30" s="72">
        <f t="shared" si="10"/>
        <v>305.03987671336773</v>
      </c>
      <c r="L30" s="71">
        <f t="shared" si="0"/>
        <v>30.656000000000006</v>
      </c>
      <c r="M30" s="73">
        <f t="shared" si="1"/>
        <v>0.11172668149165513</v>
      </c>
    </row>
    <row r="31" spans="2:13" x14ac:dyDescent="0.2">
      <c r="B31" s="139">
        <f t="shared" si="11"/>
        <v>24</v>
      </c>
      <c r="C31" s="140">
        <f t="shared" si="2"/>
        <v>2300</v>
      </c>
      <c r="D31" s="141">
        <f t="shared" si="3"/>
        <v>21.95</v>
      </c>
      <c r="E31" s="142">
        <f t="shared" si="4"/>
        <v>231.47200000000001</v>
      </c>
      <c r="F31" s="142">
        <f t="shared" si="5"/>
        <v>32.436143836702598</v>
      </c>
      <c r="G31" s="143">
        <f t="shared" si="6"/>
        <v>285.8581438367026</v>
      </c>
      <c r="H31" s="71">
        <f t="shared" si="7"/>
        <v>29</v>
      </c>
      <c r="I31" s="142">
        <f t="shared" si="8"/>
        <v>256.15100000000001</v>
      </c>
      <c r="J31" s="142">
        <f t="shared" si="9"/>
        <v>32.436143836702598</v>
      </c>
      <c r="K31" s="72">
        <f t="shared" si="10"/>
        <v>317.58714383670258</v>
      </c>
      <c r="L31" s="71">
        <f t="shared" si="0"/>
        <v>31.728999999999985</v>
      </c>
      <c r="M31" s="73">
        <f t="shared" si="1"/>
        <v>0.11099561332814531</v>
      </c>
    </row>
    <row r="32" spans="2:13" x14ac:dyDescent="0.2">
      <c r="B32" s="139">
        <f t="shared" si="11"/>
        <v>25</v>
      </c>
      <c r="C32" s="140">
        <f t="shared" si="2"/>
        <v>2400</v>
      </c>
      <c r="D32" s="141">
        <f t="shared" si="3"/>
        <v>21.95</v>
      </c>
      <c r="E32" s="142">
        <f t="shared" si="4"/>
        <v>241.53600000000003</v>
      </c>
      <c r="F32" s="142">
        <f t="shared" si="5"/>
        <v>33.846410960037495</v>
      </c>
      <c r="G32" s="143">
        <f t="shared" si="6"/>
        <v>297.33241096003752</v>
      </c>
      <c r="H32" s="71">
        <f t="shared" si="7"/>
        <v>29</v>
      </c>
      <c r="I32" s="142">
        <f t="shared" si="8"/>
        <v>267.28800000000001</v>
      </c>
      <c r="J32" s="142">
        <f t="shared" si="9"/>
        <v>33.846410960037495</v>
      </c>
      <c r="K32" s="72">
        <f t="shared" si="10"/>
        <v>330.13441096003748</v>
      </c>
      <c r="L32" s="71">
        <f t="shared" si="0"/>
        <v>32.801999999999964</v>
      </c>
      <c r="M32" s="73">
        <f t="shared" si="1"/>
        <v>0.11032097003514582</v>
      </c>
    </row>
    <row r="33" spans="1:13" x14ac:dyDescent="0.2">
      <c r="B33" s="139">
        <f t="shared" si="11"/>
        <v>26</v>
      </c>
      <c r="C33" s="140">
        <f t="shared" si="2"/>
        <v>2500</v>
      </c>
      <c r="D33" s="141">
        <f t="shared" si="3"/>
        <v>21.95</v>
      </c>
      <c r="E33" s="142">
        <f t="shared" si="4"/>
        <v>251.60000000000002</v>
      </c>
      <c r="F33" s="142">
        <f t="shared" si="5"/>
        <v>35.256678083372393</v>
      </c>
      <c r="G33" s="143">
        <f t="shared" si="6"/>
        <v>308.80667808337239</v>
      </c>
      <c r="H33" s="71">
        <f t="shared" si="7"/>
        <v>29</v>
      </c>
      <c r="I33" s="142">
        <f t="shared" si="8"/>
        <v>278.42500000000001</v>
      </c>
      <c r="J33" s="142">
        <f t="shared" si="9"/>
        <v>35.256678083372393</v>
      </c>
      <c r="K33" s="72">
        <f t="shared" si="10"/>
        <v>342.68167808337239</v>
      </c>
      <c r="L33" s="71">
        <f t="shared" si="0"/>
        <v>33.875</v>
      </c>
      <c r="M33" s="73">
        <f t="shared" si="1"/>
        <v>0.10969646191023869</v>
      </c>
    </row>
    <row r="34" spans="1:13" x14ac:dyDescent="0.2">
      <c r="B34" s="139">
        <f t="shared" si="11"/>
        <v>27</v>
      </c>
      <c r="C34" s="140">
        <f t="shared" si="2"/>
        <v>2600</v>
      </c>
      <c r="D34" s="141">
        <f t="shared" si="3"/>
        <v>21.95</v>
      </c>
      <c r="E34" s="142">
        <f t="shared" si="4"/>
        <v>261.66400000000004</v>
      </c>
      <c r="F34" s="142">
        <f t="shared" si="5"/>
        <v>36.66694520670729</v>
      </c>
      <c r="G34" s="143">
        <f t="shared" si="6"/>
        <v>320.28094520670732</v>
      </c>
      <c r="H34" s="71">
        <f t="shared" si="7"/>
        <v>29</v>
      </c>
      <c r="I34" s="142">
        <f t="shared" si="8"/>
        <v>289.56200000000001</v>
      </c>
      <c r="J34" s="142">
        <f t="shared" si="9"/>
        <v>36.66694520670729</v>
      </c>
      <c r="K34" s="72">
        <f t="shared" si="10"/>
        <v>355.22894520670729</v>
      </c>
      <c r="L34" s="71">
        <f t="shared" si="0"/>
        <v>34.947999999999979</v>
      </c>
      <c r="M34" s="73">
        <f t="shared" si="1"/>
        <v>0.10911670058124988</v>
      </c>
    </row>
    <row r="35" spans="1:13" x14ac:dyDescent="0.2">
      <c r="B35" s="139">
        <f t="shared" si="11"/>
        <v>28</v>
      </c>
      <c r="C35" s="140">
        <f t="shared" si="2"/>
        <v>2700</v>
      </c>
      <c r="D35" s="141">
        <f t="shared" si="3"/>
        <v>21.95</v>
      </c>
      <c r="E35" s="142">
        <f t="shared" si="4"/>
        <v>271.72800000000001</v>
      </c>
      <c r="F35" s="142">
        <f t="shared" si="5"/>
        <v>38.077212330042187</v>
      </c>
      <c r="G35" s="143">
        <f t="shared" si="6"/>
        <v>331.75521233004218</v>
      </c>
      <c r="H35" s="71">
        <f t="shared" si="7"/>
        <v>29</v>
      </c>
      <c r="I35" s="142">
        <f t="shared" si="8"/>
        <v>300.69900000000001</v>
      </c>
      <c r="J35" s="142">
        <f t="shared" si="9"/>
        <v>38.077212330042187</v>
      </c>
      <c r="K35" s="72">
        <f t="shared" si="10"/>
        <v>367.7762123300422</v>
      </c>
      <c r="L35" s="71">
        <f t="shared" si="0"/>
        <v>36.021000000000015</v>
      </c>
      <c r="M35" s="73">
        <f t="shared" si="1"/>
        <v>0.1085770431367481</v>
      </c>
    </row>
    <row r="36" spans="1:13" x14ac:dyDescent="0.2">
      <c r="B36" s="139">
        <f t="shared" si="11"/>
        <v>29</v>
      </c>
      <c r="C36" s="140">
        <f t="shared" si="2"/>
        <v>2800</v>
      </c>
      <c r="D36" s="141">
        <f t="shared" si="3"/>
        <v>21.95</v>
      </c>
      <c r="E36" s="142">
        <f t="shared" si="4"/>
        <v>281.79200000000003</v>
      </c>
      <c r="F36" s="142">
        <f t="shared" si="5"/>
        <v>39.487479453377077</v>
      </c>
      <c r="G36" s="143">
        <f t="shared" si="6"/>
        <v>343.22947945337711</v>
      </c>
      <c r="H36" s="71">
        <f t="shared" si="7"/>
        <v>29</v>
      </c>
      <c r="I36" s="142">
        <f t="shared" si="8"/>
        <v>311.83600000000001</v>
      </c>
      <c r="J36" s="142">
        <f t="shared" si="9"/>
        <v>39.487479453377077</v>
      </c>
      <c r="K36" s="72">
        <f t="shared" si="10"/>
        <v>380.3234794533771</v>
      </c>
      <c r="L36" s="71">
        <f t="shared" si="0"/>
        <v>37.093999999999994</v>
      </c>
      <c r="M36" s="73">
        <f t="shared" si="1"/>
        <v>0.10807346752113317</v>
      </c>
    </row>
    <row r="37" spans="1:13" x14ac:dyDescent="0.2">
      <c r="B37" s="139">
        <f t="shared" si="11"/>
        <v>30</v>
      </c>
      <c r="C37" s="140">
        <f t="shared" si="2"/>
        <v>2900</v>
      </c>
      <c r="D37" s="141">
        <f t="shared" si="3"/>
        <v>21.95</v>
      </c>
      <c r="E37" s="142">
        <f t="shared" si="4"/>
        <v>291.85599999999999</v>
      </c>
      <c r="F37" s="142">
        <f t="shared" si="5"/>
        <v>40.897746576711974</v>
      </c>
      <c r="G37" s="143">
        <f t="shared" si="6"/>
        <v>354.70374657671198</v>
      </c>
      <c r="H37" s="71">
        <f t="shared" si="7"/>
        <v>29</v>
      </c>
      <c r="I37" s="142">
        <f t="shared" si="8"/>
        <v>322.97300000000001</v>
      </c>
      <c r="J37" s="142">
        <f t="shared" si="9"/>
        <v>40.897746576711974</v>
      </c>
      <c r="K37" s="72">
        <f t="shared" si="10"/>
        <v>392.87074657671201</v>
      </c>
      <c r="L37" s="71">
        <f t="shared" si="0"/>
        <v>38.16700000000003</v>
      </c>
      <c r="M37" s="73">
        <f t="shared" si="1"/>
        <v>0.10760247211469934</v>
      </c>
    </row>
    <row r="38" spans="1:13" ht="13.5" thickBot="1" x14ac:dyDescent="0.25">
      <c r="B38" s="139">
        <f t="shared" si="11"/>
        <v>31</v>
      </c>
      <c r="C38" s="74">
        <f t="shared" si="2"/>
        <v>3000</v>
      </c>
      <c r="D38" s="144">
        <f t="shared" si="3"/>
        <v>21.95</v>
      </c>
      <c r="E38" s="145">
        <f t="shared" si="4"/>
        <v>301.92</v>
      </c>
      <c r="F38" s="142">
        <f t="shared" si="5"/>
        <v>42.308013700046871</v>
      </c>
      <c r="G38" s="143">
        <f t="shared" si="6"/>
        <v>366.1780137000469</v>
      </c>
      <c r="H38" s="75">
        <f t="shared" si="7"/>
        <v>29</v>
      </c>
      <c r="I38" s="145">
        <f t="shared" si="8"/>
        <v>334.11</v>
      </c>
      <c r="J38" s="142">
        <f t="shared" si="9"/>
        <v>42.308013700046871</v>
      </c>
      <c r="K38" s="72">
        <f t="shared" si="10"/>
        <v>405.41801370004691</v>
      </c>
      <c r="L38" s="75">
        <f t="shared" si="0"/>
        <v>39.240000000000009</v>
      </c>
      <c r="M38" s="76">
        <f t="shared" si="1"/>
        <v>0.10716099419377834</v>
      </c>
    </row>
    <row r="39" spans="1:13" s="152" customFormat="1" ht="21.75" customHeight="1" thickTop="1" thickBot="1" x14ac:dyDescent="0.25">
      <c r="A39" s="146"/>
      <c r="B39" s="147" t="s">
        <v>104</v>
      </c>
      <c r="C39" s="148">
        <f>'Billing Detail'!E17</f>
        <v>1026.8827943618237</v>
      </c>
      <c r="D39" s="149">
        <f t="shared" si="3"/>
        <v>21.95</v>
      </c>
      <c r="E39" s="150">
        <f t="shared" si="4"/>
        <v>103.34548442457394</v>
      </c>
      <c r="F39" s="150">
        <f>$F$7*C39</f>
        <v>14.481790444067483</v>
      </c>
      <c r="G39" s="151">
        <f>SUM(D39:F39)</f>
        <v>139.77727486864143</v>
      </c>
      <c r="H39" s="77">
        <f t="shared" si="7"/>
        <v>29</v>
      </c>
      <c r="I39" s="150">
        <f t="shared" si="8"/>
        <v>114.3639368080763</v>
      </c>
      <c r="J39" s="150">
        <f>C39*J7</f>
        <v>14.481790444067483</v>
      </c>
      <c r="K39" s="78">
        <f>SUM(H39:J39)</f>
        <v>157.84572725214377</v>
      </c>
      <c r="L39" s="77">
        <f t="shared" si="0"/>
        <v>18.068452383502347</v>
      </c>
      <c r="M39" s="79">
        <f t="shared" si="1"/>
        <v>0.12926602268131601</v>
      </c>
    </row>
    <row r="40" spans="1:13" ht="13.5" thickTop="1" x14ac:dyDescent="0.2"/>
    <row r="41" spans="1:13" x14ac:dyDescent="0.2">
      <c r="B41" s="153"/>
    </row>
  </sheetData>
  <mergeCells count="3">
    <mergeCell ref="D5:G5"/>
    <mergeCell ref="H5:K5"/>
    <mergeCell ref="L5:M5"/>
  </mergeCells>
  <printOptions horizontalCentered="1"/>
  <pageMargins left="0.7" right="0.7" top="0.75" bottom="0.75" header="0.3" footer="0.3"/>
  <pageSetup scale="91" orientation="landscape" r:id="rId1"/>
  <headerFooter>
    <oddFooter>&amp;R&amp;"Arial,Bold"&amp;10Exhibit JW-9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tabColor theme="5" tint="0.79998168889431442"/>
    <pageSetUpPr fitToPage="1"/>
  </sheetPr>
  <dimension ref="A1:K56"/>
  <sheetViews>
    <sheetView view="pageBreakPreview" zoomScaleNormal="85" zoomScaleSheetLayoutView="100" workbookViewId="0">
      <selection activeCell="F7" sqref="F7:G7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1" customWidth="1"/>
    <col min="4" max="4" width="29.140625" style="11" customWidth="1"/>
    <col min="5" max="5" width="32.85546875" style="2" bestFit="1" customWidth="1"/>
    <col min="6" max="6" width="14.7109375" style="2" customWidth="1"/>
    <col min="7" max="7" width="12.5703125" style="2" customWidth="1"/>
    <col min="8" max="8" width="14.140625" style="2" customWidth="1"/>
    <col min="9" max="9" width="12.28515625" style="2" customWidth="1"/>
    <col min="10" max="16384" width="8.85546875" style="2"/>
  </cols>
  <sheetData>
    <row r="1" spans="1:10" x14ac:dyDescent="0.2">
      <c r="A1" s="1" t="str">
        <f>Summary!A1</f>
        <v>BIG SANDY R.E.C.C.</v>
      </c>
    </row>
    <row r="2" spans="1:10" x14ac:dyDescent="0.2">
      <c r="A2" s="1" t="s">
        <v>76</v>
      </c>
    </row>
    <row r="4" spans="1:10" x14ac:dyDescent="0.2">
      <c r="C4" s="45" t="s">
        <v>32</v>
      </c>
      <c r="D4" s="21"/>
      <c r="E4" s="21" t="s">
        <v>1</v>
      </c>
      <c r="F4" s="24" t="s">
        <v>26</v>
      </c>
      <c r="G4" s="24" t="s">
        <v>27</v>
      </c>
    </row>
    <row r="5" spans="1:10" x14ac:dyDescent="0.2">
      <c r="C5" s="11" t="str">
        <f>'Billing Detail'!C7</f>
        <v>A1</v>
      </c>
      <c r="D5" s="39" t="str">
        <f>'Billing Detail'!B7</f>
        <v xml:space="preserve">Farm &amp; Home </v>
      </c>
    </row>
    <row r="6" spans="1:10" x14ac:dyDescent="0.2">
      <c r="D6" s="39"/>
      <c r="E6" s="2" t="str">
        <f>'Billing Detail'!D8</f>
        <v>Customer Charge</v>
      </c>
      <c r="F6" s="22">
        <f>'Billing Detail'!H8</f>
        <v>21.95</v>
      </c>
      <c r="G6" s="22">
        <f>'Billing Detail'!J8</f>
        <v>29</v>
      </c>
      <c r="H6" s="46"/>
      <c r="I6" s="22">
        <f>G6-F6</f>
        <v>7.0500000000000007</v>
      </c>
      <c r="J6" s="4">
        <f>I6/F6</f>
        <v>0.32118451025056954</v>
      </c>
    </row>
    <row r="7" spans="1:10" x14ac:dyDescent="0.2">
      <c r="D7" s="39"/>
      <c r="E7" s="2" t="str">
        <f>'Billing Detail'!D9</f>
        <v>Energy Charge per kWh</v>
      </c>
      <c r="F7" s="23">
        <f>'Billing Detail'!H9</f>
        <v>0.10064000000000001</v>
      </c>
      <c r="G7" s="23">
        <f>'Billing Detail'!J9</f>
        <v>0.11137</v>
      </c>
      <c r="H7" s="47"/>
      <c r="I7" s="23">
        <f t="shared" ref="I7:I33" si="0">G7-F7</f>
        <v>1.072999999999999E-2</v>
      </c>
      <c r="J7" s="4">
        <f t="shared" ref="J7:J33" si="1">I7/F7</f>
        <v>0.10661764705882341</v>
      </c>
    </row>
    <row r="8" spans="1:10" x14ac:dyDescent="0.2">
      <c r="C8" s="11" t="str">
        <f>'Billing Detail'!C19</f>
        <v>A2</v>
      </c>
      <c r="D8" s="39" t="str">
        <f>'Billing Detail'!B19</f>
        <v xml:space="preserve">Commercial &amp; Small Power </v>
      </c>
      <c r="F8" s="23"/>
      <c r="G8" s="23"/>
      <c r="H8" s="46"/>
      <c r="I8" s="23"/>
      <c r="J8" s="4"/>
    </row>
    <row r="9" spans="1:10" x14ac:dyDescent="0.2">
      <c r="D9" s="39"/>
      <c r="E9" s="2" t="str">
        <f>'Billing Detail'!D20</f>
        <v>Customer Charge</v>
      </c>
      <c r="F9" s="22">
        <f>'Billing Detail'!H20</f>
        <v>30.98</v>
      </c>
      <c r="G9" s="22">
        <f>'Billing Detail'!J20</f>
        <v>30.98</v>
      </c>
      <c r="H9" s="46"/>
      <c r="I9" s="22">
        <f t="shared" si="0"/>
        <v>0</v>
      </c>
      <c r="J9" s="4">
        <f t="shared" si="1"/>
        <v>0</v>
      </c>
    </row>
    <row r="10" spans="1:10" x14ac:dyDescent="0.2">
      <c r="D10" s="39"/>
      <c r="E10" s="2" t="str">
        <f>'Billing Detail'!D21</f>
        <v>Demand Charge per kW</v>
      </c>
      <c r="F10" s="22">
        <f>'Billing Detail'!H21</f>
        <v>5.68</v>
      </c>
      <c r="G10" s="22">
        <f>'Billing Detail'!J21</f>
        <v>5.68</v>
      </c>
      <c r="H10" s="46"/>
      <c r="I10" s="22">
        <f t="shared" si="0"/>
        <v>0</v>
      </c>
      <c r="J10" s="4">
        <f t="shared" si="1"/>
        <v>0</v>
      </c>
    </row>
    <row r="11" spans="1:10" x14ac:dyDescent="0.2">
      <c r="D11" s="39"/>
      <c r="E11" s="2" t="str">
        <f>'Billing Detail'!D22</f>
        <v>Energy Charge per kWh</v>
      </c>
      <c r="F11" s="23">
        <f>'Billing Detail'!H22</f>
        <v>8.1600000000000006E-2</v>
      </c>
      <c r="G11" s="23">
        <f>'Billing Detail'!J22</f>
        <v>8.1600000000000006E-2</v>
      </c>
      <c r="H11" s="46"/>
      <c r="I11" s="23">
        <f t="shared" si="0"/>
        <v>0</v>
      </c>
      <c r="J11" s="4">
        <f t="shared" si="1"/>
        <v>0</v>
      </c>
    </row>
    <row r="12" spans="1:10" x14ac:dyDescent="0.2">
      <c r="C12" s="11" t="str">
        <f>'Billing Detail'!C32</f>
        <v>LP</v>
      </c>
      <c r="D12" s="39" t="str">
        <f>'Billing Detail'!B32</f>
        <v>Large Power Service (25-750 kV)</v>
      </c>
      <c r="F12" s="22"/>
      <c r="G12" s="22"/>
      <c r="H12" s="46"/>
      <c r="I12" s="22">
        <f t="shared" si="0"/>
        <v>0</v>
      </c>
      <c r="J12" s="4"/>
    </row>
    <row r="13" spans="1:10" x14ac:dyDescent="0.2">
      <c r="D13" s="39"/>
      <c r="E13" s="2" t="str">
        <f>'Billing Detail'!D33</f>
        <v>Customer Charge</v>
      </c>
      <c r="F13" s="22">
        <f>'Billing Detail'!H33</f>
        <v>96.34</v>
      </c>
      <c r="G13" s="22">
        <f>'Billing Detail'!J33</f>
        <v>96.34</v>
      </c>
      <c r="H13" s="46"/>
      <c r="I13" s="22">
        <f t="shared" si="0"/>
        <v>0</v>
      </c>
      <c r="J13" s="4">
        <f t="shared" si="1"/>
        <v>0</v>
      </c>
    </row>
    <row r="14" spans="1:10" x14ac:dyDescent="0.2">
      <c r="D14" s="39"/>
      <c r="E14" s="2" t="str">
        <f>'Billing Detail'!D34</f>
        <v>Demand Charge per kW</v>
      </c>
      <c r="F14" s="22">
        <f>'Billing Detail'!H34</f>
        <v>6.48</v>
      </c>
      <c r="G14" s="22">
        <f>'Billing Detail'!J34</f>
        <v>6.48</v>
      </c>
      <c r="H14" s="46"/>
      <c r="I14" s="22">
        <f t="shared" si="0"/>
        <v>0</v>
      </c>
      <c r="J14" s="4">
        <f t="shared" si="1"/>
        <v>0</v>
      </c>
    </row>
    <row r="15" spans="1:10" x14ac:dyDescent="0.2">
      <c r="D15" s="39"/>
      <c r="E15" s="2" t="str">
        <f>'Billing Detail'!D35</f>
        <v>Energy Charge Secondary per kWh</v>
      </c>
      <c r="F15" s="23">
        <f>'Billing Detail'!H35</f>
        <v>7.0800000000000002E-2</v>
      </c>
      <c r="G15" s="23">
        <f>'Billing Detail'!J35</f>
        <v>8.0369999999999997E-2</v>
      </c>
      <c r="H15" s="46"/>
      <c r="I15" s="23">
        <f t="shared" si="0"/>
        <v>9.5699999999999952E-3</v>
      </c>
      <c r="J15" s="4">
        <f t="shared" si="1"/>
        <v>0.13516949152542365</v>
      </c>
    </row>
    <row r="16" spans="1:10" x14ac:dyDescent="0.2">
      <c r="D16" s="39"/>
      <c r="E16" s="2" t="str">
        <f>'Billing Detail'!D36</f>
        <v>Energy Charge Primary per kWh</v>
      </c>
      <c r="F16" s="23">
        <f>'Billing Detail'!H36</f>
        <v>6.4479999999999996E-2</v>
      </c>
      <c r="G16" s="23">
        <f>'Billing Detail'!J36</f>
        <v>7.3200000000000001E-2</v>
      </c>
      <c r="H16" s="46"/>
      <c r="I16" s="23">
        <f t="shared" si="0"/>
        <v>8.7200000000000055E-3</v>
      </c>
      <c r="J16" s="4">
        <f t="shared" si="1"/>
        <v>0.13523573200992564</v>
      </c>
    </row>
    <row r="17" spans="3:10" x14ac:dyDescent="0.2">
      <c r="C17" s="11" t="str">
        <f>'Billing Detail'!C46</f>
        <v>LPR</v>
      </c>
      <c r="D17" s="39" t="str">
        <f>'Billing Detail'!B46</f>
        <v>Large Power Service (750 kVA +)</v>
      </c>
      <c r="F17" s="23"/>
      <c r="G17" s="23"/>
      <c r="H17" s="46"/>
      <c r="I17" s="23"/>
      <c r="J17" s="4"/>
    </row>
    <row r="18" spans="3:10" x14ac:dyDescent="0.2">
      <c r="D18" s="39"/>
      <c r="E18" s="2" t="str">
        <f>'Billing Detail'!D47</f>
        <v>Customer Charge</v>
      </c>
      <c r="F18" s="22">
        <f>'Billing Detail'!H47</f>
        <v>118.25</v>
      </c>
      <c r="G18" s="22">
        <f>'Billing Detail'!J47</f>
        <v>118.25</v>
      </c>
      <c r="H18" s="46"/>
      <c r="I18" s="22">
        <f t="shared" si="0"/>
        <v>0</v>
      </c>
      <c r="J18" s="4">
        <f t="shared" si="1"/>
        <v>0</v>
      </c>
    </row>
    <row r="19" spans="3:10" x14ac:dyDescent="0.2">
      <c r="D19" s="39"/>
      <c r="E19" s="2" t="str">
        <f>'Billing Detail'!D48</f>
        <v>Demand Charge per kW</v>
      </c>
      <c r="F19" s="22">
        <f>'Billing Detail'!H48</f>
        <v>6.68</v>
      </c>
      <c r="G19" s="22">
        <f>'Billing Detail'!J48</f>
        <v>6.68</v>
      </c>
      <c r="H19" s="46"/>
      <c r="I19" s="22">
        <f t="shared" si="0"/>
        <v>0</v>
      </c>
      <c r="J19" s="4">
        <f t="shared" si="1"/>
        <v>0</v>
      </c>
    </row>
    <row r="20" spans="3:10" x14ac:dyDescent="0.2">
      <c r="D20" s="39"/>
      <c r="E20" s="2" t="str">
        <f>'Billing Detail'!D49</f>
        <v>Energy Charge Secondary per kWh</v>
      </c>
      <c r="F20" s="23">
        <f>'Billing Detail'!H49</f>
        <v>7.0309999999999997E-2</v>
      </c>
      <c r="G20" s="23">
        <f>'Billing Detail'!J49</f>
        <v>7.1410000000000001E-2</v>
      </c>
      <c r="H20" s="46"/>
      <c r="I20" s="23">
        <f t="shared" si="0"/>
        <v>1.1000000000000038E-3</v>
      </c>
      <c r="J20" s="4">
        <f t="shared" si="1"/>
        <v>1.5645000711136451E-2</v>
      </c>
    </row>
    <row r="21" spans="3:10" x14ac:dyDescent="0.2">
      <c r="D21" s="39"/>
      <c r="E21" s="2" t="str">
        <f>'Billing Detail'!D50</f>
        <v>Energy Charge Primary per kWh</v>
      </c>
      <c r="F21" s="23">
        <f>'Billing Detail'!H50</f>
        <v>6.4049999999999996E-2</v>
      </c>
      <c r="G21" s="23">
        <f>'Billing Detail'!J50</f>
        <v>6.5060000000000007E-2</v>
      </c>
      <c r="H21" s="46"/>
      <c r="I21" s="23">
        <f t="shared" si="0"/>
        <v>1.0100000000000109E-3</v>
      </c>
      <c r="J21" s="4">
        <f t="shared" si="1"/>
        <v>1.5768930523029055E-2</v>
      </c>
    </row>
    <row r="22" spans="3:10" x14ac:dyDescent="0.2">
      <c r="C22" s="11" t="str">
        <f>'Billing Detail'!C60</f>
        <v>IND-1B</v>
      </c>
      <c r="D22" s="39" t="str">
        <f>'Billing Detail'!B60</f>
        <v>Industrial</v>
      </c>
      <c r="F22" s="10"/>
      <c r="G22" s="23"/>
      <c r="H22" s="46"/>
      <c r="I22" s="10"/>
      <c r="J22" s="4"/>
    </row>
    <row r="23" spans="3:10" x14ac:dyDescent="0.2">
      <c r="D23" s="39"/>
      <c r="E23" s="2" t="str">
        <f>'Billing Detail'!D61</f>
        <v>Customer Charge</v>
      </c>
      <c r="F23" s="22">
        <f>'Billing Detail'!H61</f>
        <v>179.01</v>
      </c>
      <c r="G23" s="22">
        <f>'Billing Detail'!J61</f>
        <v>179.01</v>
      </c>
      <c r="H23" s="46"/>
      <c r="I23" s="22">
        <f t="shared" si="0"/>
        <v>0</v>
      </c>
      <c r="J23" s="4">
        <f t="shared" si="1"/>
        <v>0</v>
      </c>
    </row>
    <row r="24" spans="3:10" x14ac:dyDescent="0.2">
      <c r="D24" s="39"/>
      <c r="E24" s="2" t="str">
        <f>'Billing Detail'!D62</f>
        <v>Demand Charge-Contract per kW</v>
      </c>
      <c r="F24" s="22">
        <f>'Billing Detail'!H62</f>
        <v>6.65</v>
      </c>
      <c r="G24" s="22">
        <f>'Billing Detail'!J62</f>
        <v>7.49</v>
      </c>
      <c r="H24" s="46"/>
      <c r="I24" s="22">
        <f t="shared" si="0"/>
        <v>0.83999999999999986</v>
      </c>
      <c r="J24" s="4">
        <f t="shared" si="1"/>
        <v>0.12631578947368419</v>
      </c>
    </row>
    <row r="25" spans="3:10" x14ac:dyDescent="0.2">
      <c r="D25" s="39"/>
      <c r="E25" s="2" t="str">
        <f>'Billing Detail'!D63</f>
        <v>Demand Charge-Excess per kW</v>
      </c>
      <c r="F25" s="22">
        <f>'Billing Detail'!H63</f>
        <v>9.65</v>
      </c>
      <c r="G25" s="22">
        <f>'Billing Detail'!J63</f>
        <v>9.98</v>
      </c>
      <c r="H25" s="46"/>
      <c r="I25" s="22">
        <f t="shared" si="0"/>
        <v>0.33000000000000007</v>
      </c>
      <c r="J25" s="4">
        <f t="shared" si="1"/>
        <v>3.4196891191709849E-2</v>
      </c>
    </row>
    <row r="26" spans="3:10" x14ac:dyDescent="0.2">
      <c r="D26" s="39"/>
      <c r="E26" s="2" t="str">
        <f>'Billing Detail'!D64</f>
        <v>Energy Charge Secondary per kWh</v>
      </c>
      <c r="F26" s="23">
        <f>'Billing Detail'!H64</f>
        <v>6.5350000000000005E-2</v>
      </c>
      <c r="G26" s="23">
        <f>'Billing Detail'!J64</f>
        <v>7.0059999999999997E-2</v>
      </c>
      <c r="H26" s="46"/>
      <c r="I26" s="23">
        <f t="shared" si="0"/>
        <v>4.709999999999992E-3</v>
      </c>
      <c r="J26" s="4">
        <f t="shared" si="1"/>
        <v>7.2073450650344165E-2</v>
      </c>
    </row>
    <row r="27" spans="3:10" x14ac:dyDescent="0.2">
      <c r="D27" s="39"/>
      <c r="E27" s="2" t="str">
        <f>'Billing Detail'!D65</f>
        <v>Energy Charge Primary per kWh</v>
      </c>
      <c r="F27" s="23">
        <f>'Billing Detail'!H65</f>
        <v>6.4619999999999997E-2</v>
      </c>
      <c r="G27" s="23">
        <f>'Billing Detail'!J65</f>
        <v>6.9269999999999998E-2</v>
      </c>
      <c r="H27" s="46"/>
      <c r="I27" s="23">
        <f t="shared" si="0"/>
        <v>4.6500000000000014E-3</v>
      </c>
      <c r="J27" s="4">
        <f t="shared" si="1"/>
        <v>7.1959145775301783E-2</v>
      </c>
    </row>
    <row r="28" spans="3:10" x14ac:dyDescent="0.2">
      <c r="C28" s="11" t="str">
        <f>'Billing Detail'!C75</f>
        <v>YL1</v>
      </c>
      <c r="D28" s="39" t="str">
        <f>'Billing Detail'!B75</f>
        <v>Lighting</v>
      </c>
      <c r="F28" s="22"/>
      <c r="G28" s="22"/>
      <c r="H28" s="46"/>
      <c r="I28" s="22"/>
      <c r="J28" s="4"/>
    </row>
    <row r="29" spans="3:10" x14ac:dyDescent="0.2">
      <c r="D29" s="39"/>
      <c r="E29" s="2" t="s">
        <v>70</v>
      </c>
      <c r="F29" s="22">
        <f>'Billing Detail'!H77</f>
        <v>10.33</v>
      </c>
      <c r="G29" s="22">
        <f>'Billing Detail'!J77</f>
        <v>11.28</v>
      </c>
      <c r="H29" s="46"/>
      <c r="I29" s="22">
        <f t="shared" si="0"/>
        <v>0.94999999999999929</v>
      </c>
      <c r="J29" s="4">
        <f t="shared" si="1"/>
        <v>9.1965150048402639E-2</v>
      </c>
    </row>
    <row r="30" spans="3:10" x14ac:dyDescent="0.2">
      <c r="D30" s="2"/>
      <c r="E30" s="2" t="s">
        <v>71</v>
      </c>
      <c r="F30" s="22">
        <f>'Billing Detail'!H78</f>
        <v>15.91</v>
      </c>
      <c r="G30" s="22">
        <f>'Billing Detail'!J78</f>
        <v>17.38</v>
      </c>
      <c r="H30" s="46"/>
      <c r="I30" s="22">
        <f t="shared" si="0"/>
        <v>1.4699999999999989</v>
      </c>
      <c r="J30" s="4">
        <f t="shared" si="1"/>
        <v>9.2394720301696973E-2</v>
      </c>
    </row>
    <row r="31" spans="3:10" x14ac:dyDescent="0.2">
      <c r="D31" s="2"/>
      <c r="E31" s="2" t="s">
        <v>72</v>
      </c>
      <c r="F31" s="22">
        <f>'Billing Detail'!H91</f>
        <v>18.96</v>
      </c>
      <c r="G31" s="22">
        <f>'Billing Detail'!J91</f>
        <v>20.71</v>
      </c>
      <c r="H31" s="46"/>
      <c r="I31" s="22">
        <f t="shared" si="0"/>
        <v>1.75</v>
      </c>
      <c r="J31" s="4">
        <f t="shared" si="1"/>
        <v>9.2299578059071727E-2</v>
      </c>
    </row>
    <row r="32" spans="3:10" x14ac:dyDescent="0.2">
      <c r="D32" s="2"/>
      <c r="E32" s="2" t="s">
        <v>73</v>
      </c>
      <c r="F32" s="22">
        <f>'Billing Detail'!H92</f>
        <v>45.22</v>
      </c>
      <c r="G32" s="22">
        <f>'Billing Detail'!J92</f>
        <v>49.39</v>
      </c>
      <c r="H32" s="46"/>
      <c r="I32" s="22">
        <f t="shared" si="0"/>
        <v>4.1700000000000017</v>
      </c>
      <c r="J32" s="4">
        <f t="shared" si="1"/>
        <v>9.2215833701901853E-2</v>
      </c>
    </row>
    <row r="33" spans="3:11" x14ac:dyDescent="0.2">
      <c r="D33" s="2"/>
      <c r="E33" s="2" t="s">
        <v>74</v>
      </c>
      <c r="F33" s="22">
        <f>'Billing Detail'!H89</f>
        <v>21.08</v>
      </c>
      <c r="G33" s="22">
        <f>'Billing Detail'!J89</f>
        <v>23.02</v>
      </c>
      <c r="H33" s="46"/>
      <c r="I33" s="22">
        <f t="shared" si="0"/>
        <v>1.9400000000000013</v>
      </c>
      <c r="J33" s="4">
        <f t="shared" si="1"/>
        <v>9.2030360531309363E-2</v>
      </c>
    </row>
    <row r="34" spans="3:11" x14ac:dyDescent="0.2">
      <c r="F34" s="22"/>
      <c r="G34" s="22"/>
    </row>
    <row r="35" spans="3:11" x14ac:dyDescent="0.2">
      <c r="F35" s="22"/>
      <c r="G35" s="22"/>
    </row>
    <row r="36" spans="3:11" ht="41.45" customHeight="1" x14ac:dyDescent="0.2">
      <c r="C36" s="162" t="s">
        <v>30</v>
      </c>
      <c r="D36" s="162"/>
      <c r="E36" s="162"/>
      <c r="F36" s="162"/>
      <c r="G36" s="162"/>
    </row>
    <row r="37" spans="3:11" x14ac:dyDescent="0.2">
      <c r="D37" s="2"/>
      <c r="F37" s="163" t="s">
        <v>31</v>
      </c>
      <c r="G37" s="163"/>
    </row>
    <row r="38" spans="3:11" x14ac:dyDescent="0.2">
      <c r="C38" s="80" t="s">
        <v>32</v>
      </c>
      <c r="D38" s="27"/>
      <c r="E38" s="28"/>
      <c r="F38" s="29" t="s">
        <v>33</v>
      </c>
      <c r="G38" s="29" t="s">
        <v>34</v>
      </c>
    </row>
    <row r="39" spans="3:11" x14ac:dyDescent="0.2">
      <c r="C39" s="37" t="str">
        <f>Summary!C6</f>
        <v>A1</v>
      </c>
      <c r="D39" s="3" t="str">
        <f>Summary!B6</f>
        <v xml:space="preserve">Farm &amp; Home </v>
      </c>
      <c r="F39" s="30">
        <f>Summary!G6</f>
        <v>2513737.3009499982</v>
      </c>
      <c r="G39" s="31">
        <f>Summary!H6</f>
        <v>0.12926602268131607</v>
      </c>
      <c r="K39" s="9"/>
    </row>
    <row r="40" spans="3:11" x14ac:dyDescent="0.2">
      <c r="C40" s="37" t="str">
        <f>Summary!C7</f>
        <v>A2</v>
      </c>
      <c r="D40" s="3" t="str">
        <f>Summary!B7</f>
        <v xml:space="preserve">Commercial &amp; Small Power </v>
      </c>
      <c r="F40" s="30">
        <f>Summary!G7</f>
        <v>0</v>
      </c>
      <c r="G40" s="31">
        <f>Summary!H7</f>
        <v>0</v>
      </c>
      <c r="K40" s="9"/>
    </row>
    <row r="41" spans="3:11" x14ac:dyDescent="0.2">
      <c r="C41" s="37" t="str">
        <f>Summary!C8</f>
        <v>LP</v>
      </c>
      <c r="D41" s="3" t="str">
        <f>Summary!B8</f>
        <v>Large Power Service (25-750 kV)</v>
      </c>
      <c r="F41" s="30">
        <f>Summary!G8</f>
        <v>204678.61757500051</v>
      </c>
      <c r="G41" s="31">
        <f>Summary!H8</f>
        <v>8.2578633635377721E-2</v>
      </c>
      <c r="K41" s="9"/>
    </row>
    <row r="42" spans="3:11" x14ac:dyDescent="0.2">
      <c r="C42" s="37" t="str">
        <f>Summary!C9</f>
        <v>LPR</v>
      </c>
      <c r="D42" s="3" t="str">
        <f>Summary!B9</f>
        <v>Large Power Service (750 kVA +)</v>
      </c>
      <c r="F42" s="30">
        <f>Summary!G9</f>
        <v>10611.039800000144</v>
      </c>
      <c r="G42" s="31">
        <f>Summary!H9</f>
        <v>1.0040282696950757E-2</v>
      </c>
      <c r="K42" s="9"/>
    </row>
    <row r="43" spans="3:11" x14ac:dyDescent="0.2">
      <c r="C43" s="37" t="str">
        <f>Summary!C10</f>
        <v>IND-1B</v>
      </c>
      <c r="D43" s="3" t="str">
        <f>Summary!B10</f>
        <v>Industrial</v>
      </c>
      <c r="F43" s="30">
        <f>Summary!G10</f>
        <v>42038.90842105262</v>
      </c>
      <c r="G43" s="31">
        <f>Summary!H10</f>
        <v>7.2362614865599445E-2</v>
      </c>
      <c r="K43" s="9"/>
    </row>
    <row r="44" spans="3:11" x14ac:dyDescent="0.2">
      <c r="C44" s="37" t="str">
        <f>Summary!C11</f>
        <v>YL1</v>
      </c>
      <c r="D44" s="3" t="str">
        <f>Summary!B11</f>
        <v>Lighting</v>
      </c>
      <c r="F44" s="30">
        <f>Summary!G11</f>
        <v>90305.640000000014</v>
      </c>
      <c r="G44" s="31">
        <f>Summary!H11</f>
        <v>9.206930862775628E-2</v>
      </c>
      <c r="K44" s="9"/>
    </row>
    <row r="45" spans="3:11" x14ac:dyDescent="0.2">
      <c r="C45" s="40" t="s">
        <v>35</v>
      </c>
      <c r="D45" s="15"/>
      <c r="E45" s="15"/>
      <c r="F45" s="44">
        <f>Summary!G12</f>
        <v>2861371.5067460514</v>
      </c>
      <c r="G45" s="32">
        <f>Summary!H12</f>
        <v>0.11036157267873405</v>
      </c>
      <c r="K45" s="9"/>
    </row>
    <row r="46" spans="3:11" x14ac:dyDescent="0.2">
      <c r="C46" s="37"/>
      <c r="D46" s="2"/>
      <c r="F46" s="33"/>
      <c r="G46" s="34"/>
    </row>
    <row r="47" spans="3:11" x14ac:dyDescent="0.2">
      <c r="D47" s="2"/>
    </row>
    <row r="48" spans="3:11" ht="40.15" customHeight="1" x14ac:dyDescent="0.2">
      <c r="C48" s="162" t="s">
        <v>36</v>
      </c>
      <c r="D48" s="162"/>
      <c r="E48" s="162"/>
      <c r="F48" s="162"/>
      <c r="G48" s="162"/>
    </row>
    <row r="49" spans="3:7" x14ac:dyDescent="0.2">
      <c r="D49" s="2"/>
      <c r="E49" s="35" t="s">
        <v>14</v>
      </c>
      <c r="F49" s="163" t="s">
        <v>31</v>
      </c>
      <c r="G49" s="163"/>
    </row>
    <row r="50" spans="3:7" x14ac:dyDescent="0.2">
      <c r="C50" s="80" t="s">
        <v>32</v>
      </c>
      <c r="D50" s="28"/>
      <c r="E50" s="36" t="s">
        <v>37</v>
      </c>
      <c r="F50" s="29" t="s">
        <v>33</v>
      </c>
      <c r="G50" s="29" t="s">
        <v>34</v>
      </c>
    </row>
    <row r="51" spans="3:7" x14ac:dyDescent="0.2">
      <c r="C51" s="11" t="str">
        <f>Summary!C6</f>
        <v>A1</v>
      </c>
      <c r="D51" s="43" t="str">
        <f>Summary!B6</f>
        <v xml:space="preserve">Farm &amp; Home </v>
      </c>
      <c r="E51" s="38">
        <f>'Billing Detail'!E17</f>
        <v>1026.8827943618237</v>
      </c>
      <c r="F51" s="22">
        <f>'Billing Detail'!M17</f>
        <v>18.068452383502375</v>
      </c>
      <c r="G51" s="4">
        <f>Summary!H6</f>
        <v>0.12926602268131607</v>
      </c>
    </row>
    <row r="52" spans="3:7" x14ac:dyDescent="0.2">
      <c r="C52" s="11" t="str">
        <f>Summary!C7</f>
        <v>A2</v>
      </c>
      <c r="D52" s="43" t="str">
        <f>Summary!B7</f>
        <v xml:space="preserve">Commercial &amp; Small Power </v>
      </c>
      <c r="E52" s="38">
        <f>'Billing Detail'!E30</f>
        <v>815.19945431102019</v>
      </c>
      <c r="F52" s="22">
        <f>'Billing Detail'!M30</f>
        <v>0</v>
      </c>
      <c r="G52" s="4">
        <f>Summary!H7</f>
        <v>0</v>
      </c>
    </row>
    <row r="53" spans="3:7" x14ac:dyDescent="0.2">
      <c r="C53" s="11" t="str">
        <f>Summary!C8</f>
        <v>LP</v>
      </c>
      <c r="D53" s="43" t="str">
        <f>Summary!B8</f>
        <v>Large Power Service (25-750 kV)</v>
      </c>
      <c r="E53" s="38">
        <f>'Billing Detail'!E44</f>
        <v>8301.503848153925</v>
      </c>
      <c r="F53" s="22">
        <f>'Billing Detail'!M44</f>
        <v>106.43713862454524</v>
      </c>
      <c r="G53" s="4">
        <f>Summary!H8</f>
        <v>8.2578633635377721E-2</v>
      </c>
    </row>
    <row r="54" spans="3:7" x14ac:dyDescent="0.2">
      <c r="C54" s="11" t="str">
        <f>Summary!C9</f>
        <v>LPR</v>
      </c>
      <c r="D54" s="43" t="str">
        <f>Summary!B9</f>
        <v>Large Power Service (750 kVA +)</v>
      </c>
      <c r="E54" s="38">
        <f>'Billing Detail'!E58</f>
        <v>102999.80392156863</v>
      </c>
      <c r="F54" s="22">
        <f>'Billing Detail'!M58</f>
        <v>104.02980196078715</v>
      </c>
      <c r="G54" s="4">
        <f>Summary!H9</f>
        <v>1.0040282696950757E-2</v>
      </c>
    </row>
    <row r="55" spans="3:7" x14ac:dyDescent="0.2">
      <c r="C55" s="11" t="str">
        <f>Summary!C10</f>
        <v>IND-1B</v>
      </c>
      <c r="D55" s="43" t="str">
        <f>Summary!B10</f>
        <v>Industrial</v>
      </c>
      <c r="E55" s="38">
        <f>'Billing Detail'!E73</f>
        <v>564900</v>
      </c>
      <c r="F55" s="22">
        <f>'Billing Detail'!M73</f>
        <v>3503.2423684210517</v>
      </c>
      <c r="G55" s="4">
        <f>Summary!H10</f>
        <v>7.2362614865599445E-2</v>
      </c>
    </row>
    <row r="56" spans="3:7" x14ac:dyDescent="0.2">
      <c r="C56" s="11" t="str">
        <f>Summary!C11</f>
        <v>YL1</v>
      </c>
      <c r="D56" s="43" t="str">
        <f>Summary!B11</f>
        <v>Lighting</v>
      </c>
      <c r="E56" s="42" t="s">
        <v>38</v>
      </c>
      <c r="F56" s="41" t="s">
        <v>38</v>
      </c>
      <c r="G56" s="4">
        <f>Summary!H11</f>
        <v>9.206930862775628E-2</v>
      </c>
    </row>
  </sheetData>
  <mergeCells count="4">
    <mergeCell ref="C36:G36"/>
    <mergeCell ref="F37:G37"/>
    <mergeCell ref="C48:G48"/>
    <mergeCell ref="F49:G49"/>
  </mergeCell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15D4-7E1A-48FA-A3EF-B209CED024AF}">
  <sheetPr>
    <tabColor theme="5" tint="0.79998168889431442"/>
    <pageSetUpPr fitToPage="1"/>
  </sheetPr>
  <dimension ref="A1:H13"/>
  <sheetViews>
    <sheetView view="pageBreakPreview" zoomScaleNormal="100" zoomScaleSheetLayoutView="100" workbookViewId="0">
      <selection activeCell="G38" sqref="G38"/>
    </sheetView>
  </sheetViews>
  <sheetFormatPr defaultColWidth="8.85546875" defaultRowHeight="12.75" x14ac:dyDescent="0.2"/>
  <cols>
    <col min="1" max="1" width="9" style="2" bestFit="1" customWidth="1"/>
    <col min="2" max="2" width="28.85546875" style="2" bestFit="1" customWidth="1"/>
    <col min="3" max="3" width="8.85546875" style="2"/>
    <col min="4" max="6" width="15.140625" style="2" bestFit="1" customWidth="1"/>
    <col min="7" max="7" width="12.140625" style="2" bestFit="1" customWidth="1"/>
    <col min="8" max="8" width="10.28515625" style="2" customWidth="1"/>
    <col min="9" max="16384" width="8.85546875" style="2"/>
  </cols>
  <sheetData>
    <row r="1" spans="1:8" x14ac:dyDescent="0.2">
      <c r="A1" s="1" t="str">
        <f>Summary!A1</f>
        <v>BIG SANDY R.E.C.C.</v>
      </c>
    </row>
    <row r="2" spans="1:8" x14ac:dyDescent="0.2">
      <c r="A2" s="1" t="s">
        <v>82</v>
      </c>
    </row>
    <row r="4" spans="1:8" x14ac:dyDescent="0.2">
      <c r="A4" s="1"/>
      <c r="B4" s="1"/>
      <c r="C4" s="1"/>
      <c r="D4" s="54" t="s">
        <v>83</v>
      </c>
      <c r="E4" s="54" t="s">
        <v>81</v>
      </c>
      <c r="F4" s="54" t="s">
        <v>81</v>
      </c>
      <c r="G4" s="54" t="s">
        <v>86</v>
      </c>
      <c r="H4" s="54" t="s">
        <v>86</v>
      </c>
    </row>
    <row r="5" spans="1:8" x14ac:dyDescent="0.2">
      <c r="A5" s="50" t="s">
        <v>0</v>
      </c>
      <c r="B5" s="21" t="s">
        <v>88</v>
      </c>
      <c r="C5" s="50" t="s">
        <v>7</v>
      </c>
      <c r="D5" s="24" t="s">
        <v>89</v>
      </c>
      <c r="E5" s="24" t="s">
        <v>84</v>
      </c>
      <c r="F5" s="24" t="s">
        <v>85</v>
      </c>
      <c r="G5" s="24" t="s">
        <v>87</v>
      </c>
      <c r="H5" s="24" t="s">
        <v>12</v>
      </c>
    </row>
    <row r="6" spans="1:8" x14ac:dyDescent="0.2">
      <c r="A6" s="11">
        <v>1</v>
      </c>
      <c r="B6" s="2" t="s">
        <v>39</v>
      </c>
      <c r="C6" s="11" t="s">
        <v>40</v>
      </c>
      <c r="D6" s="48">
        <f>'Billing Detail'!E9</f>
        <v>142863015</v>
      </c>
      <c r="E6" s="49">
        <f>'Billing Detail'!P16</f>
        <v>19440092.170000002</v>
      </c>
      <c r="F6" s="49">
        <f>'Billing Detail'!I16</f>
        <v>19446233.811550003</v>
      </c>
      <c r="G6" s="49">
        <f>F6-E6</f>
        <v>6141.641550000757</v>
      </c>
      <c r="H6" s="4">
        <f>G6/E6</f>
        <v>3.1592656538319058E-4</v>
      </c>
    </row>
    <row r="7" spans="1:8" x14ac:dyDescent="0.2">
      <c r="A7" s="11">
        <v>2</v>
      </c>
      <c r="B7" s="2" t="s">
        <v>41</v>
      </c>
      <c r="C7" s="11" t="s">
        <v>42</v>
      </c>
      <c r="D7" s="48">
        <f>'Billing Detail'!E22</f>
        <v>8504773</v>
      </c>
      <c r="E7" s="49">
        <f>'Billing Detail'!P29</f>
        <v>1385991.1199999999</v>
      </c>
      <c r="F7" s="49">
        <f>'Billing Detail'!I29</f>
        <v>1383781.71129</v>
      </c>
      <c r="G7" s="49">
        <f t="shared" ref="G7:G11" si="0">F7-E7</f>
        <v>-2209.4087099998724</v>
      </c>
      <c r="H7" s="4">
        <f t="shared" ref="H7:H12" si="1">G7/E7</f>
        <v>-1.5941001916374995E-3</v>
      </c>
    </row>
    <row r="8" spans="1:8" x14ac:dyDescent="0.2">
      <c r="A8" s="11">
        <v>3</v>
      </c>
      <c r="B8" s="2" t="s">
        <v>43</v>
      </c>
      <c r="C8" s="11" t="s">
        <v>44</v>
      </c>
      <c r="D8" s="48">
        <f>'Billing Detail'!E35+'Billing Detail'!E36</f>
        <v>22805417</v>
      </c>
      <c r="E8" s="49">
        <f>'Billing Detail'!P43</f>
        <v>2519950.35</v>
      </c>
      <c r="F8" s="49">
        <f>'Billing Detail'!I43</f>
        <v>2478590.5090019996</v>
      </c>
      <c r="G8" s="49">
        <f t="shared" si="0"/>
        <v>-41359.840998000465</v>
      </c>
      <c r="H8" s="4">
        <f t="shared" si="1"/>
        <v>-1.6412958691031536E-2</v>
      </c>
    </row>
    <row r="9" spans="1:8" x14ac:dyDescent="0.2">
      <c r="A9" s="11">
        <v>4</v>
      </c>
      <c r="B9" s="2" t="s">
        <v>75</v>
      </c>
      <c r="C9" s="11" t="s">
        <v>47</v>
      </c>
      <c r="D9" s="48">
        <f>'Billing Detail'!E50+'Billing Detail'!E49</f>
        <v>10505980</v>
      </c>
      <c r="E9" s="49">
        <f>'Billing Detail'!P57</f>
        <v>1060512.9200000002</v>
      </c>
      <c r="F9" s="49">
        <f>'Billing Detail'!I57</f>
        <v>1056846.7164</v>
      </c>
      <c r="G9" s="49">
        <f t="shared" si="0"/>
        <v>-3666.2036000001244</v>
      </c>
      <c r="H9" s="4">
        <f t="shared" si="1"/>
        <v>-3.4570098401065438E-3</v>
      </c>
    </row>
    <row r="10" spans="1:8" x14ac:dyDescent="0.2">
      <c r="A10" s="11">
        <v>5</v>
      </c>
      <c r="B10" s="2" t="s">
        <v>66</v>
      </c>
      <c r="C10" s="11" t="s">
        <v>67</v>
      </c>
      <c r="D10" s="48">
        <f>'Billing Detail'!E64+'Billing Detail'!E65</f>
        <v>6778800</v>
      </c>
      <c r="E10" s="49">
        <f>'Billing Detail'!P72</f>
        <v>580947.91999999993</v>
      </c>
      <c r="F10" s="49">
        <f>'Billing Detail'!I72</f>
        <v>580947.8899999999</v>
      </c>
      <c r="G10" s="49">
        <f t="shared" si="0"/>
        <v>-3.0000000027939677E-2</v>
      </c>
      <c r="H10" s="4">
        <f t="shared" si="1"/>
        <v>-5.1639740835873342E-8</v>
      </c>
    </row>
    <row r="11" spans="1:8" x14ac:dyDescent="0.2">
      <c r="A11" s="11">
        <v>6</v>
      </c>
      <c r="B11" s="2" t="s">
        <v>23</v>
      </c>
      <c r="C11" s="11" t="s">
        <v>64</v>
      </c>
      <c r="D11" s="48">
        <v>0</v>
      </c>
      <c r="E11" s="49">
        <f>'Billing Detail'!P99</f>
        <v>896440.3600000001</v>
      </c>
      <c r="F11" s="49">
        <f>'Billing Detail'!I99</f>
        <v>980844.12</v>
      </c>
      <c r="G11" s="49">
        <f t="shared" si="0"/>
        <v>84403.759999999893</v>
      </c>
      <c r="H11" s="4">
        <f t="shared" si="1"/>
        <v>9.415435065864268E-2</v>
      </c>
    </row>
    <row r="12" spans="1:8" ht="13.5" thickBot="1" x14ac:dyDescent="0.25">
      <c r="A12" s="26">
        <v>7</v>
      </c>
      <c r="B12" s="17" t="s">
        <v>35</v>
      </c>
      <c r="C12" s="17"/>
      <c r="D12" s="52">
        <f>SUM(D6:D11)</f>
        <v>191457985</v>
      </c>
      <c r="E12" s="55">
        <f t="shared" ref="E12:G12" si="2">SUM(E6:E11)</f>
        <v>25883934.840000004</v>
      </c>
      <c r="F12" s="55">
        <f t="shared" si="2"/>
        <v>25927244.758242004</v>
      </c>
      <c r="G12" s="55">
        <f t="shared" si="2"/>
        <v>43309.91824200016</v>
      </c>
      <c r="H12" s="53">
        <f t="shared" si="1"/>
        <v>1.6732354840837697E-3</v>
      </c>
    </row>
    <row r="13" spans="1:8" ht="13.5" thickTop="1" x14ac:dyDescent="0.2">
      <c r="A13" s="11"/>
      <c r="E13" s="22"/>
      <c r="F13" s="22"/>
      <c r="G13" s="22"/>
    </row>
  </sheetData>
  <printOptions horizontalCentered="1"/>
  <pageMargins left="0.7" right="0.7" top="0.75" bottom="0.75" header="0.3" footer="0.3"/>
  <pageSetup orientation="landscape" r:id="rId1"/>
  <headerFooter>
    <oddFooter>&amp;R&amp;"Arial,Bold"&amp;10Exhibit JW-9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Summary</vt:lpstr>
      <vt:lpstr>Billing Detail</vt:lpstr>
      <vt:lpstr>ResIncr</vt:lpstr>
      <vt:lpstr>Notice Table</vt:lpstr>
      <vt:lpstr>Reconciliation</vt:lpstr>
      <vt:lpstr>'Billing Detail'!Print_Area</vt:lpstr>
      <vt:lpstr>'Notice Table'!Print_Area</vt:lpstr>
      <vt:lpstr>Reconciliation!Print_Area</vt:lpstr>
      <vt:lpstr>ResIncr!Print_Area</vt:lpstr>
      <vt:lpstr>Summary!Print_Area</vt:lpstr>
      <vt:lpstr>'Billing Detail'!Print_Titles</vt:lpstr>
      <vt:lpstr>ResIncr!Print_Titles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2025-02-10T17:42:00Z</cp:lastPrinted>
  <dcterms:created xsi:type="dcterms:W3CDTF">2021-02-09T02:13:44Z</dcterms:created>
  <dcterms:modified xsi:type="dcterms:W3CDTF">2025-02-10T17:42:00Z</dcterms:modified>
</cp:coreProperties>
</file>