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2ac385686f0d07d2/Documents/CATALYST Consulting/Clients/Big Sandy/2024 Rate Case 2024-00287/COS ^0 Rates/"/>
    </mc:Choice>
  </mc:AlternateContent>
  <xr:revisionPtr revIDLastSave="29" documentId="8_{3D82C635-A044-473F-86CD-8EBA8BDAF12E}" xr6:coauthVersionLast="47" xr6:coauthVersionMax="47" xr10:uidLastSave="{49E7EE56-9DCC-4C97-91CE-556A68F972F8}"/>
  <bookViews>
    <workbookView xWindow="-120" yWindow="-120" windowWidth="29040" windowHeight="15720" tabRatio="741" activeTab="1" xr2:uid="{00000000-000D-0000-FFFF-FFFF00000000}"/>
  </bookViews>
  <sheets>
    <sheet name="Summary of Returns" sheetId="4" r:id="rId1"/>
    <sheet name="Summary of Rates" sheetId="17" r:id="rId2"/>
    <sheet name="Func &amp; Classif" sheetId="1" r:id="rId3"/>
    <sheet name="Alloc &amp; Returns" sheetId="2" r:id="rId4"/>
    <sheet name="Billing Det" sheetId="15" r:id="rId5"/>
    <sheet name="Purchased Power" sheetId="16" r:id="rId6"/>
    <sheet name="Meters" sheetId="8" r:id="rId7"/>
    <sheet name="Services" sheetId="9" r:id="rId8"/>
    <sheet name="ZeroInt" sheetId="18" r:id="rId9"/>
  </sheets>
  <definedNames>
    <definedName name="_xlnm.Print_Area" localSheetId="3">'Alloc &amp; Returns'!$A$1:$K$666</definedName>
    <definedName name="_xlnm.Print_Area" localSheetId="4">'Billing Det'!$A$1:$T$201</definedName>
    <definedName name="_xlnm.Print_Area" localSheetId="2">'Func &amp; Classif'!$A$1:$AA$488</definedName>
    <definedName name="_xlnm.Print_Area" localSheetId="6">Meters!$A$1:$G$32</definedName>
    <definedName name="_xlnm.Print_Area" localSheetId="5">'Purchased Power'!$A$1:$O$47</definedName>
    <definedName name="_xlnm.Print_Area" localSheetId="7">Services!$A$1:$G$33</definedName>
    <definedName name="_xlnm.Print_Area" localSheetId="1">'Summary of Rates'!$A$1:$F$13</definedName>
    <definedName name="_xlnm.Print_Area" localSheetId="0">'Summary of Returns'!$A$1:$I$48</definedName>
    <definedName name="_xlnm.Print_Area" localSheetId="8">ZeroInt!$A$1:$M$133</definedName>
    <definedName name="_xlnm.Print_Titles" localSheetId="3">'Alloc &amp; Returns'!$A:$D,'Alloc &amp; Returns'!$1:$3</definedName>
    <definedName name="_xlnm.Print_Titles" localSheetId="4">'Billing Det'!$A:$B,'Billing Det'!$33:$37</definedName>
    <definedName name="_xlnm.Print_Titles" localSheetId="2">'Func &amp; Classif'!$A:$E,'Func &amp; Classif'!$1:$3</definedName>
    <definedName name="_xlnm.Print_Titles" localSheetId="8">ZeroInt!$1:$3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4" l="1"/>
  <c r="L15" i="4"/>
  <c r="L14" i="4"/>
  <c r="L13" i="4"/>
  <c r="L12" i="4"/>
  <c r="E366" i="2" l="1"/>
  <c r="A32" i="16" l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K348" i="2" l="1"/>
  <c r="J348" i="2"/>
  <c r="I348" i="2"/>
  <c r="H348" i="2"/>
  <c r="G348" i="2"/>
  <c r="F348" i="2"/>
  <c r="I343" i="2"/>
  <c r="H343" i="2"/>
  <c r="G343" i="2"/>
  <c r="F343" i="2"/>
  <c r="E343" i="2"/>
  <c r="E341" i="2"/>
  <c r="AG423" i="2"/>
  <c r="AH423" i="2" s="1"/>
  <c r="AG424" i="2"/>
  <c r="AH424" i="2" s="1"/>
  <c r="O40" i="16" l="1"/>
  <c r="O39" i="16"/>
  <c r="O38" i="16"/>
  <c r="E38" i="16"/>
  <c r="F38" i="16"/>
  <c r="G38" i="16"/>
  <c r="H38" i="16"/>
  <c r="I38" i="16"/>
  <c r="J38" i="16"/>
  <c r="K38" i="16"/>
  <c r="L38" i="16"/>
  <c r="M38" i="16"/>
  <c r="N38" i="16"/>
  <c r="D38" i="16"/>
  <c r="C38" i="16"/>
  <c r="E358" i="2" l="1"/>
  <c r="N14" i="15" l="1"/>
  <c r="N15" i="15"/>
  <c r="N16" i="15"/>
  <c r="N17" i="15"/>
  <c r="N18" i="15"/>
  <c r="N19" i="15"/>
  <c r="N20" i="15"/>
  <c r="N21" i="15"/>
  <c r="N22" i="15"/>
  <c r="N23" i="15"/>
  <c r="N24" i="15"/>
  <c r="D30" i="16" l="1"/>
  <c r="E30" i="16"/>
  <c r="F30" i="16"/>
  <c r="G30" i="16"/>
  <c r="H30" i="16"/>
  <c r="I30" i="16"/>
  <c r="J30" i="16"/>
  <c r="K30" i="16"/>
  <c r="L30" i="16"/>
  <c r="M30" i="16"/>
  <c r="N30" i="16"/>
  <c r="D14" i="16"/>
  <c r="E14" i="16"/>
  <c r="F14" i="16"/>
  <c r="G14" i="16"/>
  <c r="H14" i="16"/>
  <c r="I14" i="16"/>
  <c r="J14" i="16"/>
  <c r="K14" i="16"/>
  <c r="L14" i="16"/>
  <c r="M14" i="16"/>
  <c r="N14" i="16"/>
  <c r="F427" i="1"/>
  <c r="F401" i="1"/>
  <c r="F399" i="1"/>
  <c r="F389" i="1"/>
  <c r="F242" i="1"/>
  <c r="F211" i="1"/>
  <c r="F208" i="1"/>
  <c r="F222" i="1"/>
  <c r="F281" i="1"/>
  <c r="F277" i="1"/>
  <c r="F108" i="1"/>
  <c r="AJ359" i="2" l="1"/>
  <c r="E359" i="2" s="1"/>
  <c r="E342" i="2"/>
  <c r="AK354" i="2"/>
  <c r="E348" i="2" s="1"/>
  <c r="AJ360" i="2" l="1"/>
  <c r="E360" i="2" s="1"/>
  <c r="AJ361" i="2" l="1"/>
  <c r="I362" i="2" l="1"/>
  <c r="H362" i="2"/>
  <c r="E362" i="2"/>
  <c r="G362" i="2"/>
  <c r="F362" i="2"/>
  <c r="AG343" i="2"/>
  <c r="AH343" i="2" s="1"/>
  <c r="AJ364" i="2" l="1"/>
  <c r="E363" i="2"/>
  <c r="L91" i="18"/>
  <c r="M91" i="18" s="1"/>
  <c r="J91" i="18"/>
  <c r="I91" i="18"/>
  <c r="F91" i="18"/>
  <c r="H91" i="18" s="1"/>
  <c r="J23" i="18"/>
  <c r="I23" i="18"/>
  <c r="H23" i="18"/>
  <c r="F23" i="18"/>
  <c r="H623" i="2"/>
  <c r="G623" i="2"/>
  <c r="F9" i="17"/>
  <c r="D72" i="15"/>
  <c r="E72" i="15" s="1"/>
  <c r="F72" i="15" s="1"/>
  <c r="G72" i="15" s="1"/>
  <c r="H72" i="15" s="1"/>
  <c r="I72" i="15" s="1"/>
  <c r="J72" i="15" s="1"/>
  <c r="K72" i="15" s="1"/>
  <c r="L72" i="15" s="1"/>
  <c r="M72" i="15" s="1"/>
  <c r="N72" i="15" s="1"/>
  <c r="D74" i="15"/>
  <c r="E74" i="15" s="1"/>
  <c r="F74" i="15" s="1"/>
  <c r="G74" i="15" s="1"/>
  <c r="H74" i="15" s="1"/>
  <c r="I74" i="15" s="1"/>
  <c r="J74" i="15" s="1"/>
  <c r="K74" i="15" s="1"/>
  <c r="L74" i="15" s="1"/>
  <c r="M74" i="15" s="1"/>
  <c r="N74" i="15" s="1"/>
  <c r="D64" i="15"/>
  <c r="E64" i="15" s="1"/>
  <c r="F64" i="15" s="1"/>
  <c r="G64" i="15" s="1"/>
  <c r="H64" i="15" s="1"/>
  <c r="I64" i="15" s="1"/>
  <c r="J64" i="15" s="1"/>
  <c r="K64" i="15" s="1"/>
  <c r="L64" i="15" s="1"/>
  <c r="M64" i="15" s="1"/>
  <c r="N64" i="15" s="1"/>
  <c r="E54" i="15"/>
  <c r="F54" i="15" s="1"/>
  <c r="D54" i="15"/>
  <c r="N51" i="15"/>
  <c r="N56" i="15" s="1"/>
  <c r="N52" i="15" s="1"/>
  <c r="M51" i="15"/>
  <c r="M56" i="15" s="1"/>
  <c r="M52" i="15" s="1"/>
  <c r="L51" i="15"/>
  <c r="L56" i="15" s="1"/>
  <c r="L52" i="15" s="1"/>
  <c r="K51" i="15"/>
  <c r="K56" i="15" s="1"/>
  <c r="K52" i="15" s="1"/>
  <c r="J51" i="15"/>
  <c r="I51" i="15"/>
  <c r="I56" i="15" s="1"/>
  <c r="I52" i="15" s="1"/>
  <c r="H51" i="15"/>
  <c r="H56" i="15" s="1"/>
  <c r="H52" i="15" s="1"/>
  <c r="G51" i="15"/>
  <c r="G56" i="15" s="1"/>
  <c r="G52" i="15" s="1"/>
  <c r="F51" i="15"/>
  <c r="F56" i="15" s="1"/>
  <c r="F52" i="15" s="1"/>
  <c r="E51" i="15"/>
  <c r="E56" i="15" s="1"/>
  <c r="E52" i="15" s="1"/>
  <c r="D51" i="15"/>
  <c r="D56" i="15" s="1"/>
  <c r="D52" i="15" s="1"/>
  <c r="C51" i="15"/>
  <c r="N61" i="15"/>
  <c r="N66" i="15" s="1"/>
  <c r="N62" i="15" s="1"/>
  <c r="M61" i="15"/>
  <c r="M66" i="15" s="1"/>
  <c r="M62" i="15" s="1"/>
  <c r="L61" i="15"/>
  <c r="L66" i="15" s="1"/>
  <c r="L62" i="15" s="1"/>
  <c r="K61" i="15"/>
  <c r="K66" i="15" s="1"/>
  <c r="K62" i="15" s="1"/>
  <c r="J61" i="15"/>
  <c r="I61" i="15"/>
  <c r="H61" i="15"/>
  <c r="H66" i="15" s="1"/>
  <c r="H62" i="15" s="1"/>
  <c r="G61" i="15"/>
  <c r="G66" i="15" s="1"/>
  <c r="G62" i="15" s="1"/>
  <c r="F61" i="15"/>
  <c r="F66" i="15" s="1"/>
  <c r="F62" i="15" s="1"/>
  <c r="E61" i="15"/>
  <c r="E66" i="15" s="1"/>
  <c r="E62" i="15" s="1"/>
  <c r="D61" i="15"/>
  <c r="D66" i="15" s="1"/>
  <c r="D62" i="15" s="1"/>
  <c r="C61" i="15"/>
  <c r="C66" i="15" s="1"/>
  <c r="C62" i="15" s="1"/>
  <c r="AJ365" i="2" l="1"/>
  <c r="E364" i="2"/>
  <c r="G53" i="15"/>
  <c r="G54" i="15"/>
  <c r="G55" i="15"/>
  <c r="H53" i="15"/>
  <c r="I53" i="15"/>
  <c r="K53" i="15"/>
  <c r="D53" i="15"/>
  <c r="D55" i="15" s="1"/>
  <c r="L53" i="15"/>
  <c r="E53" i="15"/>
  <c r="E55" i="15" s="1"/>
  <c r="J56" i="15"/>
  <c r="J52" i="15" s="1"/>
  <c r="J53" i="15" s="1"/>
  <c r="F53" i="15"/>
  <c r="F55" i="15" s="1"/>
  <c r="N53" i="15"/>
  <c r="C56" i="15"/>
  <c r="C52" i="15" s="1"/>
  <c r="C53" i="15" s="1"/>
  <c r="C55" i="15" s="1"/>
  <c r="M53" i="15"/>
  <c r="G63" i="15"/>
  <c r="H63" i="15"/>
  <c r="C63" i="15"/>
  <c r="C65" i="15" s="1"/>
  <c r="K63" i="15"/>
  <c r="D63" i="15"/>
  <c r="D65" i="15" s="1"/>
  <c r="L63" i="15"/>
  <c r="I66" i="15"/>
  <c r="E63" i="15"/>
  <c r="E65" i="15" s="1"/>
  <c r="M63" i="15"/>
  <c r="J66" i="15"/>
  <c r="F63" i="15"/>
  <c r="F65" i="15" s="1"/>
  <c r="N63" i="15"/>
  <c r="AJ366" i="2" l="1"/>
  <c r="E365" i="2"/>
  <c r="I62" i="15"/>
  <c r="I63" i="15" s="1"/>
  <c r="J62" i="15"/>
  <c r="J63" i="15" s="1"/>
  <c r="G65" i="15"/>
  <c r="H54" i="15"/>
  <c r="H55" i="15"/>
  <c r="AJ367" i="2" l="1"/>
  <c r="I54" i="15"/>
  <c r="H65" i="15"/>
  <c r="AJ368" i="2" l="1"/>
  <c r="E367" i="2"/>
  <c r="J54" i="15"/>
  <c r="I65" i="15"/>
  <c r="I55" i="15"/>
  <c r="AJ369" i="2" l="1"/>
  <c r="E368" i="2"/>
  <c r="J65" i="15"/>
  <c r="K54" i="15"/>
  <c r="J55" i="15"/>
  <c r="AJ370" i="2" l="1"/>
  <c r="E369" i="2"/>
  <c r="K65" i="15"/>
  <c r="L54" i="15"/>
  <c r="K55" i="15"/>
  <c r="M54" i="15" l="1"/>
  <c r="L65" i="15"/>
  <c r="L55" i="15"/>
  <c r="M65" i="15" l="1"/>
  <c r="N54" i="15"/>
  <c r="M55" i="15"/>
  <c r="N65" i="15" l="1"/>
  <c r="N55" i="15"/>
  <c r="D79" i="15" l="1"/>
  <c r="E79" i="15" s="1"/>
  <c r="F79" i="15" s="1"/>
  <c r="G79" i="15" s="1"/>
  <c r="H79" i="15" s="1"/>
  <c r="I79" i="15" s="1"/>
  <c r="J79" i="15" s="1"/>
  <c r="K79" i="15" s="1"/>
  <c r="L79" i="15" s="1"/>
  <c r="M79" i="15" s="1"/>
  <c r="N79" i="15" s="1"/>
  <c r="D92" i="15" l="1"/>
  <c r="E92" i="15" s="1"/>
  <c r="F92" i="15" l="1"/>
  <c r="G92" i="15" l="1"/>
  <c r="H92" i="15" l="1"/>
  <c r="I92" i="15" l="1"/>
  <c r="J92" i="15" l="1"/>
  <c r="K92" i="15" l="1"/>
  <c r="L92" i="15" l="1"/>
  <c r="M92" i="15" l="1"/>
  <c r="N92" i="15" l="1"/>
  <c r="N191" i="15" l="1"/>
  <c r="M191" i="15"/>
  <c r="L191" i="15"/>
  <c r="K191" i="15"/>
  <c r="J191" i="15"/>
  <c r="I191" i="15"/>
  <c r="H191" i="15"/>
  <c r="G191" i="15"/>
  <c r="F191" i="15"/>
  <c r="E191" i="15"/>
  <c r="D191" i="15"/>
  <c r="C191" i="15"/>
  <c r="N181" i="15"/>
  <c r="M181" i="15"/>
  <c r="L181" i="15"/>
  <c r="K181" i="15"/>
  <c r="J181" i="15"/>
  <c r="I181" i="15"/>
  <c r="H181" i="15"/>
  <c r="G181" i="15"/>
  <c r="F181" i="15"/>
  <c r="E181" i="15"/>
  <c r="D181" i="15"/>
  <c r="C181" i="15"/>
  <c r="N171" i="15"/>
  <c r="M171" i="15"/>
  <c r="L171" i="15"/>
  <c r="K171" i="15"/>
  <c r="J171" i="15"/>
  <c r="I171" i="15"/>
  <c r="H171" i="15"/>
  <c r="G171" i="15"/>
  <c r="F171" i="15"/>
  <c r="E171" i="15"/>
  <c r="D171" i="15"/>
  <c r="C171" i="15"/>
  <c r="N161" i="15"/>
  <c r="M161" i="15"/>
  <c r="L161" i="15"/>
  <c r="K161" i="15"/>
  <c r="J161" i="15"/>
  <c r="I161" i="15"/>
  <c r="H161" i="15"/>
  <c r="G161" i="15"/>
  <c r="F161" i="15"/>
  <c r="E161" i="15"/>
  <c r="D161" i="15"/>
  <c r="C161" i="15"/>
  <c r="N151" i="15"/>
  <c r="M151" i="15"/>
  <c r="L151" i="15"/>
  <c r="K151" i="15"/>
  <c r="J151" i="15"/>
  <c r="I151" i="15"/>
  <c r="H151" i="15"/>
  <c r="G151" i="15"/>
  <c r="F151" i="15"/>
  <c r="E151" i="15"/>
  <c r="D151" i="15"/>
  <c r="C151" i="15"/>
  <c r="N141" i="15"/>
  <c r="M141" i="15"/>
  <c r="L141" i="15"/>
  <c r="K141" i="15"/>
  <c r="J141" i="15"/>
  <c r="I141" i="15"/>
  <c r="H141" i="15"/>
  <c r="G141" i="15"/>
  <c r="F141" i="15"/>
  <c r="E141" i="15"/>
  <c r="D141" i="15"/>
  <c r="C141" i="15"/>
  <c r="N131" i="15"/>
  <c r="M131" i="15"/>
  <c r="L131" i="15"/>
  <c r="K131" i="15"/>
  <c r="J131" i="15"/>
  <c r="I131" i="15"/>
  <c r="H131" i="15"/>
  <c r="G131" i="15"/>
  <c r="F131" i="15"/>
  <c r="E131" i="15"/>
  <c r="D131" i="15"/>
  <c r="C131" i="15"/>
  <c r="N121" i="15"/>
  <c r="M121" i="15"/>
  <c r="L121" i="15"/>
  <c r="K121" i="15"/>
  <c r="J121" i="15"/>
  <c r="I121" i="15"/>
  <c r="H121" i="15"/>
  <c r="G121" i="15"/>
  <c r="F121" i="15"/>
  <c r="E121" i="15"/>
  <c r="D121" i="15"/>
  <c r="C121" i="15"/>
  <c r="N111" i="15"/>
  <c r="M111" i="15"/>
  <c r="L111" i="15"/>
  <c r="K111" i="15"/>
  <c r="J111" i="15"/>
  <c r="I111" i="15"/>
  <c r="H111" i="15"/>
  <c r="G111" i="15"/>
  <c r="F111" i="15"/>
  <c r="E111" i="15"/>
  <c r="D111" i="15"/>
  <c r="C111" i="15"/>
  <c r="N101" i="15"/>
  <c r="M101" i="15"/>
  <c r="L101" i="15"/>
  <c r="K101" i="15"/>
  <c r="J101" i="15"/>
  <c r="I101" i="15"/>
  <c r="H101" i="15"/>
  <c r="G101" i="15"/>
  <c r="F101" i="15"/>
  <c r="E101" i="15"/>
  <c r="D101" i="15"/>
  <c r="C101" i="15"/>
  <c r="N91" i="15"/>
  <c r="N93" i="15" s="1"/>
  <c r="N95" i="15" s="1"/>
  <c r="M91" i="15"/>
  <c r="M93" i="15" s="1"/>
  <c r="M95" i="15" s="1"/>
  <c r="L91" i="15"/>
  <c r="L93" i="15" s="1"/>
  <c r="L95" i="15" s="1"/>
  <c r="K91" i="15"/>
  <c r="K93" i="15" s="1"/>
  <c r="K95" i="15" s="1"/>
  <c r="J91" i="15"/>
  <c r="J93" i="15" s="1"/>
  <c r="J95" i="15" s="1"/>
  <c r="I91" i="15"/>
  <c r="I93" i="15" s="1"/>
  <c r="I95" i="15" s="1"/>
  <c r="H91" i="15"/>
  <c r="H93" i="15" s="1"/>
  <c r="H95" i="15" s="1"/>
  <c r="G91" i="15"/>
  <c r="G93" i="15" s="1"/>
  <c r="G95" i="15" s="1"/>
  <c r="F91" i="15"/>
  <c r="F93" i="15" s="1"/>
  <c r="F95" i="15" s="1"/>
  <c r="E91" i="15"/>
  <c r="E93" i="15" s="1"/>
  <c r="E95" i="15" s="1"/>
  <c r="D91" i="15"/>
  <c r="D93" i="15" s="1"/>
  <c r="D95" i="15" s="1"/>
  <c r="C91" i="15"/>
  <c r="C93" i="15" s="1"/>
  <c r="C95" i="15" s="1"/>
  <c r="N81" i="15"/>
  <c r="M81" i="15"/>
  <c r="L81" i="15"/>
  <c r="K81" i="15"/>
  <c r="J81" i="15"/>
  <c r="I81" i="15"/>
  <c r="H81" i="15"/>
  <c r="G81" i="15"/>
  <c r="F81" i="15"/>
  <c r="E81" i="15"/>
  <c r="D81" i="15"/>
  <c r="C81" i="15"/>
  <c r="N71" i="15"/>
  <c r="M71" i="15"/>
  <c r="L71" i="15"/>
  <c r="K71" i="15"/>
  <c r="J71" i="15"/>
  <c r="I71" i="15"/>
  <c r="H71" i="15"/>
  <c r="G71" i="15"/>
  <c r="F71" i="15"/>
  <c r="E71" i="15"/>
  <c r="D71" i="15"/>
  <c r="C71" i="15"/>
  <c r="D41" i="15"/>
  <c r="E41" i="15"/>
  <c r="F41" i="15"/>
  <c r="G41" i="15"/>
  <c r="H41" i="15"/>
  <c r="I41" i="15"/>
  <c r="J41" i="15"/>
  <c r="K41" i="15"/>
  <c r="L41" i="15"/>
  <c r="M41" i="15"/>
  <c r="N41" i="15"/>
  <c r="C41" i="15"/>
  <c r="M35" i="15"/>
  <c r="K35" i="15"/>
  <c r="H35" i="15"/>
  <c r="F35" i="15"/>
  <c r="D35" i="15"/>
  <c r="E35" i="15"/>
  <c r="G35" i="15"/>
  <c r="I35" i="15"/>
  <c r="J35" i="15"/>
  <c r="L35" i="15"/>
  <c r="N35" i="15"/>
  <c r="C35" i="15"/>
  <c r="D199" i="15"/>
  <c r="E199" i="15"/>
  <c r="F199" i="15"/>
  <c r="G199" i="15"/>
  <c r="H199" i="15"/>
  <c r="I199" i="15"/>
  <c r="J199" i="15"/>
  <c r="K199" i="15"/>
  <c r="L199" i="15"/>
  <c r="M199" i="15"/>
  <c r="N199" i="15"/>
  <c r="C199" i="15"/>
  <c r="C30" i="16" l="1"/>
  <c r="O29" i="16"/>
  <c r="O28" i="16"/>
  <c r="O27" i="16"/>
  <c r="O26" i="16"/>
  <c r="O25" i="16"/>
  <c r="O24" i="16"/>
  <c r="C14" i="16"/>
  <c r="J504" i="2" l="1"/>
  <c r="J511" i="2"/>
  <c r="O30" i="16"/>
  <c r="F79" i="18"/>
  <c r="F80" i="18"/>
  <c r="F81" i="18"/>
  <c r="F82" i="18"/>
  <c r="F83" i="18"/>
  <c r="F84" i="18"/>
  <c r="F85" i="18"/>
  <c r="F86" i="18"/>
  <c r="F87" i="18"/>
  <c r="F88" i="18"/>
  <c r="F89" i="18"/>
  <c r="F90" i="18"/>
  <c r="F92" i="18"/>
  <c r="F93" i="18"/>
  <c r="F94" i="18"/>
  <c r="F95" i="18"/>
  <c r="F96" i="18"/>
  <c r="F97" i="18"/>
  <c r="F98" i="18"/>
  <c r="F99" i="18"/>
  <c r="F100" i="18"/>
  <c r="F101" i="18"/>
  <c r="F102" i="18"/>
  <c r="F103" i="18"/>
  <c r="F104" i="18"/>
  <c r="F105" i="18"/>
  <c r="F106" i="18"/>
  <c r="F107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22" i="18"/>
  <c r="F24" i="18"/>
  <c r="F25" i="18"/>
  <c r="F229" i="1"/>
  <c r="G21" i="16" l="1"/>
  <c r="A6" i="16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C8" i="18"/>
  <c r="N21" i="16"/>
  <c r="M21" i="16"/>
  <c r="L21" i="16"/>
  <c r="K21" i="16"/>
  <c r="J21" i="16"/>
  <c r="I21" i="16"/>
  <c r="H21" i="16"/>
  <c r="F21" i="16"/>
  <c r="E21" i="16"/>
  <c r="D21" i="16"/>
  <c r="C21" i="16"/>
  <c r="C39" i="16" s="1"/>
  <c r="O20" i="16"/>
  <c r="O19" i="16"/>
  <c r="O18" i="16"/>
  <c r="O17" i="16"/>
  <c r="O16" i="16"/>
  <c r="O15" i="16"/>
  <c r="O14" i="16"/>
  <c r="O13" i="16"/>
  <c r="O12" i="16"/>
  <c r="O11" i="16"/>
  <c r="O10" i="16"/>
  <c r="O9" i="16"/>
  <c r="O8" i="16"/>
  <c r="O7" i="16"/>
  <c r="O6" i="16"/>
  <c r="E8" i="8"/>
  <c r="N105" i="15"/>
  <c r="M105" i="15"/>
  <c r="L105" i="15"/>
  <c r="K105" i="15"/>
  <c r="J105" i="15"/>
  <c r="I105" i="15"/>
  <c r="H105" i="15"/>
  <c r="G105" i="15"/>
  <c r="F105" i="15"/>
  <c r="E105" i="15"/>
  <c r="D105" i="15"/>
  <c r="C105" i="15"/>
  <c r="N107" i="15"/>
  <c r="M107" i="15"/>
  <c r="L107" i="15"/>
  <c r="K107" i="15"/>
  <c r="J107" i="15"/>
  <c r="I107" i="15"/>
  <c r="H107" i="15"/>
  <c r="G107" i="15"/>
  <c r="F107" i="15"/>
  <c r="E107" i="15"/>
  <c r="D107" i="15"/>
  <c r="C107" i="15"/>
  <c r="O104" i="15"/>
  <c r="O102" i="15"/>
  <c r="O99" i="15"/>
  <c r="O100" i="15" s="1"/>
  <c r="I39" i="16" l="1"/>
  <c r="I40" i="16" s="1"/>
  <c r="I41" i="16" s="1"/>
  <c r="N39" i="16"/>
  <c r="N40" i="16" s="1"/>
  <c r="N41" i="16" s="1"/>
  <c r="H39" i="16"/>
  <c r="H40" i="16" s="1"/>
  <c r="H43" i="16" s="1"/>
  <c r="G39" i="16"/>
  <c r="G40" i="16" s="1"/>
  <c r="G41" i="16" s="1"/>
  <c r="F39" i="16"/>
  <c r="F40" i="16" s="1"/>
  <c r="F41" i="16" s="1"/>
  <c r="J39" i="16"/>
  <c r="J40" i="16" s="1"/>
  <c r="J41" i="16" s="1"/>
  <c r="K39" i="16"/>
  <c r="K40" i="16" s="1"/>
  <c r="K41" i="16" s="1"/>
  <c r="M39" i="16"/>
  <c r="M40" i="16" s="1"/>
  <c r="M41" i="16" s="1"/>
  <c r="E39" i="16"/>
  <c r="E40" i="16" s="1"/>
  <c r="E41" i="16" s="1"/>
  <c r="D39" i="16"/>
  <c r="D40" i="16" s="1"/>
  <c r="D41" i="16" s="1"/>
  <c r="L39" i="16"/>
  <c r="L40" i="16" s="1"/>
  <c r="L41" i="16" s="1"/>
  <c r="C40" i="16"/>
  <c r="C41" i="16" s="1"/>
  <c r="O21" i="16"/>
  <c r="O106" i="15"/>
  <c r="N43" i="16" l="1"/>
  <c r="I42" i="16"/>
  <c r="J42" i="16"/>
  <c r="I43" i="16"/>
  <c r="N42" i="16"/>
  <c r="K42" i="16"/>
  <c r="M42" i="16"/>
  <c r="E42" i="16"/>
  <c r="C43" i="16"/>
  <c r="F43" i="16"/>
  <c r="O45" i="16"/>
  <c r="O47" i="16" s="1"/>
  <c r="D43" i="16"/>
  <c r="D42" i="16"/>
  <c r="G43" i="16"/>
  <c r="F42" i="16"/>
  <c r="C42" i="16"/>
  <c r="L42" i="16"/>
  <c r="H41" i="16"/>
  <c r="H42" i="16"/>
  <c r="G42" i="16"/>
  <c r="E43" i="16"/>
  <c r="L43" i="16"/>
  <c r="K43" i="16"/>
  <c r="J43" i="16"/>
  <c r="M43" i="16"/>
  <c r="E349" i="2" l="1"/>
  <c r="O41" i="16" l="1"/>
  <c r="O42" i="16"/>
  <c r="H481" i="1" s="1"/>
  <c r="O43" i="16"/>
  <c r="I481" i="1" s="1"/>
  <c r="J445" i="2"/>
  <c r="E445" i="2"/>
  <c r="F345" i="2" l="1"/>
  <c r="C34" i="4" l="1"/>
  <c r="C35" i="4"/>
  <c r="C36" i="4"/>
  <c r="C37" i="4"/>
  <c r="C38" i="4"/>
  <c r="C39" i="4"/>
  <c r="C33" i="4"/>
  <c r="B34" i="4"/>
  <c r="B35" i="4"/>
  <c r="B36" i="4"/>
  <c r="B37" i="4"/>
  <c r="B38" i="4"/>
  <c r="B39" i="4"/>
  <c r="B33" i="4"/>
  <c r="A33" i="4"/>
  <c r="A34" i="4" s="1"/>
  <c r="A35" i="4" s="1"/>
  <c r="A36" i="4" s="1"/>
  <c r="A37" i="4" s="1"/>
  <c r="A38" i="4" s="1"/>
  <c r="A39" i="4" s="1"/>
  <c r="N115" i="15"/>
  <c r="M115" i="15"/>
  <c r="L115" i="15"/>
  <c r="K115" i="15"/>
  <c r="J115" i="15"/>
  <c r="I115" i="15"/>
  <c r="H115" i="15"/>
  <c r="G115" i="15"/>
  <c r="F115" i="15"/>
  <c r="E115" i="15"/>
  <c r="D115" i="15"/>
  <c r="C115" i="15"/>
  <c r="N117" i="15"/>
  <c r="M117" i="15"/>
  <c r="L117" i="15"/>
  <c r="K117" i="15"/>
  <c r="J117" i="15"/>
  <c r="I117" i="15"/>
  <c r="H117" i="15"/>
  <c r="G117" i="15"/>
  <c r="F117" i="15"/>
  <c r="E117" i="15"/>
  <c r="D117" i="15"/>
  <c r="C117" i="15"/>
  <c r="E511" i="2" l="1"/>
  <c r="E504" i="2"/>
  <c r="K3" i="2"/>
  <c r="J3" i="2"/>
  <c r="K2" i="2"/>
  <c r="J2" i="2"/>
  <c r="B7" i="9" l="1"/>
  <c r="C7" i="9"/>
  <c r="B8" i="9"/>
  <c r="C8" i="9"/>
  <c r="B9" i="9"/>
  <c r="C9" i="9"/>
  <c r="B10" i="9"/>
  <c r="C10" i="9"/>
  <c r="B11" i="9"/>
  <c r="C11" i="9"/>
  <c r="B12" i="9"/>
  <c r="C12" i="9"/>
  <c r="B7" i="8"/>
  <c r="C7" i="8"/>
  <c r="B8" i="8"/>
  <c r="C8" i="8"/>
  <c r="B9" i="8"/>
  <c r="C9" i="8"/>
  <c r="B10" i="8"/>
  <c r="C10" i="8"/>
  <c r="B11" i="8"/>
  <c r="C11" i="8"/>
  <c r="B12" i="8"/>
  <c r="C12" i="8"/>
  <c r="B9" i="15"/>
  <c r="B10" i="15"/>
  <c r="B11" i="15"/>
  <c r="B12" i="15"/>
  <c r="B13" i="15"/>
  <c r="B15" i="15"/>
  <c r="A9" i="15"/>
  <c r="A10" i="15"/>
  <c r="A11" i="15"/>
  <c r="A12" i="15"/>
  <c r="A13" i="15"/>
  <c r="A15" i="15"/>
  <c r="A109" i="15" s="1"/>
  <c r="B10" i="17"/>
  <c r="B11" i="17"/>
  <c r="B12" i="17"/>
  <c r="B13" i="17"/>
  <c r="L80" i="18" l="1"/>
  <c r="M80" i="18" s="1"/>
  <c r="J80" i="18"/>
  <c r="I80" i="18"/>
  <c r="H80" i="18"/>
  <c r="H133" i="18" l="1"/>
  <c r="H132" i="18"/>
  <c r="H131" i="18"/>
  <c r="S529" i="2" l="1"/>
  <c r="T529" i="2"/>
  <c r="U529" i="2"/>
  <c r="V529" i="2"/>
  <c r="W529" i="2"/>
  <c r="X529" i="2"/>
  <c r="Y529" i="2"/>
  <c r="Z529" i="2"/>
  <c r="AA529" i="2"/>
  <c r="AB529" i="2"/>
  <c r="AC529" i="2"/>
  <c r="AD529" i="2"/>
  <c r="AE529" i="2"/>
  <c r="AF529" i="2"/>
  <c r="AG346" i="2"/>
  <c r="L79" i="18" l="1"/>
  <c r="L81" i="18"/>
  <c r="L82" i="18"/>
  <c r="L83" i="18"/>
  <c r="L84" i="18"/>
  <c r="L85" i="18"/>
  <c r="L86" i="18"/>
  <c r="L87" i="18"/>
  <c r="L88" i="18"/>
  <c r="L89" i="18"/>
  <c r="L90" i="18"/>
  <c r="L92" i="18"/>
  <c r="L93" i="18"/>
  <c r="L94" i="18"/>
  <c r="L95" i="18"/>
  <c r="L96" i="18"/>
  <c r="L97" i="18"/>
  <c r="L98" i="18"/>
  <c r="L99" i="18"/>
  <c r="L100" i="18"/>
  <c r="L101" i="18"/>
  <c r="L102" i="18"/>
  <c r="L103" i="18"/>
  <c r="L104" i="18"/>
  <c r="L105" i="18"/>
  <c r="M105" i="18" s="1"/>
  <c r="L106" i="18"/>
  <c r="L107" i="18"/>
  <c r="L78" i="18"/>
  <c r="M106" i="18"/>
  <c r="J106" i="18"/>
  <c r="I106" i="18"/>
  <c r="H106" i="18"/>
  <c r="J105" i="18"/>
  <c r="I105" i="18"/>
  <c r="H105" i="18"/>
  <c r="D96" i="15" l="1"/>
  <c r="E96" i="15"/>
  <c r="H96" i="15"/>
  <c r="K96" i="15"/>
  <c r="M96" i="15"/>
  <c r="J96" i="15"/>
  <c r="G96" i="15" l="1"/>
  <c r="F96" i="15"/>
  <c r="N96" i="15"/>
  <c r="I96" i="15"/>
  <c r="L96" i="15"/>
  <c r="C96" i="15"/>
  <c r="C86" i="15"/>
  <c r="C82" i="15" s="1"/>
  <c r="C83" i="15" s="1"/>
  <c r="C85" i="15" s="1"/>
  <c r="D86" i="15" l="1"/>
  <c r="E86" i="15"/>
  <c r="F86" i="15"/>
  <c r="G86" i="15"/>
  <c r="H86" i="15"/>
  <c r="I86" i="15"/>
  <c r="J86" i="15"/>
  <c r="K86" i="15"/>
  <c r="L86" i="15"/>
  <c r="M86" i="15"/>
  <c r="N86" i="15"/>
  <c r="D83" i="15" l="1"/>
  <c r="E83" i="15"/>
  <c r="F83" i="15"/>
  <c r="G83" i="15"/>
  <c r="H83" i="15"/>
  <c r="I83" i="15"/>
  <c r="J83" i="15"/>
  <c r="K83" i="15"/>
  <c r="L83" i="15"/>
  <c r="M83" i="15"/>
  <c r="N83" i="15"/>
  <c r="O109" i="15" l="1"/>
  <c r="C15" i="15" s="1"/>
  <c r="C14" i="15"/>
  <c r="O89" i="15"/>
  <c r="C13" i="15" s="1"/>
  <c r="O79" i="15"/>
  <c r="C12" i="15" s="1"/>
  <c r="O69" i="15"/>
  <c r="C11" i="15" s="1"/>
  <c r="O59" i="15"/>
  <c r="C10" i="15" s="1"/>
  <c r="O49" i="15"/>
  <c r="C9" i="15" s="1"/>
  <c r="O39" i="15"/>
  <c r="C8" i="15" s="1"/>
  <c r="J51" i="18" l="1"/>
  <c r="I51" i="18"/>
  <c r="F51" i="18"/>
  <c r="H51" i="18" s="1"/>
  <c r="J53" i="18"/>
  <c r="I53" i="18"/>
  <c r="F53" i="18"/>
  <c r="H53" i="18" s="1"/>
  <c r="J52" i="18"/>
  <c r="I52" i="18"/>
  <c r="F52" i="18"/>
  <c r="H52" i="18" s="1"/>
  <c r="H18" i="18" l="1"/>
  <c r="I18" i="18"/>
  <c r="J18" i="18"/>
  <c r="J24" i="18"/>
  <c r="I24" i="18"/>
  <c r="H24" i="18"/>
  <c r="J22" i="18"/>
  <c r="I22" i="18"/>
  <c r="H22" i="18"/>
  <c r="J21" i="18"/>
  <c r="I21" i="18"/>
  <c r="H21" i="18"/>
  <c r="J20" i="18"/>
  <c r="I20" i="18"/>
  <c r="H20" i="18"/>
  <c r="J19" i="18"/>
  <c r="I19" i="18"/>
  <c r="H19" i="18"/>
  <c r="J17" i="18"/>
  <c r="I17" i="18"/>
  <c r="H17" i="18"/>
  <c r="J16" i="18"/>
  <c r="I16" i="18"/>
  <c r="H16" i="18"/>
  <c r="J15" i="18"/>
  <c r="I15" i="18"/>
  <c r="H15" i="18"/>
  <c r="J14" i="18"/>
  <c r="I14" i="18"/>
  <c r="H14" i="18"/>
  <c r="J13" i="18"/>
  <c r="I13" i="18"/>
  <c r="H13" i="18"/>
  <c r="J12" i="18"/>
  <c r="I12" i="18"/>
  <c r="H12" i="18"/>
  <c r="J11" i="18"/>
  <c r="I11" i="18"/>
  <c r="H11" i="18"/>
  <c r="J10" i="18"/>
  <c r="I10" i="18"/>
  <c r="H10" i="18"/>
  <c r="J9" i="18"/>
  <c r="I9" i="18"/>
  <c r="H9" i="18"/>
  <c r="E26" i="18"/>
  <c r="D36" i="18" s="1"/>
  <c r="D26" i="18"/>
  <c r="D41" i="18" s="1"/>
  <c r="I25" i="18"/>
  <c r="H25" i="18"/>
  <c r="J25" i="18"/>
  <c r="J8" i="18"/>
  <c r="I8" i="18"/>
  <c r="F8" i="18"/>
  <c r="D38" i="18" l="1"/>
  <c r="H8" i="18"/>
  <c r="H30" i="18" s="1" a="1"/>
  <c r="H31" i="18" l="1"/>
  <c r="I32" i="18"/>
  <c r="I30" i="18"/>
  <c r="D31" i="18" s="1"/>
  <c r="D37" i="18" s="1"/>
  <c r="D40" i="18" s="1"/>
  <c r="D42" i="18" s="1"/>
  <c r="D43" i="18" s="1"/>
  <c r="D44" i="18" s="1"/>
  <c r="H32" i="18"/>
  <c r="D32" i="18" s="1"/>
  <c r="H30" i="18"/>
  <c r="D30" i="18" s="1"/>
  <c r="I31" i="18"/>
  <c r="E12" i="8" l="1"/>
  <c r="E12" i="9"/>
  <c r="L2" i="2" l="1"/>
  <c r="B9" i="17"/>
  <c r="L23" i="15" l="1"/>
  <c r="L22" i="15"/>
  <c r="L21" i="15"/>
  <c r="L20" i="15"/>
  <c r="L19" i="15"/>
  <c r="L18" i="15"/>
  <c r="L17" i="15"/>
  <c r="L16" i="15"/>
  <c r="E108" i="18"/>
  <c r="D108" i="18"/>
  <c r="D123" i="18" s="1"/>
  <c r="M107" i="18"/>
  <c r="J107" i="18"/>
  <c r="I107" i="18"/>
  <c r="H107" i="18"/>
  <c r="M104" i="18"/>
  <c r="J104" i="18"/>
  <c r="I104" i="18"/>
  <c r="H104" i="18"/>
  <c r="M103" i="18"/>
  <c r="J103" i="18"/>
  <c r="I103" i="18"/>
  <c r="H103" i="18"/>
  <c r="M102" i="18"/>
  <c r="J102" i="18"/>
  <c r="I102" i="18"/>
  <c r="H102" i="18"/>
  <c r="M101" i="18"/>
  <c r="J101" i="18"/>
  <c r="I101" i="18"/>
  <c r="H101" i="18"/>
  <c r="M100" i="18"/>
  <c r="J100" i="18"/>
  <c r="I100" i="18"/>
  <c r="H100" i="18"/>
  <c r="M99" i="18"/>
  <c r="J99" i="18"/>
  <c r="I99" i="18"/>
  <c r="H99" i="18"/>
  <c r="M98" i="18"/>
  <c r="J98" i="18"/>
  <c r="I98" i="18"/>
  <c r="H98" i="18"/>
  <c r="M97" i="18"/>
  <c r="J97" i="18"/>
  <c r="I97" i="18"/>
  <c r="H97" i="18"/>
  <c r="M96" i="18"/>
  <c r="J96" i="18"/>
  <c r="I96" i="18"/>
  <c r="H96" i="18"/>
  <c r="M95" i="18"/>
  <c r="J95" i="18"/>
  <c r="I95" i="18"/>
  <c r="H95" i="18"/>
  <c r="M94" i="18"/>
  <c r="J94" i="18"/>
  <c r="I94" i="18"/>
  <c r="H94" i="18"/>
  <c r="M93" i="18"/>
  <c r="J93" i="18"/>
  <c r="I93" i="18"/>
  <c r="H93" i="18"/>
  <c r="M92" i="18"/>
  <c r="J92" i="18"/>
  <c r="I92" i="18"/>
  <c r="H92" i="18"/>
  <c r="M90" i="18"/>
  <c r="J90" i="18"/>
  <c r="I90" i="18"/>
  <c r="H90" i="18"/>
  <c r="M89" i="18"/>
  <c r="J89" i="18"/>
  <c r="I89" i="18"/>
  <c r="H89" i="18"/>
  <c r="M88" i="18"/>
  <c r="J88" i="18"/>
  <c r="I88" i="18"/>
  <c r="H88" i="18"/>
  <c r="M87" i="18"/>
  <c r="J87" i="18"/>
  <c r="I87" i="18"/>
  <c r="H87" i="18"/>
  <c r="M86" i="18"/>
  <c r="J86" i="18"/>
  <c r="I86" i="18"/>
  <c r="H86" i="18"/>
  <c r="M85" i="18"/>
  <c r="J85" i="18"/>
  <c r="I85" i="18"/>
  <c r="H85" i="18"/>
  <c r="M84" i="18"/>
  <c r="J84" i="18"/>
  <c r="I84" i="18"/>
  <c r="H84" i="18"/>
  <c r="M83" i="18"/>
  <c r="J83" i="18"/>
  <c r="I83" i="18"/>
  <c r="H83" i="18"/>
  <c r="M82" i="18"/>
  <c r="J82" i="18"/>
  <c r="I82" i="18"/>
  <c r="H82" i="18"/>
  <c r="M81" i="18"/>
  <c r="J81" i="18"/>
  <c r="I81" i="18"/>
  <c r="H81" i="18"/>
  <c r="M79" i="18"/>
  <c r="J79" i="18"/>
  <c r="I79" i="18"/>
  <c r="H79" i="18"/>
  <c r="M78" i="18"/>
  <c r="J78" i="18"/>
  <c r="I78" i="18"/>
  <c r="F78" i="18"/>
  <c r="H78" i="18" s="1"/>
  <c r="E54" i="18"/>
  <c r="D64" i="18" s="1"/>
  <c r="D54" i="18"/>
  <c r="D69" i="18" s="1"/>
  <c r="J50" i="18"/>
  <c r="I50" i="18"/>
  <c r="F50" i="18"/>
  <c r="H50" i="18" s="1"/>
  <c r="D84" i="15"/>
  <c r="AG345" i="2"/>
  <c r="AH345" i="2" s="1"/>
  <c r="N197" i="15"/>
  <c r="M197" i="15"/>
  <c r="L197" i="15"/>
  <c r="K197" i="15"/>
  <c r="J197" i="15"/>
  <c r="I197" i="15"/>
  <c r="H197" i="15"/>
  <c r="G197" i="15"/>
  <c r="F197" i="15"/>
  <c r="E197" i="15"/>
  <c r="D197" i="15"/>
  <c r="C197" i="15"/>
  <c r="N187" i="15"/>
  <c r="M187" i="15"/>
  <c r="L187" i="15"/>
  <c r="K187" i="15"/>
  <c r="J187" i="15"/>
  <c r="I187" i="15"/>
  <c r="H187" i="15"/>
  <c r="G187" i="15"/>
  <c r="F187" i="15"/>
  <c r="E187" i="15"/>
  <c r="D187" i="15"/>
  <c r="C187" i="15"/>
  <c r="N177" i="15"/>
  <c r="M177" i="15"/>
  <c r="L177" i="15"/>
  <c r="K177" i="15"/>
  <c r="J177" i="15"/>
  <c r="I177" i="15"/>
  <c r="H177" i="15"/>
  <c r="G177" i="15"/>
  <c r="F177" i="15"/>
  <c r="E177" i="15"/>
  <c r="D177" i="15"/>
  <c r="C177" i="15"/>
  <c r="N167" i="15"/>
  <c r="M167" i="15"/>
  <c r="L167" i="15"/>
  <c r="K167" i="15"/>
  <c r="J167" i="15"/>
  <c r="I167" i="15"/>
  <c r="H167" i="15"/>
  <c r="G167" i="15"/>
  <c r="F167" i="15"/>
  <c r="E167" i="15"/>
  <c r="D167" i="15"/>
  <c r="C167" i="15"/>
  <c r="N157" i="15"/>
  <c r="M157" i="15"/>
  <c r="L157" i="15"/>
  <c r="K157" i="15"/>
  <c r="J157" i="15"/>
  <c r="I157" i="15"/>
  <c r="H157" i="15"/>
  <c r="G157" i="15"/>
  <c r="F157" i="15"/>
  <c r="E157" i="15"/>
  <c r="D157" i="15"/>
  <c r="C157" i="15"/>
  <c r="N147" i="15"/>
  <c r="M147" i="15"/>
  <c r="L147" i="15"/>
  <c r="K147" i="15"/>
  <c r="J147" i="15"/>
  <c r="I147" i="15"/>
  <c r="H147" i="15"/>
  <c r="G147" i="15"/>
  <c r="F147" i="15"/>
  <c r="E147" i="15"/>
  <c r="D147" i="15"/>
  <c r="C147" i="15"/>
  <c r="N137" i="15"/>
  <c r="M137" i="15"/>
  <c r="L137" i="15"/>
  <c r="K137" i="15"/>
  <c r="J137" i="15"/>
  <c r="I137" i="15"/>
  <c r="H137" i="15"/>
  <c r="G137" i="15"/>
  <c r="F137" i="15"/>
  <c r="E137" i="15"/>
  <c r="D137" i="15"/>
  <c r="C137" i="15"/>
  <c r="N127" i="15"/>
  <c r="M127" i="15"/>
  <c r="L127" i="15"/>
  <c r="K127" i="15"/>
  <c r="J127" i="15"/>
  <c r="I127" i="15"/>
  <c r="H127" i="15"/>
  <c r="G127" i="15"/>
  <c r="F127" i="15"/>
  <c r="E127" i="15"/>
  <c r="D127" i="15"/>
  <c r="C127" i="15"/>
  <c r="N76" i="15"/>
  <c r="L76" i="15"/>
  <c r="K76" i="15"/>
  <c r="J76" i="15"/>
  <c r="I76" i="15"/>
  <c r="H76" i="15"/>
  <c r="G76" i="15"/>
  <c r="F76" i="15"/>
  <c r="D76" i="15"/>
  <c r="I43" i="15"/>
  <c r="I45" i="15" s="1"/>
  <c r="D47" i="15"/>
  <c r="E316" i="2"/>
  <c r="E338" i="2" s="1"/>
  <c r="E351" i="2" s="1"/>
  <c r="N82" i="15"/>
  <c r="M82" i="15"/>
  <c r="L82" i="15"/>
  <c r="K82" i="15"/>
  <c r="J82" i="15"/>
  <c r="I82" i="15"/>
  <c r="H82" i="15"/>
  <c r="G82" i="15"/>
  <c r="F82" i="15"/>
  <c r="E82" i="15"/>
  <c r="D82" i="15"/>
  <c r="D8" i="8"/>
  <c r="D7" i="9"/>
  <c r="F7" i="9" s="1"/>
  <c r="F439" i="2"/>
  <c r="F440" i="2" s="1"/>
  <c r="F441" i="2" s="1"/>
  <c r="C43" i="15"/>
  <c r="C45" i="15" s="1"/>
  <c r="C6" i="8"/>
  <c r="B6" i="8"/>
  <c r="C6" i="9"/>
  <c r="B6" i="9"/>
  <c r="A33" i="15"/>
  <c r="O110" i="15"/>
  <c r="O111" i="15" s="1"/>
  <c r="F262" i="1"/>
  <c r="Y258" i="1"/>
  <c r="W258" i="1"/>
  <c r="U258" i="1"/>
  <c r="S258" i="1"/>
  <c r="R258" i="1"/>
  <c r="P258" i="1"/>
  <c r="O258" i="1"/>
  <c r="M258" i="1"/>
  <c r="K258" i="1"/>
  <c r="I258" i="1"/>
  <c r="H258" i="1"/>
  <c r="O60" i="15"/>
  <c r="D10" i="15" s="1"/>
  <c r="N10" i="15" s="1"/>
  <c r="B8" i="15"/>
  <c r="B39" i="15" s="1"/>
  <c r="B49" i="15"/>
  <c r="B59" i="15"/>
  <c r="B69" i="15"/>
  <c r="B79" i="15"/>
  <c r="B89" i="15"/>
  <c r="B99" i="15"/>
  <c r="B16" i="15"/>
  <c r="B17" i="15"/>
  <c r="B129" i="15" s="1"/>
  <c r="B18" i="15"/>
  <c r="B139" i="15" s="1"/>
  <c r="B19" i="15"/>
  <c r="B149" i="15" s="1"/>
  <c r="B20" i="15"/>
  <c r="B159" i="15" s="1"/>
  <c r="B21" i="15"/>
  <c r="B169" i="15" s="1"/>
  <c r="B22" i="15"/>
  <c r="B179" i="15" s="1"/>
  <c r="B23" i="15"/>
  <c r="B189" i="15" s="1"/>
  <c r="A23" i="15"/>
  <c r="A189" i="15" s="1"/>
  <c r="A22" i="15"/>
  <c r="A179" i="15" s="1"/>
  <c r="A21" i="15"/>
  <c r="A169" i="15" s="1"/>
  <c r="A20" i="15"/>
  <c r="A159" i="15" s="1"/>
  <c r="A19" i="15"/>
  <c r="A149" i="15" s="1"/>
  <c r="A18" i="15"/>
  <c r="A139" i="15" s="1"/>
  <c r="A17" i="15"/>
  <c r="A129" i="15" s="1"/>
  <c r="A16" i="15"/>
  <c r="A119" i="15" s="1"/>
  <c r="L12" i="15"/>
  <c r="L11" i="15"/>
  <c r="L10" i="15"/>
  <c r="L9" i="15"/>
  <c r="A8" i="15"/>
  <c r="L8" i="15" s="1"/>
  <c r="O3" i="2"/>
  <c r="N3" i="2"/>
  <c r="M3" i="2"/>
  <c r="L3" i="2"/>
  <c r="I3" i="2"/>
  <c r="H3" i="2"/>
  <c r="G3" i="2"/>
  <c r="F3" i="2"/>
  <c r="I2" i="2"/>
  <c r="H2" i="2"/>
  <c r="G2" i="2"/>
  <c r="F2" i="2"/>
  <c r="N185" i="15"/>
  <c r="M185" i="15"/>
  <c r="L185" i="15"/>
  <c r="K185" i="15"/>
  <c r="J185" i="15"/>
  <c r="I185" i="15"/>
  <c r="H185" i="15"/>
  <c r="G185" i="15"/>
  <c r="F185" i="15"/>
  <c r="E185" i="15"/>
  <c r="D185" i="15"/>
  <c r="C185" i="15"/>
  <c r="Q183" i="15"/>
  <c r="H22" i="15" s="1"/>
  <c r="T450" i="2" s="1"/>
  <c r="T455" i="2" s="1"/>
  <c r="T462" i="2" s="1"/>
  <c r="O183" i="15"/>
  <c r="O180" i="15"/>
  <c r="O181" i="15" s="1"/>
  <c r="N175" i="15"/>
  <c r="M175" i="15"/>
  <c r="L175" i="15"/>
  <c r="K175" i="15"/>
  <c r="J175" i="15"/>
  <c r="I175" i="15"/>
  <c r="H175" i="15"/>
  <c r="G175" i="15"/>
  <c r="F175" i="15"/>
  <c r="E175" i="15"/>
  <c r="D175" i="15"/>
  <c r="C175" i="15"/>
  <c r="Q173" i="15"/>
  <c r="H21" i="15" s="1"/>
  <c r="S450" i="2" s="1"/>
  <c r="O173" i="15"/>
  <c r="O170" i="15"/>
  <c r="N165" i="15"/>
  <c r="M165" i="15"/>
  <c r="L165" i="15"/>
  <c r="K165" i="15"/>
  <c r="J165" i="15"/>
  <c r="I165" i="15"/>
  <c r="H165" i="15"/>
  <c r="G165" i="15"/>
  <c r="F165" i="15"/>
  <c r="E165" i="15"/>
  <c r="D165" i="15"/>
  <c r="C165" i="15"/>
  <c r="Q163" i="15"/>
  <c r="H20" i="15" s="1"/>
  <c r="R450" i="2" s="1"/>
  <c r="O163" i="15"/>
  <c r="O160" i="15"/>
  <c r="N155" i="15"/>
  <c r="M155" i="15"/>
  <c r="L155" i="15"/>
  <c r="K155" i="15"/>
  <c r="J155" i="15"/>
  <c r="I155" i="15"/>
  <c r="H155" i="15"/>
  <c r="G155" i="15"/>
  <c r="F155" i="15"/>
  <c r="E155" i="15"/>
  <c r="D155" i="15"/>
  <c r="C155" i="15"/>
  <c r="Q153" i="15"/>
  <c r="H19" i="15" s="1"/>
  <c r="Q450" i="2" s="1"/>
  <c r="O153" i="15"/>
  <c r="O150" i="15"/>
  <c r="N145" i="15"/>
  <c r="M145" i="15"/>
  <c r="L145" i="15"/>
  <c r="K145" i="15"/>
  <c r="J145" i="15"/>
  <c r="I145" i="15"/>
  <c r="H145" i="15"/>
  <c r="G145" i="15"/>
  <c r="F145" i="15"/>
  <c r="E145" i="15"/>
  <c r="D145" i="15"/>
  <c r="C145" i="15"/>
  <c r="Q143" i="15"/>
  <c r="H18" i="15" s="1"/>
  <c r="P450" i="2" s="1"/>
  <c r="O143" i="15"/>
  <c r="O140" i="15"/>
  <c r="D18" i="15" s="1"/>
  <c r="P436" i="2" s="1"/>
  <c r="N135" i="15"/>
  <c r="M135" i="15"/>
  <c r="L135" i="15"/>
  <c r="K135" i="15"/>
  <c r="J135" i="15"/>
  <c r="I135" i="15"/>
  <c r="H135" i="15"/>
  <c r="G135" i="15"/>
  <c r="F135" i="15"/>
  <c r="E135" i="15"/>
  <c r="D135" i="15"/>
  <c r="C135" i="15"/>
  <c r="Q133" i="15"/>
  <c r="H17" i="15" s="1"/>
  <c r="O450" i="2" s="1"/>
  <c r="O133" i="15"/>
  <c r="O130" i="15"/>
  <c r="N125" i="15"/>
  <c r="M125" i="15"/>
  <c r="L125" i="15"/>
  <c r="K125" i="15"/>
  <c r="J125" i="15"/>
  <c r="I125" i="15"/>
  <c r="H125" i="15"/>
  <c r="G125" i="15"/>
  <c r="F125" i="15"/>
  <c r="E125" i="15"/>
  <c r="D125" i="15"/>
  <c r="C125" i="15"/>
  <c r="Q123" i="15"/>
  <c r="H16" i="15" s="1"/>
  <c r="N450" i="2" s="1"/>
  <c r="O123" i="15"/>
  <c r="O120" i="15"/>
  <c r="O121" i="15" s="1"/>
  <c r="Q113" i="15"/>
  <c r="H15" i="15" s="1"/>
  <c r="M450" i="2" s="1"/>
  <c r="O113" i="15"/>
  <c r="N6" i="15"/>
  <c r="O6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M6" i="15"/>
  <c r="M15" i="15"/>
  <c r="M16" i="15"/>
  <c r="M17" i="15"/>
  <c r="M18" i="15"/>
  <c r="M19" i="15"/>
  <c r="M20" i="15"/>
  <c r="M21" i="15"/>
  <c r="M22" i="15"/>
  <c r="M23" i="15"/>
  <c r="M5" i="15"/>
  <c r="E396" i="2"/>
  <c r="AF628" i="2"/>
  <c r="AE628" i="2"/>
  <c r="AD628" i="2"/>
  <c r="AC628" i="2"/>
  <c r="AB628" i="2"/>
  <c r="AA628" i="2"/>
  <c r="Z628" i="2"/>
  <c r="Y628" i="2"/>
  <c r="X628" i="2"/>
  <c r="W628" i="2"/>
  <c r="V628" i="2"/>
  <c r="U628" i="2"/>
  <c r="T628" i="2"/>
  <c r="S628" i="2"/>
  <c r="AF602" i="2"/>
  <c r="AE602" i="2"/>
  <c r="AD602" i="2"/>
  <c r="AC602" i="2"/>
  <c r="AB602" i="2"/>
  <c r="AA602" i="2"/>
  <c r="Z602" i="2"/>
  <c r="Y602" i="2"/>
  <c r="X602" i="2"/>
  <c r="W602" i="2"/>
  <c r="V602" i="2"/>
  <c r="U602" i="2"/>
  <c r="T602" i="2"/>
  <c r="S602" i="2"/>
  <c r="S662" i="2"/>
  <c r="S652" i="2"/>
  <c r="S650" i="2"/>
  <c r="P443" i="2"/>
  <c r="AG443" i="2" s="1"/>
  <c r="AH443" i="2" s="1"/>
  <c r="Z430" i="2"/>
  <c r="U439" i="2"/>
  <c r="U440" i="2" s="1"/>
  <c r="U442" i="2" s="1"/>
  <c r="T439" i="2"/>
  <c r="T440" i="2" s="1"/>
  <c r="S439" i="2"/>
  <c r="S440" i="2" s="1"/>
  <c r="R439" i="2"/>
  <c r="R444" i="2" s="1"/>
  <c r="Q439" i="2"/>
  <c r="Q444" i="2" s="1"/>
  <c r="P439" i="2"/>
  <c r="P440" i="2" s="1"/>
  <c r="O439" i="2"/>
  <c r="O440" i="2" s="1"/>
  <c r="N439" i="2"/>
  <c r="M439" i="2"/>
  <c r="U435" i="2"/>
  <c r="T435" i="2"/>
  <c r="S435" i="2"/>
  <c r="R435" i="2"/>
  <c r="Q435" i="2"/>
  <c r="P435" i="2"/>
  <c r="O435" i="2"/>
  <c r="N435" i="2"/>
  <c r="M435" i="2"/>
  <c r="L435" i="2"/>
  <c r="K435" i="2"/>
  <c r="J435" i="2"/>
  <c r="I435" i="2"/>
  <c r="H435" i="2"/>
  <c r="G435" i="2"/>
  <c r="O199" i="15"/>
  <c r="V438" i="2"/>
  <c r="W438" i="2"/>
  <c r="X438" i="2"/>
  <c r="Y438" i="2"/>
  <c r="Z438" i="2"/>
  <c r="AA438" i="2"/>
  <c r="AB438" i="2"/>
  <c r="AB414" i="2" s="1"/>
  <c r="AC438" i="2"/>
  <c r="AD438" i="2"/>
  <c r="AD414" i="2" s="1"/>
  <c r="AE438" i="2"/>
  <c r="AF438" i="2"/>
  <c r="V420" i="2"/>
  <c r="V421" i="2" s="1"/>
  <c r="W420" i="2"/>
  <c r="W421" i="2" s="1"/>
  <c r="X420" i="2"/>
  <c r="X421" i="2" s="1"/>
  <c r="Y420" i="2"/>
  <c r="Y421" i="2" s="1"/>
  <c r="Z420" i="2"/>
  <c r="Z421" i="2" s="1"/>
  <c r="AA420" i="2"/>
  <c r="AA421" i="2" s="1"/>
  <c r="AB420" i="2"/>
  <c r="AB421" i="2" s="1"/>
  <c r="AC420" i="2"/>
  <c r="AC421" i="2" s="1"/>
  <c r="AD420" i="2"/>
  <c r="AD421" i="2" s="1"/>
  <c r="AE420" i="2"/>
  <c r="AE421" i="2" s="1"/>
  <c r="AF420" i="2"/>
  <c r="AF421" i="2" s="1"/>
  <c r="V455" i="2"/>
  <c r="V462" i="2" s="1"/>
  <c r="V469" i="2"/>
  <c r="V476" i="2" s="1"/>
  <c r="V483" i="2"/>
  <c r="V490" i="2" s="1"/>
  <c r="V502" i="2"/>
  <c r="V509" i="2"/>
  <c r="V575" i="2"/>
  <c r="V577" i="2"/>
  <c r="V586" i="2"/>
  <c r="V591" i="2"/>
  <c r="V611" i="2"/>
  <c r="V637" i="2" s="1"/>
  <c r="V616" i="2"/>
  <c r="V642" i="2" s="1"/>
  <c r="F354" i="1"/>
  <c r="F356" i="1" s="1"/>
  <c r="F345" i="1"/>
  <c r="AA352" i="1"/>
  <c r="Y352" i="1"/>
  <c r="W352" i="1"/>
  <c r="U352" i="1"/>
  <c r="S352" i="1"/>
  <c r="R352" i="1"/>
  <c r="P352" i="1"/>
  <c r="O352" i="1"/>
  <c r="M352" i="1"/>
  <c r="K352" i="1"/>
  <c r="I352" i="1"/>
  <c r="H352" i="1"/>
  <c r="AA351" i="1"/>
  <c r="Y351" i="1"/>
  <c r="W351" i="1"/>
  <c r="U351" i="1"/>
  <c r="S351" i="1"/>
  <c r="R351" i="1"/>
  <c r="P351" i="1"/>
  <c r="O351" i="1"/>
  <c r="M351" i="1"/>
  <c r="K351" i="1"/>
  <c r="I351" i="1"/>
  <c r="H351" i="1"/>
  <c r="AA350" i="1"/>
  <c r="Y350" i="1"/>
  <c r="W350" i="1"/>
  <c r="U350" i="1"/>
  <c r="S350" i="1"/>
  <c r="R350" i="1"/>
  <c r="P350" i="1"/>
  <c r="O350" i="1"/>
  <c r="M350" i="1"/>
  <c r="K350" i="1"/>
  <c r="I350" i="1"/>
  <c r="H350" i="1"/>
  <c r="AA349" i="1"/>
  <c r="Y349" i="1"/>
  <c r="W349" i="1"/>
  <c r="U349" i="1"/>
  <c r="S349" i="1"/>
  <c r="R349" i="1"/>
  <c r="P349" i="1"/>
  <c r="O349" i="1"/>
  <c r="M349" i="1"/>
  <c r="K349" i="1"/>
  <c r="I349" i="1"/>
  <c r="H349" i="1"/>
  <c r="AA348" i="1"/>
  <c r="Y348" i="1"/>
  <c r="W348" i="1"/>
  <c r="U348" i="1"/>
  <c r="S348" i="1"/>
  <c r="R348" i="1"/>
  <c r="P348" i="1"/>
  <c r="O348" i="1"/>
  <c r="M348" i="1"/>
  <c r="K348" i="1"/>
  <c r="I348" i="1"/>
  <c r="H348" i="1"/>
  <c r="AA343" i="1"/>
  <c r="Y343" i="1"/>
  <c r="W343" i="1"/>
  <c r="U343" i="1"/>
  <c r="S343" i="1"/>
  <c r="R343" i="1"/>
  <c r="P343" i="1"/>
  <c r="O343" i="1"/>
  <c r="M343" i="1"/>
  <c r="K343" i="1"/>
  <c r="I343" i="1"/>
  <c r="H343" i="1"/>
  <c r="AA342" i="1"/>
  <c r="Y342" i="1"/>
  <c r="W342" i="1"/>
  <c r="U342" i="1"/>
  <c r="S342" i="1"/>
  <c r="R342" i="1"/>
  <c r="P342" i="1"/>
  <c r="O342" i="1"/>
  <c r="M342" i="1"/>
  <c r="K342" i="1"/>
  <c r="I342" i="1"/>
  <c r="H342" i="1"/>
  <c r="AA341" i="1"/>
  <c r="Y341" i="1"/>
  <c r="W341" i="1"/>
  <c r="U341" i="1"/>
  <c r="S341" i="1"/>
  <c r="R341" i="1"/>
  <c r="P341" i="1"/>
  <c r="O341" i="1"/>
  <c r="M341" i="1"/>
  <c r="K341" i="1"/>
  <c r="I341" i="1"/>
  <c r="H341" i="1"/>
  <c r="AA340" i="1"/>
  <c r="Y340" i="1"/>
  <c r="W340" i="1"/>
  <c r="U340" i="1"/>
  <c r="S340" i="1"/>
  <c r="R340" i="1"/>
  <c r="P340" i="1"/>
  <c r="O340" i="1"/>
  <c r="M340" i="1"/>
  <c r="K340" i="1"/>
  <c r="I340" i="1"/>
  <c r="H340" i="1"/>
  <c r="AA339" i="1"/>
  <c r="Y339" i="1"/>
  <c r="W339" i="1"/>
  <c r="U339" i="1"/>
  <c r="S339" i="1"/>
  <c r="R339" i="1"/>
  <c r="P339" i="1"/>
  <c r="O339" i="1"/>
  <c r="M339" i="1"/>
  <c r="K339" i="1"/>
  <c r="I339" i="1"/>
  <c r="H339" i="1"/>
  <c r="AA338" i="1"/>
  <c r="Y338" i="1"/>
  <c r="W338" i="1"/>
  <c r="U338" i="1"/>
  <c r="S338" i="1"/>
  <c r="R338" i="1"/>
  <c r="P338" i="1"/>
  <c r="O338" i="1"/>
  <c r="M338" i="1"/>
  <c r="K338" i="1"/>
  <c r="I338" i="1"/>
  <c r="H338" i="1"/>
  <c r="AA337" i="1"/>
  <c r="Y337" i="1"/>
  <c r="W337" i="1"/>
  <c r="U337" i="1"/>
  <c r="S337" i="1"/>
  <c r="R337" i="1"/>
  <c r="P337" i="1"/>
  <c r="O337" i="1"/>
  <c r="M337" i="1"/>
  <c r="K337" i="1"/>
  <c r="I337" i="1"/>
  <c r="H337" i="1"/>
  <c r="AA336" i="1"/>
  <c r="Y336" i="1"/>
  <c r="W336" i="1"/>
  <c r="U336" i="1"/>
  <c r="S336" i="1"/>
  <c r="R336" i="1"/>
  <c r="P336" i="1"/>
  <c r="O336" i="1"/>
  <c r="M336" i="1"/>
  <c r="K336" i="1"/>
  <c r="I336" i="1"/>
  <c r="H336" i="1"/>
  <c r="AA177" i="1"/>
  <c r="Y177" i="1"/>
  <c r="W177" i="1"/>
  <c r="U177" i="1"/>
  <c r="S177" i="1"/>
  <c r="R177" i="1"/>
  <c r="P177" i="1"/>
  <c r="O177" i="1"/>
  <c r="M177" i="1"/>
  <c r="K177" i="1"/>
  <c r="AB487" i="1"/>
  <c r="AC487" i="1" s="1"/>
  <c r="AA156" i="1"/>
  <c r="Y156" i="1"/>
  <c r="W156" i="1"/>
  <c r="U156" i="1"/>
  <c r="S156" i="1"/>
  <c r="R156" i="1"/>
  <c r="P156" i="1"/>
  <c r="O156" i="1"/>
  <c r="M156" i="1"/>
  <c r="K156" i="1"/>
  <c r="I156" i="1"/>
  <c r="H156" i="1"/>
  <c r="AA21" i="1"/>
  <c r="Y21" i="1"/>
  <c r="W21" i="1"/>
  <c r="U21" i="1"/>
  <c r="S21" i="1"/>
  <c r="R21" i="1"/>
  <c r="P21" i="1"/>
  <c r="O21" i="1"/>
  <c r="M21" i="1"/>
  <c r="K21" i="1"/>
  <c r="I21" i="1"/>
  <c r="H21" i="1"/>
  <c r="AA22" i="1"/>
  <c r="Y22" i="1"/>
  <c r="W22" i="1"/>
  <c r="U22" i="1"/>
  <c r="S22" i="1"/>
  <c r="R22" i="1"/>
  <c r="P22" i="1"/>
  <c r="O22" i="1"/>
  <c r="M22" i="1"/>
  <c r="K22" i="1"/>
  <c r="I22" i="1"/>
  <c r="H22" i="1"/>
  <c r="AA20" i="1"/>
  <c r="Y20" i="1"/>
  <c r="W20" i="1"/>
  <c r="U20" i="1"/>
  <c r="S20" i="1"/>
  <c r="R20" i="1"/>
  <c r="P20" i="1"/>
  <c r="O20" i="1"/>
  <c r="M20" i="1"/>
  <c r="K20" i="1"/>
  <c r="I20" i="1"/>
  <c r="H20" i="1"/>
  <c r="AA19" i="1"/>
  <c r="Y19" i="1"/>
  <c r="W19" i="1"/>
  <c r="U19" i="1"/>
  <c r="S19" i="1"/>
  <c r="R19" i="1"/>
  <c r="P19" i="1"/>
  <c r="O19" i="1"/>
  <c r="M19" i="1"/>
  <c r="K19" i="1"/>
  <c r="I19" i="1"/>
  <c r="H19" i="1"/>
  <c r="AA18" i="1"/>
  <c r="Y18" i="1"/>
  <c r="W18" i="1"/>
  <c r="U18" i="1"/>
  <c r="S18" i="1"/>
  <c r="R18" i="1"/>
  <c r="P18" i="1"/>
  <c r="O18" i="1"/>
  <c r="M18" i="1"/>
  <c r="K18" i="1"/>
  <c r="I18" i="1"/>
  <c r="H18" i="1"/>
  <c r="AA17" i="1"/>
  <c r="Y17" i="1"/>
  <c r="W17" i="1"/>
  <c r="U17" i="1"/>
  <c r="S17" i="1"/>
  <c r="R17" i="1"/>
  <c r="P17" i="1"/>
  <c r="O17" i="1"/>
  <c r="M17" i="1"/>
  <c r="K17" i="1"/>
  <c r="I17" i="1"/>
  <c r="H17" i="1"/>
  <c r="AA16" i="1"/>
  <c r="Y16" i="1"/>
  <c r="W16" i="1"/>
  <c r="U16" i="1"/>
  <c r="S16" i="1"/>
  <c r="R16" i="1"/>
  <c r="P16" i="1"/>
  <c r="O16" i="1"/>
  <c r="M16" i="1"/>
  <c r="K16" i="1"/>
  <c r="I16" i="1"/>
  <c r="H16" i="1"/>
  <c r="AA15" i="1"/>
  <c r="Y15" i="1"/>
  <c r="W15" i="1"/>
  <c r="U15" i="1"/>
  <c r="S15" i="1"/>
  <c r="R15" i="1"/>
  <c r="P15" i="1"/>
  <c r="O15" i="1"/>
  <c r="M15" i="1"/>
  <c r="K15" i="1"/>
  <c r="I15" i="1"/>
  <c r="H15" i="1"/>
  <c r="F24" i="1"/>
  <c r="K162" i="1"/>
  <c r="F159" i="1"/>
  <c r="F168" i="1"/>
  <c r="F180" i="1"/>
  <c r="AA176" i="1"/>
  <c r="Y176" i="1"/>
  <c r="W176" i="1"/>
  <c r="U176" i="1"/>
  <c r="S176" i="1"/>
  <c r="R176" i="1"/>
  <c r="P176" i="1"/>
  <c r="O176" i="1"/>
  <c r="M176" i="1"/>
  <c r="K176" i="1"/>
  <c r="Y241" i="1"/>
  <c r="K27" i="1"/>
  <c r="AE600" i="2"/>
  <c r="AE626" i="2" s="1"/>
  <c r="AE601" i="2"/>
  <c r="AE627" i="2" s="1"/>
  <c r="G464" i="2"/>
  <c r="H464" i="2"/>
  <c r="I464" i="2"/>
  <c r="J464" i="2"/>
  <c r="K464" i="2"/>
  <c r="L464" i="2"/>
  <c r="M464" i="2"/>
  <c r="N464" i="2"/>
  <c r="O464" i="2"/>
  <c r="P464" i="2"/>
  <c r="Q464" i="2"/>
  <c r="R464" i="2"/>
  <c r="S464" i="2"/>
  <c r="F464" i="2"/>
  <c r="E464" i="2"/>
  <c r="F435" i="2"/>
  <c r="N195" i="15"/>
  <c r="M195" i="15"/>
  <c r="K195" i="15"/>
  <c r="G195" i="15"/>
  <c r="F195" i="15"/>
  <c r="E195" i="15"/>
  <c r="C195" i="15"/>
  <c r="O190" i="15"/>
  <c r="O191" i="15" s="1"/>
  <c r="O70" i="15"/>
  <c r="O50" i="15"/>
  <c r="O51" i="15" s="1"/>
  <c r="N43" i="15"/>
  <c r="N45" i="15" s="1"/>
  <c r="M47" i="15"/>
  <c r="L47" i="15"/>
  <c r="K43" i="15"/>
  <c r="K45" i="15" s="1"/>
  <c r="J47" i="15"/>
  <c r="G47" i="15"/>
  <c r="F43" i="15"/>
  <c r="F45" i="15" s="1"/>
  <c r="E47" i="15"/>
  <c r="O40" i="15"/>
  <c r="O41" i="15" s="1"/>
  <c r="E25" i="15"/>
  <c r="M40" i="1"/>
  <c r="F54" i="1"/>
  <c r="F392" i="1"/>
  <c r="Q471" i="2"/>
  <c r="AG471" i="2" s="1"/>
  <c r="AH471" i="2" s="1"/>
  <c r="AG504" i="2"/>
  <c r="AH504" i="2" s="1"/>
  <c r="K175" i="1"/>
  <c r="M175" i="1"/>
  <c r="O175" i="1"/>
  <c r="P175" i="1"/>
  <c r="R175" i="1"/>
  <c r="S175" i="1"/>
  <c r="U175" i="1"/>
  <c r="W175" i="1"/>
  <c r="Y175" i="1"/>
  <c r="AA175" i="1"/>
  <c r="AA432" i="1"/>
  <c r="W432" i="1"/>
  <c r="U432" i="1"/>
  <c r="S432" i="1"/>
  <c r="R432" i="1"/>
  <c r="P432" i="1"/>
  <c r="O432" i="1"/>
  <c r="M432" i="1"/>
  <c r="K432" i="1"/>
  <c r="I432" i="1"/>
  <c r="H432" i="1"/>
  <c r="Y432" i="1"/>
  <c r="AA255" i="1"/>
  <c r="W255" i="1"/>
  <c r="U255" i="1"/>
  <c r="S255" i="1"/>
  <c r="R255" i="1"/>
  <c r="P255" i="1"/>
  <c r="O255" i="1"/>
  <c r="M255" i="1"/>
  <c r="K255" i="1"/>
  <c r="I255" i="1"/>
  <c r="H255" i="1"/>
  <c r="Y255" i="1"/>
  <c r="AD469" i="2"/>
  <c r="AD476" i="2" s="1"/>
  <c r="AC469" i="2"/>
  <c r="AC476" i="2" s="1"/>
  <c r="AA469" i="2"/>
  <c r="AA499" i="2" s="1"/>
  <c r="Z440" i="2"/>
  <c r="Z441" i="2" s="1"/>
  <c r="AB440" i="2"/>
  <c r="AB442" i="2" s="1"/>
  <c r="AD440" i="2"/>
  <c r="AD441" i="2" s="1"/>
  <c r="AA440" i="2"/>
  <c r="AA442" i="2" s="1"/>
  <c r="AC440" i="2"/>
  <c r="AC442" i="2" s="1"/>
  <c r="AE440" i="2"/>
  <c r="AE441" i="2" s="1"/>
  <c r="AF440" i="2"/>
  <c r="AF442" i="2" s="1"/>
  <c r="AE455" i="2"/>
  <c r="AE462" i="2" s="1"/>
  <c r="AF455" i="2"/>
  <c r="AF462" i="2" s="1"/>
  <c r="AG457" i="2"/>
  <c r="AH457" i="2" s="1"/>
  <c r="AE469" i="2"/>
  <c r="AE499" i="2" s="1"/>
  <c r="AF469" i="2"/>
  <c r="AF499" i="2" s="1"/>
  <c r="E476" i="2"/>
  <c r="AD478" i="2"/>
  <c r="AG478" i="2" s="1"/>
  <c r="AH478" i="2" s="1"/>
  <c r="AF483" i="2"/>
  <c r="AF490" i="2" s="1"/>
  <c r="AG485" i="2"/>
  <c r="AH485" i="2" s="1"/>
  <c r="AE490" i="2"/>
  <c r="AG492" i="2"/>
  <c r="AH492" i="2" s="1"/>
  <c r="E499" i="2"/>
  <c r="AF502" i="2"/>
  <c r="AF509" i="2"/>
  <c r="AF637" i="2"/>
  <c r="AF642" i="2"/>
  <c r="AE643" i="2"/>
  <c r="Z469" i="2"/>
  <c r="Z499" i="2" s="1"/>
  <c r="Z483" i="2"/>
  <c r="Z490" i="2" s="1"/>
  <c r="AD490" i="2"/>
  <c r="AB455" i="2"/>
  <c r="AB462" i="2" s="1"/>
  <c r="AB483" i="2"/>
  <c r="AB490" i="2" s="1"/>
  <c r="K28" i="1"/>
  <c r="K29" i="1"/>
  <c r="K30" i="1"/>
  <c r="K31" i="1"/>
  <c r="K32" i="1"/>
  <c r="K33" i="1"/>
  <c r="M41" i="1"/>
  <c r="M109" i="1" s="1"/>
  <c r="M42" i="1"/>
  <c r="M381" i="1" s="1"/>
  <c r="M43" i="1"/>
  <c r="M111" i="1" s="1"/>
  <c r="M44" i="1"/>
  <c r="M205" i="1" s="1"/>
  <c r="M45" i="1"/>
  <c r="M299" i="1" s="1"/>
  <c r="M46" i="1"/>
  <c r="M223" i="1" s="1"/>
  <c r="M47" i="1"/>
  <c r="M403" i="1" s="1"/>
  <c r="M166" i="1"/>
  <c r="M48" i="1"/>
  <c r="M49" i="1"/>
  <c r="M303" i="1" s="1"/>
  <c r="M50" i="1"/>
  <c r="M304" i="1" s="1"/>
  <c r="M51" i="1"/>
  <c r="M52" i="1"/>
  <c r="M225" i="1" s="1"/>
  <c r="O40" i="1"/>
  <c r="O41" i="1"/>
  <c r="O295" i="1" s="1"/>
  <c r="O42" i="1"/>
  <c r="O221" i="1" s="1"/>
  <c r="O48" i="1"/>
  <c r="O388" i="1" s="1"/>
  <c r="O49" i="1"/>
  <c r="O117" i="1" s="1"/>
  <c r="O50" i="1"/>
  <c r="O385" i="1" s="1"/>
  <c r="O154" i="1"/>
  <c r="O51" i="1"/>
  <c r="O52" i="1"/>
  <c r="U27" i="1"/>
  <c r="U28" i="1"/>
  <c r="U29" i="1"/>
  <c r="U30" i="1"/>
  <c r="U31" i="1"/>
  <c r="U32" i="1"/>
  <c r="U33" i="1"/>
  <c r="U40" i="1"/>
  <c r="U41" i="1"/>
  <c r="U42" i="1"/>
  <c r="U43" i="1"/>
  <c r="U297" i="1" s="1"/>
  <c r="U44" i="1"/>
  <c r="U383" i="1" s="1"/>
  <c r="U45" i="1"/>
  <c r="U113" i="1" s="1"/>
  <c r="U46" i="1"/>
  <c r="U402" i="1" s="1"/>
  <c r="U47" i="1"/>
  <c r="U301" i="1" s="1"/>
  <c r="U48" i="1"/>
  <c r="U302" i="1" s="1"/>
  <c r="U49" i="1"/>
  <c r="U303" i="1" s="1"/>
  <c r="U50" i="1"/>
  <c r="U51" i="1"/>
  <c r="U52" i="1"/>
  <c r="U404" i="1" s="1"/>
  <c r="S27" i="1"/>
  <c r="S28" i="1"/>
  <c r="S29" i="1"/>
  <c r="S30" i="1"/>
  <c r="S31" i="1"/>
  <c r="S32" i="1"/>
  <c r="S33" i="1"/>
  <c r="S40" i="1"/>
  <c r="S41" i="1"/>
  <c r="S42" i="1"/>
  <c r="S382" i="1" s="1"/>
  <c r="S43" i="1"/>
  <c r="S111" i="1" s="1"/>
  <c r="S44" i="1"/>
  <c r="S401" i="1" s="1"/>
  <c r="S45" i="1"/>
  <c r="S46" i="1"/>
  <c r="S47" i="1"/>
  <c r="S48" i="1"/>
  <c r="S49" i="1"/>
  <c r="S303" i="1" s="1"/>
  <c r="S50" i="1"/>
  <c r="S51" i="1"/>
  <c r="S52" i="1"/>
  <c r="R27" i="1"/>
  <c r="R28" i="1"/>
  <c r="R29" i="1"/>
  <c r="R30" i="1"/>
  <c r="R31" i="1"/>
  <c r="R32" i="1"/>
  <c r="R33" i="1"/>
  <c r="R40" i="1"/>
  <c r="R41" i="1"/>
  <c r="R42" i="1"/>
  <c r="R221" i="1" s="1"/>
  <c r="R43" i="1"/>
  <c r="R44" i="1"/>
  <c r="R45" i="1"/>
  <c r="R46" i="1"/>
  <c r="R300" i="1" s="1"/>
  <c r="R47" i="1"/>
  <c r="R224" i="1" s="1"/>
  <c r="R48" i="1"/>
  <c r="R388" i="1" s="1"/>
  <c r="R49" i="1"/>
  <c r="R50" i="1"/>
  <c r="R51" i="1"/>
  <c r="R52" i="1"/>
  <c r="R225" i="1" s="1"/>
  <c r="M27" i="1"/>
  <c r="M28" i="1"/>
  <c r="M29" i="1"/>
  <c r="M30" i="1"/>
  <c r="M31" i="1"/>
  <c r="M32" i="1"/>
  <c r="M33" i="1"/>
  <c r="Y27" i="1"/>
  <c r="Y28" i="1"/>
  <c r="Y29" i="1"/>
  <c r="Y30" i="1"/>
  <c r="Y31" i="1"/>
  <c r="Y32" i="1"/>
  <c r="Y33" i="1"/>
  <c r="Y41" i="1"/>
  <c r="Y109" i="1" s="1"/>
  <c r="Y42" i="1"/>
  <c r="Y382" i="1" s="1"/>
  <c r="Y43" i="1"/>
  <c r="Y297" i="1" s="1"/>
  <c r="Y44" i="1"/>
  <c r="Y222" i="1" s="1"/>
  <c r="Y45" i="1"/>
  <c r="Y299" i="1" s="1"/>
  <c r="Y46" i="1"/>
  <c r="Y114" i="1" s="1"/>
  <c r="Y47" i="1"/>
  <c r="Y301" i="1" s="1"/>
  <c r="Y48" i="1"/>
  <c r="Y388" i="1" s="1"/>
  <c r="Y49" i="1"/>
  <c r="Y386" i="1" s="1"/>
  <c r="Y50" i="1"/>
  <c r="Y118" i="1" s="1"/>
  <c r="Y52" i="1"/>
  <c r="Y404" i="1" s="1"/>
  <c r="Y40" i="1"/>
  <c r="Y51" i="1"/>
  <c r="F75" i="1"/>
  <c r="AA27" i="1"/>
  <c r="AA28" i="1"/>
  <c r="AA29" i="1"/>
  <c r="AA30" i="1"/>
  <c r="AA31" i="1"/>
  <c r="AA32" i="1"/>
  <c r="AA33" i="1"/>
  <c r="AA40" i="1"/>
  <c r="AA41" i="1"/>
  <c r="AA109" i="1" s="1"/>
  <c r="AA42" i="1"/>
  <c r="AA203" i="1" s="1"/>
  <c r="AA43" i="1"/>
  <c r="AA44" i="1"/>
  <c r="AA222" i="1" s="1"/>
  <c r="AA45" i="1"/>
  <c r="AA46" i="1"/>
  <c r="AA300" i="1" s="1"/>
  <c r="AA47" i="1"/>
  <c r="AA224" i="1" s="1"/>
  <c r="AA48" i="1"/>
  <c r="AA388" i="1" s="1"/>
  <c r="AA157" i="1"/>
  <c r="AA49" i="1"/>
  <c r="AA303" i="1" s="1"/>
  <c r="AA50" i="1"/>
  <c r="AA207" i="1" s="1"/>
  <c r="AA154" i="1"/>
  <c r="AA51" i="1"/>
  <c r="AA52" i="1"/>
  <c r="AA404" i="1" s="1"/>
  <c r="P27" i="1"/>
  <c r="P28" i="1"/>
  <c r="P29" i="1"/>
  <c r="P30" i="1"/>
  <c r="P31" i="1"/>
  <c r="P32" i="1"/>
  <c r="P33" i="1"/>
  <c r="P40" i="1"/>
  <c r="P41" i="1"/>
  <c r="P295" i="1" s="1"/>
  <c r="P42" i="1"/>
  <c r="P296" i="1" s="1"/>
  <c r="P48" i="1"/>
  <c r="P116" i="1" s="1"/>
  <c r="P49" i="1"/>
  <c r="P386" i="1" s="1"/>
  <c r="P50" i="1"/>
  <c r="P385" i="1" s="1"/>
  <c r="P51" i="1"/>
  <c r="P52" i="1"/>
  <c r="P225" i="1" s="1"/>
  <c r="W27" i="1"/>
  <c r="W28" i="1"/>
  <c r="W29" i="1"/>
  <c r="W30" i="1"/>
  <c r="W31" i="1"/>
  <c r="W32" i="1"/>
  <c r="W33" i="1"/>
  <c r="W41" i="1"/>
  <c r="W42" i="1"/>
  <c r="W382" i="1" s="1"/>
  <c r="W43" i="1"/>
  <c r="W44" i="1"/>
  <c r="W298" i="1" s="1"/>
  <c r="W45" i="1"/>
  <c r="W299" i="1" s="1"/>
  <c r="W46" i="1"/>
  <c r="W300" i="1" s="1"/>
  <c r="W47" i="1"/>
  <c r="W224" i="1" s="1"/>
  <c r="W48" i="1"/>
  <c r="W388" i="1" s="1"/>
  <c r="W49" i="1"/>
  <c r="W50" i="1"/>
  <c r="W304" i="1" s="1"/>
  <c r="W52" i="1"/>
  <c r="W119" i="1" s="1"/>
  <c r="W40" i="1"/>
  <c r="W51" i="1"/>
  <c r="O27" i="1"/>
  <c r="O28" i="1"/>
  <c r="O29" i="1"/>
  <c r="O30" i="1"/>
  <c r="O31" i="1"/>
  <c r="O32" i="1"/>
  <c r="O33" i="1"/>
  <c r="F12" i="1"/>
  <c r="F91" i="1"/>
  <c r="F124" i="1"/>
  <c r="Y387" i="1"/>
  <c r="Y362" i="1"/>
  <c r="Y363" i="1"/>
  <c r="Y417" i="1"/>
  <c r="Y418" i="1"/>
  <c r="Y419" i="1"/>
  <c r="Y420" i="1"/>
  <c r="Y421" i="1"/>
  <c r="Y426" i="1"/>
  <c r="Y427" i="1"/>
  <c r="Y428" i="1"/>
  <c r="Y429" i="1"/>
  <c r="Y430" i="1"/>
  <c r="Y431" i="1"/>
  <c r="Y433" i="1"/>
  <c r="Y434" i="1"/>
  <c r="Y435" i="1"/>
  <c r="Y436" i="1"/>
  <c r="Y209" i="1"/>
  <c r="Y212" i="1"/>
  <c r="Y240" i="1"/>
  <c r="Y242" i="1"/>
  <c r="Y243" i="1"/>
  <c r="Y249" i="1"/>
  <c r="Y250" i="1"/>
  <c r="Y251" i="1"/>
  <c r="Y252" i="1"/>
  <c r="Y253" i="1"/>
  <c r="Y254" i="1"/>
  <c r="Y256" i="1"/>
  <c r="Y257" i="1"/>
  <c r="Y259" i="1"/>
  <c r="Y260" i="1"/>
  <c r="F408" i="1"/>
  <c r="F377" i="1"/>
  <c r="F423" i="1"/>
  <c r="W209" i="1"/>
  <c r="W212" i="1"/>
  <c r="W178" i="1"/>
  <c r="W240" i="1"/>
  <c r="W241" i="1"/>
  <c r="W242" i="1"/>
  <c r="W243" i="1"/>
  <c r="W244" i="1"/>
  <c r="W249" i="1"/>
  <c r="W250" i="1"/>
  <c r="W251" i="1"/>
  <c r="W252" i="1"/>
  <c r="W253" i="1"/>
  <c r="W254" i="1"/>
  <c r="W256" i="1"/>
  <c r="W257" i="1"/>
  <c r="W259" i="1"/>
  <c r="W260" i="1"/>
  <c r="W387" i="1"/>
  <c r="W417" i="1"/>
  <c r="W418" i="1"/>
  <c r="W419" i="1"/>
  <c r="W420" i="1"/>
  <c r="W421" i="1"/>
  <c r="W426" i="1"/>
  <c r="W427" i="1"/>
  <c r="W428" i="1"/>
  <c r="W429" i="1"/>
  <c r="W430" i="1"/>
  <c r="W431" i="1"/>
  <c r="W433" i="1"/>
  <c r="W434" i="1"/>
  <c r="W435" i="1"/>
  <c r="W436" i="1"/>
  <c r="Y178" i="1"/>
  <c r="U209" i="1"/>
  <c r="U212" i="1"/>
  <c r="U178" i="1"/>
  <c r="U240" i="1"/>
  <c r="U241" i="1"/>
  <c r="U242" i="1"/>
  <c r="U243" i="1"/>
  <c r="U244" i="1"/>
  <c r="U249" i="1"/>
  <c r="U250" i="1"/>
  <c r="U251" i="1"/>
  <c r="U252" i="1"/>
  <c r="U253" i="1"/>
  <c r="U254" i="1"/>
  <c r="U256" i="1"/>
  <c r="U257" i="1"/>
  <c r="U259" i="1"/>
  <c r="U260" i="1"/>
  <c r="U387" i="1"/>
  <c r="U417" i="1"/>
  <c r="U418" i="1"/>
  <c r="U419" i="1"/>
  <c r="U420" i="1"/>
  <c r="U421" i="1"/>
  <c r="U426" i="1"/>
  <c r="U427" i="1"/>
  <c r="U428" i="1"/>
  <c r="U429" i="1"/>
  <c r="U430" i="1"/>
  <c r="U431" i="1"/>
  <c r="U433" i="1"/>
  <c r="U434" i="1"/>
  <c r="U435" i="1"/>
  <c r="U436" i="1"/>
  <c r="U362" i="1"/>
  <c r="U363" i="1"/>
  <c r="R387" i="1"/>
  <c r="R362" i="1"/>
  <c r="R363" i="1"/>
  <c r="R417" i="1"/>
  <c r="R418" i="1"/>
  <c r="R419" i="1"/>
  <c r="R420" i="1"/>
  <c r="R421" i="1"/>
  <c r="R426" i="1"/>
  <c r="R427" i="1"/>
  <c r="R428" i="1"/>
  <c r="R429" i="1"/>
  <c r="R430" i="1"/>
  <c r="R431" i="1"/>
  <c r="R433" i="1"/>
  <c r="R434" i="1"/>
  <c r="R435" i="1"/>
  <c r="R436" i="1"/>
  <c r="R209" i="1"/>
  <c r="R212" i="1"/>
  <c r="R240" i="1"/>
  <c r="R241" i="1"/>
  <c r="R242" i="1"/>
  <c r="R243" i="1"/>
  <c r="R244" i="1"/>
  <c r="R249" i="1"/>
  <c r="R250" i="1"/>
  <c r="R251" i="1"/>
  <c r="R252" i="1"/>
  <c r="R253" i="1"/>
  <c r="R254" i="1"/>
  <c r="R256" i="1"/>
  <c r="R257" i="1"/>
  <c r="R259" i="1"/>
  <c r="R260" i="1"/>
  <c r="R178" i="1"/>
  <c r="W362" i="1"/>
  <c r="W363" i="1"/>
  <c r="K202" i="1"/>
  <c r="K42" i="1"/>
  <c r="K204" i="1" s="1"/>
  <c r="K44" i="1"/>
  <c r="K383" i="1" s="1"/>
  <c r="K46" i="1"/>
  <c r="K114" i="1" s="1"/>
  <c r="K50" i="1"/>
  <c r="K385" i="1" s="1"/>
  <c r="K49" i="1"/>
  <c r="K386" i="1" s="1"/>
  <c r="K209" i="1"/>
  <c r="K48" i="1"/>
  <c r="K388" i="1" s="1"/>
  <c r="K211" i="1"/>
  <c r="K212" i="1"/>
  <c r="K213" i="1"/>
  <c r="K220" i="1"/>
  <c r="K47" i="1"/>
  <c r="K301" i="1" s="1"/>
  <c r="K52" i="1"/>
  <c r="K227" i="1"/>
  <c r="K240" i="1"/>
  <c r="K241" i="1"/>
  <c r="K242" i="1"/>
  <c r="K243" i="1"/>
  <c r="K244" i="1"/>
  <c r="K249" i="1"/>
  <c r="K250" i="1"/>
  <c r="K251" i="1"/>
  <c r="K252" i="1"/>
  <c r="K253" i="1"/>
  <c r="K254" i="1"/>
  <c r="K256" i="1"/>
  <c r="K257" i="1"/>
  <c r="K259" i="1"/>
  <c r="K260" i="1"/>
  <c r="K380" i="1"/>
  <c r="K387" i="1"/>
  <c r="K389" i="1"/>
  <c r="K390" i="1"/>
  <c r="K399" i="1"/>
  <c r="K406" i="1"/>
  <c r="K417" i="1"/>
  <c r="K418" i="1"/>
  <c r="K419" i="1"/>
  <c r="K420" i="1"/>
  <c r="K421" i="1"/>
  <c r="K426" i="1"/>
  <c r="K427" i="1"/>
  <c r="K428" i="1"/>
  <c r="K429" i="1"/>
  <c r="K430" i="1"/>
  <c r="K431" i="1"/>
  <c r="K433" i="1"/>
  <c r="K434" i="1"/>
  <c r="K435" i="1"/>
  <c r="K436" i="1"/>
  <c r="K78" i="1"/>
  <c r="K41" i="1"/>
  <c r="K295" i="1" s="1"/>
  <c r="K43" i="1"/>
  <c r="K45" i="1"/>
  <c r="K108" i="1"/>
  <c r="S387" i="1"/>
  <c r="S362" i="1"/>
  <c r="S363" i="1"/>
  <c r="S417" i="1"/>
  <c r="S418" i="1"/>
  <c r="S419" i="1"/>
  <c r="S420" i="1"/>
  <c r="S421" i="1"/>
  <c r="S426" i="1"/>
  <c r="S427" i="1"/>
  <c r="S428" i="1"/>
  <c r="S429" i="1"/>
  <c r="S430" i="1"/>
  <c r="S431" i="1"/>
  <c r="S433" i="1"/>
  <c r="S434" i="1"/>
  <c r="S435" i="1"/>
  <c r="S436" i="1"/>
  <c r="S209" i="1"/>
  <c r="S212" i="1"/>
  <c r="S240" i="1"/>
  <c r="S241" i="1"/>
  <c r="S242" i="1"/>
  <c r="S243" i="1"/>
  <c r="S244" i="1"/>
  <c r="S249" i="1"/>
  <c r="S250" i="1"/>
  <c r="S251" i="1"/>
  <c r="S252" i="1"/>
  <c r="S253" i="1"/>
  <c r="S254" i="1"/>
  <c r="S256" i="1"/>
  <c r="S257" i="1"/>
  <c r="S259" i="1"/>
  <c r="S260" i="1"/>
  <c r="AA209" i="1"/>
  <c r="AA212" i="1"/>
  <c r="AA178" i="1"/>
  <c r="AA240" i="1"/>
  <c r="AA241" i="1"/>
  <c r="AA242" i="1"/>
  <c r="AA243" i="1"/>
  <c r="AA244" i="1"/>
  <c r="AA249" i="1"/>
  <c r="AA250" i="1"/>
  <c r="AA251" i="1"/>
  <c r="AA252" i="1"/>
  <c r="AA253" i="1"/>
  <c r="AA254" i="1"/>
  <c r="AA256" i="1"/>
  <c r="AA257" i="1"/>
  <c r="AA259" i="1"/>
  <c r="AA260" i="1"/>
  <c r="AA387" i="1"/>
  <c r="AA417" i="1"/>
  <c r="AA418" i="1"/>
  <c r="AA419" i="1"/>
  <c r="AA420" i="1"/>
  <c r="AA421" i="1"/>
  <c r="AA426" i="1"/>
  <c r="AA427" i="1"/>
  <c r="AA428" i="1"/>
  <c r="AA429" i="1"/>
  <c r="AA430" i="1"/>
  <c r="AA431" i="1"/>
  <c r="AA433" i="1"/>
  <c r="AA434" i="1"/>
  <c r="AA435" i="1"/>
  <c r="AA436" i="1"/>
  <c r="P209" i="1"/>
  <c r="P212" i="1"/>
  <c r="P178" i="1"/>
  <c r="P240" i="1"/>
  <c r="P241" i="1"/>
  <c r="P242" i="1"/>
  <c r="P243" i="1"/>
  <c r="P244" i="1"/>
  <c r="P249" i="1"/>
  <c r="P250" i="1"/>
  <c r="P251" i="1"/>
  <c r="P252" i="1"/>
  <c r="P253" i="1"/>
  <c r="P254" i="1"/>
  <c r="P256" i="1"/>
  <c r="P257" i="1"/>
  <c r="P259" i="1"/>
  <c r="P260" i="1"/>
  <c r="P387" i="1"/>
  <c r="P417" i="1"/>
  <c r="P418" i="1"/>
  <c r="P419" i="1"/>
  <c r="P420" i="1"/>
  <c r="P421" i="1"/>
  <c r="P426" i="1"/>
  <c r="P427" i="1"/>
  <c r="P428" i="1"/>
  <c r="P429" i="1"/>
  <c r="P430" i="1"/>
  <c r="P431" i="1"/>
  <c r="P433" i="1"/>
  <c r="P434" i="1"/>
  <c r="P435" i="1"/>
  <c r="P436" i="1"/>
  <c r="I40" i="1"/>
  <c r="I41" i="1"/>
  <c r="I295" i="1" s="1"/>
  <c r="I42" i="1"/>
  <c r="I203" i="1" s="1"/>
  <c r="I43" i="1"/>
  <c r="I297" i="1" s="1"/>
  <c r="I44" i="1"/>
  <c r="I45" i="1"/>
  <c r="I113" i="1" s="1"/>
  <c r="I46" i="1"/>
  <c r="I384" i="1" s="1"/>
  <c r="I47" i="1"/>
  <c r="I403" i="1" s="1"/>
  <c r="I48" i="1"/>
  <c r="I388" i="1" s="1"/>
  <c r="I157" i="1"/>
  <c r="I49" i="1"/>
  <c r="I208" i="1" s="1"/>
  <c r="I50" i="1"/>
  <c r="I304" i="1" s="1"/>
  <c r="I51" i="1"/>
  <c r="I52" i="1"/>
  <c r="I119" i="1" s="1"/>
  <c r="I209" i="1"/>
  <c r="I212" i="1"/>
  <c r="I27" i="1"/>
  <c r="I28" i="1"/>
  <c r="I29" i="1"/>
  <c r="I30" i="1"/>
  <c r="I31" i="1"/>
  <c r="I32" i="1"/>
  <c r="I33" i="1"/>
  <c r="I240" i="1"/>
  <c r="I241" i="1"/>
  <c r="I242" i="1"/>
  <c r="I243" i="1"/>
  <c r="I244" i="1"/>
  <c r="I249" i="1"/>
  <c r="I250" i="1"/>
  <c r="I251" i="1"/>
  <c r="I252" i="1"/>
  <c r="I253" i="1"/>
  <c r="I254" i="1"/>
  <c r="I256" i="1"/>
  <c r="I257" i="1"/>
  <c r="I259" i="1"/>
  <c r="I260" i="1"/>
  <c r="I387" i="1"/>
  <c r="I417" i="1"/>
  <c r="I418" i="1"/>
  <c r="I419" i="1"/>
  <c r="I420" i="1"/>
  <c r="I421" i="1"/>
  <c r="I426" i="1"/>
  <c r="I427" i="1"/>
  <c r="I428" i="1"/>
  <c r="I429" i="1"/>
  <c r="I430" i="1"/>
  <c r="I431" i="1"/>
  <c r="I433" i="1"/>
  <c r="I434" i="1"/>
  <c r="I435" i="1"/>
  <c r="I436" i="1"/>
  <c r="M209" i="1"/>
  <c r="M212" i="1"/>
  <c r="M178" i="1"/>
  <c r="M240" i="1"/>
  <c r="M241" i="1"/>
  <c r="M242" i="1"/>
  <c r="M243" i="1"/>
  <c r="M244" i="1"/>
  <c r="M249" i="1"/>
  <c r="M250" i="1"/>
  <c r="M251" i="1"/>
  <c r="M252" i="1"/>
  <c r="M253" i="1"/>
  <c r="M254" i="1"/>
  <c r="M256" i="1"/>
  <c r="M257" i="1"/>
  <c r="M259" i="1"/>
  <c r="M260" i="1"/>
  <c r="M387" i="1"/>
  <c r="M417" i="1"/>
  <c r="M418" i="1"/>
  <c r="M419" i="1"/>
  <c r="M420" i="1"/>
  <c r="M421" i="1"/>
  <c r="M426" i="1"/>
  <c r="M427" i="1"/>
  <c r="M428" i="1"/>
  <c r="M429" i="1"/>
  <c r="M430" i="1"/>
  <c r="M431" i="1"/>
  <c r="M433" i="1"/>
  <c r="M434" i="1"/>
  <c r="M435" i="1"/>
  <c r="M436" i="1"/>
  <c r="AA362" i="1"/>
  <c r="AA363" i="1"/>
  <c r="M362" i="1"/>
  <c r="M363" i="1"/>
  <c r="S178" i="1"/>
  <c r="P362" i="1"/>
  <c r="P363" i="1"/>
  <c r="O387" i="1"/>
  <c r="O362" i="1"/>
  <c r="O363" i="1"/>
  <c r="O417" i="1"/>
  <c r="O418" i="1"/>
  <c r="O419" i="1"/>
  <c r="O420" i="1"/>
  <c r="O421" i="1"/>
  <c r="O426" i="1"/>
  <c r="O427" i="1"/>
  <c r="O428" i="1"/>
  <c r="O429" i="1"/>
  <c r="O430" i="1"/>
  <c r="O431" i="1"/>
  <c r="O433" i="1"/>
  <c r="O434" i="1"/>
  <c r="O435" i="1"/>
  <c r="O436" i="1"/>
  <c r="O209" i="1"/>
  <c r="O212" i="1"/>
  <c r="O240" i="1"/>
  <c r="O241" i="1"/>
  <c r="O242" i="1"/>
  <c r="O243" i="1"/>
  <c r="O244" i="1"/>
  <c r="O249" i="1"/>
  <c r="O250" i="1"/>
  <c r="O251" i="1"/>
  <c r="O252" i="1"/>
  <c r="O253" i="1"/>
  <c r="O254" i="1"/>
  <c r="O256" i="1"/>
  <c r="O257" i="1"/>
  <c r="O259" i="1"/>
  <c r="O260" i="1"/>
  <c r="O178" i="1"/>
  <c r="K306" i="1"/>
  <c r="K310" i="1"/>
  <c r="H40" i="1"/>
  <c r="H41" i="1"/>
  <c r="H42" i="1"/>
  <c r="H400" i="1" s="1"/>
  <c r="H43" i="1"/>
  <c r="H111" i="1" s="1"/>
  <c r="H44" i="1"/>
  <c r="H222" i="1" s="1"/>
  <c r="H45" i="1"/>
  <c r="H299" i="1" s="1"/>
  <c r="H46" i="1"/>
  <c r="H300" i="1" s="1"/>
  <c r="H47" i="1"/>
  <c r="H403" i="1" s="1"/>
  <c r="H48" i="1"/>
  <c r="H210" i="1" s="1"/>
  <c r="H49" i="1"/>
  <c r="H226" i="1" s="1"/>
  <c r="H50" i="1"/>
  <c r="H118" i="1" s="1"/>
  <c r="H51" i="1"/>
  <c r="H52" i="1"/>
  <c r="H209" i="1"/>
  <c r="H212" i="1"/>
  <c r="H27" i="1"/>
  <c r="H28" i="1"/>
  <c r="H29" i="1"/>
  <c r="H30" i="1"/>
  <c r="H31" i="1"/>
  <c r="H32" i="1"/>
  <c r="H33" i="1"/>
  <c r="H240" i="1"/>
  <c r="H241" i="1"/>
  <c r="H242" i="1"/>
  <c r="H243" i="1"/>
  <c r="H244" i="1"/>
  <c r="H249" i="1"/>
  <c r="H250" i="1"/>
  <c r="H251" i="1"/>
  <c r="H252" i="1"/>
  <c r="H253" i="1"/>
  <c r="H254" i="1"/>
  <c r="H256" i="1"/>
  <c r="H257" i="1"/>
  <c r="H259" i="1"/>
  <c r="H260" i="1"/>
  <c r="H387" i="1"/>
  <c r="H417" i="1"/>
  <c r="H418" i="1"/>
  <c r="H419" i="1"/>
  <c r="H420" i="1"/>
  <c r="H421" i="1"/>
  <c r="H426" i="1"/>
  <c r="H427" i="1"/>
  <c r="H428" i="1"/>
  <c r="H429" i="1"/>
  <c r="H430" i="1"/>
  <c r="H431" i="1"/>
  <c r="H433" i="1"/>
  <c r="H434" i="1"/>
  <c r="H435" i="1"/>
  <c r="H436" i="1"/>
  <c r="K40" i="1"/>
  <c r="K51" i="1"/>
  <c r="F365" i="1"/>
  <c r="F459" i="1"/>
  <c r="F312" i="1"/>
  <c r="F326" i="1" s="1"/>
  <c r="AB467" i="1"/>
  <c r="AC467" i="1" s="1"/>
  <c r="AB472" i="1"/>
  <c r="AC472" i="1" s="1"/>
  <c r="AB473" i="1"/>
  <c r="AC473" i="1" s="1"/>
  <c r="AB474" i="1"/>
  <c r="AC474" i="1" s="1"/>
  <c r="AB475" i="1"/>
  <c r="AC475" i="1" s="1"/>
  <c r="AB476" i="1"/>
  <c r="AC476" i="1" s="1"/>
  <c r="AB477" i="1"/>
  <c r="AC477" i="1" s="1"/>
  <c r="AB478" i="1"/>
  <c r="AC478" i="1" s="1"/>
  <c r="AB483" i="1"/>
  <c r="AC483" i="1" s="1"/>
  <c r="AB484" i="1"/>
  <c r="AC484" i="1" s="1"/>
  <c r="AB485" i="1"/>
  <c r="AC485" i="1" s="1"/>
  <c r="AB486" i="1"/>
  <c r="AC486" i="1" s="1"/>
  <c r="AA483" i="2"/>
  <c r="AA490" i="2" s="1"/>
  <c r="AA455" i="2"/>
  <c r="AA462" i="2" s="1"/>
  <c r="F438" i="1"/>
  <c r="Z455" i="2"/>
  <c r="Z462" i="2" s="1"/>
  <c r="AB469" i="2"/>
  <c r="AB476" i="2" s="1"/>
  <c r="AC455" i="2"/>
  <c r="AC462" i="2" s="1"/>
  <c r="AC483" i="2"/>
  <c r="AC490" i="2" s="1"/>
  <c r="AD455" i="2"/>
  <c r="AD462" i="2" s="1"/>
  <c r="K363" i="1"/>
  <c r="K362" i="1"/>
  <c r="K178" i="1"/>
  <c r="Z509" i="2"/>
  <c r="Z502" i="2"/>
  <c r="X509" i="2"/>
  <c r="Y509" i="2"/>
  <c r="W509" i="2"/>
  <c r="Y469" i="2"/>
  <c r="Y499" i="2" s="1"/>
  <c r="W483" i="2"/>
  <c r="W490" i="2" s="1"/>
  <c r="Y455" i="2"/>
  <c r="Y462" i="2" s="1"/>
  <c r="W469" i="2"/>
  <c r="W476" i="2" s="1"/>
  <c r="X469" i="2"/>
  <c r="X476" i="2" s="1"/>
  <c r="Y502" i="2"/>
  <c r="AG511" i="2"/>
  <c r="AH511" i="2" s="1"/>
  <c r="X502" i="2"/>
  <c r="X483" i="2"/>
  <c r="X490" i="2" s="1"/>
  <c r="W502" i="2"/>
  <c r="X455" i="2"/>
  <c r="X462" i="2" s="1"/>
  <c r="Y483" i="2"/>
  <c r="Y490" i="2" s="1"/>
  <c r="W455" i="2"/>
  <c r="W462" i="2" s="1"/>
  <c r="AF616" i="2"/>
  <c r="AF591" i="2"/>
  <c r="AF587" i="2"/>
  <c r="AE577" i="2"/>
  <c r="Z577" i="2"/>
  <c r="AA577" i="2"/>
  <c r="U577" i="2"/>
  <c r="Y577" i="2"/>
  <c r="AD577" i="2"/>
  <c r="T577" i="2"/>
  <c r="AB577" i="2"/>
  <c r="AC577" i="2"/>
  <c r="AF577" i="2"/>
  <c r="AF601" i="2"/>
  <c r="AF627" i="2" s="1"/>
  <c r="X577" i="2"/>
  <c r="W577" i="2"/>
  <c r="E462" i="2"/>
  <c r="E483" i="2" s="1"/>
  <c r="E490" i="2" s="1"/>
  <c r="U586" i="2"/>
  <c r="U611" i="2"/>
  <c r="U637" i="2" s="1"/>
  <c r="W586" i="2"/>
  <c r="W611" i="2"/>
  <c r="W637" i="2" s="1"/>
  <c r="AB611" i="2"/>
  <c r="AB637" i="2" s="1"/>
  <c r="AB586" i="2"/>
  <c r="AD591" i="2"/>
  <c r="AD616" i="2"/>
  <c r="AD642" i="2" s="1"/>
  <c r="AA586" i="2"/>
  <c r="AA611" i="2"/>
  <c r="AA637" i="2" s="1"/>
  <c r="AC616" i="2"/>
  <c r="AC642" i="2" s="1"/>
  <c r="AC591" i="2"/>
  <c r="Y616" i="2"/>
  <c r="Y642" i="2" s="1"/>
  <c r="Y591" i="2"/>
  <c r="T616" i="2"/>
  <c r="T642" i="2" s="1"/>
  <c r="T591" i="2"/>
  <c r="X591" i="2"/>
  <c r="X616" i="2"/>
  <c r="X642" i="2" s="1"/>
  <c r="Z591" i="2"/>
  <c r="Z616" i="2"/>
  <c r="Z642" i="2" s="1"/>
  <c r="AE586" i="2"/>
  <c r="AE611" i="2"/>
  <c r="AE637" i="2" s="1"/>
  <c r="AF592" i="2"/>
  <c r="AA591" i="2"/>
  <c r="AA616" i="2"/>
  <c r="AA642" i="2" s="1"/>
  <c r="Y586" i="2"/>
  <c r="Y611" i="2"/>
  <c r="Y637" i="2" s="1"/>
  <c r="X611" i="2"/>
  <c r="X637" i="2" s="1"/>
  <c r="X586" i="2"/>
  <c r="Z611" i="2"/>
  <c r="Z637" i="2" s="1"/>
  <c r="Z586" i="2"/>
  <c r="AE616" i="2"/>
  <c r="AE642" i="2" s="1"/>
  <c r="AE591" i="2"/>
  <c r="AF611" i="2"/>
  <c r="AF586" i="2"/>
  <c r="AC611" i="2"/>
  <c r="AC637" i="2" s="1"/>
  <c r="AC586" i="2"/>
  <c r="U616" i="2"/>
  <c r="U591" i="2"/>
  <c r="W591" i="2"/>
  <c r="W616" i="2"/>
  <c r="W642" i="2" s="1"/>
  <c r="AB616" i="2"/>
  <c r="AB642" i="2" s="1"/>
  <c r="AB591" i="2"/>
  <c r="AD586" i="2"/>
  <c r="AD611" i="2"/>
  <c r="AD637" i="2" s="1"/>
  <c r="U642" i="2"/>
  <c r="T611" i="2"/>
  <c r="T637" i="2" s="1"/>
  <c r="T586" i="2"/>
  <c r="AD575" i="2"/>
  <c r="AC575" i="2"/>
  <c r="AF575" i="2"/>
  <c r="AF600" i="2"/>
  <c r="AF626" i="2" s="1"/>
  <c r="T575" i="2"/>
  <c r="U575" i="2"/>
  <c r="X575" i="2"/>
  <c r="AE575" i="2"/>
  <c r="AA575" i="2"/>
  <c r="W575" i="2"/>
  <c r="Y575" i="2"/>
  <c r="AB575" i="2"/>
  <c r="Z575" i="2"/>
  <c r="R162" i="1"/>
  <c r="S162" i="1"/>
  <c r="H157" i="1"/>
  <c r="H152" i="1"/>
  <c r="H164" i="1"/>
  <c r="I166" i="1"/>
  <c r="K155" i="1"/>
  <c r="K151" i="1"/>
  <c r="K163" i="1"/>
  <c r="K150" i="1"/>
  <c r="W166" i="1"/>
  <c r="P154" i="1"/>
  <c r="P153" i="1"/>
  <c r="P165" i="1"/>
  <c r="P151" i="1"/>
  <c r="P163" i="1"/>
  <c r="P150" i="1"/>
  <c r="AA153" i="1"/>
  <c r="AA165" i="1"/>
  <c r="AA151" i="1"/>
  <c r="AA163" i="1"/>
  <c r="AA150" i="1"/>
  <c r="Y157" i="1"/>
  <c r="Y152" i="1"/>
  <c r="Y164" i="1"/>
  <c r="R154" i="1"/>
  <c r="R165" i="1"/>
  <c r="R153" i="1"/>
  <c r="R151" i="1"/>
  <c r="R163" i="1"/>
  <c r="R150" i="1"/>
  <c r="S154" i="1"/>
  <c r="S153" i="1"/>
  <c r="S165" i="1"/>
  <c r="S151" i="1"/>
  <c r="S163" i="1"/>
  <c r="S150" i="1"/>
  <c r="U154" i="1"/>
  <c r="U153" i="1"/>
  <c r="U165" i="1"/>
  <c r="U163" i="1"/>
  <c r="U150" i="1"/>
  <c r="U151" i="1"/>
  <c r="O153" i="1"/>
  <c r="O165" i="1"/>
  <c r="O163" i="1"/>
  <c r="O150" i="1"/>
  <c r="O151" i="1"/>
  <c r="H155" i="1"/>
  <c r="I164" i="1"/>
  <c r="I152" i="1"/>
  <c r="K152" i="1"/>
  <c r="K164" i="1"/>
  <c r="W157" i="1"/>
  <c r="W164" i="1"/>
  <c r="W152" i="1"/>
  <c r="P166" i="1"/>
  <c r="AA166" i="1"/>
  <c r="Y155" i="1"/>
  <c r="R166" i="1"/>
  <c r="S166" i="1"/>
  <c r="U166" i="1"/>
  <c r="O166" i="1"/>
  <c r="M157" i="1"/>
  <c r="M152" i="1"/>
  <c r="M164" i="1"/>
  <c r="H154" i="1"/>
  <c r="H153" i="1"/>
  <c r="H165" i="1"/>
  <c r="H163" i="1"/>
  <c r="H150" i="1"/>
  <c r="H151" i="1"/>
  <c r="I155" i="1"/>
  <c r="K157" i="1"/>
  <c r="K165" i="1"/>
  <c r="K153" i="1"/>
  <c r="W155" i="1"/>
  <c r="P157" i="1"/>
  <c r="P164" i="1"/>
  <c r="P152" i="1"/>
  <c r="AA152" i="1"/>
  <c r="AA164" i="1"/>
  <c r="Y154" i="1"/>
  <c r="Y165" i="1"/>
  <c r="Y153" i="1"/>
  <c r="Y151" i="1"/>
  <c r="Y163" i="1"/>
  <c r="Y150" i="1"/>
  <c r="R157" i="1"/>
  <c r="R152" i="1"/>
  <c r="R164" i="1"/>
  <c r="S157" i="1"/>
  <c r="S152" i="1"/>
  <c r="S164" i="1"/>
  <c r="U157" i="1"/>
  <c r="U152" i="1"/>
  <c r="U164" i="1"/>
  <c r="O157" i="1"/>
  <c r="O152" i="1"/>
  <c r="O164" i="1"/>
  <c r="M155" i="1"/>
  <c r="O162" i="1"/>
  <c r="H166" i="1"/>
  <c r="I154" i="1"/>
  <c r="I153" i="1"/>
  <c r="I165" i="1"/>
  <c r="I151" i="1"/>
  <c r="I163" i="1"/>
  <c r="I150" i="1"/>
  <c r="K166" i="1"/>
  <c r="K154" i="1"/>
  <c r="W154" i="1"/>
  <c r="W153" i="1"/>
  <c r="W165" i="1"/>
  <c r="W151" i="1"/>
  <c r="W163" i="1"/>
  <c r="W150" i="1"/>
  <c r="P155" i="1"/>
  <c r="AA155" i="1"/>
  <c r="Y166" i="1"/>
  <c r="R155" i="1"/>
  <c r="S155" i="1"/>
  <c r="U155" i="1"/>
  <c r="O155" i="1"/>
  <c r="M154" i="1"/>
  <c r="M153" i="1"/>
  <c r="M165" i="1"/>
  <c r="M151" i="1"/>
  <c r="M163" i="1"/>
  <c r="M150" i="1"/>
  <c r="I162" i="1"/>
  <c r="AA162" i="1"/>
  <c r="Y162" i="1"/>
  <c r="P162" i="1"/>
  <c r="W162" i="1"/>
  <c r="M162" i="1"/>
  <c r="H162" i="1"/>
  <c r="U162" i="1"/>
  <c r="K87" i="1"/>
  <c r="K136" i="1"/>
  <c r="H195" i="15"/>
  <c r="O80" i="15"/>
  <c r="D12" i="15" s="1"/>
  <c r="N12" i="15" s="1"/>
  <c r="I195" i="15"/>
  <c r="U421" i="2"/>
  <c r="L195" i="15"/>
  <c r="D195" i="15"/>
  <c r="J195" i="15"/>
  <c r="O193" i="15"/>
  <c r="Q193" i="15"/>
  <c r="H23" i="15" s="1"/>
  <c r="U450" i="2" s="1"/>
  <c r="P77" i="15"/>
  <c r="G11" i="15" s="1"/>
  <c r="O77" i="15"/>
  <c r="F11" i="15" s="1"/>
  <c r="I451" i="2" s="1"/>
  <c r="I469" i="2" s="1"/>
  <c r="O87" i="15"/>
  <c r="F12" i="15" s="1"/>
  <c r="J451" i="2" s="1"/>
  <c r="P87" i="15"/>
  <c r="G12" i="15" s="1"/>
  <c r="S421" i="2"/>
  <c r="T421" i="2"/>
  <c r="K139" i="1"/>
  <c r="F35" i="1"/>
  <c r="F199" i="1"/>
  <c r="F215" i="1"/>
  <c r="F246" i="1"/>
  <c r="F283" i="1"/>
  <c r="Y244" i="1"/>
  <c r="N420" i="2"/>
  <c r="N421" i="2" s="1"/>
  <c r="O420" i="2"/>
  <c r="O421" i="2" s="1"/>
  <c r="P420" i="2"/>
  <c r="P421" i="2" s="1"/>
  <c r="Q420" i="2"/>
  <c r="Q421" i="2" s="1"/>
  <c r="R420" i="2"/>
  <c r="R421" i="2" s="1"/>
  <c r="Q83" i="15"/>
  <c r="H12" i="15" s="1"/>
  <c r="J450" i="2" s="1"/>
  <c r="O83" i="15"/>
  <c r="K89" i="1"/>
  <c r="K137" i="1"/>
  <c r="K138" i="1"/>
  <c r="K105" i="1"/>
  <c r="AA258" i="1"/>
  <c r="AF430" i="2"/>
  <c r="V430" i="2"/>
  <c r="Q430" i="2"/>
  <c r="N430" i="2"/>
  <c r="I430" i="2"/>
  <c r="AC430" i="2"/>
  <c r="J430" i="2"/>
  <c r="S430" i="2"/>
  <c r="X430" i="2"/>
  <c r="H430" i="2"/>
  <c r="G430" i="2"/>
  <c r="AA430" i="2"/>
  <c r="AE430" i="2"/>
  <c r="R430" i="2"/>
  <c r="Y430" i="2"/>
  <c r="AD430" i="2"/>
  <c r="W430" i="2"/>
  <c r="O430" i="2"/>
  <c r="U430" i="2"/>
  <c r="G437" i="2"/>
  <c r="T430" i="2"/>
  <c r="AB430" i="2"/>
  <c r="F430" i="2"/>
  <c r="P57" i="15"/>
  <c r="G9" i="15" s="1"/>
  <c r="O57" i="15"/>
  <c r="F9" i="15" s="1"/>
  <c r="G451" i="2" s="1"/>
  <c r="N437" i="2"/>
  <c r="O437" i="2" s="1"/>
  <c r="W499" i="2"/>
  <c r="AA476" i="2"/>
  <c r="O90" i="15"/>
  <c r="D13" i="15" s="1"/>
  <c r="N13" i="15" s="1"/>
  <c r="X499" i="2"/>
  <c r="D9" i="15"/>
  <c r="N9" i="15" s="1"/>
  <c r="D43" i="15"/>
  <c r="D7" i="8"/>
  <c r="F7" i="8" s="1"/>
  <c r="AB441" i="2" l="1"/>
  <c r="AF476" i="2"/>
  <c r="F170" i="1"/>
  <c r="AE476" i="2"/>
  <c r="H73" i="15"/>
  <c r="G73" i="15"/>
  <c r="J73" i="15"/>
  <c r="J75" i="15" s="1"/>
  <c r="K73" i="15"/>
  <c r="K75" i="15" s="1"/>
  <c r="L73" i="15"/>
  <c r="L75" i="15" s="1"/>
  <c r="D73" i="15"/>
  <c r="D75" i="15" s="1"/>
  <c r="N73" i="15"/>
  <c r="N75" i="15" s="1"/>
  <c r="F73" i="15"/>
  <c r="AA441" i="2"/>
  <c r="Z442" i="2"/>
  <c r="G469" i="2"/>
  <c r="G499" i="2" s="1"/>
  <c r="G500" i="2" s="1"/>
  <c r="J469" i="2"/>
  <c r="J499" i="2" s="1"/>
  <c r="J500" i="2" s="1"/>
  <c r="X500" i="2"/>
  <c r="B119" i="15"/>
  <c r="B109" i="15"/>
  <c r="F99" i="1"/>
  <c r="A99" i="15"/>
  <c r="L14" i="15"/>
  <c r="AB344" i="2"/>
  <c r="L15" i="15"/>
  <c r="AA414" i="2"/>
  <c r="AA344" i="2"/>
  <c r="V344" i="2"/>
  <c r="Z476" i="2"/>
  <c r="AF414" i="2"/>
  <c r="AF344" i="2"/>
  <c r="Z414" i="2"/>
  <c r="Z344" i="2"/>
  <c r="Y476" i="2"/>
  <c r="AB499" i="2"/>
  <c r="AB500" i="2" s="1"/>
  <c r="P354" i="1"/>
  <c r="AE414" i="2"/>
  <c r="AE344" i="2"/>
  <c r="Y414" i="2"/>
  <c r="Y344" i="2"/>
  <c r="X414" i="2"/>
  <c r="X344" i="2"/>
  <c r="F56" i="1"/>
  <c r="F58" i="1" s="1"/>
  <c r="AD344" i="2"/>
  <c r="W414" i="2"/>
  <c r="W344" i="2"/>
  <c r="AC414" i="2"/>
  <c r="AC344" i="2"/>
  <c r="V414" i="2"/>
  <c r="U354" i="1"/>
  <c r="AE644" i="2"/>
  <c r="AG464" i="2"/>
  <c r="AH464" i="2" s="1"/>
  <c r="AF500" i="2"/>
  <c r="Y500" i="2"/>
  <c r="AE442" i="2"/>
  <c r="AF588" i="2"/>
  <c r="AF593" i="2"/>
  <c r="AD499" i="2"/>
  <c r="AD500" i="2" s="1"/>
  <c r="AF441" i="2"/>
  <c r="AC499" i="2"/>
  <c r="AC500" i="2" s="1"/>
  <c r="AC441" i="2"/>
  <c r="AA500" i="2"/>
  <c r="AE500" i="2"/>
  <c r="W500" i="2"/>
  <c r="V499" i="2"/>
  <c r="V500" i="2" s="1"/>
  <c r="AD442" i="2"/>
  <c r="F47" i="15"/>
  <c r="Q103" i="15"/>
  <c r="H14" i="15" s="1"/>
  <c r="L450" i="2" s="1"/>
  <c r="D16" i="15"/>
  <c r="N436" i="2" s="1"/>
  <c r="N509" i="2" s="1"/>
  <c r="K47" i="15"/>
  <c r="Q10" i="15"/>
  <c r="E28" i="15"/>
  <c r="E29" i="15" s="1"/>
  <c r="D66" i="18"/>
  <c r="D120" i="18"/>
  <c r="M108" i="18"/>
  <c r="D118" i="18" s="1"/>
  <c r="F410" i="1"/>
  <c r="F412" i="1" s="1"/>
  <c r="F414" i="1" s="1"/>
  <c r="F461" i="1" s="1"/>
  <c r="F463" i="1" s="1"/>
  <c r="F82" i="1"/>
  <c r="F98" i="1" s="1"/>
  <c r="AA354" i="1"/>
  <c r="Y354" i="1"/>
  <c r="W354" i="1"/>
  <c r="F231" i="1"/>
  <c r="F235" i="1" s="1"/>
  <c r="U299" i="1"/>
  <c r="M224" i="1"/>
  <c r="U405" i="1"/>
  <c r="S386" i="1"/>
  <c r="K115" i="1"/>
  <c r="Y302" i="1"/>
  <c r="W400" i="1"/>
  <c r="P210" i="1"/>
  <c r="M301" i="1"/>
  <c r="U208" i="1"/>
  <c r="I404" i="1"/>
  <c r="S208" i="1"/>
  <c r="K118" i="1"/>
  <c r="M365" i="1"/>
  <c r="M24" i="1"/>
  <c r="M293" i="1" s="1"/>
  <c r="S24" i="1"/>
  <c r="S85" i="1" s="1"/>
  <c r="AA24" i="1"/>
  <c r="AA293" i="1" s="1"/>
  <c r="F442" i="2"/>
  <c r="R404" i="1"/>
  <c r="R116" i="1"/>
  <c r="O208" i="1"/>
  <c r="W222" i="1"/>
  <c r="P400" i="1"/>
  <c r="H115" i="1"/>
  <c r="W112" i="1"/>
  <c r="W116" i="1"/>
  <c r="H301" i="1"/>
  <c r="O303" i="1"/>
  <c r="M208" i="1"/>
  <c r="U119" i="1"/>
  <c r="AA401" i="1"/>
  <c r="W383" i="1"/>
  <c r="P207" i="1"/>
  <c r="I354" i="1"/>
  <c r="H385" i="1"/>
  <c r="K365" i="1"/>
  <c r="H206" i="1"/>
  <c r="M383" i="1"/>
  <c r="U223" i="1"/>
  <c r="W115" i="1"/>
  <c r="M405" i="1"/>
  <c r="M206" i="1"/>
  <c r="Y203" i="1"/>
  <c r="AA298" i="1"/>
  <c r="H223" i="1"/>
  <c r="M226" i="1"/>
  <c r="Y304" i="1"/>
  <c r="Y206" i="1"/>
  <c r="W301" i="1"/>
  <c r="H381" i="1"/>
  <c r="M117" i="1"/>
  <c r="AA205" i="1"/>
  <c r="H114" i="1"/>
  <c r="W225" i="1"/>
  <c r="AA365" i="1"/>
  <c r="M386" i="1"/>
  <c r="Y223" i="1"/>
  <c r="U225" i="1"/>
  <c r="W403" i="1"/>
  <c r="P405" i="1"/>
  <c r="O405" i="1"/>
  <c r="O226" i="1"/>
  <c r="O386" i="1"/>
  <c r="AA302" i="1"/>
  <c r="I118" i="1"/>
  <c r="H304" i="1"/>
  <c r="I301" i="1"/>
  <c r="AA405" i="1"/>
  <c r="H207" i="1"/>
  <c r="AB249" i="1"/>
  <c r="AC249" i="1" s="1"/>
  <c r="O180" i="1"/>
  <c r="H117" i="1"/>
  <c r="AA402" i="1"/>
  <c r="Y117" i="1"/>
  <c r="K208" i="1"/>
  <c r="AB240" i="1"/>
  <c r="AC240" i="1" s="1"/>
  <c r="O246" i="1"/>
  <c r="R423" i="1"/>
  <c r="H405" i="1"/>
  <c r="I405" i="1"/>
  <c r="U224" i="1"/>
  <c r="AA110" i="1"/>
  <c r="H401" i="1"/>
  <c r="P302" i="1"/>
  <c r="AA403" i="1"/>
  <c r="K400" i="1"/>
  <c r="W203" i="1"/>
  <c r="U403" i="1"/>
  <c r="K405" i="1"/>
  <c r="I206" i="1"/>
  <c r="M295" i="1"/>
  <c r="R180" i="1"/>
  <c r="R24" i="1"/>
  <c r="R106" i="1" s="1"/>
  <c r="AB156" i="1"/>
  <c r="AC156" i="1" s="1"/>
  <c r="M113" i="1"/>
  <c r="K207" i="1"/>
  <c r="U111" i="1"/>
  <c r="AA221" i="1"/>
  <c r="W223" i="1"/>
  <c r="W384" i="1"/>
  <c r="I299" i="1"/>
  <c r="H297" i="1"/>
  <c r="Y405" i="1"/>
  <c r="AA225" i="1"/>
  <c r="R365" i="1"/>
  <c r="P262" i="1"/>
  <c r="M180" i="1"/>
  <c r="P117" i="1"/>
  <c r="I300" i="1"/>
  <c r="W206" i="1"/>
  <c r="Y303" i="1"/>
  <c r="I381" i="1"/>
  <c r="AA115" i="1"/>
  <c r="Y113" i="1"/>
  <c r="Y365" i="1"/>
  <c r="Y24" i="1"/>
  <c r="Y293" i="1" s="1"/>
  <c r="AB342" i="1"/>
  <c r="AC342" i="1" s="1"/>
  <c r="H224" i="1"/>
  <c r="M404" i="1"/>
  <c r="AA226" i="1"/>
  <c r="AA386" i="1"/>
  <c r="AA119" i="1"/>
  <c r="K110" i="1"/>
  <c r="AA117" i="1"/>
  <c r="R403" i="1"/>
  <c r="K304" i="1"/>
  <c r="U115" i="1"/>
  <c r="P388" i="1"/>
  <c r="Y208" i="1"/>
  <c r="AA301" i="1"/>
  <c r="AA208" i="1"/>
  <c r="S297" i="1"/>
  <c r="Y226" i="1"/>
  <c r="P168" i="1"/>
  <c r="O168" i="1"/>
  <c r="H168" i="1"/>
  <c r="R304" i="1"/>
  <c r="R207" i="1"/>
  <c r="R381" i="1"/>
  <c r="R203" i="1"/>
  <c r="R296" i="1"/>
  <c r="S223" i="1"/>
  <c r="S402" i="1"/>
  <c r="S206" i="1"/>
  <c r="U118" i="1"/>
  <c r="U304" i="1"/>
  <c r="AA299" i="1"/>
  <c r="AA113" i="1"/>
  <c r="S295" i="1"/>
  <c r="S109" i="1"/>
  <c r="M118" i="1"/>
  <c r="M385" i="1"/>
  <c r="M207" i="1"/>
  <c r="P110" i="1"/>
  <c r="O109" i="1"/>
  <c r="U386" i="1"/>
  <c r="Y111" i="1"/>
  <c r="AA295" i="1"/>
  <c r="S226" i="1"/>
  <c r="R382" i="1"/>
  <c r="R110" i="1"/>
  <c r="Y225" i="1"/>
  <c r="M297" i="1"/>
  <c r="I303" i="1"/>
  <c r="I117" i="1"/>
  <c r="I114" i="1"/>
  <c r="I223" i="1"/>
  <c r="I402" i="1"/>
  <c r="I110" i="1"/>
  <c r="I221" i="1"/>
  <c r="I400" i="1"/>
  <c r="I296" i="1"/>
  <c r="I204" i="1"/>
  <c r="I382" i="1"/>
  <c r="K404" i="1"/>
  <c r="K305" i="1"/>
  <c r="K226" i="1"/>
  <c r="K303" i="1"/>
  <c r="K117" i="1"/>
  <c r="K296" i="1"/>
  <c r="K381" i="1"/>
  <c r="K203" i="1"/>
  <c r="K221" i="1"/>
  <c r="K382" i="1"/>
  <c r="R206" i="1"/>
  <c r="R223" i="1"/>
  <c r="S118" i="1"/>
  <c r="S385" i="1"/>
  <c r="S203" i="1"/>
  <c r="S296" i="1"/>
  <c r="U206" i="1"/>
  <c r="U384" i="1"/>
  <c r="U114" i="1"/>
  <c r="O110" i="1"/>
  <c r="O296" i="1"/>
  <c r="S400" i="1"/>
  <c r="S204" i="1"/>
  <c r="U300" i="1"/>
  <c r="R118" i="1"/>
  <c r="M112" i="1"/>
  <c r="Y224" i="1"/>
  <c r="Y403" i="1"/>
  <c r="Y115" i="1"/>
  <c r="R117" i="1"/>
  <c r="R405" i="1"/>
  <c r="U117" i="1"/>
  <c r="U226" i="1"/>
  <c r="M115" i="1"/>
  <c r="S110" i="1"/>
  <c r="R402" i="1"/>
  <c r="R385" i="1"/>
  <c r="R208" i="1"/>
  <c r="AB427" i="1"/>
  <c r="AC427" i="1" s="1"/>
  <c r="H225" i="1"/>
  <c r="H305" i="1"/>
  <c r="H404" i="1"/>
  <c r="H386" i="1"/>
  <c r="AB49" i="1"/>
  <c r="AC49" i="1" s="1"/>
  <c r="AB41" i="1"/>
  <c r="AC41" i="1" s="1"/>
  <c r="O423" i="1"/>
  <c r="M438" i="1"/>
  <c r="AB33" i="1"/>
  <c r="AC33" i="1" s="1"/>
  <c r="AA246" i="1"/>
  <c r="K299" i="1"/>
  <c r="K113" i="1"/>
  <c r="K262" i="1"/>
  <c r="K205" i="1"/>
  <c r="K222" i="1"/>
  <c r="K401" i="1"/>
  <c r="W246" i="1"/>
  <c r="W305" i="1"/>
  <c r="W404" i="1"/>
  <c r="P118" i="1"/>
  <c r="P304" i="1"/>
  <c r="AA116" i="1"/>
  <c r="AA210" i="1"/>
  <c r="AA112" i="1"/>
  <c r="AA383" i="1"/>
  <c r="Y207" i="1"/>
  <c r="Y385" i="1"/>
  <c r="Y300" i="1"/>
  <c r="Y402" i="1"/>
  <c r="Y384" i="1"/>
  <c r="Y400" i="1"/>
  <c r="Y204" i="1"/>
  <c r="Y110" i="1"/>
  <c r="Y381" i="1"/>
  <c r="Y296" i="1"/>
  <c r="Y221" i="1"/>
  <c r="R305" i="1"/>
  <c r="R119" i="1"/>
  <c r="AB254" i="1"/>
  <c r="AC254" i="1" s="1"/>
  <c r="I262" i="1"/>
  <c r="AB40" i="1"/>
  <c r="AC40" i="1" s="1"/>
  <c r="AB433" i="1"/>
  <c r="AC433" i="1" s="1"/>
  <c r="AB428" i="1"/>
  <c r="AC428" i="1" s="1"/>
  <c r="W365" i="1"/>
  <c r="U365" i="1"/>
  <c r="U246" i="1"/>
  <c r="Y423" i="1"/>
  <c r="S180" i="1"/>
  <c r="K24" i="1"/>
  <c r="K80" i="1" s="1"/>
  <c r="AB17" i="1"/>
  <c r="AC17" i="1" s="1"/>
  <c r="AB22" i="1"/>
  <c r="AC22" i="1" s="1"/>
  <c r="AB242" i="1"/>
  <c r="AC242" i="1" s="1"/>
  <c r="P404" i="1"/>
  <c r="P305" i="1"/>
  <c r="P119" i="1"/>
  <c r="O302" i="1"/>
  <c r="O210" i="1"/>
  <c r="M305" i="1"/>
  <c r="M119" i="1"/>
  <c r="M116" i="1"/>
  <c r="M302" i="1"/>
  <c r="M210" i="1"/>
  <c r="P180" i="1"/>
  <c r="W262" i="1"/>
  <c r="Y262" i="1"/>
  <c r="W210" i="1"/>
  <c r="W302" i="1"/>
  <c r="W205" i="1"/>
  <c r="W401" i="1"/>
  <c r="P382" i="1"/>
  <c r="P204" i="1"/>
  <c r="R384" i="1"/>
  <c r="R114" i="1"/>
  <c r="R400" i="1"/>
  <c r="R204" i="1"/>
  <c r="S114" i="1"/>
  <c r="S300" i="1"/>
  <c r="S381" i="1"/>
  <c r="S221" i="1"/>
  <c r="S54" i="1"/>
  <c r="S136" i="1" s="1"/>
  <c r="U207" i="1"/>
  <c r="U385" i="1"/>
  <c r="O382" i="1"/>
  <c r="O381" i="1"/>
  <c r="H382" i="1"/>
  <c r="H204" i="1"/>
  <c r="H203" i="1"/>
  <c r="H221" i="1"/>
  <c r="AB166" i="1"/>
  <c r="AC166" i="1" s="1"/>
  <c r="H113" i="1"/>
  <c r="M423" i="1"/>
  <c r="I423" i="1"/>
  <c r="I35" i="1"/>
  <c r="I368" i="1" s="1"/>
  <c r="S438" i="1"/>
  <c r="K298" i="1"/>
  <c r="O116" i="1"/>
  <c r="H208" i="1"/>
  <c r="AB420" i="1"/>
  <c r="AC420" i="1" s="1"/>
  <c r="M388" i="1"/>
  <c r="AA400" i="1"/>
  <c r="H110" i="1"/>
  <c r="H296" i="1"/>
  <c r="H119" i="1"/>
  <c r="Y298" i="1"/>
  <c r="I111" i="1"/>
  <c r="W113" i="1"/>
  <c r="H303" i="1"/>
  <c r="AB253" i="1"/>
  <c r="AC253" i="1" s="1"/>
  <c r="H35" i="1"/>
  <c r="H195" i="1" s="1"/>
  <c r="W168" i="1"/>
  <c r="I168" i="1"/>
  <c r="AB350" i="1"/>
  <c r="AC350" i="1" s="1"/>
  <c r="AB51" i="1"/>
  <c r="AC51" i="1" s="1"/>
  <c r="R35" i="1"/>
  <c r="R374" i="1" s="1"/>
  <c r="S35" i="1"/>
  <c r="S86" i="1" s="1"/>
  <c r="K35" i="1"/>
  <c r="K86" i="1" s="1"/>
  <c r="AB255" i="1"/>
  <c r="AC255" i="1" s="1"/>
  <c r="AB432" i="1"/>
  <c r="AC432" i="1" s="1"/>
  <c r="Y180" i="1"/>
  <c r="I24" i="1"/>
  <c r="I85" i="1" s="1"/>
  <c r="P24" i="1"/>
  <c r="P149" i="1" s="1"/>
  <c r="P159" i="1" s="1"/>
  <c r="W24" i="1"/>
  <c r="W80" i="1" s="1"/>
  <c r="AB16" i="1"/>
  <c r="AC16" i="1" s="1"/>
  <c r="AB18" i="1"/>
  <c r="AC18" i="1" s="1"/>
  <c r="AB19" i="1"/>
  <c r="AC19" i="1" s="1"/>
  <c r="AB20" i="1"/>
  <c r="AC20" i="1" s="1"/>
  <c r="O24" i="1"/>
  <c r="O80" i="1" s="1"/>
  <c r="U24" i="1"/>
  <c r="U106" i="1" s="1"/>
  <c r="AB336" i="1"/>
  <c r="AC336" i="1" s="1"/>
  <c r="AB337" i="1"/>
  <c r="AC337" i="1" s="1"/>
  <c r="AB338" i="1"/>
  <c r="AC338" i="1" s="1"/>
  <c r="AB339" i="1"/>
  <c r="AC339" i="1" s="1"/>
  <c r="AB340" i="1"/>
  <c r="AC340" i="1" s="1"/>
  <c r="AB341" i="1"/>
  <c r="AC341" i="1" s="1"/>
  <c r="AB343" i="1"/>
  <c r="AC343" i="1" s="1"/>
  <c r="AB348" i="1"/>
  <c r="AC348" i="1" s="1"/>
  <c r="O354" i="1"/>
  <c r="U109" i="1"/>
  <c r="U295" i="1"/>
  <c r="R401" i="1"/>
  <c r="R112" i="1"/>
  <c r="S210" i="1"/>
  <c r="S388" i="1"/>
  <c r="S302" i="1"/>
  <c r="U205" i="1"/>
  <c r="U222" i="1"/>
  <c r="U401" i="1"/>
  <c r="M203" i="1"/>
  <c r="M110" i="1"/>
  <c r="M400" i="1"/>
  <c r="M382" i="1"/>
  <c r="H24" i="1"/>
  <c r="AB21" i="1"/>
  <c r="AC21" i="1" s="1"/>
  <c r="AB351" i="1"/>
  <c r="AC351" i="1" s="1"/>
  <c r="AB15" i="1"/>
  <c r="AC15" i="1" s="1"/>
  <c r="I222" i="1"/>
  <c r="I401" i="1"/>
  <c r="I383" i="1"/>
  <c r="AA262" i="1"/>
  <c r="AB212" i="1"/>
  <c r="AC212" i="1" s="1"/>
  <c r="Y246" i="1"/>
  <c r="AB30" i="1"/>
  <c r="AC30" i="1" s="1"/>
  <c r="AA204" i="1"/>
  <c r="AA382" i="1"/>
  <c r="AA296" i="1"/>
  <c r="AA381" i="1"/>
  <c r="Y116" i="1"/>
  <c r="Y210" i="1"/>
  <c r="Y401" i="1"/>
  <c r="Y112" i="1"/>
  <c r="Y383" i="1"/>
  <c r="Y205" i="1"/>
  <c r="Y35" i="1"/>
  <c r="Y190" i="1" s="1"/>
  <c r="M35" i="1"/>
  <c r="M294" i="1" s="1"/>
  <c r="R115" i="1"/>
  <c r="R301" i="1"/>
  <c r="R297" i="1"/>
  <c r="R111" i="1"/>
  <c r="W110" i="1"/>
  <c r="W204" i="1"/>
  <c r="W221" i="1"/>
  <c r="W296" i="1"/>
  <c r="W381" i="1"/>
  <c r="W54" i="1"/>
  <c r="W138" i="1" s="1"/>
  <c r="R302" i="1"/>
  <c r="R210" i="1"/>
  <c r="R54" i="1"/>
  <c r="R310" i="1" s="1"/>
  <c r="S404" i="1"/>
  <c r="S305" i="1"/>
  <c r="S119" i="1"/>
  <c r="U210" i="1"/>
  <c r="U116" i="1"/>
  <c r="U388" i="1"/>
  <c r="M402" i="1"/>
  <c r="M114" i="1"/>
  <c r="M384" i="1"/>
  <c r="M300" i="1"/>
  <c r="S354" i="1"/>
  <c r="AB352" i="1"/>
  <c r="AC352" i="1" s="1"/>
  <c r="U305" i="1"/>
  <c r="U298" i="1"/>
  <c r="M221" i="1"/>
  <c r="U54" i="1"/>
  <c r="U213" i="1" s="1"/>
  <c r="AB52" i="1"/>
  <c r="AC52" i="1" s="1"/>
  <c r="S225" i="1"/>
  <c r="M296" i="1"/>
  <c r="Y295" i="1"/>
  <c r="S116" i="1"/>
  <c r="I205" i="1"/>
  <c r="M204" i="1"/>
  <c r="O207" i="1"/>
  <c r="U112" i="1"/>
  <c r="AB162" i="1"/>
  <c r="AC162" i="1" s="1"/>
  <c r="H205" i="1"/>
  <c r="H383" i="1"/>
  <c r="H112" i="1"/>
  <c r="H298" i="1"/>
  <c r="H109" i="1"/>
  <c r="H295" i="1"/>
  <c r="O262" i="1"/>
  <c r="AB387" i="1"/>
  <c r="AC387" i="1" s="1"/>
  <c r="I224" i="1"/>
  <c r="I115" i="1"/>
  <c r="P438" i="1"/>
  <c r="S262" i="1"/>
  <c r="AB436" i="1"/>
  <c r="AC436" i="1" s="1"/>
  <c r="AB431" i="1"/>
  <c r="AC431" i="1" s="1"/>
  <c r="AB419" i="1"/>
  <c r="AC419" i="1" s="1"/>
  <c r="P365" i="1"/>
  <c r="I438" i="1"/>
  <c r="AB260" i="1"/>
  <c r="AC260" i="1" s="1"/>
  <c r="AB250" i="1"/>
  <c r="AC250" i="1" s="1"/>
  <c r="I246" i="1"/>
  <c r="I386" i="1"/>
  <c r="I226" i="1"/>
  <c r="P203" i="1"/>
  <c r="P221" i="1"/>
  <c r="P381" i="1"/>
  <c r="Y305" i="1"/>
  <c r="Y119" i="1"/>
  <c r="M54" i="1"/>
  <c r="M138" i="1" s="1"/>
  <c r="AB157" i="1"/>
  <c r="AC157" i="1" s="1"/>
  <c r="AB256" i="1"/>
  <c r="AC256" i="1" s="1"/>
  <c r="H262" i="1"/>
  <c r="AB251" i="1"/>
  <c r="AC251" i="1" s="1"/>
  <c r="K403" i="1"/>
  <c r="K224" i="1"/>
  <c r="W118" i="1"/>
  <c r="W385" i="1"/>
  <c r="W207" i="1"/>
  <c r="W402" i="1"/>
  <c r="W114" i="1"/>
  <c r="R109" i="1"/>
  <c r="R295" i="1"/>
  <c r="S405" i="1"/>
  <c r="S117" i="1"/>
  <c r="S299" i="1"/>
  <c r="S113" i="1"/>
  <c r="K354" i="1"/>
  <c r="O365" i="1"/>
  <c r="AA180" i="1"/>
  <c r="S423" i="1"/>
  <c r="AA305" i="1"/>
  <c r="H354" i="1"/>
  <c r="K141" i="1"/>
  <c r="Y168" i="1"/>
  <c r="M168" i="1"/>
  <c r="AB150" i="1"/>
  <c r="AC150" i="1" s="1"/>
  <c r="AB153" i="1"/>
  <c r="AC153" i="1" s="1"/>
  <c r="AB165" i="1"/>
  <c r="AC165" i="1" s="1"/>
  <c r="AB151" i="1"/>
  <c r="AC151" i="1" s="1"/>
  <c r="R168" i="1"/>
  <c r="K180" i="1"/>
  <c r="AB435" i="1"/>
  <c r="AC435" i="1" s="1"/>
  <c r="AB430" i="1"/>
  <c r="AC430" i="1" s="1"/>
  <c r="AB426" i="1"/>
  <c r="AC426" i="1" s="1"/>
  <c r="H54" i="1"/>
  <c r="H202" i="1" s="1"/>
  <c r="AB50" i="1"/>
  <c r="AC50" i="1" s="1"/>
  <c r="AB244" i="1"/>
  <c r="AC244" i="1" s="1"/>
  <c r="AA54" i="1"/>
  <c r="AA220" i="1" s="1"/>
  <c r="AB29" i="1"/>
  <c r="AC29" i="1" s="1"/>
  <c r="Y54" i="1"/>
  <c r="Y380" i="1" s="1"/>
  <c r="AB32" i="1"/>
  <c r="AC32" i="1" s="1"/>
  <c r="AB28" i="1"/>
  <c r="AC28" i="1" s="1"/>
  <c r="R354" i="1"/>
  <c r="K438" i="1"/>
  <c r="AB243" i="1"/>
  <c r="AC243" i="1" s="1"/>
  <c r="K246" i="1"/>
  <c r="K302" i="1"/>
  <c r="K210" i="1"/>
  <c r="K116" i="1"/>
  <c r="K402" i="1"/>
  <c r="K206" i="1"/>
  <c r="K384" i="1"/>
  <c r="K223" i="1"/>
  <c r="K300" i="1"/>
  <c r="R262" i="1"/>
  <c r="R438" i="1"/>
  <c r="U438" i="1"/>
  <c r="U262" i="1"/>
  <c r="W438" i="1"/>
  <c r="Y438" i="1"/>
  <c r="W226" i="1"/>
  <c r="W117" i="1"/>
  <c r="W208" i="1"/>
  <c r="W405" i="1"/>
  <c r="W303" i="1"/>
  <c r="W386" i="1"/>
  <c r="P109" i="1"/>
  <c r="P35" i="1"/>
  <c r="AB349" i="1"/>
  <c r="AC349" i="1" s="1"/>
  <c r="M354" i="1"/>
  <c r="AB258" i="1"/>
  <c r="AC258" i="1" s="1"/>
  <c r="M262" i="1"/>
  <c r="AB155" i="1"/>
  <c r="AC155" i="1" s="1"/>
  <c r="U168" i="1"/>
  <c r="AB163" i="1"/>
  <c r="AC163" i="1" s="1"/>
  <c r="AB164" i="1"/>
  <c r="AC164" i="1" s="1"/>
  <c r="AB418" i="1"/>
  <c r="AC418" i="1" s="1"/>
  <c r="H423" i="1"/>
  <c r="AB259" i="1"/>
  <c r="AC259" i="1" s="1"/>
  <c r="AB241" i="1"/>
  <c r="AC241" i="1" s="1"/>
  <c r="AB31" i="1"/>
  <c r="AC31" i="1" s="1"/>
  <c r="AB27" i="1"/>
  <c r="AC27" i="1" s="1"/>
  <c r="I385" i="1"/>
  <c r="I207" i="1"/>
  <c r="I302" i="1"/>
  <c r="I210" i="1"/>
  <c r="I116" i="1"/>
  <c r="I109" i="1"/>
  <c r="I54" i="1"/>
  <c r="P423" i="1"/>
  <c r="AA111" i="1"/>
  <c r="AA297" i="1"/>
  <c r="AA35" i="1"/>
  <c r="AA194" i="1" s="1"/>
  <c r="R303" i="1"/>
  <c r="R386" i="1"/>
  <c r="R226" i="1"/>
  <c r="R299" i="1"/>
  <c r="R113" i="1"/>
  <c r="S207" i="1"/>
  <c r="S304" i="1"/>
  <c r="U203" i="1"/>
  <c r="U110" i="1"/>
  <c r="U296" i="1"/>
  <c r="U204" i="1"/>
  <c r="U221" i="1"/>
  <c r="U381" i="1"/>
  <c r="U382" i="1"/>
  <c r="U400" i="1"/>
  <c r="AB42" i="1"/>
  <c r="AC42" i="1" s="1"/>
  <c r="U35" i="1"/>
  <c r="AA168" i="1"/>
  <c r="AB154" i="1"/>
  <c r="AC154" i="1" s="1"/>
  <c r="AB152" i="1"/>
  <c r="AC152" i="1" s="1"/>
  <c r="AB434" i="1"/>
  <c r="AC434" i="1" s="1"/>
  <c r="AB429" i="1"/>
  <c r="AC429" i="1" s="1"/>
  <c r="AB421" i="1"/>
  <c r="AC421" i="1" s="1"/>
  <c r="AB417" i="1"/>
  <c r="AC417" i="1" s="1"/>
  <c r="AB257" i="1"/>
  <c r="AC257" i="1" s="1"/>
  <c r="AB252" i="1"/>
  <c r="AC252" i="1" s="1"/>
  <c r="H246" i="1"/>
  <c r="H302" i="1"/>
  <c r="H388" i="1"/>
  <c r="AB48" i="1"/>
  <c r="AC48" i="1" s="1"/>
  <c r="H116" i="1"/>
  <c r="AA384" i="1"/>
  <c r="AA114" i="1"/>
  <c r="AA206" i="1"/>
  <c r="AA223" i="1"/>
  <c r="R205" i="1"/>
  <c r="R383" i="1"/>
  <c r="R298" i="1"/>
  <c r="R222" i="1"/>
  <c r="H402" i="1"/>
  <c r="H384" i="1"/>
  <c r="O438" i="1"/>
  <c r="P246" i="1"/>
  <c r="S365" i="1"/>
  <c r="K297" i="1"/>
  <c r="K111" i="1"/>
  <c r="K119" i="1"/>
  <c r="K225" i="1"/>
  <c r="K112" i="1"/>
  <c r="W109" i="1"/>
  <c r="W295" i="1"/>
  <c r="P226" i="1"/>
  <c r="P208" i="1"/>
  <c r="P303" i="1"/>
  <c r="AA118" i="1"/>
  <c r="AA304" i="1"/>
  <c r="AA385" i="1"/>
  <c r="S403" i="1"/>
  <c r="S224" i="1"/>
  <c r="S301" i="1"/>
  <c r="S115" i="1"/>
  <c r="O225" i="1"/>
  <c r="O305" i="1"/>
  <c r="O404" i="1"/>
  <c r="O119" i="1"/>
  <c r="M298" i="1"/>
  <c r="M401" i="1"/>
  <c r="M222" i="1"/>
  <c r="AB209" i="1"/>
  <c r="AC209" i="1" s="1"/>
  <c r="I112" i="1"/>
  <c r="I298" i="1"/>
  <c r="AA438" i="1"/>
  <c r="W297" i="1"/>
  <c r="W111" i="1"/>
  <c r="U180" i="1"/>
  <c r="M246" i="1"/>
  <c r="I225" i="1"/>
  <c r="I305" i="1"/>
  <c r="U423" i="1"/>
  <c r="S383" i="1"/>
  <c r="S112" i="1"/>
  <c r="S298" i="1"/>
  <c r="S205" i="1"/>
  <c r="S222" i="1"/>
  <c r="O118" i="1"/>
  <c r="O304" i="1"/>
  <c r="O400" i="1"/>
  <c r="O204" i="1"/>
  <c r="O203" i="1"/>
  <c r="K168" i="1"/>
  <c r="S168" i="1"/>
  <c r="H438" i="1"/>
  <c r="AA423" i="1"/>
  <c r="S246" i="1"/>
  <c r="K423" i="1"/>
  <c r="W423" i="1"/>
  <c r="W180" i="1"/>
  <c r="K109" i="1"/>
  <c r="R246" i="1"/>
  <c r="O35" i="1"/>
  <c r="W35" i="1"/>
  <c r="G436" i="2"/>
  <c r="G509" i="2" s="1"/>
  <c r="D6" i="8"/>
  <c r="F6" i="8" s="1"/>
  <c r="G43" i="15"/>
  <c r="G45" i="15" s="1"/>
  <c r="I47" i="15"/>
  <c r="O91" i="15"/>
  <c r="D12" i="9"/>
  <c r="F12" i="9" s="1"/>
  <c r="D12" i="8"/>
  <c r="F12" i="8" s="1"/>
  <c r="O135" i="15"/>
  <c r="R135" i="15" s="1"/>
  <c r="I17" i="15" s="1"/>
  <c r="O449" i="2" s="1"/>
  <c r="Q20" i="15"/>
  <c r="O444" i="2"/>
  <c r="T483" i="2"/>
  <c r="T490" i="2" s="1"/>
  <c r="R440" i="2"/>
  <c r="R442" i="2" s="1"/>
  <c r="Q21" i="15"/>
  <c r="AG435" i="2"/>
  <c r="J43" i="15"/>
  <c r="J45" i="15" s="1"/>
  <c r="D6" i="9"/>
  <c r="F6" i="9" s="1"/>
  <c r="E43" i="15"/>
  <c r="E45" i="15" s="1"/>
  <c r="Q9" i="15"/>
  <c r="P430" i="2"/>
  <c r="AG430" i="2" s="1"/>
  <c r="AH430" i="2" s="1"/>
  <c r="O81" i="15"/>
  <c r="G439" i="2"/>
  <c r="G440" i="2" s="1"/>
  <c r="G441" i="2" s="1"/>
  <c r="M43" i="15"/>
  <c r="M45" i="15" s="1"/>
  <c r="Q17" i="15"/>
  <c r="Q12" i="15"/>
  <c r="L43" i="15"/>
  <c r="L45" i="15" s="1"/>
  <c r="Q22" i="15"/>
  <c r="D15" i="15"/>
  <c r="M436" i="2" s="1"/>
  <c r="O155" i="15"/>
  <c r="R155" i="15" s="1"/>
  <c r="I19" i="15" s="1"/>
  <c r="Q449" i="2" s="1"/>
  <c r="G476" i="2"/>
  <c r="Q15" i="15"/>
  <c r="Q14" i="15"/>
  <c r="E435" i="2"/>
  <c r="Q18" i="15"/>
  <c r="O141" i="15"/>
  <c r="S175" i="15"/>
  <c r="J21" i="15" s="1"/>
  <c r="S448" i="2" s="1"/>
  <c r="A59" i="15"/>
  <c r="J436" i="2"/>
  <c r="A69" i="15"/>
  <c r="O145" i="15"/>
  <c r="R145" i="15" s="1"/>
  <c r="I18" i="15" s="1"/>
  <c r="P449" i="2" s="1"/>
  <c r="O165" i="15"/>
  <c r="R165" i="15" s="1"/>
  <c r="I20" i="15" s="1"/>
  <c r="R449" i="2" s="1"/>
  <c r="O175" i="15"/>
  <c r="R175" i="15" s="1"/>
  <c r="O107" i="15"/>
  <c r="F14" i="15" s="1"/>
  <c r="L451" i="2" s="1"/>
  <c r="O25" i="15"/>
  <c r="Q8" i="15"/>
  <c r="Q23" i="15"/>
  <c r="C47" i="15"/>
  <c r="AH445" i="2"/>
  <c r="Q440" i="2"/>
  <c r="Q442" i="2" s="1"/>
  <c r="Q25" i="15"/>
  <c r="D23" i="15"/>
  <c r="D22" i="15"/>
  <c r="M9" i="15"/>
  <c r="Q13" i="15"/>
  <c r="Q16" i="15"/>
  <c r="Q11" i="15"/>
  <c r="Q19" i="15"/>
  <c r="H436" i="2"/>
  <c r="D8" i="15"/>
  <c r="N47" i="15"/>
  <c r="O61" i="15"/>
  <c r="S195" i="15"/>
  <c r="J23" i="15" s="1"/>
  <c r="U448" i="2" s="1"/>
  <c r="P442" i="2"/>
  <c r="P441" i="2"/>
  <c r="P445" i="2" s="1"/>
  <c r="S442" i="2"/>
  <c r="S441" i="2"/>
  <c r="S445" i="2" s="1"/>
  <c r="O187" i="15"/>
  <c r="F22" i="15" s="1"/>
  <c r="T451" i="2" s="1"/>
  <c r="T469" i="2" s="1"/>
  <c r="T476" i="2" s="1"/>
  <c r="U441" i="2"/>
  <c r="O177" i="15"/>
  <c r="F21" i="15" s="1"/>
  <c r="S451" i="2" s="1"/>
  <c r="S469" i="2" s="1"/>
  <c r="U444" i="2"/>
  <c r="P147" i="15"/>
  <c r="G18" i="15" s="1"/>
  <c r="P167" i="15"/>
  <c r="G20" i="15" s="1"/>
  <c r="O71" i="15"/>
  <c r="D11" i="15"/>
  <c r="N11" i="15" s="1"/>
  <c r="O125" i="15"/>
  <c r="R125" i="15" s="1"/>
  <c r="I16" i="15" s="1"/>
  <c r="N449" i="2" s="1"/>
  <c r="S145" i="15"/>
  <c r="J18" i="15" s="1"/>
  <c r="P448" i="2" s="1"/>
  <c r="O185" i="15"/>
  <c r="R185" i="15" s="1"/>
  <c r="I22" i="15" s="1"/>
  <c r="T449" i="2" s="1"/>
  <c r="T502" i="2" s="1"/>
  <c r="A39" i="15"/>
  <c r="F75" i="15"/>
  <c r="P107" i="15"/>
  <c r="G14" i="15" s="1"/>
  <c r="C25" i="15"/>
  <c r="C28" i="15" s="1"/>
  <c r="C29" i="15" s="1"/>
  <c r="M8" i="15"/>
  <c r="S165" i="15"/>
  <c r="J20" i="15" s="1"/>
  <c r="R448" i="2" s="1"/>
  <c r="P137" i="15"/>
  <c r="G17" i="15" s="1"/>
  <c r="O137" i="15"/>
  <c r="F17" i="15" s="1"/>
  <c r="O451" i="2" s="1"/>
  <c r="O469" i="2" s="1"/>
  <c r="D45" i="15"/>
  <c r="D17" i="15"/>
  <c r="O131" i="15"/>
  <c r="O151" i="15"/>
  <c r="D19" i="15"/>
  <c r="O161" i="15"/>
  <c r="D20" i="15"/>
  <c r="I439" i="2"/>
  <c r="M11" i="15"/>
  <c r="O117" i="15"/>
  <c r="F15" i="15" s="1"/>
  <c r="M451" i="2" s="1"/>
  <c r="M469" i="2" s="1"/>
  <c r="M499" i="2" s="1"/>
  <c r="M500" i="2" s="1"/>
  <c r="P117" i="15"/>
  <c r="G15" i="15" s="1"/>
  <c r="P127" i="15"/>
  <c r="G16" i="15" s="1"/>
  <c r="C76" i="15"/>
  <c r="D14" i="15"/>
  <c r="O195" i="15"/>
  <c r="R195" i="15" s="1"/>
  <c r="I23" i="15" s="1"/>
  <c r="U449" i="2" s="1"/>
  <c r="U502" i="2" s="1"/>
  <c r="P197" i="15"/>
  <c r="G23" i="15" s="1"/>
  <c r="O197" i="15"/>
  <c r="F23" i="15" s="1"/>
  <c r="U451" i="2" s="1"/>
  <c r="U469" i="2" s="1"/>
  <c r="U499" i="2" s="1"/>
  <c r="U500" i="2" s="1"/>
  <c r="M440" i="2"/>
  <c r="M442" i="2" s="1"/>
  <c r="M444" i="2" s="1"/>
  <c r="T441" i="2"/>
  <c r="T442" i="2"/>
  <c r="H43" i="15"/>
  <c r="H47" i="15"/>
  <c r="O147" i="15"/>
  <c r="F18" i="15" s="1"/>
  <c r="P451" i="2" s="1"/>
  <c r="P469" i="2" s="1"/>
  <c r="P177" i="15"/>
  <c r="G21" i="15" s="1"/>
  <c r="N440" i="2"/>
  <c r="N444" i="2"/>
  <c r="O157" i="15"/>
  <c r="F19" i="15" s="1"/>
  <c r="Q451" i="2" s="1"/>
  <c r="Q469" i="2" s="1"/>
  <c r="Q499" i="2" s="1"/>
  <c r="Q500" i="2" s="1"/>
  <c r="O171" i="15"/>
  <c r="D21" i="15"/>
  <c r="P187" i="15"/>
  <c r="G22" i="15" s="1"/>
  <c r="O127" i="15"/>
  <c r="F16" i="15" s="1"/>
  <c r="N451" i="2" s="1"/>
  <c r="N469" i="2" s="1"/>
  <c r="N499" i="2" s="1"/>
  <c r="N500" i="2" s="1"/>
  <c r="O441" i="2"/>
  <c r="O445" i="2" s="1"/>
  <c r="O442" i="2"/>
  <c r="G75" i="15"/>
  <c r="O115" i="15"/>
  <c r="R115" i="15" s="1"/>
  <c r="S115" i="15"/>
  <c r="J15" i="15" s="1"/>
  <c r="M448" i="2" s="1"/>
  <c r="S135" i="15"/>
  <c r="J17" i="15" s="1"/>
  <c r="O448" i="2" s="1"/>
  <c r="P157" i="15"/>
  <c r="G19" i="15" s="1"/>
  <c r="S155" i="15"/>
  <c r="J19" i="15" s="1"/>
  <c r="Q448" i="2" s="1"/>
  <c r="O167" i="15"/>
  <c r="F20" i="15" s="1"/>
  <c r="R451" i="2" s="1"/>
  <c r="R469" i="2" s="1"/>
  <c r="R499" i="2" s="1"/>
  <c r="R500" i="2" s="1"/>
  <c r="S185" i="15"/>
  <c r="J22" i="15" s="1"/>
  <c r="T448" i="2" s="1"/>
  <c r="D11" i="9"/>
  <c r="F11" i="9" s="1"/>
  <c r="M13" i="15"/>
  <c r="K439" i="2"/>
  <c r="K440" i="2" s="1"/>
  <c r="K442" i="2" s="1"/>
  <c r="L439" i="2"/>
  <c r="M14" i="15"/>
  <c r="E76" i="15"/>
  <c r="D10" i="8"/>
  <c r="F10" i="8" s="1"/>
  <c r="J439" i="2"/>
  <c r="M12" i="15"/>
  <c r="M76" i="15"/>
  <c r="E84" i="15"/>
  <c r="D85" i="15"/>
  <c r="H75" i="15"/>
  <c r="S125" i="15"/>
  <c r="J16" i="15" s="1"/>
  <c r="N448" i="2" s="1"/>
  <c r="K436" i="2"/>
  <c r="K509" i="2" s="1"/>
  <c r="P438" i="2"/>
  <c r="P509" i="2"/>
  <c r="U455" i="2"/>
  <c r="U483" i="2"/>
  <c r="I499" i="2"/>
  <c r="I476" i="2"/>
  <c r="H439" i="2"/>
  <c r="L13" i="15"/>
  <c r="A89" i="15"/>
  <c r="D9" i="8"/>
  <c r="D9" i="9"/>
  <c r="F9" i="9" s="1"/>
  <c r="F8" i="8"/>
  <c r="I73" i="15"/>
  <c r="I75" i="15" s="1"/>
  <c r="H112" i="18" a="1"/>
  <c r="S384" i="1"/>
  <c r="A49" i="15"/>
  <c r="D8" i="9"/>
  <c r="Z500" i="2"/>
  <c r="M10" i="15"/>
  <c r="A79" i="15"/>
  <c r="D10" i="9"/>
  <c r="F10" i="9" s="1"/>
  <c r="D11" i="8"/>
  <c r="F11" i="8" s="1"/>
  <c r="H58" i="18" a="1"/>
  <c r="F436" i="2" l="1"/>
  <c r="N8" i="15"/>
  <c r="E73" i="15"/>
  <c r="E75" i="15" s="1"/>
  <c r="M73" i="15"/>
  <c r="M75" i="15" s="1"/>
  <c r="C73" i="15"/>
  <c r="C75" i="15" s="1"/>
  <c r="J476" i="2"/>
  <c r="K444" i="2"/>
  <c r="K445" i="2"/>
  <c r="F445" i="2"/>
  <c r="L469" i="2"/>
  <c r="L476" i="2" s="1"/>
  <c r="F440" i="1"/>
  <c r="F237" i="1"/>
  <c r="F285" i="1" s="1"/>
  <c r="F328" i="1" s="1"/>
  <c r="P414" i="2"/>
  <c r="P344" i="2"/>
  <c r="U139" i="1"/>
  <c r="G438" i="2"/>
  <c r="M476" i="2"/>
  <c r="N438" i="2"/>
  <c r="AB347" i="2"/>
  <c r="F93" i="1"/>
  <c r="F101" i="1"/>
  <c r="F126" i="1" s="1"/>
  <c r="F233" i="1"/>
  <c r="F264" i="1" s="1"/>
  <c r="S293" i="1"/>
  <c r="S149" i="1"/>
  <c r="S159" i="1" s="1"/>
  <c r="S170" i="1" s="1"/>
  <c r="S80" i="1"/>
  <c r="M106" i="1"/>
  <c r="S335" i="1"/>
  <c r="S345" i="1" s="1"/>
  <c r="S356" i="1" s="1"/>
  <c r="S106" i="1"/>
  <c r="AA149" i="1"/>
  <c r="AA159" i="1" s="1"/>
  <c r="AA170" i="1" s="1"/>
  <c r="AA85" i="1"/>
  <c r="M335" i="1"/>
  <c r="M345" i="1" s="1"/>
  <c r="M149" i="1"/>
  <c r="M159" i="1" s="1"/>
  <c r="M80" i="1"/>
  <c r="M85" i="1"/>
  <c r="AA80" i="1"/>
  <c r="R335" i="1"/>
  <c r="R345" i="1" s="1"/>
  <c r="R356" i="1" s="1"/>
  <c r="AA106" i="1"/>
  <c r="AA335" i="1"/>
  <c r="AA345" i="1" s="1"/>
  <c r="AA356" i="1" s="1"/>
  <c r="T499" i="2"/>
  <c r="T500" i="2" s="1"/>
  <c r="E439" i="2"/>
  <c r="S65" i="15"/>
  <c r="J10" i="15" s="1"/>
  <c r="H448" i="2" s="1"/>
  <c r="F444" i="2"/>
  <c r="I194" i="1"/>
  <c r="I374" i="1"/>
  <c r="W136" i="1"/>
  <c r="U89" i="1"/>
  <c r="U399" i="1"/>
  <c r="H185" i="1"/>
  <c r="R188" i="1"/>
  <c r="U137" i="1"/>
  <c r="Y406" i="1"/>
  <c r="U138" i="1"/>
  <c r="U78" i="1"/>
  <c r="U310" i="1"/>
  <c r="R86" i="1"/>
  <c r="U389" i="1"/>
  <c r="M389" i="1"/>
  <c r="K188" i="1"/>
  <c r="AA136" i="1"/>
  <c r="H196" i="1"/>
  <c r="M211" i="1"/>
  <c r="H188" i="1"/>
  <c r="AA196" i="1"/>
  <c r="M380" i="1"/>
  <c r="R85" i="1"/>
  <c r="M310" i="1"/>
  <c r="S107" i="1"/>
  <c r="I183" i="1"/>
  <c r="M306" i="1"/>
  <c r="AA189" i="1"/>
  <c r="Y85" i="1"/>
  <c r="M202" i="1"/>
  <c r="S183" i="1"/>
  <c r="AA371" i="1"/>
  <c r="H306" i="1"/>
  <c r="AA192" i="1"/>
  <c r="R192" i="1"/>
  <c r="M183" i="1"/>
  <c r="W106" i="1"/>
  <c r="P170" i="1"/>
  <c r="Y335" i="1"/>
  <c r="Y345" i="1" s="1"/>
  <c r="Y356" i="1" s="1"/>
  <c r="M89" i="1"/>
  <c r="M105" i="1"/>
  <c r="I373" i="1"/>
  <c r="I191" i="1"/>
  <c r="R294" i="1"/>
  <c r="M196" i="1"/>
  <c r="R194" i="1"/>
  <c r="Y80" i="1"/>
  <c r="Y149" i="1"/>
  <c r="Y159" i="1" s="1"/>
  <c r="Y170" i="1" s="1"/>
  <c r="H187" i="1"/>
  <c r="H183" i="1"/>
  <c r="P80" i="1"/>
  <c r="K369" i="1"/>
  <c r="H190" i="1"/>
  <c r="H189" i="1"/>
  <c r="P335" i="1"/>
  <c r="P345" i="1" s="1"/>
  <c r="P356" i="1" s="1"/>
  <c r="M390" i="1"/>
  <c r="H191" i="1"/>
  <c r="R193" i="1"/>
  <c r="Y106" i="1"/>
  <c r="H186" i="1"/>
  <c r="K190" i="1"/>
  <c r="H194" i="1"/>
  <c r="H374" i="1"/>
  <c r="AB304" i="1"/>
  <c r="AC304" i="1" s="1"/>
  <c r="Y189" i="1"/>
  <c r="K392" i="1"/>
  <c r="I370" i="1"/>
  <c r="S186" i="1"/>
  <c r="I189" i="1"/>
  <c r="S368" i="1"/>
  <c r="I186" i="1"/>
  <c r="U136" i="1"/>
  <c r="Y227" i="1"/>
  <c r="I196" i="1"/>
  <c r="I197" i="1"/>
  <c r="I185" i="1"/>
  <c r="U202" i="1"/>
  <c r="U390" i="1"/>
  <c r="U56" i="1"/>
  <c r="U64" i="1" s="1"/>
  <c r="R373" i="1"/>
  <c r="R368" i="1"/>
  <c r="W380" i="1"/>
  <c r="S202" i="1"/>
  <c r="U105" i="1"/>
  <c r="U220" i="1"/>
  <c r="W149" i="1"/>
  <c r="W159" i="1" s="1"/>
  <c r="W170" i="1" s="1"/>
  <c r="I190" i="1"/>
  <c r="R375" i="1"/>
  <c r="K85" i="1"/>
  <c r="I192" i="1"/>
  <c r="I371" i="1"/>
  <c r="I188" i="1"/>
  <c r="S189" i="1"/>
  <c r="S191" i="1"/>
  <c r="W399" i="1"/>
  <c r="W389" i="1"/>
  <c r="I375" i="1"/>
  <c r="U227" i="1"/>
  <c r="I86" i="1"/>
  <c r="I107" i="1"/>
  <c r="I372" i="1"/>
  <c r="I195" i="1"/>
  <c r="U306" i="1"/>
  <c r="I56" i="1"/>
  <c r="I10" i="1" s="1"/>
  <c r="R372" i="1"/>
  <c r="U87" i="1"/>
  <c r="S306" i="1"/>
  <c r="U406" i="1"/>
  <c r="R195" i="1"/>
  <c r="AB203" i="1"/>
  <c r="AC203" i="1" s="1"/>
  <c r="K196" i="1"/>
  <c r="Y89" i="1"/>
  <c r="R369" i="1"/>
  <c r="R371" i="1"/>
  <c r="R186" i="1"/>
  <c r="M191" i="1"/>
  <c r="M194" i="1"/>
  <c r="S139" i="1"/>
  <c r="R184" i="1"/>
  <c r="R293" i="1"/>
  <c r="W335" i="1"/>
  <c r="W345" i="1" s="1"/>
  <c r="W356" i="1" s="1"/>
  <c r="R185" i="1"/>
  <c r="R191" i="1"/>
  <c r="R149" i="1"/>
  <c r="R159" i="1" s="1"/>
  <c r="R170" i="1" s="1"/>
  <c r="R80" i="1"/>
  <c r="I106" i="1"/>
  <c r="AB117" i="1"/>
  <c r="AC117" i="1" s="1"/>
  <c r="Y389" i="1"/>
  <c r="K374" i="1"/>
  <c r="M188" i="1"/>
  <c r="Y87" i="1"/>
  <c r="R190" i="1"/>
  <c r="R107" i="1"/>
  <c r="R197" i="1"/>
  <c r="R370" i="1"/>
  <c r="M186" i="1"/>
  <c r="R183" i="1"/>
  <c r="R187" i="1"/>
  <c r="AB110" i="1"/>
  <c r="AC110" i="1" s="1"/>
  <c r="K183" i="1"/>
  <c r="K370" i="1"/>
  <c r="R227" i="1"/>
  <c r="R399" i="1"/>
  <c r="M189" i="1"/>
  <c r="M375" i="1"/>
  <c r="M369" i="1"/>
  <c r="M107" i="1"/>
  <c r="M184" i="1"/>
  <c r="I293" i="1"/>
  <c r="K189" i="1"/>
  <c r="AA186" i="1"/>
  <c r="H139" i="1"/>
  <c r="Y220" i="1"/>
  <c r="K184" i="1"/>
  <c r="K372" i="1"/>
  <c r="K192" i="1"/>
  <c r="K197" i="1"/>
  <c r="S197" i="1"/>
  <c r="K191" i="1"/>
  <c r="M190" i="1"/>
  <c r="S375" i="1"/>
  <c r="H87" i="1"/>
  <c r="Y213" i="1"/>
  <c r="AA188" i="1"/>
  <c r="AA374" i="1"/>
  <c r="AA86" i="1"/>
  <c r="AB204" i="1"/>
  <c r="AC204" i="1" s="1"/>
  <c r="Y306" i="1"/>
  <c r="H89" i="1"/>
  <c r="Y197" i="1"/>
  <c r="K408" i="1"/>
  <c r="M374" i="1"/>
  <c r="M187" i="1"/>
  <c r="M86" i="1"/>
  <c r="M193" i="1"/>
  <c r="I80" i="1"/>
  <c r="K373" i="1"/>
  <c r="AB221" i="1"/>
  <c r="AC221" i="1" s="1"/>
  <c r="O85" i="1"/>
  <c r="K371" i="1"/>
  <c r="AA294" i="1"/>
  <c r="Y78" i="1"/>
  <c r="K185" i="1"/>
  <c r="K187" i="1"/>
  <c r="M373" i="1"/>
  <c r="AA107" i="1"/>
  <c r="Y211" i="1"/>
  <c r="AA191" i="1"/>
  <c r="AA184" i="1"/>
  <c r="AA183" i="1"/>
  <c r="AA195" i="1"/>
  <c r="K375" i="1"/>
  <c r="AB119" i="1"/>
  <c r="AC119" i="1" s="1"/>
  <c r="K335" i="1"/>
  <c r="K345" i="1" s="1"/>
  <c r="K356" i="1" s="1"/>
  <c r="K293" i="1"/>
  <c r="K106" i="1"/>
  <c r="K193" i="1"/>
  <c r="AA190" i="1"/>
  <c r="S187" i="1"/>
  <c r="H227" i="1"/>
  <c r="Y139" i="1"/>
  <c r="K186" i="1"/>
  <c r="K107" i="1"/>
  <c r="K195" i="1"/>
  <c r="E456" i="2"/>
  <c r="E463" i="2" s="1"/>
  <c r="S184" i="1"/>
  <c r="AA185" i="1"/>
  <c r="H108" i="1"/>
  <c r="Y399" i="1"/>
  <c r="AA370" i="1"/>
  <c r="AA187" i="1"/>
  <c r="K368" i="1"/>
  <c r="H78" i="1"/>
  <c r="R56" i="1"/>
  <c r="R65" i="1" s="1"/>
  <c r="M368" i="1"/>
  <c r="M370" i="1"/>
  <c r="M185" i="1"/>
  <c r="S374" i="1"/>
  <c r="K194" i="1"/>
  <c r="S188" i="1"/>
  <c r="K149" i="1"/>
  <c r="K159" i="1" s="1"/>
  <c r="K170" i="1" s="1"/>
  <c r="S213" i="1"/>
  <c r="S89" i="1"/>
  <c r="S389" i="1"/>
  <c r="H375" i="1"/>
  <c r="S190" i="1"/>
  <c r="H389" i="1"/>
  <c r="H370" i="1"/>
  <c r="H197" i="1"/>
  <c r="H373" i="1"/>
  <c r="S370" i="1"/>
  <c r="S195" i="1"/>
  <c r="S371" i="1"/>
  <c r="H136" i="1"/>
  <c r="P85" i="1"/>
  <c r="H138" i="1"/>
  <c r="Y372" i="1"/>
  <c r="R220" i="1"/>
  <c r="AB354" i="1"/>
  <c r="AC354" i="1" s="1"/>
  <c r="R390" i="1"/>
  <c r="S108" i="1"/>
  <c r="S310" i="1"/>
  <c r="S78" i="1"/>
  <c r="S220" i="1"/>
  <c r="H371" i="1"/>
  <c r="H192" i="1"/>
  <c r="S369" i="1"/>
  <c r="S87" i="1"/>
  <c r="U149" i="1"/>
  <c r="U159" i="1" s="1"/>
  <c r="U170" i="1" s="1"/>
  <c r="U85" i="1"/>
  <c r="U293" i="1"/>
  <c r="U335" i="1"/>
  <c r="U345" i="1" s="1"/>
  <c r="U356" i="1" s="1"/>
  <c r="U80" i="1"/>
  <c r="I149" i="1"/>
  <c r="I159" i="1" s="1"/>
  <c r="I170" i="1" s="1"/>
  <c r="I335" i="1"/>
  <c r="I345" i="1" s="1"/>
  <c r="I356" i="1" s="1"/>
  <c r="K56" i="1"/>
  <c r="K294" i="1"/>
  <c r="Y294" i="1"/>
  <c r="Y188" i="1"/>
  <c r="R136" i="1"/>
  <c r="R108" i="1"/>
  <c r="R406" i="1"/>
  <c r="H107" i="1"/>
  <c r="S227" i="1"/>
  <c r="S390" i="1"/>
  <c r="S105" i="1"/>
  <c r="S211" i="1"/>
  <c r="S138" i="1"/>
  <c r="H56" i="1"/>
  <c r="H66" i="1" s="1"/>
  <c r="H86" i="1"/>
  <c r="AB405" i="1"/>
  <c r="AC405" i="1" s="1"/>
  <c r="P106" i="1"/>
  <c r="S380" i="1"/>
  <c r="O106" i="1"/>
  <c r="O293" i="1"/>
  <c r="O149" i="1"/>
  <c r="O159" i="1" s="1"/>
  <c r="O170" i="1" s="1"/>
  <c r="S294" i="1"/>
  <c r="S193" i="1"/>
  <c r="S196" i="1"/>
  <c r="S192" i="1"/>
  <c r="H368" i="1"/>
  <c r="S56" i="1"/>
  <c r="S73" i="1" s="1"/>
  <c r="H220" i="1"/>
  <c r="H372" i="1"/>
  <c r="H369" i="1"/>
  <c r="H184" i="1"/>
  <c r="S185" i="1"/>
  <c r="H193" i="1"/>
  <c r="S372" i="1"/>
  <c r="H380" i="1"/>
  <c r="H105" i="1"/>
  <c r="AB400" i="1"/>
  <c r="AC400" i="1" s="1"/>
  <c r="AB404" i="1"/>
  <c r="AC404" i="1" s="1"/>
  <c r="P293" i="1"/>
  <c r="AB382" i="1"/>
  <c r="AC382" i="1" s="1"/>
  <c r="AB296" i="1"/>
  <c r="AC296" i="1" s="1"/>
  <c r="AB207" i="1"/>
  <c r="AC207" i="1" s="1"/>
  <c r="AB386" i="1"/>
  <c r="AC386" i="1" s="1"/>
  <c r="AB116" i="1"/>
  <c r="AC116" i="1" s="1"/>
  <c r="AB385" i="1"/>
  <c r="AC385" i="1" s="1"/>
  <c r="Y56" i="1"/>
  <c r="Y10" i="1" s="1"/>
  <c r="Y107" i="1"/>
  <c r="R202" i="1"/>
  <c r="S399" i="1"/>
  <c r="S406" i="1"/>
  <c r="S137" i="1"/>
  <c r="H294" i="1"/>
  <c r="AB295" i="1"/>
  <c r="AC295" i="1" s="1"/>
  <c r="AB262" i="1"/>
  <c r="AC262" i="1" s="1"/>
  <c r="S194" i="1"/>
  <c r="S373" i="1"/>
  <c r="O335" i="1"/>
  <c r="O345" i="1" s="1"/>
  <c r="O356" i="1" s="1"/>
  <c r="W293" i="1"/>
  <c r="W85" i="1"/>
  <c r="R189" i="1"/>
  <c r="R196" i="1"/>
  <c r="I184" i="1"/>
  <c r="I369" i="1"/>
  <c r="I193" i="1"/>
  <c r="I294" i="1"/>
  <c r="I187" i="1"/>
  <c r="H335" i="1"/>
  <c r="H345" i="1" s="1"/>
  <c r="H356" i="1" s="1"/>
  <c r="H80" i="1"/>
  <c r="H85" i="1"/>
  <c r="H293" i="1"/>
  <c r="H149" i="1"/>
  <c r="H159" i="1" s="1"/>
  <c r="H170" i="1" s="1"/>
  <c r="H106" i="1"/>
  <c r="AB305" i="1"/>
  <c r="AC305" i="1" s="1"/>
  <c r="AB388" i="1"/>
  <c r="AC388" i="1" s="1"/>
  <c r="AB210" i="1"/>
  <c r="AC210" i="1" s="1"/>
  <c r="AB423" i="1"/>
  <c r="AC423" i="1" s="1"/>
  <c r="AA138" i="1"/>
  <c r="AB24" i="1"/>
  <c r="AC24" i="1" s="1"/>
  <c r="W390" i="1"/>
  <c r="W105" i="1"/>
  <c r="W137" i="1"/>
  <c r="W227" i="1"/>
  <c r="W213" i="1"/>
  <c r="W211" i="1"/>
  <c r="W78" i="1"/>
  <c r="W202" i="1"/>
  <c r="W89" i="1"/>
  <c r="W310" i="1"/>
  <c r="W306" i="1"/>
  <c r="M406" i="1"/>
  <c r="M220" i="1"/>
  <c r="M87" i="1"/>
  <c r="AA56" i="1"/>
  <c r="AA58" i="1" s="1"/>
  <c r="K215" i="1"/>
  <c r="AB118" i="1"/>
  <c r="AC118" i="1" s="1"/>
  <c r="AB225" i="1"/>
  <c r="AC225" i="1" s="1"/>
  <c r="AB208" i="1"/>
  <c r="AC208" i="1" s="1"/>
  <c r="AB302" i="1"/>
  <c r="AC302" i="1" s="1"/>
  <c r="AA87" i="1"/>
  <c r="AB303" i="1"/>
  <c r="AC303" i="1" s="1"/>
  <c r="W87" i="1"/>
  <c r="W139" i="1"/>
  <c r="Y105" i="1"/>
  <c r="Y136" i="1"/>
  <c r="Y310" i="1"/>
  <c r="Y138" i="1"/>
  <c r="Y108" i="1"/>
  <c r="Y202" i="1"/>
  <c r="Y390" i="1"/>
  <c r="Y137" i="1"/>
  <c r="R211" i="1"/>
  <c r="R306" i="1"/>
  <c r="R105" i="1"/>
  <c r="R137" i="1"/>
  <c r="R89" i="1"/>
  <c r="R389" i="1"/>
  <c r="R78" i="1"/>
  <c r="R87" i="1"/>
  <c r="R380" i="1"/>
  <c r="R138" i="1"/>
  <c r="R139" i="1"/>
  <c r="R213" i="1"/>
  <c r="M372" i="1"/>
  <c r="M192" i="1"/>
  <c r="M195" i="1"/>
  <c r="M371" i="1"/>
  <c r="M197" i="1"/>
  <c r="AA202" i="1"/>
  <c r="AA89" i="1"/>
  <c r="AA137" i="1"/>
  <c r="AA310" i="1"/>
  <c r="AA390" i="1"/>
  <c r="AA105" i="1"/>
  <c r="AA139" i="1"/>
  <c r="AA213" i="1"/>
  <c r="AA399" i="1"/>
  <c r="AA108" i="1"/>
  <c r="AA406" i="1"/>
  <c r="AA389" i="1"/>
  <c r="AA78" i="1"/>
  <c r="AA227" i="1"/>
  <c r="AA229" i="1" s="1"/>
  <c r="AB381" i="1"/>
  <c r="AC381" i="1" s="1"/>
  <c r="AA211" i="1"/>
  <c r="M139" i="1"/>
  <c r="M399" i="1"/>
  <c r="M136" i="1"/>
  <c r="M137" i="1"/>
  <c r="M213" i="1"/>
  <c r="M108" i="1"/>
  <c r="M56" i="1"/>
  <c r="M66" i="1" s="1"/>
  <c r="AB438" i="1"/>
  <c r="AC438" i="1" s="1"/>
  <c r="AB226" i="1"/>
  <c r="AC226" i="1" s="1"/>
  <c r="AA380" i="1"/>
  <c r="AA306" i="1"/>
  <c r="W108" i="1"/>
  <c r="K229" i="1"/>
  <c r="W406" i="1"/>
  <c r="W220" i="1"/>
  <c r="M78" i="1"/>
  <c r="M227" i="1"/>
  <c r="H137" i="1"/>
  <c r="H406" i="1"/>
  <c r="H310" i="1"/>
  <c r="H399" i="1"/>
  <c r="H211" i="1"/>
  <c r="H390" i="1"/>
  <c r="H213" i="1"/>
  <c r="U108" i="1"/>
  <c r="U211" i="1"/>
  <c r="U380" i="1"/>
  <c r="Y86" i="1"/>
  <c r="Y196" i="1"/>
  <c r="Y371" i="1"/>
  <c r="Y368" i="1"/>
  <c r="Y195" i="1"/>
  <c r="Y184" i="1"/>
  <c r="Y192" i="1"/>
  <c r="Y374" i="1"/>
  <c r="Y373" i="1"/>
  <c r="Y186" i="1"/>
  <c r="Y187" i="1"/>
  <c r="Y183" i="1"/>
  <c r="Y194" i="1"/>
  <c r="Y375" i="1"/>
  <c r="Y193" i="1"/>
  <c r="Y369" i="1"/>
  <c r="Y185" i="1"/>
  <c r="Y191" i="1"/>
  <c r="Y370" i="1"/>
  <c r="AB168" i="1"/>
  <c r="AC168" i="1" s="1"/>
  <c r="O192" i="1"/>
  <c r="O189" i="1"/>
  <c r="O190" i="1"/>
  <c r="O371" i="1"/>
  <c r="O373" i="1"/>
  <c r="O86" i="1"/>
  <c r="O191" i="1"/>
  <c r="O183" i="1"/>
  <c r="O374" i="1"/>
  <c r="O186" i="1"/>
  <c r="O107" i="1"/>
  <c r="O368" i="1"/>
  <c r="O188" i="1"/>
  <c r="O195" i="1"/>
  <c r="O294" i="1"/>
  <c r="O196" i="1"/>
  <c r="O194" i="1"/>
  <c r="O185" i="1"/>
  <c r="O372" i="1"/>
  <c r="O187" i="1"/>
  <c r="O193" i="1"/>
  <c r="O375" i="1"/>
  <c r="O197" i="1"/>
  <c r="O184" i="1"/>
  <c r="O370" i="1"/>
  <c r="O369" i="1"/>
  <c r="AB246" i="1"/>
  <c r="AC246" i="1" s="1"/>
  <c r="AA369" i="1"/>
  <c r="AA372" i="1"/>
  <c r="AA375" i="1"/>
  <c r="AA197" i="1"/>
  <c r="AA373" i="1"/>
  <c r="AA193" i="1"/>
  <c r="AA368" i="1"/>
  <c r="I139" i="1"/>
  <c r="I213" i="1"/>
  <c r="I389" i="1"/>
  <c r="I211" i="1"/>
  <c r="I310" i="1"/>
  <c r="I136" i="1"/>
  <c r="I380" i="1"/>
  <c r="I227" i="1"/>
  <c r="I138" i="1"/>
  <c r="I78" i="1"/>
  <c r="I390" i="1"/>
  <c r="I306" i="1"/>
  <c r="I87" i="1"/>
  <c r="I105" i="1"/>
  <c r="I108" i="1"/>
  <c r="I137" i="1"/>
  <c r="I220" i="1"/>
  <c r="I202" i="1"/>
  <c r="I89" i="1"/>
  <c r="I399" i="1"/>
  <c r="I406" i="1"/>
  <c r="P186" i="1"/>
  <c r="P194" i="1"/>
  <c r="P197" i="1"/>
  <c r="P86" i="1"/>
  <c r="P370" i="1"/>
  <c r="P189" i="1"/>
  <c r="P183" i="1"/>
  <c r="P188" i="1"/>
  <c r="P368" i="1"/>
  <c r="P369" i="1"/>
  <c r="P373" i="1"/>
  <c r="P185" i="1"/>
  <c r="P371" i="1"/>
  <c r="P375" i="1"/>
  <c r="P187" i="1"/>
  <c r="P374" i="1"/>
  <c r="P196" i="1"/>
  <c r="P372" i="1"/>
  <c r="P191" i="1"/>
  <c r="P294" i="1"/>
  <c r="P107" i="1"/>
  <c r="P190" i="1"/>
  <c r="P193" i="1"/>
  <c r="P192" i="1"/>
  <c r="P184" i="1"/>
  <c r="P195" i="1"/>
  <c r="W196" i="1"/>
  <c r="W86" i="1"/>
  <c r="W369" i="1"/>
  <c r="W192" i="1"/>
  <c r="W194" i="1"/>
  <c r="W370" i="1"/>
  <c r="W189" i="1"/>
  <c r="W183" i="1"/>
  <c r="W188" i="1"/>
  <c r="W372" i="1"/>
  <c r="W193" i="1"/>
  <c r="W373" i="1"/>
  <c r="W195" i="1"/>
  <c r="W197" i="1"/>
  <c r="W190" i="1"/>
  <c r="W191" i="1"/>
  <c r="W371" i="1"/>
  <c r="W294" i="1"/>
  <c r="W368" i="1"/>
  <c r="W186" i="1"/>
  <c r="W187" i="1"/>
  <c r="W56" i="1"/>
  <c r="W185" i="1"/>
  <c r="W375" i="1"/>
  <c r="W107" i="1"/>
  <c r="W184" i="1"/>
  <c r="W374" i="1"/>
  <c r="U86" i="1"/>
  <c r="U373" i="1"/>
  <c r="U192" i="1"/>
  <c r="U184" i="1"/>
  <c r="U185" i="1"/>
  <c r="U190" i="1"/>
  <c r="U194" i="1"/>
  <c r="U187" i="1"/>
  <c r="U196" i="1"/>
  <c r="U188" i="1"/>
  <c r="U191" i="1"/>
  <c r="U294" i="1"/>
  <c r="U375" i="1"/>
  <c r="U374" i="1"/>
  <c r="U369" i="1"/>
  <c r="U193" i="1"/>
  <c r="U370" i="1"/>
  <c r="U368" i="1"/>
  <c r="U107" i="1"/>
  <c r="U372" i="1"/>
  <c r="U186" i="1"/>
  <c r="U371" i="1"/>
  <c r="U195" i="1"/>
  <c r="U183" i="1"/>
  <c r="U189" i="1"/>
  <c r="U197" i="1"/>
  <c r="AB109" i="1"/>
  <c r="AC109" i="1" s="1"/>
  <c r="AB35" i="1"/>
  <c r="AC35" i="1" s="1"/>
  <c r="S95" i="15"/>
  <c r="J13" i="15" s="1"/>
  <c r="K448" i="2" s="1"/>
  <c r="O65" i="15"/>
  <c r="R65" i="15" s="1"/>
  <c r="S55" i="15"/>
  <c r="J9" i="15" s="1"/>
  <c r="G448" i="2" s="1"/>
  <c r="R476" i="2"/>
  <c r="U476" i="2"/>
  <c r="S313" i="2"/>
  <c r="Z347" i="2"/>
  <c r="O313" i="2"/>
  <c r="L347" i="2"/>
  <c r="G347" i="2"/>
  <c r="H347" i="2"/>
  <c r="Q313" i="2"/>
  <c r="R441" i="2"/>
  <c r="R445" i="2" s="1"/>
  <c r="Z313" i="2"/>
  <c r="M347" i="2"/>
  <c r="W347" i="2"/>
  <c r="F313" i="2"/>
  <c r="F422" i="2" s="1"/>
  <c r="U313" i="2"/>
  <c r="N347" i="2"/>
  <c r="R313" i="2"/>
  <c r="X347" i="2"/>
  <c r="T165" i="15"/>
  <c r="K20" i="15" s="1"/>
  <c r="R447" i="2" s="1"/>
  <c r="P313" i="2"/>
  <c r="AH435" i="2"/>
  <c r="AA347" i="2"/>
  <c r="AA313" i="2"/>
  <c r="G442" i="2"/>
  <c r="G445" i="2" s="1"/>
  <c r="H313" i="2"/>
  <c r="AD313" i="2"/>
  <c r="Y347" i="2"/>
  <c r="Y313" i="2"/>
  <c r="G313" i="2"/>
  <c r="G422" i="2" s="1"/>
  <c r="O347" i="2"/>
  <c r="AF313" i="2"/>
  <c r="AF347" i="2"/>
  <c r="T313" i="2"/>
  <c r="S444" i="2"/>
  <c r="V347" i="2"/>
  <c r="K313" i="2"/>
  <c r="P347" i="2"/>
  <c r="K347" i="2"/>
  <c r="I313" i="2"/>
  <c r="AB313" i="2"/>
  <c r="J313" i="2"/>
  <c r="AE313" i="2"/>
  <c r="S347" i="2"/>
  <c r="T347" i="2"/>
  <c r="F347" i="2"/>
  <c r="AC313" i="2"/>
  <c r="AC347" i="2"/>
  <c r="Q441" i="2"/>
  <c r="Q445" i="2" s="1"/>
  <c r="R347" i="2"/>
  <c r="V313" i="2"/>
  <c r="AD347" i="2"/>
  <c r="W313" i="2"/>
  <c r="X313" i="2"/>
  <c r="U347" i="2"/>
  <c r="AE347" i="2"/>
  <c r="I347" i="2"/>
  <c r="M313" i="2"/>
  <c r="L313" i="2"/>
  <c r="N313" i="2"/>
  <c r="Q347" i="2"/>
  <c r="J347" i="2"/>
  <c r="T145" i="15"/>
  <c r="K18" i="15" s="1"/>
  <c r="P447" i="2" s="1"/>
  <c r="H438" i="2"/>
  <c r="H509" i="2"/>
  <c r="N476" i="2"/>
  <c r="O55" i="15"/>
  <c r="R55" i="15" s="1"/>
  <c r="I9" i="15" s="1"/>
  <c r="G449" i="2" s="1"/>
  <c r="T436" i="2"/>
  <c r="U436" i="2"/>
  <c r="T175" i="15"/>
  <c r="K21" i="15" s="1"/>
  <c r="S447" i="2" s="1"/>
  <c r="I21" i="15"/>
  <c r="S449" i="2" s="1"/>
  <c r="J438" i="2"/>
  <c r="Q53" i="15"/>
  <c r="H9" i="15" s="1"/>
  <c r="G450" i="2" s="1"/>
  <c r="P444" i="2"/>
  <c r="O53" i="15"/>
  <c r="S499" i="2"/>
  <c r="S500" i="2" s="1"/>
  <c r="S476" i="2"/>
  <c r="F509" i="2"/>
  <c r="F438" i="2"/>
  <c r="E440" i="2"/>
  <c r="AD427" i="2" s="1"/>
  <c r="M25" i="15"/>
  <c r="T195" i="15"/>
  <c r="K23" i="15" s="1"/>
  <c r="U447" i="2" s="1"/>
  <c r="Q476" i="2"/>
  <c r="I436" i="2"/>
  <c r="I15" i="15"/>
  <c r="M449" i="2" s="1"/>
  <c r="T115" i="15"/>
  <c r="K15" i="15" s="1"/>
  <c r="M447" i="2" s="1"/>
  <c r="S436" i="2"/>
  <c r="H45" i="15"/>
  <c r="S45" i="15" s="1"/>
  <c r="J8" i="15" s="1"/>
  <c r="F448" i="2" s="1"/>
  <c r="O43" i="15"/>
  <c r="M441" i="2"/>
  <c r="M445" i="2" s="1"/>
  <c r="L436" i="2"/>
  <c r="L509" i="2" s="1"/>
  <c r="D25" i="15"/>
  <c r="N25" i="15" s="1"/>
  <c r="Q436" i="2"/>
  <c r="T135" i="15"/>
  <c r="K17" i="15" s="1"/>
  <c r="O447" i="2" s="1"/>
  <c r="T125" i="15"/>
  <c r="K16" i="15" s="1"/>
  <c r="N447" i="2" s="1"/>
  <c r="J440" i="2"/>
  <c r="J441" i="2" s="1"/>
  <c r="D200" i="15"/>
  <c r="T444" i="2"/>
  <c r="I440" i="2"/>
  <c r="Q63" i="15"/>
  <c r="H10" i="15" s="1"/>
  <c r="H450" i="2" s="1"/>
  <c r="O476" i="2"/>
  <c r="O499" i="2"/>
  <c r="O500" i="2" s="1"/>
  <c r="L440" i="2"/>
  <c r="N442" i="2"/>
  <c r="N441" i="2"/>
  <c r="N445" i="2" s="1"/>
  <c r="P476" i="2"/>
  <c r="P499" i="2"/>
  <c r="P500" i="2" s="1"/>
  <c r="P455" i="2"/>
  <c r="P462" i="2" s="1"/>
  <c r="P483" i="2" s="1"/>
  <c r="P490" i="2" s="1"/>
  <c r="P502" i="2"/>
  <c r="T185" i="15"/>
  <c r="K22" i="15" s="1"/>
  <c r="T447" i="2" s="1"/>
  <c r="R436" i="2"/>
  <c r="Q43" i="15"/>
  <c r="H8" i="15" s="1"/>
  <c r="F450" i="2" s="1"/>
  <c r="O75" i="15"/>
  <c r="R75" i="15" s="1"/>
  <c r="I11" i="15" s="1"/>
  <c r="I449" i="2" s="1"/>
  <c r="T155" i="15"/>
  <c r="K19" i="15" s="1"/>
  <c r="Q447" i="2" s="1"/>
  <c r="F84" i="15"/>
  <c r="E85" i="15"/>
  <c r="K441" i="2"/>
  <c r="M509" i="2"/>
  <c r="M438" i="2"/>
  <c r="O63" i="15"/>
  <c r="P47" i="15"/>
  <c r="G8" i="15" s="1"/>
  <c r="O47" i="15"/>
  <c r="F8" i="15" s="1"/>
  <c r="O436" i="2"/>
  <c r="H60" i="18"/>
  <c r="D60" i="18" s="1"/>
  <c r="I59" i="18"/>
  <c r="H58" i="18"/>
  <c r="D58" i="18" s="1"/>
  <c r="I60" i="18"/>
  <c r="H59" i="18"/>
  <c r="I58" i="18"/>
  <c r="D59" i="18" s="1"/>
  <c r="D65" i="18" s="1"/>
  <c r="D68" i="18" s="1"/>
  <c r="D70" i="18" s="1"/>
  <c r="D71" i="18" s="1"/>
  <c r="S75" i="15"/>
  <c r="J11" i="15" s="1"/>
  <c r="O455" i="2"/>
  <c r="O502" i="2"/>
  <c r="U490" i="2"/>
  <c r="H113" i="18"/>
  <c r="I112" i="18"/>
  <c r="D113" i="18" s="1"/>
  <c r="D119" i="18" s="1"/>
  <c r="D122" i="18" s="1"/>
  <c r="D124" i="18" s="1"/>
  <c r="D125" i="18" s="1"/>
  <c r="I113" i="18"/>
  <c r="H112" i="18"/>
  <c r="D112" i="18" s="1"/>
  <c r="I114" i="18"/>
  <c r="H114" i="18"/>
  <c r="D114" i="18" s="1"/>
  <c r="U462" i="2"/>
  <c r="O73" i="15"/>
  <c r="R455" i="2"/>
  <c r="R502" i="2"/>
  <c r="F8" i="9"/>
  <c r="D33" i="9"/>
  <c r="H440" i="2"/>
  <c r="AG439" i="2"/>
  <c r="Q502" i="2"/>
  <c r="Q455" i="2"/>
  <c r="Q73" i="15"/>
  <c r="H11" i="15" s="1"/>
  <c r="N455" i="2"/>
  <c r="N502" i="2"/>
  <c r="F9" i="8"/>
  <c r="D32" i="8"/>
  <c r="I500" i="2"/>
  <c r="K438" i="2"/>
  <c r="P67" i="15" l="1"/>
  <c r="G10" i="15" s="1"/>
  <c r="O67" i="15"/>
  <c r="F10" i="15" s="1"/>
  <c r="H451" i="2" s="1"/>
  <c r="H469" i="2" s="1"/>
  <c r="AH439" i="2"/>
  <c r="F129" i="1"/>
  <c r="F133" i="1" s="1"/>
  <c r="F144" i="1" s="1"/>
  <c r="F287" i="1"/>
  <c r="T427" i="2"/>
  <c r="L499" i="2"/>
  <c r="L500" i="2" s="1"/>
  <c r="R427" i="2"/>
  <c r="S427" i="2"/>
  <c r="X427" i="2"/>
  <c r="Y427" i="2"/>
  <c r="W427" i="2"/>
  <c r="V427" i="2"/>
  <c r="U427" i="2"/>
  <c r="AA427" i="2"/>
  <c r="AB427" i="2"/>
  <c r="AF427" i="2"/>
  <c r="AC427" i="2"/>
  <c r="P427" i="2"/>
  <c r="O427" i="2"/>
  <c r="AE427" i="2"/>
  <c r="F427" i="2"/>
  <c r="Z427" i="2"/>
  <c r="Q427" i="2"/>
  <c r="K344" i="2"/>
  <c r="F414" i="2"/>
  <c r="F344" i="2"/>
  <c r="N414" i="2"/>
  <c r="N344" i="2"/>
  <c r="H414" i="2"/>
  <c r="H344" i="2"/>
  <c r="M414" i="2"/>
  <c r="M344" i="2"/>
  <c r="L438" i="2"/>
  <c r="J414" i="2"/>
  <c r="J344" i="2"/>
  <c r="G414" i="2"/>
  <c r="G344" i="2"/>
  <c r="R8" i="1"/>
  <c r="R105" i="15"/>
  <c r="S105" i="15"/>
  <c r="J14" i="15" s="1"/>
  <c r="L448" i="2" s="1"/>
  <c r="D201" i="15"/>
  <c r="D36" i="15" s="1"/>
  <c r="E200" i="15"/>
  <c r="E201" i="15" s="1"/>
  <c r="E36" i="15" s="1"/>
  <c r="P19" i="15"/>
  <c r="E43" i="4" s="1"/>
  <c r="D28" i="15"/>
  <c r="D29" i="15" s="1"/>
  <c r="S71" i="1"/>
  <c r="Y408" i="1"/>
  <c r="U70" i="1"/>
  <c r="U309" i="1"/>
  <c r="T65" i="15"/>
  <c r="K10" i="15" s="1"/>
  <c r="H447" i="2" s="1"/>
  <c r="S65" i="1"/>
  <c r="S9" i="1"/>
  <c r="S66" i="1"/>
  <c r="S10" i="1"/>
  <c r="U8" i="1"/>
  <c r="U72" i="1"/>
  <c r="U10" i="1"/>
  <c r="S63" i="1"/>
  <c r="S64" i="1"/>
  <c r="U71" i="1"/>
  <c r="S8" i="1"/>
  <c r="S58" i="1"/>
  <c r="U408" i="1"/>
  <c r="U141" i="1"/>
  <c r="U69" i="1"/>
  <c r="U9" i="1"/>
  <c r="U77" i="1"/>
  <c r="Y58" i="1"/>
  <c r="W408" i="1"/>
  <c r="R64" i="1"/>
  <c r="I70" i="1"/>
  <c r="R69" i="1"/>
  <c r="W392" i="1"/>
  <c r="I72" i="1"/>
  <c r="I71" i="1"/>
  <c r="AA65" i="1"/>
  <c r="M215" i="1"/>
  <c r="M392" i="1"/>
  <c r="S229" i="1"/>
  <c r="R10" i="1"/>
  <c r="R71" i="1"/>
  <c r="R309" i="1"/>
  <c r="U68" i="1"/>
  <c r="U58" i="1"/>
  <c r="U67" i="1"/>
  <c r="U73" i="1"/>
  <c r="S69" i="1"/>
  <c r="S72" i="1"/>
  <c r="S68" i="1"/>
  <c r="S70" i="1"/>
  <c r="R63" i="1"/>
  <c r="R9" i="1"/>
  <c r="R68" i="1"/>
  <c r="U66" i="1"/>
  <c r="U65" i="1"/>
  <c r="U63" i="1"/>
  <c r="S77" i="1"/>
  <c r="S309" i="1"/>
  <c r="S67" i="1"/>
  <c r="R72" i="1"/>
  <c r="U392" i="1"/>
  <c r="K410" i="1"/>
  <c r="I8" i="1"/>
  <c r="AB106" i="1"/>
  <c r="AC106" i="1" s="1"/>
  <c r="AB80" i="1"/>
  <c r="AC80" i="1" s="1"/>
  <c r="S408" i="1"/>
  <c r="R408" i="1"/>
  <c r="R229" i="1"/>
  <c r="R199" i="1"/>
  <c r="U229" i="1"/>
  <c r="I65" i="1"/>
  <c r="H71" i="1"/>
  <c r="Y64" i="1"/>
  <c r="H377" i="1"/>
  <c r="M73" i="1"/>
  <c r="I63" i="1"/>
  <c r="I58" i="1"/>
  <c r="I309" i="1"/>
  <c r="H58" i="1"/>
  <c r="I9" i="1"/>
  <c r="I64" i="1"/>
  <c r="I68" i="1"/>
  <c r="I77" i="1"/>
  <c r="I67" i="1"/>
  <c r="I66" i="1"/>
  <c r="I69" i="1"/>
  <c r="H69" i="1"/>
  <c r="Y68" i="1"/>
  <c r="U215" i="1"/>
  <c r="I377" i="1"/>
  <c r="K377" i="1"/>
  <c r="R377" i="1"/>
  <c r="H229" i="1"/>
  <c r="I73" i="1"/>
  <c r="H64" i="1"/>
  <c r="Y67" i="1"/>
  <c r="Y229" i="1"/>
  <c r="I199" i="1"/>
  <c r="K199" i="1"/>
  <c r="AG456" i="2"/>
  <c r="AH456" i="2" s="1"/>
  <c r="M199" i="1"/>
  <c r="Y392" i="1"/>
  <c r="M408" i="1"/>
  <c r="W229" i="1"/>
  <c r="AB370" i="1"/>
  <c r="AC370" i="1" s="1"/>
  <c r="AA68" i="1"/>
  <c r="H63" i="1"/>
  <c r="H10" i="1"/>
  <c r="Y71" i="1"/>
  <c r="Y73" i="1"/>
  <c r="AA377" i="1"/>
  <c r="H408" i="1"/>
  <c r="Y215" i="1"/>
  <c r="AB189" i="1"/>
  <c r="AC189" i="1" s="1"/>
  <c r="H77" i="1"/>
  <c r="H309" i="1"/>
  <c r="Y69" i="1"/>
  <c r="Y70" i="1"/>
  <c r="M141" i="1"/>
  <c r="S141" i="1"/>
  <c r="M377" i="1"/>
  <c r="M10" i="1"/>
  <c r="AB149" i="1"/>
  <c r="AC149" i="1" s="1"/>
  <c r="AA9" i="1"/>
  <c r="E458" i="2"/>
  <c r="U458" i="2" s="1"/>
  <c r="U459" i="2" s="1"/>
  <c r="H67" i="1"/>
  <c r="H73" i="1"/>
  <c r="H8" i="1"/>
  <c r="H70" i="1"/>
  <c r="H9" i="1"/>
  <c r="Y66" i="1"/>
  <c r="Y65" i="1"/>
  <c r="Y8" i="1"/>
  <c r="Y72" i="1"/>
  <c r="R392" i="1"/>
  <c r="AB183" i="1"/>
  <c r="AC183" i="1" s="1"/>
  <c r="AB184" i="1"/>
  <c r="AC184" i="1" s="1"/>
  <c r="AA73" i="1"/>
  <c r="M58" i="1"/>
  <c r="AA72" i="1"/>
  <c r="AA69" i="1"/>
  <c r="M64" i="1"/>
  <c r="AA64" i="1"/>
  <c r="AA10" i="1"/>
  <c r="H65" i="1"/>
  <c r="H72" i="1"/>
  <c r="H68" i="1"/>
  <c r="AB193" i="1"/>
  <c r="AC193" i="1" s="1"/>
  <c r="Y309" i="1"/>
  <c r="Y77" i="1"/>
  <c r="Y9" i="1"/>
  <c r="Y63" i="1"/>
  <c r="R215" i="1"/>
  <c r="K231" i="1"/>
  <c r="W215" i="1"/>
  <c r="AB85" i="1"/>
  <c r="AC85" i="1" s="1"/>
  <c r="S199" i="1"/>
  <c r="H199" i="1"/>
  <c r="S215" i="1"/>
  <c r="S377" i="1"/>
  <c r="H141" i="1"/>
  <c r="S392" i="1"/>
  <c r="R77" i="1"/>
  <c r="R66" i="1"/>
  <c r="R58" i="1"/>
  <c r="R70" i="1"/>
  <c r="R67" i="1"/>
  <c r="R73" i="1"/>
  <c r="AA141" i="1"/>
  <c r="M229" i="1"/>
  <c r="E484" i="2"/>
  <c r="E491" i="2" s="1"/>
  <c r="AB335" i="1"/>
  <c r="AC335" i="1" s="1"/>
  <c r="AB186" i="1"/>
  <c r="AC186" i="1" s="1"/>
  <c r="I408" i="1"/>
  <c r="AB375" i="1"/>
  <c r="AC375" i="1" s="1"/>
  <c r="AB371" i="1"/>
  <c r="AC371" i="1" s="1"/>
  <c r="M72" i="1"/>
  <c r="M8" i="1"/>
  <c r="M65" i="1"/>
  <c r="M77" i="1"/>
  <c r="M71" i="1"/>
  <c r="AA67" i="1"/>
  <c r="AA77" i="1"/>
  <c r="AA63" i="1"/>
  <c r="AA8" i="1"/>
  <c r="AA71" i="1"/>
  <c r="AA199" i="1"/>
  <c r="Y199" i="1"/>
  <c r="AA408" i="1"/>
  <c r="AA392" i="1"/>
  <c r="AA215" i="1"/>
  <c r="AA231" i="1" s="1"/>
  <c r="Y141" i="1"/>
  <c r="W141" i="1"/>
  <c r="AB187" i="1"/>
  <c r="AC187" i="1" s="1"/>
  <c r="M69" i="1"/>
  <c r="M70" i="1"/>
  <c r="M9" i="1"/>
  <c r="M63" i="1"/>
  <c r="M309" i="1"/>
  <c r="M67" i="1"/>
  <c r="M68" i="1"/>
  <c r="AA309" i="1"/>
  <c r="AA70" i="1"/>
  <c r="AA66" i="1"/>
  <c r="AB369" i="1"/>
  <c r="AC369" i="1" s="1"/>
  <c r="AB194" i="1"/>
  <c r="AC194" i="1" s="1"/>
  <c r="AB294" i="1"/>
  <c r="AC294" i="1" s="1"/>
  <c r="H215" i="1"/>
  <c r="AB293" i="1"/>
  <c r="AC293" i="1" s="1"/>
  <c r="K64" i="1"/>
  <c r="K63" i="1"/>
  <c r="K72" i="1"/>
  <c r="K309" i="1"/>
  <c r="K9" i="1"/>
  <c r="K77" i="1"/>
  <c r="K68" i="1"/>
  <c r="K73" i="1"/>
  <c r="K70" i="1"/>
  <c r="K69" i="1"/>
  <c r="K65" i="1"/>
  <c r="K58" i="1"/>
  <c r="K10" i="1"/>
  <c r="K8" i="1"/>
  <c r="K67" i="1"/>
  <c r="K66" i="1"/>
  <c r="K71" i="1"/>
  <c r="R141" i="1"/>
  <c r="H392" i="1"/>
  <c r="AB192" i="1"/>
  <c r="AC192" i="1" s="1"/>
  <c r="AB86" i="1"/>
  <c r="AC86" i="1" s="1"/>
  <c r="AB197" i="1"/>
  <c r="AC197" i="1" s="1"/>
  <c r="AB372" i="1"/>
  <c r="AC372" i="1" s="1"/>
  <c r="Y377" i="1"/>
  <c r="AB188" i="1"/>
  <c r="AC188" i="1" s="1"/>
  <c r="AB374" i="1"/>
  <c r="AC374" i="1" s="1"/>
  <c r="AB196" i="1"/>
  <c r="AC196" i="1" s="1"/>
  <c r="AB195" i="1"/>
  <c r="AC195" i="1" s="1"/>
  <c r="AB373" i="1"/>
  <c r="AC373" i="1" s="1"/>
  <c r="AB185" i="1"/>
  <c r="AC185" i="1" s="1"/>
  <c r="AB107" i="1"/>
  <c r="AC107" i="1" s="1"/>
  <c r="AB190" i="1"/>
  <c r="AC190" i="1" s="1"/>
  <c r="U377" i="1"/>
  <c r="I392" i="1"/>
  <c r="U199" i="1"/>
  <c r="W377" i="1"/>
  <c r="I215" i="1"/>
  <c r="I141" i="1"/>
  <c r="O377" i="1"/>
  <c r="W199" i="1"/>
  <c r="P199" i="1"/>
  <c r="AB191" i="1"/>
  <c r="AC191" i="1" s="1"/>
  <c r="AB368" i="1"/>
  <c r="AC368" i="1" s="1"/>
  <c r="W77" i="1"/>
  <c r="W10" i="1"/>
  <c r="W63" i="1"/>
  <c r="W58" i="1"/>
  <c r="W9" i="1"/>
  <c r="W70" i="1"/>
  <c r="W71" i="1"/>
  <c r="W64" i="1"/>
  <c r="W66" i="1"/>
  <c r="W69" i="1"/>
  <c r="W67" i="1"/>
  <c r="W8" i="1"/>
  <c r="W72" i="1"/>
  <c r="W68" i="1"/>
  <c r="W309" i="1"/>
  <c r="W65" i="1"/>
  <c r="W73" i="1"/>
  <c r="P377" i="1"/>
  <c r="I229" i="1"/>
  <c r="O199" i="1"/>
  <c r="I10" i="15"/>
  <c r="H449" i="2" s="1"/>
  <c r="H502" i="2" s="1"/>
  <c r="P21" i="15"/>
  <c r="E45" i="4" s="1"/>
  <c r="AG347" i="2"/>
  <c r="AH347" i="2" s="1"/>
  <c r="AG313" i="2"/>
  <c r="AH313" i="2" s="1"/>
  <c r="G427" i="2"/>
  <c r="P14" i="15"/>
  <c r="E39" i="4" s="1"/>
  <c r="AH346" i="2"/>
  <c r="AG348" i="2"/>
  <c r="AH348" i="2" s="1"/>
  <c r="G444" i="2"/>
  <c r="T55" i="15"/>
  <c r="K9" i="15" s="1"/>
  <c r="G447" i="2" s="1"/>
  <c r="S502" i="2"/>
  <c r="S455" i="2"/>
  <c r="S462" i="2" s="1"/>
  <c r="S483" i="2" s="1"/>
  <c r="S490" i="2" s="1"/>
  <c r="T438" i="2"/>
  <c r="T509" i="2"/>
  <c r="U438" i="2"/>
  <c r="U509" i="2"/>
  <c r="P17" i="15"/>
  <c r="E41" i="4" s="1"/>
  <c r="I438" i="2"/>
  <c r="I509" i="2"/>
  <c r="N432" i="2"/>
  <c r="E441" i="2"/>
  <c r="N431" i="2" s="1"/>
  <c r="F85" i="15"/>
  <c r="G84" i="15"/>
  <c r="N427" i="2"/>
  <c r="O509" i="2"/>
  <c r="O438" i="2"/>
  <c r="R509" i="2"/>
  <c r="R438" i="2"/>
  <c r="J444" i="2"/>
  <c r="S509" i="2"/>
  <c r="S438" i="2"/>
  <c r="Q509" i="2"/>
  <c r="Q438" i="2"/>
  <c r="AG436" i="2"/>
  <c r="I442" i="2"/>
  <c r="I441" i="2"/>
  <c r="E422" i="2"/>
  <c r="AG422" i="2"/>
  <c r="M455" i="2"/>
  <c r="M502" i="2"/>
  <c r="O45" i="15"/>
  <c r="R45" i="15" s="1"/>
  <c r="F451" i="2"/>
  <c r="K427" i="2"/>
  <c r="L441" i="2"/>
  <c r="L442" i="2"/>
  <c r="P9" i="15"/>
  <c r="E34" i="4" s="1"/>
  <c r="P25" i="15"/>
  <c r="P22" i="15"/>
  <c r="E46" i="4" s="1"/>
  <c r="P11" i="15"/>
  <c r="E36" i="4" s="1"/>
  <c r="P23" i="15"/>
  <c r="E47" i="4" s="1"/>
  <c r="P16" i="15"/>
  <c r="E40" i="4" s="1"/>
  <c r="P18" i="15"/>
  <c r="E42" i="4" s="1"/>
  <c r="P10" i="15"/>
  <c r="E35" i="4" s="1"/>
  <c r="P12" i="15"/>
  <c r="E37" i="4" s="1"/>
  <c r="P13" i="15"/>
  <c r="E38" i="4" s="1"/>
  <c r="P8" i="15"/>
  <c r="E33" i="4" s="1"/>
  <c r="E436" i="2"/>
  <c r="P20" i="15"/>
  <c r="E44" i="4" s="1"/>
  <c r="P15" i="15"/>
  <c r="M427" i="2"/>
  <c r="G502" i="2"/>
  <c r="G455" i="2"/>
  <c r="D131" i="18"/>
  <c r="O469" i="1" s="1"/>
  <c r="O468" i="1" s="1"/>
  <c r="O43" i="1" s="1"/>
  <c r="E131" i="18"/>
  <c r="Q462" i="2"/>
  <c r="F33" i="9"/>
  <c r="M420" i="2" s="1"/>
  <c r="M421" i="2" s="1"/>
  <c r="E133" i="18"/>
  <c r="D126" i="18"/>
  <c r="D133" i="18" s="1"/>
  <c r="O471" i="1" s="1"/>
  <c r="I448" i="2"/>
  <c r="K414" i="2"/>
  <c r="I450" i="2"/>
  <c r="M170" i="1"/>
  <c r="AB159" i="1"/>
  <c r="AC159" i="1" s="1"/>
  <c r="H441" i="2"/>
  <c r="H442" i="2"/>
  <c r="AG440" i="2"/>
  <c r="AH440" i="2" s="1"/>
  <c r="E465" i="2"/>
  <c r="U465" i="2" s="1"/>
  <c r="U466" i="2" s="1"/>
  <c r="AG463" i="2"/>
  <c r="AH463" i="2" s="1"/>
  <c r="D72" i="18"/>
  <c r="D132" i="18" s="1"/>
  <c r="O470" i="1" s="1"/>
  <c r="E132" i="18"/>
  <c r="P470" i="1" s="1"/>
  <c r="T75" i="15"/>
  <c r="K11" i="15" s="1"/>
  <c r="I447" i="2" s="1"/>
  <c r="N462" i="2"/>
  <c r="M356" i="1"/>
  <c r="AB345" i="1"/>
  <c r="AC345" i="1" s="1"/>
  <c r="R462" i="2"/>
  <c r="F32" i="8"/>
  <c r="O462" i="2"/>
  <c r="I455" i="2"/>
  <c r="I502" i="2"/>
  <c r="H476" i="2" l="1"/>
  <c r="H499" i="2"/>
  <c r="H500" i="2" s="1"/>
  <c r="K431" i="2"/>
  <c r="K428" i="2"/>
  <c r="G431" i="2"/>
  <c r="M431" i="2"/>
  <c r="I444" i="2"/>
  <c r="I445" i="2"/>
  <c r="I432" i="2" s="1"/>
  <c r="V431" i="2"/>
  <c r="Z428" i="2"/>
  <c r="Z431" i="2"/>
  <c r="V428" i="2"/>
  <c r="X428" i="2"/>
  <c r="AD428" i="2"/>
  <c r="AC428" i="2"/>
  <c r="AB428" i="2"/>
  <c r="AF428" i="2"/>
  <c r="Y428" i="2"/>
  <c r="W431" i="2"/>
  <c r="W428" i="2"/>
  <c r="Y431" i="2"/>
  <c r="AA428" i="2"/>
  <c r="X431" i="2"/>
  <c r="AE428" i="2"/>
  <c r="R428" i="2"/>
  <c r="Q428" i="2"/>
  <c r="AC431" i="2"/>
  <c r="AB431" i="2"/>
  <c r="AF431" i="2"/>
  <c r="AA431" i="2"/>
  <c r="U431" i="2"/>
  <c r="F431" i="2"/>
  <c r="Q431" i="2"/>
  <c r="M428" i="2"/>
  <c r="P431" i="2"/>
  <c r="S431" i="2"/>
  <c r="O431" i="2"/>
  <c r="O428" i="2"/>
  <c r="AE431" i="2"/>
  <c r="R431" i="2"/>
  <c r="U428" i="2"/>
  <c r="AD431" i="2"/>
  <c r="T431" i="2"/>
  <c r="N428" i="2"/>
  <c r="T428" i="2"/>
  <c r="S428" i="2"/>
  <c r="J428" i="2"/>
  <c r="G428" i="2"/>
  <c r="H444" i="2"/>
  <c r="H445" i="2"/>
  <c r="L428" i="2"/>
  <c r="L445" i="2"/>
  <c r="L432" i="2" s="1"/>
  <c r="P428" i="2"/>
  <c r="F428" i="2"/>
  <c r="E48" i="4"/>
  <c r="O111" i="1"/>
  <c r="O297" i="1"/>
  <c r="P469" i="1"/>
  <c r="AB469" i="1" s="1"/>
  <c r="AC469" i="1" s="1"/>
  <c r="P471" i="1"/>
  <c r="AB471" i="1" s="1"/>
  <c r="AC471" i="1" s="1"/>
  <c r="Q414" i="2"/>
  <c r="Q344" i="2"/>
  <c r="O414" i="2"/>
  <c r="O344" i="2"/>
  <c r="U414" i="2"/>
  <c r="U344" i="2"/>
  <c r="I414" i="2"/>
  <c r="I344" i="2"/>
  <c r="S414" i="2"/>
  <c r="S344" i="2"/>
  <c r="R414" i="2"/>
  <c r="R344" i="2"/>
  <c r="T414" i="2"/>
  <c r="T344" i="2"/>
  <c r="L344" i="2"/>
  <c r="L414" i="2"/>
  <c r="R12" i="1"/>
  <c r="O44" i="1"/>
  <c r="O45" i="1"/>
  <c r="AB470" i="1"/>
  <c r="AC470" i="1" s="1"/>
  <c r="O46" i="1"/>
  <c r="P45" i="1"/>
  <c r="P46" i="1"/>
  <c r="O47" i="1"/>
  <c r="T314" i="2"/>
  <c r="T316" i="2" s="1"/>
  <c r="T338" i="2" s="1"/>
  <c r="M314" i="2"/>
  <c r="M316" i="2" s="1"/>
  <c r="M338" i="2" s="1"/>
  <c r="N314" i="2"/>
  <c r="N316" i="2" s="1"/>
  <c r="N338" i="2" s="1"/>
  <c r="U314" i="2"/>
  <c r="U316" i="2" s="1"/>
  <c r="U338" i="2" s="1"/>
  <c r="Q314" i="2"/>
  <c r="Q316" i="2" s="1"/>
  <c r="Q338" i="2" s="1"/>
  <c r="R314" i="2"/>
  <c r="R316" i="2" s="1"/>
  <c r="R338" i="2" s="1"/>
  <c r="L314" i="2"/>
  <c r="L316" i="2" s="1"/>
  <c r="L338" i="2" s="1"/>
  <c r="O314" i="2"/>
  <c r="O316" i="2" s="1"/>
  <c r="O338" i="2" s="1"/>
  <c r="P314" i="2"/>
  <c r="P316" i="2" s="1"/>
  <c r="P338" i="2" s="1"/>
  <c r="S314" i="2"/>
  <c r="S316" i="2" s="1"/>
  <c r="S338" i="2" s="1"/>
  <c r="I14" i="15"/>
  <c r="L449" i="2" s="1"/>
  <c r="T105" i="15"/>
  <c r="K14" i="15" s="1"/>
  <c r="L447" i="2" s="1"/>
  <c r="F200" i="15"/>
  <c r="F201" i="15" s="1"/>
  <c r="F36" i="15" s="1"/>
  <c r="H455" i="2"/>
  <c r="H458" i="2" s="1"/>
  <c r="H459" i="2" s="1"/>
  <c r="Y410" i="1"/>
  <c r="Y412" i="1" s="1"/>
  <c r="Y440" i="1" s="1"/>
  <c r="Y450" i="1" s="1"/>
  <c r="U231" i="1"/>
  <c r="U233" i="1" s="1"/>
  <c r="U264" i="1" s="1"/>
  <c r="U269" i="1" s="1"/>
  <c r="W410" i="1"/>
  <c r="W412" i="1" s="1"/>
  <c r="W414" i="1" s="1"/>
  <c r="J432" i="2"/>
  <c r="S12" i="1"/>
  <c r="U75" i="1"/>
  <c r="U307" i="1" s="1"/>
  <c r="U12" i="1"/>
  <c r="U410" i="1"/>
  <c r="U412" i="1" s="1"/>
  <c r="U414" i="1" s="1"/>
  <c r="M410" i="1"/>
  <c r="M412" i="1" s="1"/>
  <c r="M440" i="1" s="1"/>
  <c r="R231" i="1"/>
  <c r="R235" i="1" s="1"/>
  <c r="Y231" i="1"/>
  <c r="Y237" i="1" s="1"/>
  <c r="Y12" i="1"/>
  <c r="I12" i="1"/>
  <c r="S75" i="1"/>
  <c r="S122" i="1" s="1"/>
  <c r="M231" i="1"/>
  <c r="M233" i="1" s="1"/>
  <c r="M264" i="1" s="1"/>
  <c r="M454" i="1" s="1"/>
  <c r="S231" i="1"/>
  <c r="S237" i="1" s="1"/>
  <c r="H231" i="1"/>
  <c r="H233" i="1" s="1"/>
  <c r="R410" i="1"/>
  <c r="R412" i="1" s="1"/>
  <c r="R414" i="1" s="1"/>
  <c r="K412" i="1"/>
  <c r="K414" i="1" s="1"/>
  <c r="S410" i="1"/>
  <c r="S412" i="1" s="1"/>
  <c r="S414" i="1" s="1"/>
  <c r="M12" i="1"/>
  <c r="I75" i="1"/>
  <c r="I456" i="1" s="1"/>
  <c r="K235" i="1"/>
  <c r="W231" i="1"/>
  <c r="W233" i="1" s="1"/>
  <c r="W264" i="1" s="1"/>
  <c r="Y458" i="2"/>
  <c r="O458" i="2"/>
  <c r="O459" i="2" s="1"/>
  <c r="Z458" i="2"/>
  <c r="K233" i="1"/>
  <c r="K264" i="1" s="1"/>
  <c r="K269" i="1" s="1"/>
  <c r="AD458" i="2"/>
  <c r="H410" i="1"/>
  <c r="H412" i="1" s="1"/>
  <c r="X458" i="2"/>
  <c r="K237" i="1"/>
  <c r="AF458" i="2"/>
  <c r="R75" i="1"/>
  <c r="R121" i="1" s="1"/>
  <c r="H12" i="1"/>
  <c r="W458" i="2"/>
  <c r="AE458" i="2"/>
  <c r="AB458" i="2"/>
  <c r="P458" i="2"/>
  <c r="P459" i="2" s="1"/>
  <c r="Q458" i="2"/>
  <c r="Q459" i="2" s="1"/>
  <c r="AG484" i="2"/>
  <c r="AH484" i="2" s="1"/>
  <c r="I410" i="1"/>
  <c r="I412" i="1" s="1"/>
  <c r="I440" i="1" s="1"/>
  <c r="I270" i="1" s="1"/>
  <c r="AA75" i="1"/>
  <c r="AA456" i="1" s="1"/>
  <c r="M75" i="1"/>
  <c r="M121" i="1" s="1"/>
  <c r="AA12" i="1"/>
  <c r="H75" i="1"/>
  <c r="H456" i="1" s="1"/>
  <c r="T458" i="2"/>
  <c r="T459" i="2" s="1"/>
  <c r="R458" i="2"/>
  <c r="R459" i="2" s="1"/>
  <c r="N458" i="2"/>
  <c r="N459" i="2" s="1"/>
  <c r="AA458" i="2"/>
  <c r="AC458" i="2"/>
  <c r="E459" i="2"/>
  <c r="O90" i="2" s="1"/>
  <c r="O538" i="2" s="1"/>
  <c r="V458" i="2"/>
  <c r="AA410" i="1"/>
  <c r="AA412" i="1" s="1"/>
  <c r="Y75" i="1"/>
  <c r="AA237" i="1"/>
  <c r="AA235" i="1"/>
  <c r="AA233" i="1"/>
  <c r="AA264" i="1" s="1"/>
  <c r="AA452" i="1" s="1"/>
  <c r="E486" i="2"/>
  <c r="AB486" i="2" s="1"/>
  <c r="AB487" i="2" s="1"/>
  <c r="K75" i="1"/>
  <c r="K12" i="1"/>
  <c r="AB199" i="1"/>
  <c r="AC199" i="1" s="1"/>
  <c r="AB377" i="1"/>
  <c r="AC377" i="1" s="1"/>
  <c r="W12" i="1"/>
  <c r="I231" i="1"/>
  <c r="W75" i="1"/>
  <c r="G12" i="8"/>
  <c r="L429" i="2" s="1"/>
  <c r="G8" i="9"/>
  <c r="H420" i="2" s="1"/>
  <c r="H421" i="2" s="1"/>
  <c r="G12" i="9"/>
  <c r="L420" i="2" s="1"/>
  <c r="L421" i="2" s="1"/>
  <c r="S458" i="2"/>
  <c r="S459" i="2" s="1"/>
  <c r="AG509" i="2"/>
  <c r="AH509" i="2" s="1"/>
  <c r="AH436" i="2"/>
  <c r="AE432" i="2"/>
  <c r="U432" i="2"/>
  <c r="AD432" i="2"/>
  <c r="Q432" i="2"/>
  <c r="Y432" i="2"/>
  <c r="X432" i="2"/>
  <c r="V432" i="2"/>
  <c r="P432" i="2"/>
  <c r="AA432" i="2"/>
  <c r="Z432" i="2"/>
  <c r="AC432" i="2"/>
  <c r="F432" i="2"/>
  <c r="G432" i="2"/>
  <c r="W432" i="2"/>
  <c r="AB432" i="2"/>
  <c r="S432" i="2"/>
  <c r="R432" i="2"/>
  <c r="O432" i="2"/>
  <c r="AF432" i="2"/>
  <c r="T432" i="2"/>
  <c r="M432" i="2"/>
  <c r="K432" i="2"/>
  <c r="M462" i="2"/>
  <c r="M483" i="2" s="1"/>
  <c r="M490" i="2" s="1"/>
  <c r="M458" i="2"/>
  <c r="M459" i="2" s="1"/>
  <c r="I431" i="2"/>
  <c r="I427" i="2"/>
  <c r="G85" i="15"/>
  <c r="H84" i="15"/>
  <c r="L427" i="2"/>
  <c r="L431" i="2"/>
  <c r="F469" i="2"/>
  <c r="Y316" i="2"/>
  <c r="Y338" i="2" s="1"/>
  <c r="AA316" i="2"/>
  <c r="AA338" i="2" s="1"/>
  <c r="AB316" i="2"/>
  <c r="AB338" i="2" s="1"/>
  <c r="AC316" i="2"/>
  <c r="AC338" i="2" s="1"/>
  <c r="AF316" i="2"/>
  <c r="AF338" i="2" s="1"/>
  <c r="AD316" i="2"/>
  <c r="AD338" i="2" s="1"/>
  <c r="W316" i="2"/>
  <c r="W338" i="2" s="1"/>
  <c r="V316" i="2"/>
  <c r="V338" i="2" s="1"/>
  <c r="X316" i="2"/>
  <c r="X338" i="2" s="1"/>
  <c r="Z316" i="2"/>
  <c r="Z338" i="2" s="1"/>
  <c r="AH422" i="2"/>
  <c r="AE316" i="2"/>
  <c r="AE338" i="2" s="1"/>
  <c r="J431" i="2"/>
  <c r="J427" i="2"/>
  <c r="AG438" i="2"/>
  <c r="AH438" i="2" s="1"/>
  <c r="T45" i="15"/>
  <c r="K8" i="15" s="1"/>
  <c r="F447" i="2" s="1"/>
  <c r="I8" i="15"/>
  <c r="F449" i="2" s="1"/>
  <c r="H427" i="2"/>
  <c r="H431" i="2"/>
  <c r="AG442" i="2"/>
  <c r="AH442" i="2" s="1"/>
  <c r="Q483" i="2"/>
  <c r="Q465" i="2"/>
  <c r="Q466" i="2" s="1"/>
  <c r="AB465" i="2"/>
  <c r="AF465" i="2"/>
  <c r="S465" i="2"/>
  <c r="S466" i="2" s="1"/>
  <c r="Z465" i="2"/>
  <c r="AC465" i="2"/>
  <c r="E466" i="2"/>
  <c r="Y465" i="2"/>
  <c r="T465" i="2"/>
  <c r="T466" i="2" s="1"/>
  <c r="AE465" i="2"/>
  <c r="P465" i="2"/>
  <c r="P466" i="2" s="1"/>
  <c r="AD465" i="2"/>
  <c r="V465" i="2"/>
  <c r="W465" i="2"/>
  <c r="AA465" i="2"/>
  <c r="X465" i="2"/>
  <c r="AG441" i="2"/>
  <c r="AH441" i="2" s="1"/>
  <c r="E493" i="2"/>
  <c r="AG491" i="2"/>
  <c r="AH491" i="2" s="1"/>
  <c r="O483" i="2"/>
  <c r="O465" i="2"/>
  <c r="O466" i="2" s="1"/>
  <c r="I462" i="2"/>
  <c r="I458" i="2"/>
  <c r="I459" i="2" s="1"/>
  <c r="E32" i="8"/>
  <c r="G6" i="8"/>
  <c r="F429" i="2" s="1"/>
  <c r="G7" i="8"/>
  <c r="G429" i="2" s="1"/>
  <c r="G10" i="8"/>
  <c r="J429" i="2" s="1"/>
  <c r="G11" i="8"/>
  <c r="K429" i="2" s="1"/>
  <c r="G8" i="8"/>
  <c r="H429" i="2" s="1"/>
  <c r="AB170" i="1"/>
  <c r="AC170" i="1" s="1"/>
  <c r="G458" i="2"/>
  <c r="G459" i="2" s="1"/>
  <c r="G462" i="2"/>
  <c r="G9" i="8"/>
  <c r="I429" i="2" s="1"/>
  <c r="R483" i="2"/>
  <c r="R465" i="2"/>
  <c r="R466" i="2" s="1"/>
  <c r="AB356" i="1"/>
  <c r="AC356" i="1" s="1"/>
  <c r="N483" i="2"/>
  <c r="N465" i="2"/>
  <c r="N466" i="2" s="1"/>
  <c r="G11" i="9"/>
  <c r="K420" i="2" s="1"/>
  <c r="K421" i="2" s="1"/>
  <c r="G6" i="9"/>
  <c r="E33" i="9"/>
  <c r="G7" i="9"/>
  <c r="G420" i="2" s="1"/>
  <c r="G421" i="2" s="1"/>
  <c r="G9" i="9"/>
  <c r="I420" i="2" s="1"/>
  <c r="I421" i="2" s="1"/>
  <c r="G10" i="9"/>
  <c r="J420" i="2" s="1"/>
  <c r="J421" i="2" s="1"/>
  <c r="AG444" i="2" l="1"/>
  <c r="AH444" i="2" s="1"/>
  <c r="H428" i="2"/>
  <c r="I428" i="2"/>
  <c r="P44" i="1"/>
  <c r="P298" i="1" s="1"/>
  <c r="P468" i="1"/>
  <c r="P47" i="1"/>
  <c r="AB47" i="1" s="1"/>
  <c r="AC47" i="1" s="1"/>
  <c r="AG344" i="2"/>
  <c r="AH344" i="2" s="1"/>
  <c r="AG414" i="2"/>
  <c r="AH414" i="2" s="1"/>
  <c r="O298" i="1"/>
  <c r="O222" i="1"/>
  <c r="O205" i="1"/>
  <c r="O401" i="1"/>
  <c r="O383" i="1"/>
  <c r="O112" i="1"/>
  <c r="O402" i="1"/>
  <c r="O114" i="1"/>
  <c r="O206" i="1"/>
  <c r="AB46" i="1"/>
  <c r="AC46" i="1" s="1"/>
  <c r="O223" i="1"/>
  <c r="O300" i="1"/>
  <c r="O384" i="1"/>
  <c r="P299" i="1"/>
  <c r="P113" i="1"/>
  <c r="P114" i="1"/>
  <c r="P223" i="1"/>
  <c r="P402" i="1"/>
  <c r="P206" i="1"/>
  <c r="P300" i="1"/>
  <c r="P384" i="1"/>
  <c r="O113" i="1"/>
  <c r="AB45" i="1"/>
  <c r="AC45" i="1" s="1"/>
  <c r="O299" i="1"/>
  <c r="O115" i="1"/>
  <c r="O403" i="1"/>
  <c r="O301" i="1"/>
  <c r="O224" i="1"/>
  <c r="O54" i="1"/>
  <c r="L455" i="2"/>
  <c r="L502" i="2"/>
  <c r="G200" i="15"/>
  <c r="G201" i="15" s="1"/>
  <c r="G36" i="15" s="1"/>
  <c r="H462" i="2"/>
  <c r="H483" i="2" s="1"/>
  <c r="U235" i="1"/>
  <c r="U237" i="1"/>
  <c r="M237" i="1"/>
  <c r="U88" i="1"/>
  <c r="U91" i="1" s="1"/>
  <c r="U99" i="1" s="1"/>
  <c r="U121" i="1"/>
  <c r="U82" i="1"/>
  <c r="U142" i="1" s="1"/>
  <c r="U457" i="1"/>
  <c r="U120" i="1"/>
  <c r="U456" i="1"/>
  <c r="U308" i="1"/>
  <c r="U312" i="1" s="1"/>
  <c r="U279" i="1"/>
  <c r="U122" i="1"/>
  <c r="U280" i="1"/>
  <c r="Y52" i="2"/>
  <c r="M447" i="1"/>
  <c r="M451" i="1"/>
  <c r="M274" i="1"/>
  <c r="H52" i="2"/>
  <c r="X460" i="2"/>
  <c r="L204" i="2"/>
  <c r="K440" i="1"/>
  <c r="K447" i="1" s="1"/>
  <c r="V486" i="2"/>
  <c r="V487" i="2" s="1"/>
  <c r="R237" i="1"/>
  <c r="AD486" i="2"/>
  <c r="AD487" i="2" s="1"/>
  <c r="S82" i="1"/>
  <c r="E25" i="2" s="1"/>
  <c r="M270" i="1"/>
  <c r="AA277" i="1"/>
  <c r="H235" i="1"/>
  <c r="Y273" i="1"/>
  <c r="M273" i="1"/>
  <c r="M450" i="1"/>
  <c r="X52" i="2"/>
  <c r="Z52" i="2"/>
  <c r="AE90" i="2"/>
  <c r="AA276" i="1"/>
  <c r="K448" i="1"/>
  <c r="Y235" i="1"/>
  <c r="M414" i="1"/>
  <c r="L13" i="2"/>
  <c r="G13" i="2"/>
  <c r="Y233" i="1"/>
  <c r="Y264" i="1" s="1"/>
  <c r="Y454" i="1" s="1"/>
  <c r="S88" i="1"/>
  <c r="S91" i="1" s="1"/>
  <c r="S99" i="1" s="1"/>
  <c r="N90" i="2"/>
  <c r="N538" i="2" s="1"/>
  <c r="I460" i="2"/>
  <c r="P204" i="2"/>
  <c r="N52" i="2"/>
  <c r="S279" i="1"/>
  <c r="S280" i="1"/>
  <c r="S308" i="1"/>
  <c r="AE52" i="2"/>
  <c r="AD204" i="2"/>
  <c r="L52" i="2"/>
  <c r="AA460" i="2"/>
  <c r="S233" i="1"/>
  <c r="S264" i="1" s="1"/>
  <c r="S446" i="1" s="1"/>
  <c r="R233" i="1"/>
  <c r="R264" i="1" s="1"/>
  <c r="R271" i="1" s="1"/>
  <c r="M235" i="1"/>
  <c r="Y82" i="1"/>
  <c r="E35" i="2" s="1"/>
  <c r="K35" i="2" s="1"/>
  <c r="I122" i="1"/>
  <c r="AA122" i="1"/>
  <c r="S307" i="1"/>
  <c r="S121" i="1"/>
  <c r="S456" i="1"/>
  <c r="I308" i="1"/>
  <c r="S120" i="1"/>
  <c r="S457" i="1"/>
  <c r="Y451" i="1"/>
  <c r="K452" i="1"/>
  <c r="Y270" i="1"/>
  <c r="T13" i="2"/>
  <c r="V90" i="2"/>
  <c r="F204" i="2"/>
  <c r="K460" i="2"/>
  <c r="AD460" i="2"/>
  <c r="AA52" i="2"/>
  <c r="G52" i="2"/>
  <c r="I52" i="2"/>
  <c r="M275" i="1"/>
  <c r="K453" i="1"/>
  <c r="K277" i="1"/>
  <c r="W237" i="1"/>
  <c r="Y274" i="1"/>
  <c r="G204" i="2"/>
  <c r="H460" i="2"/>
  <c r="I204" i="2"/>
  <c r="N204" i="2"/>
  <c r="Z204" i="2"/>
  <c r="M460" i="2"/>
  <c r="F90" i="2"/>
  <c r="F538" i="2" s="1"/>
  <c r="M204" i="2"/>
  <c r="AF460" i="2"/>
  <c r="M446" i="1"/>
  <c r="K276" i="1"/>
  <c r="S235" i="1"/>
  <c r="Y414" i="1"/>
  <c r="W235" i="1"/>
  <c r="M82" i="1"/>
  <c r="M98" i="1" s="1"/>
  <c r="H307" i="1"/>
  <c r="W448" i="1"/>
  <c r="W454" i="1"/>
  <c r="U460" i="2"/>
  <c r="F52" i="2"/>
  <c r="Q13" i="2"/>
  <c r="AA13" i="2"/>
  <c r="I13" i="2"/>
  <c r="AA204" i="2"/>
  <c r="AE460" i="2"/>
  <c r="AD52" i="2"/>
  <c r="P13" i="2"/>
  <c r="V52" i="2"/>
  <c r="V460" i="2"/>
  <c r="X90" i="2"/>
  <c r="J460" i="2"/>
  <c r="W52" i="2"/>
  <c r="K52" i="2"/>
  <c r="K13" i="2"/>
  <c r="V204" i="2"/>
  <c r="M453" i="1"/>
  <c r="M448" i="1"/>
  <c r="I279" i="1"/>
  <c r="I121" i="1"/>
  <c r="Y447" i="1"/>
  <c r="Z90" i="2"/>
  <c r="AF204" i="2"/>
  <c r="W460" i="2"/>
  <c r="O13" i="2"/>
  <c r="H13" i="2"/>
  <c r="R52" i="2"/>
  <c r="O52" i="2"/>
  <c r="U204" i="2"/>
  <c r="M90" i="2"/>
  <c r="M538" i="2" s="1"/>
  <c r="N460" i="2"/>
  <c r="Q52" i="2"/>
  <c r="U13" i="2"/>
  <c r="Y90" i="2"/>
  <c r="P90" i="2"/>
  <c r="P538" i="2" s="1"/>
  <c r="P567" i="2" s="1"/>
  <c r="T204" i="2"/>
  <c r="AF90" i="2"/>
  <c r="AF13" i="2"/>
  <c r="X204" i="2"/>
  <c r="Q460" i="2"/>
  <c r="R13" i="2"/>
  <c r="R204" i="2"/>
  <c r="Q90" i="2"/>
  <c r="Q538" i="2" s="1"/>
  <c r="AB13" i="2"/>
  <c r="M13" i="2"/>
  <c r="S204" i="2"/>
  <c r="J52" i="2"/>
  <c r="I90" i="2"/>
  <c r="I538" i="2" s="1"/>
  <c r="AA90" i="2"/>
  <c r="AC52" i="2"/>
  <c r="AD13" i="2"/>
  <c r="AE204" i="2"/>
  <c r="N13" i="2"/>
  <c r="S90" i="2"/>
  <c r="M452" i="1"/>
  <c r="M271" i="1"/>
  <c r="M269" i="1"/>
  <c r="I120" i="1"/>
  <c r="I280" i="1"/>
  <c r="I307" i="1"/>
  <c r="K275" i="1"/>
  <c r="K454" i="1"/>
  <c r="K271" i="1"/>
  <c r="J13" i="2"/>
  <c r="Y13" i="2"/>
  <c r="J204" i="2"/>
  <c r="H204" i="2"/>
  <c r="G460" i="2"/>
  <c r="T52" i="2"/>
  <c r="AB460" i="2"/>
  <c r="O204" i="2"/>
  <c r="T90" i="2"/>
  <c r="AB90" i="2"/>
  <c r="F460" i="2"/>
  <c r="F13" i="2"/>
  <c r="AB52" i="2"/>
  <c r="K90" i="2"/>
  <c r="K538" i="2" s="1"/>
  <c r="AC204" i="2"/>
  <c r="L460" i="2"/>
  <c r="S52" i="2"/>
  <c r="I82" i="1"/>
  <c r="I142" i="1" s="1"/>
  <c r="AE13" i="2"/>
  <c r="L90" i="2"/>
  <c r="L538" i="2" s="1"/>
  <c r="AF52" i="2"/>
  <c r="J90" i="2"/>
  <c r="J538" i="2" s="1"/>
  <c r="Y204" i="2"/>
  <c r="P52" i="2"/>
  <c r="H90" i="2"/>
  <c r="H538" i="2" s="1"/>
  <c r="R90" i="2"/>
  <c r="R538" i="2" s="1"/>
  <c r="R567" i="2" s="1"/>
  <c r="T460" i="2"/>
  <c r="R460" i="2"/>
  <c r="AD90" i="2"/>
  <c r="X13" i="2"/>
  <c r="V13" i="2"/>
  <c r="K204" i="2"/>
  <c r="M52" i="2"/>
  <c r="W90" i="2"/>
  <c r="AC13" i="2"/>
  <c r="Q204" i="2"/>
  <c r="AC90" i="2"/>
  <c r="O460" i="2"/>
  <c r="W13" i="2"/>
  <c r="P460" i="2"/>
  <c r="AB204" i="2"/>
  <c r="Z460" i="2"/>
  <c r="U90" i="2"/>
  <c r="W204" i="2"/>
  <c r="G90" i="2"/>
  <c r="G538" i="2" s="1"/>
  <c r="Y460" i="2"/>
  <c r="AC460" i="2"/>
  <c r="S460" i="2"/>
  <c r="Z13" i="2"/>
  <c r="U52" i="2"/>
  <c r="S13" i="2"/>
  <c r="M276" i="1"/>
  <c r="M277" i="1"/>
  <c r="I88" i="1"/>
  <c r="I91" i="1" s="1"/>
  <c r="I457" i="1"/>
  <c r="K446" i="1"/>
  <c r="AA271" i="1"/>
  <c r="AA446" i="1"/>
  <c r="AA454" i="1"/>
  <c r="M308" i="1"/>
  <c r="W269" i="1"/>
  <c r="R88" i="1"/>
  <c r="R91" i="1" s="1"/>
  <c r="R99" i="1" s="1"/>
  <c r="R280" i="1"/>
  <c r="R456" i="1"/>
  <c r="AA269" i="1"/>
  <c r="AA453" i="1"/>
  <c r="AA275" i="1"/>
  <c r="W452" i="1"/>
  <c r="AA82" i="1"/>
  <c r="AA142" i="1" s="1"/>
  <c r="U448" i="1"/>
  <c r="AA448" i="1"/>
  <c r="AA307" i="1"/>
  <c r="R307" i="1"/>
  <c r="M122" i="1"/>
  <c r="I451" i="1"/>
  <c r="AA280" i="1"/>
  <c r="AA120" i="1"/>
  <c r="H88" i="1"/>
  <c r="H91" i="1" s="1"/>
  <c r="H99" i="1" s="1"/>
  <c r="H279" i="1"/>
  <c r="R440" i="1"/>
  <c r="R270" i="1" s="1"/>
  <c r="M280" i="1"/>
  <c r="I274" i="1"/>
  <c r="AA308" i="1"/>
  <c r="K82" i="1"/>
  <c r="E13" i="2" s="1"/>
  <c r="H122" i="1"/>
  <c r="H120" i="1"/>
  <c r="M120" i="1"/>
  <c r="M307" i="1"/>
  <c r="I447" i="1"/>
  <c r="AA279" i="1"/>
  <c r="AA457" i="1"/>
  <c r="H121" i="1"/>
  <c r="H457" i="1"/>
  <c r="W440" i="1"/>
  <c r="W274" i="1" s="1"/>
  <c r="R120" i="1"/>
  <c r="R308" i="1"/>
  <c r="R82" i="1"/>
  <c r="R122" i="1"/>
  <c r="H82" i="1"/>
  <c r="U452" i="1"/>
  <c r="M456" i="1"/>
  <c r="M279" i="1"/>
  <c r="M457" i="1"/>
  <c r="I450" i="1"/>
  <c r="M88" i="1"/>
  <c r="M91" i="1" s="1"/>
  <c r="M99" i="1" s="1"/>
  <c r="I273" i="1"/>
  <c r="AA121" i="1"/>
  <c r="AA88" i="1"/>
  <c r="AA91" i="1" s="1"/>
  <c r="AA99" i="1" s="1"/>
  <c r="H280" i="1"/>
  <c r="H308" i="1"/>
  <c r="S440" i="1"/>
  <c r="S274" i="1" s="1"/>
  <c r="R457" i="1"/>
  <c r="R279" i="1"/>
  <c r="AA440" i="1"/>
  <c r="AA414" i="1"/>
  <c r="U486" i="2"/>
  <c r="U487" i="2" s="1"/>
  <c r="U440" i="1"/>
  <c r="AE486" i="2"/>
  <c r="AE487" i="2" s="1"/>
  <c r="Y486" i="2"/>
  <c r="Y487" i="2" s="1"/>
  <c r="Y280" i="1"/>
  <c r="Y279" i="1"/>
  <c r="Y121" i="1"/>
  <c r="Y457" i="1"/>
  <c r="Y307" i="1"/>
  <c r="Y120" i="1"/>
  <c r="Y122" i="1"/>
  <c r="Y308" i="1"/>
  <c r="Y456" i="1"/>
  <c r="Y88" i="1"/>
  <c r="Y91" i="1" s="1"/>
  <c r="Y99" i="1" s="1"/>
  <c r="X486" i="2"/>
  <c r="X487" i="2" s="1"/>
  <c r="W486" i="2"/>
  <c r="W487" i="2" s="1"/>
  <c r="S486" i="2"/>
  <c r="S487" i="2" s="1"/>
  <c r="K279" i="1"/>
  <c r="K307" i="1"/>
  <c r="K88" i="1"/>
  <c r="K91" i="1" s="1"/>
  <c r="K99" i="1" s="1"/>
  <c r="K456" i="1"/>
  <c r="K308" i="1"/>
  <c r="K121" i="1"/>
  <c r="K280" i="1"/>
  <c r="K122" i="1"/>
  <c r="K120" i="1"/>
  <c r="K457" i="1"/>
  <c r="Z486" i="2"/>
  <c r="Z487" i="2" s="1"/>
  <c r="AF486" i="2"/>
  <c r="AF487" i="2" s="1"/>
  <c r="AC486" i="2"/>
  <c r="AC487" i="2" s="1"/>
  <c r="P486" i="2"/>
  <c r="P487" i="2" s="1"/>
  <c r="M486" i="2"/>
  <c r="M487" i="2" s="1"/>
  <c r="T486" i="2"/>
  <c r="T487" i="2" s="1"/>
  <c r="AA486" i="2"/>
  <c r="AA487" i="2" s="1"/>
  <c r="E487" i="2"/>
  <c r="W82" i="1"/>
  <c r="W130" i="1" s="1"/>
  <c r="U453" i="1"/>
  <c r="U271" i="1"/>
  <c r="U276" i="1"/>
  <c r="U277" i="1"/>
  <c r="U454" i="1"/>
  <c r="U446" i="1"/>
  <c r="U275" i="1"/>
  <c r="W276" i="1"/>
  <c r="W271" i="1"/>
  <c r="W275" i="1"/>
  <c r="W453" i="1"/>
  <c r="W446" i="1"/>
  <c r="W277" i="1"/>
  <c r="M493" i="2"/>
  <c r="M494" i="2" s="1"/>
  <c r="W120" i="1"/>
  <c r="W279" i="1"/>
  <c r="W456" i="1"/>
  <c r="W121" i="1"/>
  <c r="W122" i="1"/>
  <c r="W88" i="1"/>
  <c r="W91" i="1" s="1"/>
  <c r="W99" i="1" s="1"/>
  <c r="W308" i="1"/>
  <c r="W307" i="1"/>
  <c r="W280" i="1"/>
  <c r="W457" i="1"/>
  <c r="I235" i="1"/>
  <c r="I233" i="1"/>
  <c r="I264" i="1" s="1"/>
  <c r="H314" i="2"/>
  <c r="M465" i="2"/>
  <c r="M466" i="2" s="1"/>
  <c r="F476" i="2"/>
  <c r="F499" i="2"/>
  <c r="F502" i="2"/>
  <c r="F455" i="2"/>
  <c r="I84" i="15"/>
  <c r="H85" i="15"/>
  <c r="I483" i="2"/>
  <c r="I465" i="2"/>
  <c r="I466" i="2" s="1"/>
  <c r="J314" i="2"/>
  <c r="G33" i="9"/>
  <c r="E420" i="2" s="1"/>
  <c r="F420" i="2"/>
  <c r="AC493" i="2"/>
  <c r="AC494" i="2" s="1"/>
  <c r="Y493" i="2"/>
  <c r="Y494" i="2" s="1"/>
  <c r="AF493" i="2"/>
  <c r="AF494" i="2" s="1"/>
  <c r="E494" i="2"/>
  <c r="AE493" i="2"/>
  <c r="AE494" i="2" s="1"/>
  <c r="AD493" i="2"/>
  <c r="AD494" i="2" s="1"/>
  <c r="P493" i="2"/>
  <c r="P494" i="2" s="1"/>
  <c r="AA493" i="2"/>
  <c r="AA494" i="2" s="1"/>
  <c r="Z493" i="2"/>
  <c r="Z494" i="2" s="1"/>
  <c r="X493" i="2"/>
  <c r="X494" i="2" s="1"/>
  <c r="S493" i="2"/>
  <c r="S494" i="2" s="1"/>
  <c r="AB493" i="2"/>
  <c r="AB494" i="2" s="1"/>
  <c r="T493" i="2"/>
  <c r="T494" i="2" s="1"/>
  <c r="W493" i="2"/>
  <c r="W494" i="2" s="1"/>
  <c r="V493" i="2"/>
  <c r="V494" i="2" s="1"/>
  <c r="U493" i="2"/>
  <c r="U494" i="2" s="1"/>
  <c r="H264" i="1"/>
  <c r="AG431" i="2"/>
  <c r="AH431" i="2" s="1"/>
  <c r="AG427" i="2"/>
  <c r="AH427" i="2" s="1"/>
  <c r="G314" i="2"/>
  <c r="G32" i="8"/>
  <c r="O490" i="2"/>
  <c r="O493" i="2" s="1"/>
  <c r="O494" i="2" s="1"/>
  <c r="O486" i="2"/>
  <c r="O487" i="2" s="1"/>
  <c r="AG445" i="2"/>
  <c r="H432" i="2"/>
  <c r="I314" i="2"/>
  <c r="K314" i="2"/>
  <c r="N490" i="2"/>
  <c r="N493" i="2" s="1"/>
  <c r="N494" i="2" s="1"/>
  <c r="N486" i="2"/>
  <c r="N487" i="2" s="1"/>
  <c r="Q490" i="2"/>
  <c r="Q493" i="2" s="1"/>
  <c r="Q494" i="2" s="1"/>
  <c r="Q486" i="2"/>
  <c r="Q487" i="2" s="1"/>
  <c r="R490" i="2"/>
  <c r="R493" i="2" s="1"/>
  <c r="R494" i="2" s="1"/>
  <c r="R486" i="2"/>
  <c r="R487" i="2" s="1"/>
  <c r="G483" i="2"/>
  <c r="G465" i="2"/>
  <c r="G466" i="2" s="1"/>
  <c r="O567" i="2"/>
  <c r="H440" i="1"/>
  <c r="M242" i="2"/>
  <c r="G467" i="2"/>
  <c r="M128" i="2"/>
  <c r="V128" i="2"/>
  <c r="L242" i="2"/>
  <c r="X166" i="2"/>
  <c r="K280" i="2"/>
  <c r="AA166" i="2"/>
  <c r="G242" i="2"/>
  <c r="AB467" i="2"/>
  <c r="Z280" i="2"/>
  <c r="L166" i="2"/>
  <c r="J242" i="2"/>
  <c r="H467" i="2"/>
  <c r="N467" i="2"/>
  <c r="O128" i="2"/>
  <c r="AF242" i="2"/>
  <c r="U280" i="2"/>
  <c r="AE280" i="2"/>
  <c r="AF467" i="2"/>
  <c r="O280" i="2"/>
  <c r="Z166" i="2"/>
  <c r="K128" i="2"/>
  <c r="V280" i="2"/>
  <c r="AF128" i="2"/>
  <c r="M280" i="2"/>
  <c r="K242" i="2"/>
  <c r="AD166" i="2"/>
  <c r="AD128" i="2"/>
  <c r="AC128" i="2"/>
  <c r="AC467" i="2"/>
  <c r="AB128" i="2"/>
  <c r="J280" i="2"/>
  <c r="Q280" i="2"/>
  <c r="R467" i="2"/>
  <c r="U467" i="2"/>
  <c r="O242" i="2"/>
  <c r="AA280" i="2"/>
  <c r="F242" i="2"/>
  <c r="AD467" i="2"/>
  <c r="U166" i="2"/>
  <c r="M166" i="2"/>
  <c r="T242" i="2"/>
  <c r="V166" i="2"/>
  <c r="S467" i="2"/>
  <c r="F128" i="2"/>
  <c r="S166" i="2"/>
  <c r="Q166" i="2"/>
  <c r="I467" i="2"/>
  <c r="AB280" i="2"/>
  <c r="S128" i="2"/>
  <c r="J128" i="2"/>
  <c r="AF280" i="2"/>
  <c r="P128" i="2"/>
  <c r="N128" i="2"/>
  <c r="Y242" i="2"/>
  <c r="F280" i="2"/>
  <c r="AE467" i="2"/>
  <c r="L280" i="2"/>
  <c r="Z128" i="2"/>
  <c r="AD242" i="2"/>
  <c r="I128" i="2"/>
  <c r="L128" i="2"/>
  <c r="Z242" i="2"/>
  <c r="R242" i="2"/>
  <c r="AB166" i="2"/>
  <c r="W242" i="2"/>
  <c r="R280" i="2"/>
  <c r="U128" i="2"/>
  <c r="X280" i="2"/>
  <c r="P280" i="2"/>
  <c r="X467" i="2"/>
  <c r="W166" i="2"/>
  <c r="U242" i="2"/>
  <c r="M467" i="2"/>
  <c r="H242" i="2"/>
  <c r="G166" i="2"/>
  <c r="P166" i="2"/>
  <c r="F467" i="2"/>
  <c r="AC280" i="2"/>
  <c r="P467" i="2"/>
  <c r="K166" i="2"/>
  <c r="I242" i="2"/>
  <c r="G128" i="2"/>
  <c r="J467" i="2"/>
  <c r="T467" i="2"/>
  <c r="AE128" i="2"/>
  <c r="H280" i="2"/>
  <c r="AC242" i="2"/>
  <c r="W280" i="2"/>
  <c r="Q467" i="2"/>
  <c r="AB242" i="2"/>
  <c r="S280" i="2"/>
  <c r="R128" i="2"/>
  <c r="V242" i="2"/>
  <c r="N166" i="2"/>
  <c r="I280" i="2"/>
  <c r="N280" i="2"/>
  <c r="O467" i="2"/>
  <c r="Y166" i="2"/>
  <c r="S242" i="2"/>
  <c r="Y280" i="2"/>
  <c r="AE242" i="2"/>
  <c r="W128" i="2"/>
  <c r="W467" i="2"/>
  <c r="AE166" i="2"/>
  <c r="H166" i="2"/>
  <c r="Y467" i="2"/>
  <c r="L467" i="2"/>
  <c r="Q128" i="2"/>
  <c r="Q242" i="2"/>
  <c r="V467" i="2"/>
  <c r="F166" i="2"/>
  <c r="O166" i="2"/>
  <c r="AD280" i="2"/>
  <c r="J166" i="2"/>
  <c r="K467" i="2"/>
  <c r="N242" i="2"/>
  <c r="AA467" i="2"/>
  <c r="G280" i="2"/>
  <c r="AA242" i="2"/>
  <c r="AA128" i="2"/>
  <c r="Y128" i="2"/>
  <c r="X242" i="2"/>
  <c r="R166" i="2"/>
  <c r="I166" i="2"/>
  <c r="P242" i="2"/>
  <c r="T280" i="2"/>
  <c r="Z467" i="2"/>
  <c r="T166" i="2"/>
  <c r="H128" i="2"/>
  <c r="AC166" i="2"/>
  <c r="T128" i="2"/>
  <c r="AF166" i="2"/>
  <c r="X128" i="2"/>
  <c r="G567" i="2" l="1"/>
  <c r="G633" i="2"/>
  <c r="H633" i="2"/>
  <c r="H567" i="2"/>
  <c r="AG429" i="2"/>
  <c r="AH429" i="2" s="1"/>
  <c r="AG428" i="2"/>
  <c r="AH428" i="2" s="1"/>
  <c r="P383" i="1"/>
  <c r="AB383" i="1" s="1"/>
  <c r="AC383" i="1" s="1"/>
  <c r="P112" i="1"/>
  <c r="AB112" i="1" s="1"/>
  <c r="AC112" i="1" s="1"/>
  <c r="P222" i="1"/>
  <c r="AB222" i="1" s="1"/>
  <c r="AC222" i="1" s="1"/>
  <c r="AB44" i="1"/>
  <c r="AC44" i="1" s="1"/>
  <c r="P205" i="1"/>
  <c r="AB205" i="1" s="1"/>
  <c r="AC205" i="1" s="1"/>
  <c r="P401" i="1"/>
  <c r="AB401" i="1" s="1"/>
  <c r="AC401" i="1" s="1"/>
  <c r="P43" i="1"/>
  <c r="AB468" i="1"/>
  <c r="AC468" i="1" s="1"/>
  <c r="AB298" i="1"/>
  <c r="AC298" i="1" s="1"/>
  <c r="P115" i="1"/>
  <c r="AB115" i="1" s="1"/>
  <c r="AC115" i="1" s="1"/>
  <c r="P403" i="1"/>
  <c r="AB403" i="1" s="1"/>
  <c r="AC403" i="1" s="1"/>
  <c r="P224" i="1"/>
  <c r="AB224" i="1" s="1"/>
  <c r="AC224" i="1" s="1"/>
  <c r="P301" i="1"/>
  <c r="AB301" i="1" s="1"/>
  <c r="AC301" i="1" s="1"/>
  <c r="AB113" i="1"/>
  <c r="AC113" i="1" s="1"/>
  <c r="AB206" i="1"/>
  <c r="AC206" i="1" s="1"/>
  <c r="AB299" i="1"/>
  <c r="AC299" i="1" s="1"/>
  <c r="AB300" i="1"/>
  <c r="AC300" i="1" s="1"/>
  <c r="AB114" i="1"/>
  <c r="AC114" i="1" s="1"/>
  <c r="AB384" i="1"/>
  <c r="AC384" i="1" s="1"/>
  <c r="AB223" i="1"/>
  <c r="AC223" i="1" s="1"/>
  <c r="AB402" i="1"/>
  <c r="AC402" i="1" s="1"/>
  <c r="O87" i="1"/>
  <c r="O213" i="1"/>
  <c r="O306" i="1"/>
  <c r="O139" i="1"/>
  <c r="O89" i="1"/>
  <c r="O138" i="1"/>
  <c r="O399" i="1"/>
  <c r="O389" i="1"/>
  <c r="O202" i="1"/>
  <c r="O211" i="1"/>
  <c r="E470" i="2"/>
  <c r="E472" i="2" s="1"/>
  <c r="O220" i="1"/>
  <c r="O380" i="1"/>
  <c r="O390" i="1"/>
  <c r="O406" i="1"/>
  <c r="O56" i="1"/>
  <c r="O310" i="1"/>
  <c r="O137" i="1"/>
  <c r="O136" i="1"/>
  <c r="O78" i="1"/>
  <c r="O227" i="1"/>
  <c r="O105" i="1"/>
  <c r="O108" i="1"/>
  <c r="J567" i="2"/>
  <c r="M567" i="2"/>
  <c r="R275" i="1"/>
  <c r="L462" i="2"/>
  <c r="L458" i="2"/>
  <c r="L459" i="2" s="1"/>
  <c r="H465" i="2"/>
  <c r="H466" i="2" s="1"/>
  <c r="H200" i="15"/>
  <c r="H201" i="15" s="1"/>
  <c r="H36" i="15" s="1"/>
  <c r="U130" i="1"/>
  <c r="U93" i="1"/>
  <c r="U98" i="1"/>
  <c r="U101" i="1" s="1"/>
  <c r="U104" i="1" s="1"/>
  <c r="U124" i="1" s="1"/>
  <c r="U126" i="1" s="1"/>
  <c r="E29" i="2"/>
  <c r="R29" i="2" s="1"/>
  <c r="U131" i="1"/>
  <c r="S275" i="1"/>
  <c r="Y98" i="1"/>
  <c r="Y101" i="1" s="1"/>
  <c r="Y104" i="1" s="1"/>
  <c r="Y124" i="1" s="1"/>
  <c r="Y126" i="1" s="1"/>
  <c r="R276" i="1"/>
  <c r="R269" i="1"/>
  <c r="R446" i="1"/>
  <c r="N567" i="2"/>
  <c r="K274" i="1"/>
  <c r="M488" i="2"/>
  <c r="S277" i="1"/>
  <c r="S130" i="1"/>
  <c r="S276" i="1"/>
  <c r="S98" i="1"/>
  <c r="S101" i="1" s="1"/>
  <c r="S104" i="1" s="1"/>
  <c r="S124" i="1" s="1"/>
  <c r="S126" i="1" s="1"/>
  <c r="S271" i="1"/>
  <c r="S131" i="1"/>
  <c r="S454" i="1"/>
  <c r="S448" i="1"/>
  <c r="S452" i="1"/>
  <c r="S93" i="1"/>
  <c r="S142" i="1"/>
  <c r="Y142" i="1"/>
  <c r="S269" i="1"/>
  <c r="K450" i="1"/>
  <c r="K451" i="1"/>
  <c r="K270" i="1"/>
  <c r="S453" i="1"/>
  <c r="K273" i="1"/>
  <c r="N488" i="2"/>
  <c r="R454" i="1"/>
  <c r="Y131" i="1"/>
  <c r="R452" i="1"/>
  <c r="E16" i="2"/>
  <c r="I567" i="2"/>
  <c r="R277" i="1"/>
  <c r="Y448" i="1"/>
  <c r="Y276" i="1"/>
  <c r="Y452" i="1"/>
  <c r="Y269" i="1"/>
  <c r="Y271" i="1"/>
  <c r="K130" i="1"/>
  <c r="Y130" i="1"/>
  <c r="Y446" i="1"/>
  <c r="Y275" i="1"/>
  <c r="M131" i="1"/>
  <c r="V488" i="2"/>
  <c r="Y453" i="1"/>
  <c r="Y277" i="1"/>
  <c r="R312" i="1"/>
  <c r="E215" i="2" s="1"/>
  <c r="G215" i="2" s="1"/>
  <c r="M142" i="1"/>
  <c r="H312" i="1"/>
  <c r="E199" i="2" s="1"/>
  <c r="S312" i="1"/>
  <c r="E216" i="2" s="1"/>
  <c r="F216" i="2" s="1"/>
  <c r="R448" i="1"/>
  <c r="R453" i="1"/>
  <c r="I131" i="1"/>
  <c r="K312" i="1"/>
  <c r="E204" i="2" s="1"/>
  <c r="W270" i="1"/>
  <c r="I312" i="1"/>
  <c r="E200" i="2" s="1"/>
  <c r="V35" i="2"/>
  <c r="R488" i="2"/>
  <c r="F35" i="2"/>
  <c r="N35" i="2"/>
  <c r="Y488" i="2"/>
  <c r="O488" i="2"/>
  <c r="K131" i="1"/>
  <c r="M130" i="1"/>
  <c r="P35" i="2"/>
  <c r="AG52" i="2"/>
  <c r="AA131" i="1"/>
  <c r="Y35" i="2"/>
  <c r="W131" i="1"/>
  <c r="G35" i="2"/>
  <c r="Q488" i="2"/>
  <c r="AB488" i="2"/>
  <c r="Q567" i="2"/>
  <c r="E9" i="2"/>
  <c r="AG90" i="2"/>
  <c r="T488" i="2"/>
  <c r="X488" i="2"/>
  <c r="AE488" i="2"/>
  <c r="AG13" i="2"/>
  <c r="AH13" i="2" s="1"/>
  <c r="AG204" i="2"/>
  <c r="S488" i="2"/>
  <c r="AD488" i="2"/>
  <c r="I130" i="1"/>
  <c r="I98" i="1"/>
  <c r="Z488" i="2"/>
  <c r="AC488" i="2"/>
  <c r="R451" i="1"/>
  <c r="I93" i="1"/>
  <c r="AG460" i="2"/>
  <c r="AH460" i="2" s="1"/>
  <c r="I35" i="2"/>
  <c r="W447" i="1"/>
  <c r="AA35" i="2"/>
  <c r="AC35" i="2"/>
  <c r="AA98" i="1"/>
  <c r="AA101" i="1" s="1"/>
  <c r="AA104" i="1" s="1"/>
  <c r="AA124" i="1" s="1"/>
  <c r="AA126" i="1" s="1"/>
  <c r="AA130" i="1"/>
  <c r="AF35" i="2"/>
  <c r="R35" i="2"/>
  <c r="O35" i="2"/>
  <c r="AD35" i="2"/>
  <c r="AB35" i="2"/>
  <c r="S447" i="1"/>
  <c r="S450" i="1"/>
  <c r="K98" i="1"/>
  <c r="K101" i="1" s="1"/>
  <c r="K104" i="1" s="1"/>
  <c r="K124" i="1" s="1"/>
  <c r="K126" i="1" s="1"/>
  <c r="K142" i="1"/>
  <c r="E38" i="2"/>
  <c r="M38" i="2" s="1"/>
  <c r="H35" i="2"/>
  <c r="W35" i="2"/>
  <c r="T35" i="2"/>
  <c r="Z35" i="2"/>
  <c r="S270" i="1"/>
  <c r="AA93" i="1"/>
  <c r="L35" i="2"/>
  <c r="J35" i="2"/>
  <c r="W450" i="1"/>
  <c r="S35" i="2"/>
  <c r="U35" i="2"/>
  <c r="AE35" i="2"/>
  <c r="Q35" i="2"/>
  <c r="X35" i="2"/>
  <c r="AA488" i="2"/>
  <c r="M35" i="2"/>
  <c r="AF488" i="2"/>
  <c r="H93" i="1"/>
  <c r="M312" i="1"/>
  <c r="E207" i="2" s="1"/>
  <c r="AA312" i="1"/>
  <c r="E229" i="2" s="1"/>
  <c r="Q229" i="2" s="1"/>
  <c r="R273" i="1"/>
  <c r="R274" i="1"/>
  <c r="R450" i="1"/>
  <c r="R447" i="1"/>
  <c r="M93" i="1"/>
  <c r="W451" i="1"/>
  <c r="W273" i="1"/>
  <c r="W488" i="2"/>
  <c r="M101" i="1"/>
  <c r="M104" i="1" s="1"/>
  <c r="M124" i="1" s="1"/>
  <c r="M126" i="1" s="1"/>
  <c r="U488" i="2"/>
  <c r="E24" i="2"/>
  <c r="R131" i="1"/>
  <c r="R130" i="1"/>
  <c r="R142" i="1"/>
  <c r="R93" i="1"/>
  <c r="R98" i="1"/>
  <c r="R101" i="1" s="1"/>
  <c r="R104" i="1" s="1"/>
  <c r="R124" i="1" s="1"/>
  <c r="R126" i="1" s="1"/>
  <c r="W142" i="1"/>
  <c r="H142" i="1"/>
  <c r="H130" i="1"/>
  <c r="H98" i="1"/>
  <c r="H101" i="1" s="1"/>
  <c r="H104" i="1" s="1"/>
  <c r="H124" i="1" s="1"/>
  <c r="E8" i="2"/>
  <c r="H131" i="1"/>
  <c r="AA273" i="1"/>
  <c r="AA274" i="1"/>
  <c r="AA270" i="1"/>
  <c r="AA447" i="1"/>
  <c r="AA450" i="1"/>
  <c r="AA451" i="1"/>
  <c r="S273" i="1"/>
  <c r="S451" i="1"/>
  <c r="U274" i="1"/>
  <c r="U450" i="1"/>
  <c r="U451" i="1"/>
  <c r="U447" i="1"/>
  <c r="U270" i="1"/>
  <c r="U273" i="1"/>
  <c r="P488" i="2"/>
  <c r="Y312" i="1"/>
  <c r="Y93" i="1"/>
  <c r="W98" i="1"/>
  <c r="W101" i="1" s="1"/>
  <c r="E32" i="2"/>
  <c r="V32" i="2" s="1"/>
  <c r="K93" i="1"/>
  <c r="W312" i="1"/>
  <c r="I453" i="1"/>
  <c r="I452" i="1"/>
  <c r="I277" i="1"/>
  <c r="I454" i="1"/>
  <c r="I276" i="1"/>
  <c r="I448" i="1"/>
  <c r="I271" i="1"/>
  <c r="I275" i="1"/>
  <c r="I446" i="1"/>
  <c r="I269" i="1"/>
  <c r="W93" i="1"/>
  <c r="H316" i="2"/>
  <c r="H338" i="2" s="1"/>
  <c r="J84" i="15"/>
  <c r="I85" i="15"/>
  <c r="I200" i="15" s="1"/>
  <c r="F462" i="2"/>
  <c r="F458" i="2"/>
  <c r="F459" i="2" s="1"/>
  <c r="O520" i="2"/>
  <c r="O529" i="2" s="1"/>
  <c r="H520" i="2"/>
  <c r="L520" i="2"/>
  <c r="N520" i="2"/>
  <c r="M520" i="2"/>
  <c r="F500" i="2"/>
  <c r="J520" i="2"/>
  <c r="J529" i="2" s="1"/>
  <c r="AG467" i="2"/>
  <c r="AH467" i="2" s="1"/>
  <c r="I490" i="2"/>
  <c r="I493" i="2" s="1"/>
  <c r="I494" i="2" s="1"/>
  <c r="I495" i="2" s="1"/>
  <c r="I486" i="2"/>
  <c r="I487" i="2" s="1"/>
  <c r="I488" i="2" s="1"/>
  <c r="Q520" i="2"/>
  <c r="Q529" i="2" s="1"/>
  <c r="R520" i="2"/>
  <c r="R529" i="2" s="1"/>
  <c r="I520" i="2"/>
  <c r="I529" i="2" s="1"/>
  <c r="P520" i="2"/>
  <c r="P529" i="2" s="1"/>
  <c r="AG128" i="2"/>
  <c r="F520" i="2"/>
  <c r="F529" i="2" s="1"/>
  <c r="H490" i="2"/>
  <c r="H493" i="2" s="1"/>
  <c r="H494" i="2" s="1"/>
  <c r="H495" i="2" s="1"/>
  <c r="H486" i="2"/>
  <c r="H487" i="2" s="1"/>
  <c r="H488" i="2" s="1"/>
  <c r="I316" i="2"/>
  <c r="G316" i="2"/>
  <c r="K520" i="2"/>
  <c r="E220" i="2"/>
  <c r="X220" i="2" s="1"/>
  <c r="AG166" i="2"/>
  <c r="AG280" i="2"/>
  <c r="I99" i="1"/>
  <c r="X495" i="2"/>
  <c r="R495" i="2"/>
  <c r="U495" i="2"/>
  <c r="S495" i="2"/>
  <c r="AB495" i="2"/>
  <c r="T495" i="2"/>
  <c r="W495" i="2"/>
  <c r="V495" i="2"/>
  <c r="Q495" i="2"/>
  <c r="AC495" i="2"/>
  <c r="Y495" i="2"/>
  <c r="AF495" i="2"/>
  <c r="O495" i="2"/>
  <c r="AE495" i="2"/>
  <c r="AD495" i="2"/>
  <c r="N495" i="2"/>
  <c r="P495" i="2"/>
  <c r="AA495" i="2"/>
  <c r="M495" i="2"/>
  <c r="Z495" i="2"/>
  <c r="AG538" i="2"/>
  <c r="F567" i="2"/>
  <c r="F421" i="2"/>
  <c r="AG420" i="2"/>
  <c r="AH420" i="2" s="1"/>
  <c r="AG242" i="2"/>
  <c r="H451" i="1"/>
  <c r="H270" i="1"/>
  <c r="H450" i="1"/>
  <c r="H447" i="1"/>
  <c r="H274" i="1"/>
  <c r="H273" i="1"/>
  <c r="G520" i="2"/>
  <c r="G490" i="2"/>
  <c r="G486" i="2"/>
  <c r="K316" i="2"/>
  <c r="AG432" i="2"/>
  <c r="AH432" i="2" s="1"/>
  <c r="H448" i="1"/>
  <c r="H454" i="1"/>
  <c r="H271" i="1"/>
  <c r="H452" i="1"/>
  <c r="H275" i="1"/>
  <c r="H453" i="1"/>
  <c r="H276" i="1"/>
  <c r="H446" i="1"/>
  <c r="H269" i="1"/>
  <c r="H277" i="1"/>
  <c r="AA25" i="2"/>
  <c r="N25" i="2"/>
  <c r="U25" i="2"/>
  <c r="X25" i="2"/>
  <c r="Q25" i="2"/>
  <c r="AE25" i="2"/>
  <c r="M25" i="2"/>
  <c r="Z25" i="2"/>
  <c r="AC25" i="2"/>
  <c r="Y25" i="2"/>
  <c r="V25" i="2"/>
  <c r="L25" i="2"/>
  <c r="F25" i="2"/>
  <c r="P25" i="2"/>
  <c r="J25" i="2"/>
  <c r="I25" i="2"/>
  <c r="T25" i="2"/>
  <c r="R25" i="2"/>
  <c r="G25" i="2"/>
  <c r="W25" i="2"/>
  <c r="O25" i="2"/>
  <c r="AB25" i="2"/>
  <c r="K25" i="2"/>
  <c r="AD25" i="2"/>
  <c r="S25" i="2"/>
  <c r="AF25" i="2"/>
  <c r="H25" i="2"/>
  <c r="J316" i="2"/>
  <c r="R278" i="1" l="1"/>
  <c r="P297" i="1"/>
  <c r="AB297" i="1" s="1"/>
  <c r="AC297" i="1" s="1"/>
  <c r="P111" i="1"/>
  <c r="AB111" i="1" s="1"/>
  <c r="AC111" i="1" s="1"/>
  <c r="AB43" i="1"/>
  <c r="AC43" i="1" s="1"/>
  <c r="P54" i="1"/>
  <c r="K529" i="2"/>
  <c r="L529" i="2"/>
  <c r="G529" i="2"/>
  <c r="G558" i="2" s="1"/>
  <c r="G581" i="2" s="1"/>
  <c r="H529" i="2"/>
  <c r="H558" i="2" s="1"/>
  <c r="H581" i="2" s="1"/>
  <c r="M529" i="2"/>
  <c r="M558" i="2" s="1"/>
  <c r="M581" i="2" s="1"/>
  <c r="N529" i="2"/>
  <c r="N558" i="2" s="1"/>
  <c r="N581" i="2" s="1"/>
  <c r="N606" i="2" s="1"/>
  <c r="AE32" i="2"/>
  <c r="V16" i="2"/>
  <c r="O141" i="1"/>
  <c r="AG470" i="2"/>
  <c r="AH470" i="2" s="1"/>
  <c r="E477" i="2"/>
  <c r="O408" i="1"/>
  <c r="O392" i="1"/>
  <c r="O215" i="1"/>
  <c r="O67" i="1"/>
  <c r="O72" i="1"/>
  <c r="O63" i="1"/>
  <c r="O9" i="1"/>
  <c r="O73" i="1"/>
  <c r="O8" i="1"/>
  <c r="O66" i="1"/>
  <c r="O70" i="1"/>
  <c r="O77" i="1"/>
  <c r="O309" i="1"/>
  <c r="O68" i="1"/>
  <c r="O71" i="1"/>
  <c r="O64" i="1"/>
  <c r="O10" i="1"/>
  <c r="O65" i="1"/>
  <c r="O69" i="1"/>
  <c r="O58" i="1"/>
  <c r="O229" i="1"/>
  <c r="J558" i="2"/>
  <c r="J581" i="2" s="1"/>
  <c r="AD29" i="2"/>
  <c r="L483" i="2"/>
  <c r="L465" i="2"/>
  <c r="L466" i="2" s="1"/>
  <c r="AE29" i="2"/>
  <c r="AF29" i="2"/>
  <c r="G29" i="2"/>
  <c r="O29" i="2"/>
  <c r="N29" i="2"/>
  <c r="K29" i="2"/>
  <c r="I29" i="2"/>
  <c r="Y29" i="2"/>
  <c r="J29" i="2"/>
  <c r="L29" i="2"/>
  <c r="V29" i="2"/>
  <c r="AB29" i="2"/>
  <c r="H29" i="2"/>
  <c r="S29" i="2"/>
  <c r="AC29" i="2"/>
  <c r="P29" i="2"/>
  <c r="M29" i="2"/>
  <c r="Z29" i="2"/>
  <c r="W29" i="2"/>
  <c r="AA29" i="2"/>
  <c r="U29" i="2"/>
  <c r="X29" i="2"/>
  <c r="Q29" i="2"/>
  <c r="F29" i="2"/>
  <c r="T29" i="2"/>
  <c r="X215" i="2"/>
  <c r="U215" i="2"/>
  <c r="N216" i="2"/>
  <c r="AF16" i="2"/>
  <c r="AC16" i="2"/>
  <c r="AE16" i="2"/>
  <c r="AC215" i="2"/>
  <c r="AD16" i="2"/>
  <c r="Y16" i="2"/>
  <c r="L216" i="2"/>
  <c r="E217" i="2"/>
  <c r="P16" i="2"/>
  <c r="AA16" i="2"/>
  <c r="AH204" i="2"/>
  <c r="T16" i="2"/>
  <c r="AB16" i="2"/>
  <c r="M215" i="2"/>
  <c r="V215" i="2"/>
  <c r="AB216" i="2"/>
  <c r="K215" i="2"/>
  <c r="N16" i="2"/>
  <c r="AF216" i="2"/>
  <c r="P215" i="2"/>
  <c r="V229" i="2"/>
  <c r="S320" i="1"/>
  <c r="S278" i="1"/>
  <c r="M16" i="2"/>
  <c r="S215" i="2"/>
  <c r="AC216" i="2"/>
  <c r="G216" i="2"/>
  <c r="G217" i="2" s="1"/>
  <c r="U16" i="2"/>
  <c r="Q16" i="2"/>
  <c r="O16" i="2"/>
  <c r="R16" i="2"/>
  <c r="AA215" i="2"/>
  <c r="O216" i="2"/>
  <c r="U216" i="2"/>
  <c r="T216" i="2"/>
  <c r="F215" i="2"/>
  <c r="F217" i="2" s="1"/>
  <c r="Q215" i="2"/>
  <c r="J215" i="2"/>
  <c r="AD216" i="2"/>
  <c r="N215" i="2"/>
  <c r="Y215" i="2"/>
  <c r="L215" i="2"/>
  <c r="Y216" i="2"/>
  <c r="AB215" i="2"/>
  <c r="W16" i="2"/>
  <c r="Z16" i="2"/>
  <c r="S16" i="2"/>
  <c r="X16" i="2"/>
  <c r="S324" i="1"/>
  <c r="R316" i="1"/>
  <c r="E291" i="2" s="1"/>
  <c r="AF291" i="2" s="1"/>
  <c r="P229" i="2"/>
  <c r="O229" i="2"/>
  <c r="S281" i="1"/>
  <c r="T32" i="2"/>
  <c r="AB229" i="2"/>
  <c r="H229" i="2"/>
  <c r="S272" i="1"/>
  <c r="E64" i="2"/>
  <c r="G64" i="2" s="1"/>
  <c r="E63" i="2"/>
  <c r="AE63" i="2" s="1"/>
  <c r="AE229" i="2"/>
  <c r="W229" i="2"/>
  <c r="M229" i="2"/>
  <c r="AD229" i="2"/>
  <c r="S322" i="1"/>
  <c r="S318" i="1"/>
  <c r="S449" i="1"/>
  <c r="R281" i="1"/>
  <c r="X229" i="2"/>
  <c r="AF229" i="2"/>
  <c r="J229" i="2"/>
  <c r="AA229" i="2"/>
  <c r="Z229" i="2"/>
  <c r="L229" i="2"/>
  <c r="S314" i="1"/>
  <c r="E254" i="2" s="1"/>
  <c r="S316" i="1"/>
  <c r="E292" i="2" s="1"/>
  <c r="T292" i="2" s="1"/>
  <c r="S455" i="1"/>
  <c r="R320" i="1"/>
  <c r="Z32" i="2"/>
  <c r="AE215" i="2"/>
  <c r="V216" i="2"/>
  <c r="M216" i="2"/>
  <c r="J216" i="2"/>
  <c r="AF215" i="2"/>
  <c r="P216" i="2"/>
  <c r="H216" i="2"/>
  <c r="W216" i="2"/>
  <c r="Q216" i="2"/>
  <c r="R216" i="2"/>
  <c r="H215" i="2"/>
  <c r="Z216" i="2"/>
  <c r="T215" i="2"/>
  <c r="X216" i="2"/>
  <c r="O215" i="2"/>
  <c r="S216" i="2"/>
  <c r="R215" i="2"/>
  <c r="AD215" i="2"/>
  <c r="W38" i="2"/>
  <c r="AA32" i="2"/>
  <c r="O32" i="2"/>
  <c r="K216" i="2"/>
  <c r="I215" i="2"/>
  <c r="Z215" i="2"/>
  <c r="AE216" i="2"/>
  <c r="W215" i="2"/>
  <c r="AA216" i="2"/>
  <c r="I216" i="2"/>
  <c r="F32" i="2"/>
  <c r="W32" i="2"/>
  <c r="E10" i="2"/>
  <c r="R207" i="2"/>
  <c r="H38" i="2"/>
  <c r="U38" i="2"/>
  <c r="S38" i="2"/>
  <c r="AC38" i="2"/>
  <c r="AE38" i="2"/>
  <c r="O38" i="2"/>
  <c r="L32" i="2"/>
  <c r="AC32" i="2"/>
  <c r="AD32" i="2"/>
  <c r="K32" i="2"/>
  <c r="K229" i="2"/>
  <c r="F229" i="2"/>
  <c r="U229" i="2"/>
  <c r="Y229" i="2"/>
  <c r="G229" i="2"/>
  <c r="N229" i="2"/>
  <c r="R314" i="1"/>
  <c r="E253" i="2" s="1"/>
  <c r="R324" i="1"/>
  <c r="M32" i="2"/>
  <c r="Q32" i="2"/>
  <c r="U32" i="2"/>
  <c r="G32" i="2"/>
  <c r="H32" i="2"/>
  <c r="I32" i="2"/>
  <c r="AG35" i="2"/>
  <c r="AH35" i="2" s="1"/>
  <c r="R322" i="1"/>
  <c r="R449" i="1"/>
  <c r="R455" i="1"/>
  <c r="S32" i="2"/>
  <c r="J32" i="2"/>
  <c r="X32" i="2"/>
  <c r="R229" i="2"/>
  <c r="S229" i="2"/>
  <c r="I229" i="2"/>
  <c r="T229" i="2"/>
  <c r="AC229" i="2"/>
  <c r="R272" i="1"/>
  <c r="R318" i="1"/>
  <c r="P32" i="2"/>
  <c r="R32" i="2"/>
  <c r="N32" i="2"/>
  <c r="AB32" i="2"/>
  <c r="AF32" i="2"/>
  <c r="Y32" i="2"/>
  <c r="R38" i="2"/>
  <c r="AB38" i="2"/>
  <c r="F38" i="2"/>
  <c r="AF38" i="2"/>
  <c r="T38" i="2"/>
  <c r="Z38" i="2"/>
  <c r="V38" i="2"/>
  <c r="P38" i="2"/>
  <c r="Y38" i="2"/>
  <c r="J38" i="2"/>
  <c r="AD38" i="2"/>
  <c r="X38" i="2"/>
  <c r="N38" i="2"/>
  <c r="I38" i="2"/>
  <c r="L38" i="2"/>
  <c r="G38" i="2"/>
  <c r="AA38" i="2"/>
  <c r="K38" i="2"/>
  <c r="Q38" i="2"/>
  <c r="S24" i="2"/>
  <c r="S26" i="2" s="1"/>
  <c r="P24" i="2"/>
  <c r="P26" i="2" s="1"/>
  <c r="T24" i="2"/>
  <c r="T26" i="2" s="1"/>
  <c r="H24" i="2"/>
  <c r="H26" i="2" s="1"/>
  <c r="O24" i="2"/>
  <c r="O26" i="2" s="1"/>
  <c r="M24" i="2"/>
  <c r="M26" i="2" s="1"/>
  <c r="Q24" i="2"/>
  <c r="Q26" i="2" s="1"/>
  <c r="E26" i="2"/>
  <c r="AA24" i="2"/>
  <c r="AA26" i="2" s="1"/>
  <c r="AE24" i="2"/>
  <c r="AE26" i="2" s="1"/>
  <c r="Z24" i="2"/>
  <c r="Z26" i="2" s="1"/>
  <c r="AB24" i="2"/>
  <c r="AB26" i="2" s="1"/>
  <c r="AF24" i="2"/>
  <c r="AF26" i="2" s="1"/>
  <c r="R24" i="2"/>
  <c r="R26" i="2" s="1"/>
  <c r="V24" i="2"/>
  <c r="V26" i="2" s="1"/>
  <c r="AD24" i="2"/>
  <c r="AD26" i="2" s="1"/>
  <c r="X24" i="2"/>
  <c r="X26" i="2" s="1"/>
  <c r="G24" i="2"/>
  <c r="G26" i="2" s="1"/>
  <c r="N24" i="2"/>
  <c r="N26" i="2" s="1"/>
  <c r="U24" i="2"/>
  <c r="U26" i="2" s="1"/>
  <c r="I24" i="2"/>
  <c r="I26" i="2" s="1"/>
  <c r="J24" i="2"/>
  <c r="J26" i="2" s="1"/>
  <c r="AC24" i="2"/>
  <c r="AC26" i="2" s="1"/>
  <c r="Y24" i="2"/>
  <c r="Y26" i="2" s="1"/>
  <c r="W24" i="2"/>
  <c r="W26" i="2" s="1"/>
  <c r="L24" i="2"/>
  <c r="L26" i="2" s="1"/>
  <c r="Y324" i="1"/>
  <c r="Y281" i="1"/>
  <c r="Y449" i="1"/>
  <c r="E74" i="2"/>
  <c r="Y318" i="1"/>
  <c r="Y314" i="1"/>
  <c r="E264" i="2" s="1"/>
  <c r="Y278" i="1"/>
  <c r="Y316" i="1"/>
  <c r="E302" i="2" s="1"/>
  <c r="Y455" i="1"/>
  <c r="Y320" i="1"/>
  <c r="Y272" i="1"/>
  <c r="Y322" i="1"/>
  <c r="E226" i="2"/>
  <c r="K449" i="1"/>
  <c r="K322" i="1"/>
  <c r="K455" i="1"/>
  <c r="K272" i="1"/>
  <c r="K318" i="1"/>
  <c r="K320" i="1"/>
  <c r="K316" i="1"/>
  <c r="E280" i="2" s="1"/>
  <c r="AH280" i="2" s="1"/>
  <c r="K324" i="1"/>
  <c r="K314" i="1"/>
  <c r="E52" i="2"/>
  <c r="AH52" i="2" s="1"/>
  <c r="K281" i="1"/>
  <c r="K278" i="1"/>
  <c r="Z207" i="2"/>
  <c r="AB207" i="2"/>
  <c r="X207" i="2"/>
  <c r="Y207" i="2"/>
  <c r="I101" i="1"/>
  <c r="AE207" i="2"/>
  <c r="U207" i="2"/>
  <c r="W207" i="2"/>
  <c r="P207" i="2"/>
  <c r="N207" i="2"/>
  <c r="AD207" i="2"/>
  <c r="V207" i="2"/>
  <c r="AC207" i="2"/>
  <c r="W104" i="1"/>
  <c r="W124" i="1" s="1"/>
  <c r="W126" i="1" s="1"/>
  <c r="E223" i="2"/>
  <c r="O558" i="2"/>
  <c r="O581" i="2" s="1"/>
  <c r="O632" i="2" s="1"/>
  <c r="F24" i="2"/>
  <c r="F483" i="2"/>
  <c r="F465" i="2"/>
  <c r="F466" i="2" s="1"/>
  <c r="I201" i="15"/>
  <c r="I36" i="15" s="1"/>
  <c r="J85" i="15"/>
  <c r="K84" i="15"/>
  <c r="U281" i="1"/>
  <c r="U322" i="1"/>
  <c r="U324" i="1"/>
  <c r="E68" i="2"/>
  <c r="U314" i="1"/>
  <c r="U320" i="1"/>
  <c r="U316" i="1"/>
  <c r="E296" i="2" s="1"/>
  <c r="U278" i="1"/>
  <c r="U272" i="1"/>
  <c r="U449" i="1"/>
  <c r="U455" i="1"/>
  <c r="U318" i="1"/>
  <c r="E77" i="2"/>
  <c r="AA449" i="1"/>
  <c r="AA455" i="1"/>
  <c r="AA278" i="1"/>
  <c r="AA314" i="1"/>
  <c r="AA316" i="1"/>
  <c r="E305" i="2" s="1"/>
  <c r="AA318" i="1"/>
  <c r="AA324" i="1"/>
  <c r="AA272" i="1"/>
  <c r="AA320" i="1"/>
  <c r="AA281" i="1"/>
  <c r="AA322" i="1"/>
  <c r="M316" i="1"/>
  <c r="E283" i="2" s="1"/>
  <c r="I283" i="2" s="1"/>
  <c r="M318" i="1"/>
  <c r="M455" i="1"/>
  <c r="M324" i="1"/>
  <c r="M272" i="1"/>
  <c r="M320" i="1"/>
  <c r="M281" i="1"/>
  <c r="M314" i="1"/>
  <c r="E55" i="2"/>
  <c r="I55" i="2" s="1"/>
  <c r="M278" i="1"/>
  <c r="M449" i="1"/>
  <c r="M322" i="1"/>
  <c r="E201" i="2"/>
  <c r="H126" i="1"/>
  <c r="AE220" i="2"/>
  <c r="R220" i="2"/>
  <c r="K220" i="2"/>
  <c r="Y220" i="2"/>
  <c r="I338" i="2"/>
  <c r="I558" i="2"/>
  <c r="I581" i="2" s="1"/>
  <c r="Q207" i="2"/>
  <c r="G338" i="2"/>
  <c r="M220" i="2"/>
  <c r="V220" i="2"/>
  <c r="S220" i="2"/>
  <c r="J220" i="2"/>
  <c r="G220" i="2"/>
  <c r="N220" i="2"/>
  <c r="H220" i="2"/>
  <c r="H16" i="2"/>
  <c r="H207" i="2"/>
  <c r="AG520" i="2"/>
  <c r="R558" i="2"/>
  <c r="R581" i="2" s="1"/>
  <c r="AG25" i="2"/>
  <c r="AH25" i="2" s="1"/>
  <c r="G487" i="2"/>
  <c r="AG421" i="2"/>
  <c r="AH421" i="2" s="1"/>
  <c r="F314" i="2"/>
  <c r="AG314" i="2" s="1"/>
  <c r="AH314" i="2" s="1"/>
  <c r="U220" i="2"/>
  <c r="AF220" i="2"/>
  <c r="AA220" i="2"/>
  <c r="Z220" i="2"/>
  <c r="O220" i="2"/>
  <c r="AC220" i="2"/>
  <c r="F220" i="2"/>
  <c r="T220" i="2"/>
  <c r="I220" i="2"/>
  <c r="AA207" i="2"/>
  <c r="T207" i="2"/>
  <c r="S207" i="2"/>
  <c r="Q558" i="2"/>
  <c r="Q581" i="2" s="1"/>
  <c r="I16" i="2"/>
  <c r="I207" i="2"/>
  <c r="AF207" i="2"/>
  <c r="J338" i="2"/>
  <c r="K338" i="2"/>
  <c r="G493" i="2"/>
  <c r="P220" i="2"/>
  <c r="W220" i="2"/>
  <c r="AD220" i="2"/>
  <c r="Q220" i="2"/>
  <c r="L220" i="2"/>
  <c r="AB220" i="2"/>
  <c r="P558" i="2"/>
  <c r="P581" i="2" s="1"/>
  <c r="M207" i="2"/>
  <c r="O207" i="2"/>
  <c r="H606" i="2" l="1"/>
  <c r="H632" i="2"/>
  <c r="H634" i="2" s="1"/>
  <c r="G606" i="2"/>
  <c r="G632" i="2"/>
  <c r="G634" i="2" s="1"/>
  <c r="P213" i="1"/>
  <c r="AB213" i="1" s="1"/>
  <c r="AC213" i="1" s="1"/>
  <c r="P310" i="1"/>
  <c r="AB310" i="1" s="1"/>
  <c r="AC310" i="1" s="1"/>
  <c r="P306" i="1"/>
  <c r="AB306" i="1" s="1"/>
  <c r="AC306" i="1" s="1"/>
  <c r="P89" i="1"/>
  <c r="AB89" i="1" s="1"/>
  <c r="AC89" i="1" s="1"/>
  <c r="AB54" i="1"/>
  <c r="AC54" i="1" s="1"/>
  <c r="P78" i="1"/>
  <c r="AB78" i="1" s="1"/>
  <c r="AC78" i="1" s="1"/>
  <c r="P211" i="1"/>
  <c r="AB211" i="1" s="1"/>
  <c r="AC211" i="1" s="1"/>
  <c r="P105" i="1"/>
  <c r="AB105" i="1" s="1"/>
  <c r="AC105" i="1" s="1"/>
  <c r="P138" i="1"/>
  <c r="AB138" i="1" s="1"/>
  <c r="AC138" i="1" s="1"/>
  <c r="P227" i="1"/>
  <c r="AB227" i="1" s="1"/>
  <c r="AC227" i="1" s="1"/>
  <c r="P87" i="1"/>
  <c r="AB87" i="1" s="1"/>
  <c r="AC87" i="1" s="1"/>
  <c r="P399" i="1"/>
  <c r="P108" i="1"/>
  <c r="AB108" i="1" s="1"/>
  <c r="AC108" i="1" s="1"/>
  <c r="P136" i="1"/>
  <c r="P202" i="1"/>
  <c r="P56" i="1"/>
  <c r="P389" i="1"/>
  <c r="AB389" i="1" s="1"/>
  <c r="AC389" i="1" s="1"/>
  <c r="P220" i="1"/>
  <c r="P380" i="1"/>
  <c r="P137" i="1"/>
  <c r="AB137" i="1" s="1"/>
  <c r="AC137" i="1" s="1"/>
  <c r="P390" i="1"/>
  <c r="AB390" i="1" s="1"/>
  <c r="AC390" i="1" s="1"/>
  <c r="P139" i="1"/>
  <c r="AB139" i="1" s="1"/>
  <c r="AC139" i="1" s="1"/>
  <c r="P406" i="1"/>
  <c r="AB406" i="1" s="1"/>
  <c r="AC406" i="1" s="1"/>
  <c r="K217" i="2"/>
  <c r="AB217" i="2"/>
  <c r="Z217" i="2"/>
  <c r="M217" i="2"/>
  <c r="N632" i="2"/>
  <c r="M606" i="2"/>
  <c r="M632" i="2"/>
  <c r="O12" i="1"/>
  <c r="AG477" i="2"/>
  <c r="AH477" i="2" s="1"/>
  <c r="E479" i="2"/>
  <c r="O410" i="1"/>
  <c r="O75" i="1"/>
  <c r="O231" i="1"/>
  <c r="S472" i="2"/>
  <c r="S473" i="2" s="1"/>
  <c r="AC472" i="2"/>
  <c r="AC473" i="2" s="1"/>
  <c r="AF472" i="2"/>
  <c r="AF473" i="2" s="1"/>
  <c r="W472" i="2"/>
  <c r="W473" i="2" s="1"/>
  <c r="H472" i="2"/>
  <c r="H473" i="2" s="1"/>
  <c r="I472" i="2"/>
  <c r="I473" i="2" s="1"/>
  <c r="M472" i="2"/>
  <c r="M473" i="2" s="1"/>
  <c r="X472" i="2"/>
  <c r="X473" i="2" s="1"/>
  <c r="E473" i="2"/>
  <c r="T472" i="2"/>
  <c r="T473" i="2" s="1"/>
  <c r="N472" i="2"/>
  <c r="N473" i="2" s="1"/>
  <c r="Y472" i="2"/>
  <c r="Y473" i="2" s="1"/>
  <c r="AE472" i="2"/>
  <c r="AE473" i="2" s="1"/>
  <c r="L472" i="2"/>
  <c r="L473" i="2" s="1"/>
  <c r="O472" i="2"/>
  <c r="O473" i="2" s="1"/>
  <c r="AB472" i="2"/>
  <c r="AB473" i="2" s="1"/>
  <c r="AD472" i="2"/>
  <c r="AD473" i="2" s="1"/>
  <c r="AA472" i="2"/>
  <c r="AA473" i="2" s="1"/>
  <c r="G472" i="2"/>
  <c r="G473" i="2" s="1"/>
  <c r="Q472" i="2"/>
  <c r="Q473" i="2" s="1"/>
  <c r="Z472" i="2"/>
  <c r="Z473" i="2" s="1"/>
  <c r="U472" i="2"/>
  <c r="U473" i="2" s="1"/>
  <c r="P472" i="2"/>
  <c r="P473" i="2" s="1"/>
  <c r="V472" i="2"/>
  <c r="V473" i="2" s="1"/>
  <c r="J472" i="2"/>
  <c r="J473" i="2" s="1"/>
  <c r="R472" i="2"/>
  <c r="R473" i="2" s="1"/>
  <c r="F472" i="2"/>
  <c r="F473" i="2" s="1"/>
  <c r="P291" i="2"/>
  <c r="J632" i="2"/>
  <c r="J606" i="2"/>
  <c r="U217" i="2"/>
  <c r="X217" i="2"/>
  <c r="L490" i="2"/>
  <c r="L493" i="2" s="1"/>
  <c r="L494" i="2" s="1"/>
  <c r="L495" i="2" s="1"/>
  <c r="L283" i="2" s="1"/>
  <c r="L486" i="2"/>
  <c r="L487" i="2" s="1"/>
  <c r="L488" i="2" s="1"/>
  <c r="L55" i="2" s="1"/>
  <c r="J200" i="15"/>
  <c r="J201" i="15" s="1"/>
  <c r="J36" i="15" s="1"/>
  <c r="AG29" i="2"/>
  <c r="AH29" i="2" s="1"/>
  <c r="H217" i="2"/>
  <c r="X291" i="2"/>
  <c r="U291" i="2"/>
  <c r="H291" i="2"/>
  <c r="AC291" i="2"/>
  <c r="K291" i="2"/>
  <c r="W291" i="2"/>
  <c r="AC217" i="2"/>
  <c r="AD291" i="2"/>
  <c r="AB291" i="2"/>
  <c r="N217" i="2"/>
  <c r="R291" i="2"/>
  <c r="F291" i="2"/>
  <c r="AA291" i="2"/>
  <c r="AE291" i="2"/>
  <c r="O291" i="2"/>
  <c r="Y291" i="2"/>
  <c r="G291" i="2"/>
  <c r="T291" i="2"/>
  <c r="T293" i="2" s="1"/>
  <c r="Q291" i="2"/>
  <c r="L217" i="2"/>
  <c r="N291" i="2"/>
  <c r="I291" i="2"/>
  <c r="S291" i="2"/>
  <c r="L291" i="2"/>
  <c r="Z291" i="2"/>
  <c r="V291" i="2"/>
  <c r="J291" i="2"/>
  <c r="M291" i="2"/>
  <c r="AF217" i="2"/>
  <c r="AB63" i="2"/>
  <c r="P217" i="2"/>
  <c r="V217" i="2"/>
  <c r="J217" i="2"/>
  <c r="T217" i="2"/>
  <c r="S63" i="2"/>
  <c r="S283" i="1"/>
  <c r="S285" i="1" s="1"/>
  <c r="S287" i="1" s="1"/>
  <c r="Y217" i="2"/>
  <c r="O217" i="2"/>
  <c r="S217" i="2"/>
  <c r="S459" i="1"/>
  <c r="S461" i="1" s="1"/>
  <c r="S463" i="1" s="1"/>
  <c r="E178" i="2" s="1"/>
  <c r="U178" i="2" s="1"/>
  <c r="R217" i="2"/>
  <c r="Q217" i="2"/>
  <c r="R283" i="1"/>
  <c r="R285" i="1" s="1"/>
  <c r="R129" i="1" s="1"/>
  <c r="R133" i="1" s="1"/>
  <c r="R144" i="1" s="1"/>
  <c r="Y292" i="2"/>
  <c r="H292" i="2"/>
  <c r="R63" i="2"/>
  <c r="AC63" i="2"/>
  <c r="AA292" i="2"/>
  <c r="Q292" i="2"/>
  <c r="W292" i="2"/>
  <c r="P64" i="2"/>
  <c r="AA217" i="2"/>
  <c r="AE217" i="2"/>
  <c r="X63" i="2"/>
  <c r="Z63" i="2"/>
  <c r="Y63" i="2"/>
  <c r="F292" i="2"/>
  <c r="AD217" i="2"/>
  <c r="E293" i="2"/>
  <c r="U63" i="2"/>
  <c r="P63" i="2"/>
  <c r="AA63" i="2"/>
  <c r="AF283" i="2"/>
  <c r="U292" i="2"/>
  <c r="G292" i="2"/>
  <c r="V292" i="2"/>
  <c r="AD292" i="2"/>
  <c r="AG216" i="2"/>
  <c r="AH216" i="2" s="1"/>
  <c r="S326" i="1"/>
  <c r="I63" i="2"/>
  <c r="L63" i="2"/>
  <c r="Q63" i="2"/>
  <c r="H63" i="2"/>
  <c r="T63" i="2"/>
  <c r="J63" i="2"/>
  <c r="V63" i="2"/>
  <c r="M292" i="2"/>
  <c r="S292" i="2"/>
  <c r="K292" i="2"/>
  <c r="O292" i="2"/>
  <c r="AC292" i="2"/>
  <c r="X292" i="2"/>
  <c r="AF292" i="2"/>
  <c r="AF293" i="2" s="1"/>
  <c r="I292" i="2"/>
  <c r="K64" i="2"/>
  <c r="N63" i="2"/>
  <c r="F63" i="2"/>
  <c r="W63" i="2"/>
  <c r="R292" i="2"/>
  <c r="L292" i="2"/>
  <c r="AE292" i="2"/>
  <c r="M63" i="2"/>
  <c r="AF63" i="2"/>
  <c r="G63" i="2"/>
  <c r="G65" i="2" s="1"/>
  <c r="O63" i="2"/>
  <c r="AD63" i="2"/>
  <c r="Z292" i="2"/>
  <c r="N292" i="2"/>
  <c r="J292" i="2"/>
  <c r="P292" i="2"/>
  <c r="AB292" i="2"/>
  <c r="N64" i="2"/>
  <c r="W217" i="2"/>
  <c r="S64" i="2"/>
  <c r="AF64" i="2"/>
  <c r="AB64" i="2"/>
  <c r="X64" i="2"/>
  <c r="U64" i="2"/>
  <c r="L64" i="2"/>
  <c r="Q64" i="2"/>
  <c r="Y64" i="2"/>
  <c r="AC64" i="2"/>
  <c r="J64" i="2"/>
  <c r="O64" i="2"/>
  <c r="F64" i="2"/>
  <c r="AE64" i="2"/>
  <c r="AE65" i="2" s="1"/>
  <c r="Z64" i="2"/>
  <c r="AG215" i="2"/>
  <c r="AH215" i="2" s="1"/>
  <c r="AE283" i="2"/>
  <c r="AD64" i="2"/>
  <c r="I64" i="2"/>
  <c r="AA64" i="2"/>
  <c r="E65" i="2"/>
  <c r="V64" i="2"/>
  <c r="W64" i="2"/>
  <c r="I217" i="2"/>
  <c r="H283" i="2"/>
  <c r="AA283" i="2"/>
  <c r="H64" i="2"/>
  <c r="R64" i="2"/>
  <c r="M64" i="2"/>
  <c r="T64" i="2"/>
  <c r="X283" i="2"/>
  <c r="AC283" i="2"/>
  <c r="T283" i="2"/>
  <c r="P283" i="2"/>
  <c r="M283" i="2"/>
  <c r="W283" i="2"/>
  <c r="AG38" i="2"/>
  <c r="AH38" i="2" s="1"/>
  <c r="V283" i="2"/>
  <c r="Z283" i="2"/>
  <c r="Y283" i="2"/>
  <c r="I104" i="1"/>
  <c r="R459" i="1"/>
  <c r="R461" i="1" s="1"/>
  <c r="R463" i="1" s="1"/>
  <c r="E177" i="2" s="1"/>
  <c r="T177" i="2" s="1"/>
  <c r="AG32" i="2"/>
  <c r="AH32" i="2" s="1"/>
  <c r="R326" i="1"/>
  <c r="AG229" i="2"/>
  <c r="AH229" i="2" s="1"/>
  <c r="R283" i="2"/>
  <c r="H55" i="2"/>
  <c r="Q283" i="2"/>
  <c r="O283" i="2"/>
  <c r="O606" i="2"/>
  <c r="Y283" i="1"/>
  <c r="Y285" i="1" s="1"/>
  <c r="Y287" i="1" s="1"/>
  <c r="AB283" i="2"/>
  <c r="U283" i="2"/>
  <c r="AD283" i="2"/>
  <c r="Y459" i="1"/>
  <c r="Y461" i="1" s="1"/>
  <c r="Y463" i="1" s="1"/>
  <c r="E188" i="2" s="1"/>
  <c r="AE188" i="2" s="1"/>
  <c r="AA74" i="2"/>
  <c r="AD74" i="2"/>
  <c r="AB74" i="2"/>
  <c r="P74" i="2"/>
  <c r="AE74" i="2"/>
  <c r="F74" i="2"/>
  <c r="Q74" i="2"/>
  <c r="Z74" i="2"/>
  <c r="V74" i="2"/>
  <c r="O74" i="2"/>
  <c r="J74" i="2"/>
  <c r="Y74" i="2"/>
  <c r="K74" i="2"/>
  <c r="X74" i="2"/>
  <c r="I74" i="2"/>
  <c r="AF74" i="2"/>
  <c r="T74" i="2"/>
  <c r="W74" i="2"/>
  <c r="G74" i="2"/>
  <c r="N74" i="2"/>
  <c r="R74" i="2"/>
  <c r="U74" i="2"/>
  <c r="M74" i="2"/>
  <c r="H74" i="2"/>
  <c r="L74" i="2"/>
  <c r="AC74" i="2"/>
  <c r="S74" i="2"/>
  <c r="Y326" i="1"/>
  <c r="AB264" i="2"/>
  <c r="AF264" i="2"/>
  <c r="R264" i="2"/>
  <c r="V264" i="2"/>
  <c r="AA264" i="2"/>
  <c r="O264" i="2"/>
  <c r="S264" i="2"/>
  <c r="X264" i="2"/>
  <c r="G264" i="2"/>
  <c r="W264" i="2"/>
  <c r="T264" i="2"/>
  <c r="AE264" i="2"/>
  <c r="Q264" i="2"/>
  <c r="U264" i="2"/>
  <c r="AC264" i="2"/>
  <c r="J264" i="2"/>
  <c r="P264" i="2"/>
  <c r="K264" i="2"/>
  <c r="Y264" i="2"/>
  <c r="N264" i="2"/>
  <c r="H264" i="2"/>
  <c r="Z264" i="2"/>
  <c r="AD264" i="2"/>
  <c r="L264" i="2"/>
  <c r="M264" i="2"/>
  <c r="I264" i="2"/>
  <c r="F264" i="2"/>
  <c r="N283" i="2"/>
  <c r="K226" i="2"/>
  <c r="N226" i="2"/>
  <c r="G226" i="2"/>
  <c r="AB226" i="2"/>
  <c r="AE226" i="2"/>
  <c r="AF226" i="2"/>
  <c r="S226" i="2"/>
  <c r="T226" i="2"/>
  <c r="M226" i="2"/>
  <c r="H226" i="2"/>
  <c r="W226" i="2"/>
  <c r="U226" i="2"/>
  <c r="Z226" i="2"/>
  <c r="F226" i="2"/>
  <c r="AC226" i="2"/>
  <c r="Y226" i="2"/>
  <c r="X226" i="2"/>
  <c r="P226" i="2"/>
  <c r="R226" i="2"/>
  <c r="J226" i="2"/>
  <c r="V226" i="2"/>
  <c r="O226" i="2"/>
  <c r="I226" i="2"/>
  <c r="L226" i="2"/>
  <c r="AA226" i="2"/>
  <c r="AD226" i="2"/>
  <c r="Q226" i="2"/>
  <c r="U302" i="2"/>
  <c r="AC302" i="2"/>
  <c r="P302" i="2"/>
  <c r="AB302" i="2"/>
  <c r="Z302" i="2"/>
  <c r="K302" i="2"/>
  <c r="S302" i="2"/>
  <c r="L302" i="2"/>
  <c r="G302" i="2"/>
  <c r="V302" i="2"/>
  <c r="AA302" i="2"/>
  <c r="F302" i="2"/>
  <c r="H302" i="2"/>
  <c r="T302" i="2"/>
  <c r="X302" i="2"/>
  <c r="R302" i="2"/>
  <c r="AE302" i="2"/>
  <c r="J302" i="2"/>
  <c r="O302" i="2"/>
  <c r="M302" i="2"/>
  <c r="I302" i="2"/>
  <c r="AD302" i="2"/>
  <c r="W302" i="2"/>
  <c r="Q302" i="2"/>
  <c r="Y302" i="2"/>
  <c r="AF302" i="2"/>
  <c r="N302" i="2"/>
  <c r="K326" i="1"/>
  <c r="E242" i="2"/>
  <c r="AH242" i="2" s="1"/>
  <c r="K283" i="1"/>
  <c r="K285" i="1" s="1"/>
  <c r="K459" i="1"/>
  <c r="K461" i="1" s="1"/>
  <c r="K463" i="1" s="1"/>
  <c r="E166" i="2" s="1"/>
  <c r="AH166" i="2" s="1"/>
  <c r="S283" i="2"/>
  <c r="W314" i="1"/>
  <c r="W324" i="1"/>
  <c r="W320" i="1"/>
  <c r="W278" i="1"/>
  <c r="W281" i="1"/>
  <c r="W316" i="1"/>
  <c r="E299" i="2" s="1"/>
  <c r="W322" i="1"/>
  <c r="W455" i="1"/>
  <c r="E71" i="2"/>
  <c r="W318" i="1"/>
  <c r="W449" i="1"/>
  <c r="W272" i="1"/>
  <c r="M459" i="1"/>
  <c r="M461" i="1" s="1"/>
  <c r="M463" i="1" s="1"/>
  <c r="E169" i="2" s="1"/>
  <c r="U283" i="1"/>
  <c r="U285" i="1" s="1"/>
  <c r="E144" i="2" s="1"/>
  <c r="AA223" i="2"/>
  <c r="K223" i="2"/>
  <c r="W223" i="2"/>
  <c r="S223" i="2"/>
  <c r="X223" i="2"/>
  <c r="T223" i="2"/>
  <c r="J223" i="2"/>
  <c r="F223" i="2"/>
  <c r="Q223" i="2"/>
  <c r="L223" i="2"/>
  <c r="M223" i="2"/>
  <c r="AD223" i="2"/>
  <c r="Z223" i="2"/>
  <c r="I223" i="2"/>
  <c r="G223" i="2"/>
  <c r="AB223" i="2"/>
  <c r="AE223" i="2"/>
  <c r="AF223" i="2"/>
  <c r="N223" i="2"/>
  <c r="V223" i="2"/>
  <c r="O223" i="2"/>
  <c r="Y223" i="2"/>
  <c r="R223" i="2"/>
  <c r="U223" i="2"/>
  <c r="AC223" i="2"/>
  <c r="H223" i="2"/>
  <c r="P223" i="2"/>
  <c r="AA283" i="1"/>
  <c r="AA285" i="1" s="1"/>
  <c r="AA287" i="1" s="1"/>
  <c r="K85" i="15"/>
  <c r="L84" i="15"/>
  <c r="S85" i="15"/>
  <c r="J12" i="15" s="1"/>
  <c r="F490" i="2"/>
  <c r="F493" i="2" s="1"/>
  <c r="F494" i="2" s="1"/>
  <c r="F495" i="2" s="1"/>
  <c r="F486" i="2"/>
  <c r="F487" i="2" s="1"/>
  <c r="F488" i="2" s="1"/>
  <c r="F26" i="2"/>
  <c r="G494" i="2"/>
  <c r="G488" i="2"/>
  <c r="F254" i="2"/>
  <c r="X254" i="2"/>
  <c r="G254" i="2"/>
  <c r="V254" i="2"/>
  <c r="AA254" i="2"/>
  <c r="R254" i="2"/>
  <c r="S254" i="2"/>
  <c r="I254" i="2"/>
  <c r="P254" i="2"/>
  <c r="L254" i="2"/>
  <c r="U254" i="2"/>
  <c r="H254" i="2"/>
  <c r="Y254" i="2"/>
  <c r="N254" i="2"/>
  <c r="AB254" i="2"/>
  <c r="AD254" i="2"/>
  <c r="AF254" i="2"/>
  <c r="AC254" i="2"/>
  <c r="O254" i="2"/>
  <c r="Q254" i="2"/>
  <c r="K254" i="2"/>
  <c r="Z254" i="2"/>
  <c r="T254" i="2"/>
  <c r="W254" i="2"/>
  <c r="J254" i="2"/>
  <c r="M254" i="2"/>
  <c r="AE254" i="2"/>
  <c r="F558" i="2"/>
  <c r="F581" i="2" s="1"/>
  <c r="AG529" i="2"/>
  <c r="I632" i="2"/>
  <c r="I606" i="2"/>
  <c r="E267" i="2"/>
  <c r="AA326" i="1"/>
  <c r="J77" i="2"/>
  <c r="AC77" i="2"/>
  <c r="Y77" i="2"/>
  <c r="G77" i="2"/>
  <c r="L77" i="2"/>
  <c r="AE77" i="2"/>
  <c r="O77" i="2"/>
  <c r="P77" i="2"/>
  <c r="W77" i="2"/>
  <c r="U77" i="2"/>
  <c r="AF77" i="2"/>
  <c r="X77" i="2"/>
  <c r="Z77" i="2"/>
  <c r="K77" i="2"/>
  <c r="S77" i="2"/>
  <c r="AB77" i="2"/>
  <c r="M77" i="2"/>
  <c r="AD77" i="2"/>
  <c r="F77" i="2"/>
  <c r="Q77" i="2"/>
  <c r="N77" i="2"/>
  <c r="AA77" i="2"/>
  <c r="V77" i="2"/>
  <c r="I77" i="2"/>
  <c r="R77" i="2"/>
  <c r="T77" i="2"/>
  <c r="H77" i="2"/>
  <c r="U459" i="1"/>
  <c r="U461" i="1" s="1"/>
  <c r="U463" i="1" s="1"/>
  <c r="E182" i="2" s="1"/>
  <c r="S68" i="2"/>
  <c r="AB68" i="2"/>
  <c r="L68" i="2"/>
  <c r="R68" i="2"/>
  <c r="M68" i="2"/>
  <c r="N68" i="2"/>
  <c r="H68" i="2"/>
  <c r="AE68" i="2"/>
  <c r="AA68" i="2"/>
  <c r="AC68" i="2"/>
  <c r="J68" i="2"/>
  <c r="V68" i="2"/>
  <c r="AD68" i="2"/>
  <c r="G68" i="2"/>
  <c r="Y68" i="2"/>
  <c r="P68" i="2"/>
  <c r="X68" i="2"/>
  <c r="Q68" i="2"/>
  <c r="U68" i="2"/>
  <c r="K68" i="2"/>
  <c r="O68" i="2"/>
  <c r="Z68" i="2"/>
  <c r="T68" i="2"/>
  <c r="AF68" i="2"/>
  <c r="F68" i="2"/>
  <c r="I68" i="2"/>
  <c r="W68" i="2"/>
  <c r="H322" i="1"/>
  <c r="H281" i="1"/>
  <c r="H320" i="1"/>
  <c r="H324" i="1"/>
  <c r="H449" i="1"/>
  <c r="H318" i="1"/>
  <c r="H278" i="1"/>
  <c r="H314" i="1"/>
  <c r="E47" i="2"/>
  <c r="H316" i="1"/>
  <c r="H272" i="1"/>
  <c r="H455" i="1"/>
  <c r="R55" i="2"/>
  <c r="Q55" i="2"/>
  <c r="AF55" i="2"/>
  <c r="Y55" i="2"/>
  <c r="Z55" i="2"/>
  <c r="N55" i="2"/>
  <c r="X55" i="2"/>
  <c r="AB55" i="2"/>
  <c r="P55" i="2"/>
  <c r="AC55" i="2"/>
  <c r="O55" i="2"/>
  <c r="M55" i="2"/>
  <c r="S55" i="2"/>
  <c r="AE55" i="2"/>
  <c r="V55" i="2"/>
  <c r="W55" i="2"/>
  <c r="AD55" i="2"/>
  <c r="U55" i="2"/>
  <c r="T55" i="2"/>
  <c r="AA55" i="2"/>
  <c r="M283" i="1"/>
  <c r="M285" i="1" s="1"/>
  <c r="H296" i="2"/>
  <c r="M296" i="2"/>
  <c r="V296" i="2"/>
  <c r="G296" i="2"/>
  <c r="AF296" i="2"/>
  <c r="L296" i="2"/>
  <c r="U296" i="2"/>
  <c r="AC296" i="2"/>
  <c r="AE296" i="2"/>
  <c r="P296" i="2"/>
  <c r="Z296" i="2"/>
  <c r="O296" i="2"/>
  <c r="X296" i="2"/>
  <c r="AD296" i="2"/>
  <c r="K296" i="2"/>
  <c r="I296" i="2"/>
  <c r="N296" i="2"/>
  <c r="W296" i="2"/>
  <c r="R296" i="2"/>
  <c r="F296" i="2"/>
  <c r="Y296" i="2"/>
  <c r="T296" i="2"/>
  <c r="S296" i="2"/>
  <c r="Q296" i="2"/>
  <c r="J296" i="2"/>
  <c r="AB296" i="2"/>
  <c r="AA296" i="2"/>
  <c r="P606" i="2"/>
  <c r="P632" i="2"/>
  <c r="AG220" i="2"/>
  <c r="AH220" i="2" s="1"/>
  <c r="R606" i="2"/>
  <c r="R632" i="2"/>
  <c r="E245" i="2"/>
  <c r="M326" i="1"/>
  <c r="Q632" i="2"/>
  <c r="Q606" i="2"/>
  <c r="F316" i="2"/>
  <c r="E255" i="2"/>
  <c r="V253" i="2"/>
  <c r="O253" i="2"/>
  <c r="AE253" i="2"/>
  <c r="K253" i="2"/>
  <c r="L253" i="2"/>
  <c r="T253" i="2"/>
  <c r="AA253" i="2"/>
  <c r="Z253" i="2"/>
  <c r="R253" i="2"/>
  <c r="U253" i="2"/>
  <c r="Q253" i="2"/>
  <c r="AD253" i="2"/>
  <c r="AB253" i="2"/>
  <c r="G253" i="2"/>
  <c r="X253" i="2"/>
  <c r="H253" i="2"/>
  <c r="AC253" i="2"/>
  <c r="I253" i="2"/>
  <c r="Y253" i="2"/>
  <c r="J253" i="2"/>
  <c r="N253" i="2"/>
  <c r="S253" i="2"/>
  <c r="P253" i="2"/>
  <c r="AF253" i="2"/>
  <c r="M253" i="2"/>
  <c r="W253" i="2"/>
  <c r="F253" i="2"/>
  <c r="W305" i="2"/>
  <c r="S305" i="2"/>
  <c r="T305" i="2"/>
  <c r="AB305" i="2"/>
  <c r="V305" i="2"/>
  <c r="Z305" i="2"/>
  <c r="I305" i="2"/>
  <c r="R305" i="2"/>
  <c r="X305" i="2"/>
  <c r="K305" i="2"/>
  <c r="AD305" i="2"/>
  <c r="U305" i="2"/>
  <c r="AC305" i="2"/>
  <c r="Q305" i="2"/>
  <c r="Y305" i="2"/>
  <c r="AF305" i="2"/>
  <c r="AE305" i="2"/>
  <c r="G305" i="2"/>
  <c r="P305" i="2"/>
  <c r="M305" i="2"/>
  <c r="J305" i="2"/>
  <c r="L305" i="2"/>
  <c r="N305" i="2"/>
  <c r="AA305" i="2"/>
  <c r="O305" i="2"/>
  <c r="F305" i="2"/>
  <c r="H305" i="2"/>
  <c r="AA459" i="1"/>
  <c r="AA461" i="1" s="1"/>
  <c r="AA463" i="1" s="1"/>
  <c r="E191" i="2" s="1"/>
  <c r="E258" i="2"/>
  <c r="U326" i="1"/>
  <c r="V293" i="2" l="1"/>
  <c r="E101" i="2"/>
  <c r="T101" i="2" s="1"/>
  <c r="P141" i="1"/>
  <c r="AB141" i="1" s="1"/>
  <c r="AC141" i="1" s="1"/>
  <c r="AB136" i="1"/>
  <c r="AC136" i="1" s="1"/>
  <c r="P408" i="1"/>
  <c r="AB408" i="1" s="1"/>
  <c r="AC408" i="1" s="1"/>
  <c r="AB399" i="1"/>
  <c r="AC399" i="1" s="1"/>
  <c r="AB380" i="1"/>
  <c r="AC380" i="1" s="1"/>
  <c r="P392" i="1"/>
  <c r="P229" i="1"/>
  <c r="AB229" i="1" s="1"/>
  <c r="AC229" i="1" s="1"/>
  <c r="AB220" i="1"/>
  <c r="AC220" i="1" s="1"/>
  <c r="P69" i="1"/>
  <c r="AB69" i="1" s="1"/>
  <c r="AC69" i="1" s="1"/>
  <c r="P66" i="1"/>
  <c r="AB66" i="1" s="1"/>
  <c r="AC66" i="1" s="1"/>
  <c r="P10" i="1"/>
  <c r="AB10" i="1" s="1"/>
  <c r="AC10" i="1" s="1"/>
  <c r="P68" i="1"/>
  <c r="AB68" i="1" s="1"/>
  <c r="AC68" i="1" s="1"/>
  <c r="P64" i="1"/>
  <c r="AB64" i="1" s="1"/>
  <c r="AC64" i="1" s="1"/>
  <c r="AB56" i="1"/>
  <c r="AC56" i="1" s="1"/>
  <c r="P309" i="1"/>
  <c r="AB309" i="1" s="1"/>
  <c r="AC309" i="1" s="1"/>
  <c r="P70" i="1"/>
  <c r="AB70" i="1" s="1"/>
  <c r="AC70" i="1" s="1"/>
  <c r="P65" i="1"/>
  <c r="AB65" i="1" s="1"/>
  <c r="AC65" i="1" s="1"/>
  <c r="P8" i="1"/>
  <c r="P67" i="1"/>
  <c r="AB67" i="1" s="1"/>
  <c r="AC67" i="1" s="1"/>
  <c r="P63" i="1"/>
  <c r="P72" i="1"/>
  <c r="AB72" i="1" s="1"/>
  <c r="AC72" i="1" s="1"/>
  <c r="P71" i="1"/>
  <c r="AB71" i="1" s="1"/>
  <c r="AC71" i="1" s="1"/>
  <c r="P9" i="1"/>
  <c r="AB9" i="1" s="1"/>
  <c r="AC9" i="1" s="1"/>
  <c r="P73" i="1"/>
  <c r="AB73" i="1" s="1"/>
  <c r="AC73" i="1" s="1"/>
  <c r="P77" i="1"/>
  <c r="AB77" i="1" s="1"/>
  <c r="AC77" i="1" s="1"/>
  <c r="P58" i="1"/>
  <c r="AB58" i="1" s="1"/>
  <c r="AC58" i="1" s="1"/>
  <c r="AB202" i="1"/>
  <c r="AC202" i="1" s="1"/>
  <c r="P215" i="1"/>
  <c r="AF65" i="2"/>
  <c r="W293" i="2"/>
  <c r="Y293" i="2"/>
  <c r="U474" i="2"/>
  <c r="T474" i="2"/>
  <c r="F474" i="2"/>
  <c r="N474" i="2"/>
  <c r="AB479" i="2"/>
  <c r="AB480" i="2" s="1"/>
  <c r="AD479" i="2"/>
  <c r="AD480" i="2" s="1"/>
  <c r="AC479" i="2"/>
  <c r="AC480" i="2" s="1"/>
  <c r="H479" i="2"/>
  <c r="H480" i="2" s="1"/>
  <c r="I479" i="2"/>
  <c r="I480" i="2" s="1"/>
  <c r="O479" i="2"/>
  <c r="O480" i="2" s="1"/>
  <c r="S479" i="2"/>
  <c r="S480" i="2" s="1"/>
  <c r="AF479" i="2"/>
  <c r="AF480" i="2" s="1"/>
  <c r="AE479" i="2"/>
  <c r="AE480" i="2" s="1"/>
  <c r="Z479" i="2"/>
  <c r="Z480" i="2" s="1"/>
  <c r="R479" i="2"/>
  <c r="R480" i="2" s="1"/>
  <c r="G479" i="2"/>
  <c r="G480" i="2" s="1"/>
  <c r="P479" i="2"/>
  <c r="P480" i="2" s="1"/>
  <c r="Y479" i="2"/>
  <c r="Y480" i="2" s="1"/>
  <c r="E480" i="2"/>
  <c r="W479" i="2"/>
  <c r="W480" i="2" s="1"/>
  <c r="U479" i="2"/>
  <c r="U480" i="2" s="1"/>
  <c r="T479" i="2"/>
  <c r="T480" i="2" s="1"/>
  <c r="Q479" i="2"/>
  <c r="Q480" i="2" s="1"/>
  <c r="X479" i="2"/>
  <c r="X480" i="2" s="1"/>
  <c r="V479" i="2"/>
  <c r="V480" i="2" s="1"/>
  <c r="AA479" i="2"/>
  <c r="AA480" i="2" s="1"/>
  <c r="J479" i="2"/>
  <c r="J480" i="2" s="1"/>
  <c r="L479" i="2"/>
  <c r="L480" i="2" s="1"/>
  <c r="M479" i="2"/>
  <c r="M480" i="2" s="1"/>
  <c r="N479" i="2"/>
  <c r="N480" i="2" s="1"/>
  <c r="F479" i="2"/>
  <c r="F480" i="2" s="1"/>
  <c r="O237" i="1"/>
  <c r="O233" i="1"/>
  <c r="O235" i="1"/>
  <c r="O412" i="1"/>
  <c r="O82" i="1"/>
  <c r="S474" i="2"/>
  <c r="R474" i="2"/>
  <c r="M474" i="2"/>
  <c r="AB474" i="2"/>
  <c r="V474" i="2"/>
  <c r="Z474" i="2"/>
  <c r="AF474" i="2"/>
  <c r="L474" i="2"/>
  <c r="Q474" i="2"/>
  <c r="I474" i="2"/>
  <c r="P474" i="2"/>
  <c r="AD474" i="2"/>
  <c r="X474" i="2"/>
  <c r="J474" i="2"/>
  <c r="G474" i="2"/>
  <c r="H474" i="2"/>
  <c r="Y474" i="2"/>
  <c r="AA474" i="2"/>
  <c r="AE474" i="2"/>
  <c r="O474" i="2"/>
  <c r="AC474" i="2"/>
  <c r="W474" i="2"/>
  <c r="O456" i="1"/>
  <c r="O122" i="1"/>
  <c r="O121" i="1"/>
  <c r="O88" i="1"/>
  <c r="O457" i="1"/>
  <c r="O307" i="1"/>
  <c r="O279" i="1"/>
  <c r="O120" i="1"/>
  <c r="O280" i="1"/>
  <c r="O308" i="1"/>
  <c r="P293" i="2"/>
  <c r="L207" i="2"/>
  <c r="L16" i="2"/>
  <c r="Q65" i="2"/>
  <c r="L65" i="2"/>
  <c r="K200" i="15"/>
  <c r="K201" i="15" s="1"/>
  <c r="K36" i="15" s="1"/>
  <c r="J65" i="2"/>
  <c r="K293" i="2"/>
  <c r="AB178" i="2"/>
  <c r="G101" i="2"/>
  <c r="Z178" i="2"/>
  <c r="AD178" i="2"/>
  <c r="X178" i="2"/>
  <c r="G178" i="2"/>
  <c r="R178" i="2"/>
  <c r="Q178" i="2"/>
  <c r="S178" i="2"/>
  <c r="AF178" i="2"/>
  <c r="E140" i="2"/>
  <c r="K140" i="2" s="1"/>
  <c r="AC293" i="2"/>
  <c r="M293" i="2"/>
  <c r="F293" i="2"/>
  <c r="O178" i="2"/>
  <c r="P178" i="2"/>
  <c r="L293" i="2"/>
  <c r="AD293" i="2"/>
  <c r="J178" i="2"/>
  <c r="F178" i="2"/>
  <c r="X293" i="2"/>
  <c r="U293" i="2"/>
  <c r="X101" i="2"/>
  <c r="H293" i="2"/>
  <c r="I101" i="2"/>
  <c r="AF101" i="2"/>
  <c r="R287" i="1"/>
  <c r="J293" i="2"/>
  <c r="R293" i="2"/>
  <c r="Q293" i="2"/>
  <c r="S293" i="2"/>
  <c r="AG291" i="2"/>
  <c r="AH291" i="2" s="1"/>
  <c r="U101" i="2"/>
  <c r="V101" i="2"/>
  <c r="O293" i="2"/>
  <c r="AB293" i="2"/>
  <c r="AE293" i="2"/>
  <c r="AA293" i="2"/>
  <c r="N293" i="2"/>
  <c r="I293" i="2"/>
  <c r="Z293" i="2"/>
  <c r="Q101" i="2"/>
  <c r="H101" i="2"/>
  <c r="P101" i="2"/>
  <c r="N101" i="2"/>
  <c r="M101" i="2"/>
  <c r="Y101" i="2"/>
  <c r="J101" i="2"/>
  <c r="O101" i="2"/>
  <c r="AC101" i="2"/>
  <c r="AE101" i="2"/>
  <c r="E139" i="2"/>
  <c r="I139" i="2" s="1"/>
  <c r="R328" i="1"/>
  <c r="Z101" i="2"/>
  <c r="L101" i="2"/>
  <c r="F101" i="2"/>
  <c r="AA101" i="2"/>
  <c r="S101" i="2"/>
  <c r="AB101" i="2"/>
  <c r="AB65" i="2"/>
  <c r="R101" i="2"/>
  <c r="AD101" i="2"/>
  <c r="W101" i="2"/>
  <c r="S65" i="2"/>
  <c r="F65" i="2"/>
  <c r="U65" i="2"/>
  <c r="N65" i="2"/>
  <c r="W65" i="2"/>
  <c r="I65" i="2"/>
  <c r="AA178" i="2"/>
  <c r="K178" i="2"/>
  <c r="W178" i="2"/>
  <c r="I178" i="2"/>
  <c r="L178" i="2"/>
  <c r="N178" i="2"/>
  <c r="AC178" i="2"/>
  <c r="S129" i="1"/>
  <c r="S133" i="1" s="1"/>
  <c r="S144" i="1" s="1"/>
  <c r="Y65" i="2"/>
  <c r="S328" i="1"/>
  <c r="M178" i="2"/>
  <c r="Y178" i="2"/>
  <c r="AE178" i="2"/>
  <c r="V178" i="2"/>
  <c r="H178" i="2"/>
  <c r="T178" i="2"/>
  <c r="T179" i="2" s="1"/>
  <c r="V65" i="2"/>
  <c r="Q177" i="2"/>
  <c r="M65" i="2"/>
  <c r="AD65" i="2"/>
  <c r="Z65" i="2"/>
  <c r="AC65" i="2"/>
  <c r="T65" i="2"/>
  <c r="I124" i="1"/>
  <c r="I126" i="1" s="1"/>
  <c r="X65" i="2"/>
  <c r="AG217" i="2"/>
  <c r="AH217" i="2" s="1"/>
  <c r="AG292" i="2"/>
  <c r="AH292" i="2" s="1"/>
  <c r="P65" i="2"/>
  <c r="R65" i="2"/>
  <c r="G293" i="2"/>
  <c r="G177" i="2"/>
  <c r="H65" i="2"/>
  <c r="AA65" i="2"/>
  <c r="O65" i="2"/>
  <c r="AG64" i="2"/>
  <c r="AH64" i="2" s="1"/>
  <c r="Y177" i="2"/>
  <c r="L177" i="2"/>
  <c r="O177" i="2"/>
  <c r="N177" i="2"/>
  <c r="L188" i="2"/>
  <c r="X177" i="2"/>
  <c r="AE177" i="2"/>
  <c r="AD177" i="2"/>
  <c r="M177" i="2"/>
  <c r="F177" i="2"/>
  <c r="AB177" i="2"/>
  <c r="E179" i="2"/>
  <c r="AC177" i="2"/>
  <c r="U177" i="2"/>
  <c r="U179" i="2" s="1"/>
  <c r="W177" i="2"/>
  <c r="AA177" i="2"/>
  <c r="I177" i="2"/>
  <c r="V177" i="2"/>
  <c r="S177" i="2"/>
  <c r="R177" i="2"/>
  <c r="P177" i="2"/>
  <c r="K177" i="2"/>
  <c r="H177" i="2"/>
  <c r="Z177" i="2"/>
  <c r="J177" i="2"/>
  <c r="AF177" i="2"/>
  <c r="T188" i="2"/>
  <c r="X139" i="2"/>
  <c r="Y328" i="1"/>
  <c r="E150" i="2"/>
  <c r="W150" i="2" s="1"/>
  <c r="K328" i="1"/>
  <c r="H188" i="2"/>
  <c r="AB188" i="2"/>
  <c r="M188" i="2"/>
  <c r="AC188" i="2"/>
  <c r="U188" i="2"/>
  <c r="S188" i="2"/>
  <c r="Q188" i="2"/>
  <c r="AD188" i="2"/>
  <c r="Y188" i="2"/>
  <c r="R188" i="2"/>
  <c r="AA188" i="2"/>
  <c r="F188" i="2"/>
  <c r="Z188" i="2"/>
  <c r="J188" i="2"/>
  <c r="X188" i="2"/>
  <c r="AF188" i="2"/>
  <c r="N188" i="2"/>
  <c r="I188" i="2"/>
  <c r="AA129" i="1"/>
  <c r="AA133" i="1" s="1"/>
  <c r="AA144" i="1" s="1"/>
  <c r="U129" i="1"/>
  <c r="U133" i="1" s="1"/>
  <c r="U144" i="1" s="1"/>
  <c r="P188" i="2"/>
  <c r="W188" i="2"/>
  <c r="O188" i="2"/>
  <c r="V188" i="2"/>
  <c r="K188" i="2"/>
  <c r="G188" i="2"/>
  <c r="Y129" i="1"/>
  <c r="Y133" i="1" s="1"/>
  <c r="Y144" i="1" s="1"/>
  <c r="AD255" i="2"/>
  <c r="AG264" i="2"/>
  <c r="AH264" i="2" s="1"/>
  <c r="AG74" i="2"/>
  <c r="AH74" i="2" s="1"/>
  <c r="AG226" i="2"/>
  <c r="AH226" i="2" s="1"/>
  <c r="H255" i="2"/>
  <c r="AG302" i="2"/>
  <c r="AH302" i="2" s="1"/>
  <c r="AE255" i="2"/>
  <c r="E128" i="2"/>
  <c r="K129" i="1"/>
  <c r="K133" i="1" s="1"/>
  <c r="K144" i="1" s="1"/>
  <c r="E90" i="2" s="1"/>
  <c r="K287" i="1"/>
  <c r="E153" i="2"/>
  <c r="F153" i="2" s="1"/>
  <c r="U287" i="1"/>
  <c r="W283" i="1"/>
  <c r="W285" i="1" s="1"/>
  <c r="E147" i="2" s="1"/>
  <c r="AE71" i="2"/>
  <c r="AD71" i="2"/>
  <c r="N71" i="2"/>
  <c r="H71" i="2"/>
  <c r="O71" i="2"/>
  <c r="R71" i="2"/>
  <c r="F71" i="2"/>
  <c r="L71" i="2"/>
  <c r="AC71" i="2"/>
  <c r="I71" i="2"/>
  <c r="S71" i="2"/>
  <c r="AF71" i="2"/>
  <c r="W71" i="2"/>
  <c r="J71" i="2"/>
  <c r="M71" i="2"/>
  <c r="Q71" i="2"/>
  <c r="G71" i="2"/>
  <c r="U71" i="2"/>
  <c r="T71" i="2"/>
  <c r="Z71" i="2"/>
  <c r="Y71" i="2"/>
  <c r="P71" i="2"/>
  <c r="V71" i="2"/>
  <c r="K71" i="2"/>
  <c r="AB71" i="2"/>
  <c r="AA71" i="2"/>
  <c r="X71" i="2"/>
  <c r="E261" i="2"/>
  <c r="W326" i="1"/>
  <c r="U328" i="1"/>
  <c r="AA328" i="1"/>
  <c r="N169" i="2"/>
  <c r="W169" i="2"/>
  <c r="M169" i="2"/>
  <c r="AF169" i="2"/>
  <c r="T169" i="2"/>
  <c r="AA169" i="2"/>
  <c r="R169" i="2"/>
  <c r="AD169" i="2"/>
  <c r="U169" i="2"/>
  <c r="P169" i="2"/>
  <c r="AC169" i="2"/>
  <c r="AB169" i="2"/>
  <c r="I169" i="2"/>
  <c r="Y169" i="2"/>
  <c r="Z169" i="2"/>
  <c r="H169" i="2"/>
  <c r="V169" i="2"/>
  <c r="X169" i="2"/>
  <c r="Q169" i="2"/>
  <c r="AE169" i="2"/>
  <c r="O169" i="2"/>
  <c r="S169" i="2"/>
  <c r="L169" i="2"/>
  <c r="W459" i="1"/>
  <c r="W461" i="1" s="1"/>
  <c r="W463" i="1" s="1"/>
  <c r="E185" i="2" s="1"/>
  <c r="Z255" i="2"/>
  <c r="AG223" i="2"/>
  <c r="AH223" i="2" s="1"/>
  <c r="K299" i="2"/>
  <c r="AD299" i="2"/>
  <c r="AE299" i="2"/>
  <c r="T299" i="2"/>
  <c r="P299" i="2"/>
  <c r="W299" i="2"/>
  <c r="Y299" i="2"/>
  <c r="L299" i="2"/>
  <c r="H299" i="2"/>
  <c r="R299" i="2"/>
  <c r="O299" i="2"/>
  <c r="N299" i="2"/>
  <c r="V299" i="2"/>
  <c r="Z299" i="2"/>
  <c r="X299" i="2"/>
  <c r="I299" i="2"/>
  <c r="M299" i="2"/>
  <c r="AC299" i="2"/>
  <c r="AA299" i="2"/>
  <c r="AB299" i="2"/>
  <c r="AF299" i="2"/>
  <c r="G299" i="2"/>
  <c r="J299" i="2"/>
  <c r="S299" i="2"/>
  <c r="U299" i="2"/>
  <c r="Q299" i="2"/>
  <c r="F299" i="2"/>
  <c r="M255" i="2"/>
  <c r="N255" i="2"/>
  <c r="AC255" i="2"/>
  <c r="R255" i="2"/>
  <c r="L255" i="2"/>
  <c r="X255" i="2"/>
  <c r="AB255" i="2"/>
  <c r="Q255" i="2"/>
  <c r="AF255" i="2"/>
  <c r="J255" i="2"/>
  <c r="K255" i="2"/>
  <c r="S255" i="2"/>
  <c r="G255" i="2"/>
  <c r="U255" i="2"/>
  <c r="T255" i="2"/>
  <c r="O255" i="2"/>
  <c r="P255" i="2"/>
  <c r="AA255" i="2"/>
  <c r="W255" i="2"/>
  <c r="I255" i="2"/>
  <c r="F283" i="2"/>
  <c r="F169" i="2"/>
  <c r="M84" i="15"/>
  <c r="L85" i="15"/>
  <c r="Y255" i="2"/>
  <c r="F16" i="2"/>
  <c r="F207" i="2"/>
  <c r="V255" i="2"/>
  <c r="F55" i="2"/>
  <c r="J448" i="2"/>
  <c r="AG448" i="2" s="1"/>
  <c r="J25" i="15"/>
  <c r="E448" i="2" s="1"/>
  <c r="AG253" i="2"/>
  <c r="AH253" i="2" s="1"/>
  <c r="F255" i="2"/>
  <c r="F245" i="2"/>
  <c r="I245" i="2"/>
  <c r="W245" i="2"/>
  <c r="M245" i="2"/>
  <c r="AD245" i="2"/>
  <c r="AF245" i="2"/>
  <c r="L245" i="2"/>
  <c r="N245" i="2"/>
  <c r="R245" i="2"/>
  <c r="P245" i="2"/>
  <c r="V245" i="2"/>
  <c r="O245" i="2"/>
  <c r="S245" i="2"/>
  <c r="Q245" i="2"/>
  <c r="T245" i="2"/>
  <c r="U245" i="2"/>
  <c r="AE245" i="2"/>
  <c r="AB245" i="2"/>
  <c r="Z245" i="2"/>
  <c r="AA245" i="2"/>
  <c r="Y245" i="2"/>
  <c r="H245" i="2"/>
  <c r="AC245" i="2"/>
  <c r="X245" i="2"/>
  <c r="H283" i="1"/>
  <c r="AG68" i="2"/>
  <c r="AH68" i="2" s="1"/>
  <c r="M267" i="2"/>
  <c r="U267" i="2"/>
  <c r="AB267" i="2"/>
  <c r="AA267" i="2"/>
  <c r="AF267" i="2"/>
  <c r="V267" i="2"/>
  <c r="I267" i="2"/>
  <c r="K267" i="2"/>
  <c r="F267" i="2"/>
  <c r="L267" i="2"/>
  <c r="AC267" i="2"/>
  <c r="Q267" i="2"/>
  <c r="N267" i="2"/>
  <c r="AE267" i="2"/>
  <c r="G267" i="2"/>
  <c r="AD267" i="2"/>
  <c r="O267" i="2"/>
  <c r="W267" i="2"/>
  <c r="J267" i="2"/>
  <c r="T267" i="2"/>
  <c r="Y267" i="2"/>
  <c r="X267" i="2"/>
  <c r="Z267" i="2"/>
  <c r="P267" i="2"/>
  <c r="S267" i="2"/>
  <c r="R267" i="2"/>
  <c r="H267" i="2"/>
  <c r="G16" i="2"/>
  <c r="G55" i="2"/>
  <c r="G207" i="2"/>
  <c r="G495" i="2"/>
  <c r="W191" i="2"/>
  <c r="L191" i="2"/>
  <c r="AD191" i="2"/>
  <c r="AA191" i="2"/>
  <c r="O191" i="2"/>
  <c r="T191" i="2"/>
  <c r="U191" i="2"/>
  <c r="M191" i="2"/>
  <c r="S191" i="2"/>
  <c r="J191" i="2"/>
  <c r="F191" i="2"/>
  <c r="I191" i="2"/>
  <c r="R191" i="2"/>
  <c r="Y191" i="2"/>
  <c r="AC191" i="2"/>
  <c r="Q191" i="2"/>
  <c r="AB191" i="2"/>
  <c r="AF191" i="2"/>
  <c r="AE191" i="2"/>
  <c r="G191" i="2"/>
  <c r="Z191" i="2"/>
  <c r="K191" i="2"/>
  <c r="P191" i="2"/>
  <c r="N191" i="2"/>
  <c r="V191" i="2"/>
  <c r="X191" i="2"/>
  <c r="H191" i="2"/>
  <c r="AG296" i="2"/>
  <c r="AH296" i="2" s="1"/>
  <c r="E275" i="2"/>
  <c r="AG254" i="2"/>
  <c r="AH254" i="2" s="1"/>
  <c r="AD144" i="2"/>
  <c r="AF144" i="2"/>
  <c r="AB144" i="2"/>
  <c r="Q144" i="2"/>
  <c r="X144" i="2"/>
  <c r="I144" i="2"/>
  <c r="Z144" i="2"/>
  <c r="U144" i="2"/>
  <c r="M144" i="2"/>
  <c r="H144" i="2"/>
  <c r="R144" i="2"/>
  <c r="S144" i="2"/>
  <c r="V144" i="2"/>
  <c r="J144" i="2"/>
  <c r="Y144" i="2"/>
  <c r="O144" i="2"/>
  <c r="AA144" i="2"/>
  <c r="P144" i="2"/>
  <c r="N144" i="2"/>
  <c r="G144" i="2"/>
  <c r="K144" i="2"/>
  <c r="F144" i="2"/>
  <c r="AE144" i="2"/>
  <c r="L144" i="2"/>
  <c r="AC144" i="2"/>
  <c r="T144" i="2"/>
  <c r="W144" i="2"/>
  <c r="M287" i="1"/>
  <c r="M129" i="1"/>
  <c r="M133" i="1" s="1"/>
  <c r="M144" i="1" s="1"/>
  <c r="E93" i="2" s="1"/>
  <c r="E131" i="2"/>
  <c r="M328" i="1"/>
  <c r="H459" i="1"/>
  <c r="F182" i="2"/>
  <c r="H182" i="2"/>
  <c r="Y182" i="2"/>
  <c r="P182" i="2"/>
  <c r="W182" i="2"/>
  <c r="V182" i="2"/>
  <c r="L182" i="2"/>
  <c r="U182" i="2"/>
  <c r="I182" i="2"/>
  <c r="AA182" i="2"/>
  <c r="Z182" i="2"/>
  <c r="AD182" i="2"/>
  <c r="M182" i="2"/>
  <c r="N182" i="2"/>
  <c r="X182" i="2"/>
  <c r="K182" i="2"/>
  <c r="S182" i="2"/>
  <c r="AF182" i="2"/>
  <c r="AB182" i="2"/>
  <c r="AE182" i="2"/>
  <c r="G182" i="2"/>
  <c r="AC182" i="2"/>
  <c r="T182" i="2"/>
  <c r="Q182" i="2"/>
  <c r="J182" i="2"/>
  <c r="R182" i="2"/>
  <c r="O182" i="2"/>
  <c r="F632" i="2"/>
  <c r="F606" i="2"/>
  <c r="K258" i="2"/>
  <c r="F258" i="2"/>
  <c r="G258" i="2"/>
  <c r="H258" i="2"/>
  <c r="J258" i="2"/>
  <c r="AC258" i="2"/>
  <c r="N258" i="2"/>
  <c r="I258" i="2"/>
  <c r="AA258" i="2"/>
  <c r="P258" i="2"/>
  <c r="S258" i="2"/>
  <c r="V258" i="2"/>
  <c r="M258" i="2"/>
  <c r="Y258" i="2"/>
  <c r="L258" i="2"/>
  <c r="O258" i="2"/>
  <c r="Q258" i="2"/>
  <c r="R258" i="2"/>
  <c r="AF258" i="2"/>
  <c r="AD258" i="2"/>
  <c r="T258" i="2"/>
  <c r="Z258" i="2"/>
  <c r="W258" i="2"/>
  <c r="U258" i="2"/>
  <c r="X258" i="2"/>
  <c r="AB258" i="2"/>
  <c r="AE258" i="2"/>
  <c r="AG305" i="2"/>
  <c r="AH305" i="2" s="1"/>
  <c r="F338" i="2"/>
  <c r="AG316" i="2"/>
  <c r="AH316" i="2" s="1"/>
  <c r="E237" i="2"/>
  <c r="H326" i="1"/>
  <c r="AG77" i="2"/>
  <c r="AH77" i="2" s="1"/>
  <c r="E106" i="2" l="1"/>
  <c r="E112" i="2"/>
  <c r="AC112" i="2" s="1"/>
  <c r="E115" i="2"/>
  <c r="E102" i="2"/>
  <c r="E103" i="2" s="1"/>
  <c r="AB392" i="1"/>
  <c r="AC392" i="1" s="1"/>
  <c r="P410" i="1"/>
  <c r="AB215" i="1"/>
  <c r="AC215" i="1" s="1"/>
  <c r="P231" i="1"/>
  <c r="AB63" i="1"/>
  <c r="AC63" i="1" s="1"/>
  <c r="P75" i="1"/>
  <c r="AB8" i="1"/>
  <c r="AC8" i="1" s="1"/>
  <c r="P12" i="1"/>
  <c r="Q481" i="2"/>
  <c r="U481" i="2"/>
  <c r="W481" i="2"/>
  <c r="T481" i="2"/>
  <c r="O312" i="1"/>
  <c r="O264" i="1"/>
  <c r="O440" i="1"/>
  <c r="O414" i="1"/>
  <c r="O131" i="1"/>
  <c r="E19" i="2"/>
  <c r="Y19" i="2" s="1"/>
  <c r="O98" i="1"/>
  <c r="O130" i="1"/>
  <c r="O142" i="1"/>
  <c r="O91" i="1"/>
  <c r="O93" i="1" s="1"/>
  <c r="O481" i="2"/>
  <c r="G481" i="2"/>
  <c r="M481" i="2"/>
  <c r="X481" i="2"/>
  <c r="H481" i="2"/>
  <c r="I481" i="2"/>
  <c r="AB481" i="2"/>
  <c r="J481" i="2"/>
  <c r="P481" i="2"/>
  <c r="AD481" i="2"/>
  <c r="AF481" i="2"/>
  <c r="V481" i="2"/>
  <c r="R481" i="2"/>
  <c r="S481" i="2"/>
  <c r="N481" i="2"/>
  <c r="AE481" i="2"/>
  <c r="Y481" i="2"/>
  <c r="AA481" i="2"/>
  <c r="AC481" i="2"/>
  <c r="Z481" i="2"/>
  <c r="L481" i="2"/>
  <c r="F481" i="2"/>
  <c r="Q179" i="2"/>
  <c r="L200" i="15"/>
  <c r="L201" i="15" s="1"/>
  <c r="L36" i="15" s="1"/>
  <c r="AB179" i="2"/>
  <c r="S102" i="2"/>
  <c r="S103" i="2" s="1"/>
  <c r="U140" i="2"/>
  <c r="M140" i="2"/>
  <c r="F140" i="2"/>
  <c r="AE140" i="2"/>
  <c r="L140" i="2"/>
  <c r="X140" i="2"/>
  <c r="X141" i="2" s="1"/>
  <c r="H140" i="2"/>
  <c r="S140" i="2"/>
  <c r="I140" i="2"/>
  <c r="I141" i="2" s="1"/>
  <c r="Y140" i="2"/>
  <c r="H139" i="2"/>
  <c r="R140" i="2"/>
  <c r="W140" i="2"/>
  <c r="AB140" i="2"/>
  <c r="G140" i="2"/>
  <c r="Q140" i="2"/>
  <c r="Z140" i="2"/>
  <c r="N140" i="2"/>
  <c r="AA140" i="2"/>
  <c r="AF140" i="2"/>
  <c r="O140" i="2"/>
  <c r="K139" i="2"/>
  <c r="K141" i="2" s="1"/>
  <c r="W139" i="2"/>
  <c r="Z179" i="2"/>
  <c r="R179" i="2"/>
  <c r="AD179" i="2"/>
  <c r="AC140" i="2"/>
  <c r="T140" i="2"/>
  <c r="V140" i="2"/>
  <c r="J140" i="2"/>
  <c r="AD140" i="2"/>
  <c r="P140" i="2"/>
  <c r="Y139" i="2"/>
  <c r="AA139" i="2"/>
  <c r="J179" i="2"/>
  <c r="O179" i="2"/>
  <c r="S179" i="2"/>
  <c r="AF179" i="2"/>
  <c r="G179" i="2"/>
  <c r="F179" i="2"/>
  <c r="P179" i="2"/>
  <c r="X179" i="2"/>
  <c r="AC179" i="2"/>
  <c r="M179" i="2"/>
  <c r="N179" i="2"/>
  <c r="AE139" i="2"/>
  <c r="S139" i="2"/>
  <c r="L139" i="2"/>
  <c r="AB139" i="2"/>
  <c r="N139" i="2"/>
  <c r="AD139" i="2"/>
  <c r="U139" i="2"/>
  <c r="P139" i="2"/>
  <c r="E141" i="2"/>
  <c r="F139" i="2"/>
  <c r="Z139" i="2"/>
  <c r="V139" i="2"/>
  <c r="AC139" i="2"/>
  <c r="O139" i="2"/>
  <c r="T139" i="2"/>
  <c r="AG293" i="2"/>
  <c r="AH293" i="2" s="1"/>
  <c r="AF139" i="2"/>
  <c r="Q139" i="2"/>
  <c r="G139" i="2"/>
  <c r="J139" i="2"/>
  <c r="M139" i="2"/>
  <c r="R139" i="2"/>
  <c r="L179" i="2"/>
  <c r="AA179" i="2"/>
  <c r="AE179" i="2"/>
  <c r="Y179" i="2"/>
  <c r="AG178" i="2"/>
  <c r="AH178" i="2" s="1"/>
  <c r="K179" i="2"/>
  <c r="V179" i="2"/>
  <c r="H179" i="2"/>
  <c r="W179" i="2"/>
  <c r="L153" i="2"/>
  <c r="J150" i="2"/>
  <c r="O150" i="2"/>
  <c r="V150" i="2"/>
  <c r="AF150" i="2"/>
  <c r="N150" i="2"/>
  <c r="R150" i="2"/>
  <c r="AG177" i="2"/>
  <c r="AH177" i="2" s="1"/>
  <c r="I179" i="2"/>
  <c r="Q150" i="2"/>
  <c r="K150" i="2"/>
  <c r="Z150" i="2"/>
  <c r="S150" i="2"/>
  <c r="AB150" i="2"/>
  <c r="AA150" i="2"/>
  <c r="U150" i="2"/>
  <c r="V153" i="2"/>
  <c r="Y153" i="2"/>
  <c r="G153" i="2"/>
  <c r="L150" i="2"/>
  <c r="AC150" i="2"/>
  <c r="X150" i="2"/>
  <c r="AD150" i="2"/>
  <c r="Y150" i="2"/>
  <c r="M150" i="2"/>
  <c r="AE150" i="2"/>
  <c r="W153" i="2"/>
  <c r="Z153" i="2"/>
  <c r="S153" i="2"/>
  <c r="P150" i="2"/>
  <c r="I150" i="2"/>
  <c r="T150" i="2"/>
  <c r="H150" i="2"/>
  <c r="G150" i="2"/>
  <c r="F150" i="2"/>
  <c r="K153" i="2"/>
  <c r="P153" i="2"/>
  <c r="Q153" i="2"/>
  <c r="T153" i="2"/>
  <c r="AF153" i="2"/>
  <c r="AD153" i="2"/>
  <c r="X153" i="2"/>
  <c r="AG188" i="2"/>
  <c r="AH188" i="2" s="1"/>
  <c r="J153" i="2"/>
  <c r="U153" i="2"/>
  <c r="AA153" i="2"/>
  <c r="I153" i="2"/>
  <c r="R153" i="2"/>
  <c r="AE153" i="2"/>
  <c r="W129" i="1"/>
  <c r="W133" i="1" s="1"/>
  <c r="W144" i="1" s="1"/>
  <c r="H153" i="2"/>
  <c r="M153" i="2"/>
  <c r="AC153" i="2"/>
  <c r="AB153" i="2"/>
  <c r="N153" i="2"/>
  <c r="O153" i="2"/>
  <c r="W287" i="1"/>
  <c r="E538" i="2"/>
  <c r="AH538" i="2" s="1"/>
  <c r="AH90" i="2"/>
  <c r="E520" i="2"/>
  <c r="E529" i="2" s="1"/>
  <c r="AH128" i="2"/>
  <c r="W328" i="1"/>
  <c r="Z261" i="2"/>
  <c r="K261" i="2"/>
  <c r="T261" i="2"/>
  <c r="I261" i="2"/>
  <c r="O261" i="2"/>
  <c r="V261" i="2"/>
  <c r="L261" i="2"/>
  <c r="Q261" i="2"/>
  <c r="AE261" i="2"/>
  <c r="H261" i="2"/>
  <c r="N261" i="2"/>
  <c r="P261" i="2"/>
  <c r="AB261" i="2"/>
  <c r="F261" i="2"/>
  <c r="S261" i="2"/>
  <c r="G261" i="2"/>
  <c r="X261" i="2"/>
  <c r="R261" i="2"/>
  <c r="W261" i="2"/>
  <c r="AD261" i="2"/>
  <c r="J261" i="2"/>
  <c r="Y261" i="2"/>
  <c r="AF261" i="2"/>
  <c r="AC261" i="2"/>
  <c r="AA261" i="2"/>
  <c r="U261" i="2"/>
  <c r="M261" i="2"/>
  <c r="I147" i="2"/>
  <c r="Q147" i="2"/>
  <c r="O147" i="2"/>
  <c r="S147" i="2"/>
  <c r="N147" i="2"/>
  <c r="V147" i="2"/>
  <c r="F147" i="2"/>
  <c r="Y147" i="2"/>
  <c r="AE147" i="2"/>
  <c r="X147" i="2"/>
  <c r="W147" i="2"/>
  <c r="H147" i="2"/>
  <c r="AB147" i="2"/>
  <c r="G147" i="2"/>
  <c r="AD147" i="2"/>
  <c r="AF147" i="2"/>
  <c r="AA147" i="2"/>
  <c r="T147" i="2"/>
  <c r="L147" i="2"/>
  <c r="Z147" i="2"/>
  <c r="U147" i="2"/>
  <c r="AC147" i="2"/>
  <c r="R147" i="2"/>
  <c r="P147" i="2"/>
  <c r="J147" i="2"/>
  <c r="K147" i="2"/>
  <c r="M147" i="2"/>
  <c r="AG71" i="2"/>
  <c r="AH71" i="2" s="1"/>
  <c r="AG299" i="2"/>
  <c r="AH299" i="2" s="1"/>
  <c r="L185" i="2"/>
  <c r="U185" i="2"/>
  <c r="X185" i="2"/>
  <c r="AC185" i="2"/>
  <c r="T185" i="2"/>
  <c r="AF185" i="2"/>
  <c r="O185" i="2"/>
  <c r="P185" i="2"/>
  <c r="K185" i="2"/>
  <c r="R185" i="2"/>
  <c r="Z185" i="2"/>
  <c r="Q185" i="2"/>
  <c r="G185" i="2"/>
  <c r="N185" i="2"/>
  <c r="F185" i="2"/>
  <c r="H185" i="2"/>
  <c r="V185" i="2"/>
  <c r="AE185" i="2"/>
  <c r="S185" i="2"/>
  <c r="I185" i="2"/>
  <c r="W185" i="2"/>
  <c r="J185" i="2"/>
  <c r="AA185" i="2"/>
  <c r="AD185" i="2"/>
  <c r="Y185" i="2"/>
  <c r="M185" i="2"/>
  <c r="AB185" i="2"/>
  <c r="AG255" i="2"/>
  <c r="AH255" i="2" s="1"/>
  <c r="M85" i="15"/>
  <c r="N84" i="15"/>
  <c r="N85" i="15" s="1"/>
  <c r="AH448" i="2"/>
  <c r="AG191" i="2"/>
  <c r="AH191" i="2" s="1"/>
  <c r="AG258" i="2"/>
  <c r="AH258" i="2" s="1"/>
  <c r="F131" i="2"/>
  <c r="Q131" i="2"/>
  <c r="AA131" i="2"/>
  <c r="Y131" i="2"/>
  <c r="AB131" i="2"/>
  <c r="R131" i="2"/>
  <c r="Z131" i="2"/>
  <c r="H131" i="2"/>
  <c r="AC131" i="2"/>
  <c r="V131" i="2"/>
  <c r="X131" i="2"/>
  <c r="AD131" i="2"/>
  <c r="U131" i="2"/>
  <c r="I131" i="2"/>
  <c r="M131" i="2"/>
  <c r="L131" i="2"/>
  <c r="N131" i="2"/>
  <c r="O131" i="2"/>
  <c r="W131" i="2"/>
  <c r="S131" i="2"/>
  <c r="AF131" i="2"/>
  <c r="T131" i="2"/>
  <c r="AE131" i="2"/>
  <c r="P131" i="2"/>
  <c r="AG144" i="2"/>
  <c r="AH144" i="2" s="1"/>
  <c r="G283" i="2"/>
  <c r="G245" i="2"/>
  <c r="G131" i="2"/>
  <c r="G169" i="2"/>
  <c r="AG182" i="2"/>
  <c r="AH182" i="2" s="1"/>
  <c r="S93" i="2"/>
  <c r="AA93" i="2"/>
  <c r="AE93" i="2"/>
  <c r="V93" i="2"/>
  <c r="W93" i="2"/>
  <c r="U93" i="2"/>
  <c r="O93" i="2"/>
  <c r="Q93" i="2"/>
  <c r="M93" i="2"/>
  <c r="R93" i="2"/>
  <c r="L93" i="2"/>
  <c r="AF93" i="2"/>
  <c r="F93" i="2"/>
  <c r="T93" i="2"/>
  <c r="X93" i="2"/>
  <c r="P93" i="2"/>
  <c r="AC93" i="2"/>
  <c r="Y93" i="2"/>
  <c r="Z93" i="2"/>
  <c r="N93" i="2"/>
  <c r="AB93" i="2"/>
  <c r="AD93" i="2"/>
  <c r="H93" i="2"/>
  <c r="I93" i="2"/>
  <c r="AG267" i="2"/>
  <c r="AH267" i="2" s="1"/>
  <c r="AG338" i="2"/>
  <c r="I278" i="1"/>
  <c r="I449" i="1"/>
  <c r="I314" i="1"/>
  <c r="I272" i="1"/>
  <c r="I316" i="1"/>
  <c r="I324" i="1"/>
  <c r="I281" i="1"/>
  <c r="I322" i="1"/>
  <c r="I318" i="1"/>
  <c r="I320" i="1"/>
  <c r="I455" i="1"/>
  <c r="E48" i="2"/>
  <c r="G93" i="2"/>
  <c r="AF102" i="2" l="1"/>
  <c r="AF103" i="2" s="1"/>
  <c r="O102" i="2"/>
  <c r="O103" i="2" s="1"/>
  <c r="P102" i="2"/>
  <c r="P103" i="2" s="1"/>
  <c r="Z102" i="2"/>
  <c r="Z103" i="2" s="1"/>
  <c r="AE102" i="2"/>
  <c r="AE103" i="2" s="1"/>
  <c r="AB102" i="2"/>
  <c r="AB103" i="2" s="1"/>
  <c r="V102" i="2"/>
  <c r="V103" i="2" s="1"/>
  <c r="N102" i="2"/>
  <c r="N103" i="2" s="1"/>
  <c r="U102" i="2"/>
  <c r="U103" i="2" s="1"/>
  <c r="F102" i="2"/>
  <c r="F103" i="2" s="1"/>
  <c r="R102" i="2"/>
  <c r="R103" i="2" s="1"/>
  <c r="W102" i="2"/>
  <c r="W103" i="2" s="1"/>
  <c r="H102" i="2"/>
  <c r="H103" i="2" s="1"/>
  <c r="L102" i="2"/>
  <c r="L103" i="2" s="1"/>
  <c r="G102" i="2"/>
  <c r="G103" i="2" s="1"/>
  <c r="I102" i="2"/>
  <c r="I103" i="2" s="1"/>
  <c r="AA102" i="2"/>
  <c r="AA103" i="2" s="1"/>
  <c r="Q102" i="2"/>
  <c r="Q103" i="2" s="1"/>
  <c r="X102" i="2"/>
  <c r="X103" i="2" s="1"/>
  <c r="Y102" i="2"/>
  <c r="Y103" i="2" s="1"/>
  <c r="T102" i="2"/>
  <c r="T103" i="2" s="1"/>
  <c r="M102" i="2"/>
  <c r="M103" i="2" s="1"/>
  <c r="AC102" i="2"/>
  <c r="AC103" i="2" s="1"/>
  <c r="J102" i="2"/>
  <c r="J103" i="2" s="1"/>
  <c r="AD102" i="2"/>
  <c r="AD103" i="2" s="1"/>
  <c r="K102" i="2"/>
  <c r="J112" i="2"/>
  <c r="O112" i="2"/>
  <c r="H112" i="2"/>
  <c r="G112" i="2"/>
  <c r="AA112" i="2"/>
  <c r="AF112" i="2"/>
  <c r="U112" i="2"/>
  <c r="AD112" i="2"/>
  <c r="L112" i="2"/>
  <c r="N112" i="2"/>
  <c r="Q112" i="2"/>
  <c r="AB112" i="2"/>
  <c r="V112" i="2"/>
  <c r="T112" i="2"/>
  <c r="X112" i="2"/>
  <c r="AE112" i="2"/>
  <c r="S112" i="2"/>
  <c r="M112" i="2"/>
  <c r="F112" i="2"/>
  <c r="I112" i="2"/>
  <c r="Z112" i="2"/>
  <c r="K112" i="2"/>
  <c r="P112" i="2"/>
  <c r="W112" i="2"/>
  <c r="R112" i="2"/>
  <c r="Y112" i="2"/>
  <c r="Z115" i="2"/>
  <c r="F115" i="2"/>
  <c r="AA115" i="2"/>
  <c r="L115" i="2"/>
  <c r="Y115" i="2"/>
  <c r="M115" i="2"/>
  <c r="V115" i="2"/>
  <c r="AE115" i="2"/>
  <c r="R115" i="2"/>
  <c r="O115" i="2"/>
  <c r="Q115" i="2"/>
  <c r="AB115" i="2"/>
  <c r="P115" i="2"/>
  <c r="N115" i="2"/>
  <c r="H115" i="2"/>
  <c r="I115" i="2"/>
  <c r="S115" i="2"/>
  <c r="G115" i="2"/>
  <c r="J115" i="2"/>
  <c r="AF115" i="2"/>
  <c r="K115" i="2"/>
  <c r="AC115" i="2"/>
  <c r="X115" i="2"/>
  <c r="U115" i="2"/>
  <c r="W115" i="2"/>
  <c r="AD115" i="2"/>
  <c r="T115" i="2"/>
  <c r="F106" i="2"/>
  <c r="Q106" i="2"/>
  <c r="K106" i="2"/>
  <c r="L106" i="2"/>
  <c r="AB106" i="2"/>
  <c r="T106" i="2"/>
  <c r="U106" i="2"/>
  <c r="V106" i="2"/>
  <c r="AD106" i="2"/>
  <c r="AA106" i="2"/>
  <c r="S106" i="2"/>
  <c r="O106" i="2"/>
  <c r="R106" i="2"/>
  <c r="I106" i="2"/>
  <c r="AF106" i="2"/>
  <c r="N106" i="2"/>
  <c r="W106" i="2"/>
  <c r="M106" i="2"/>
  <c r="P106" i="2"/>
  <c r="G106" i="2"/>
  <c r="H106" i="2"/>
  <c r="X106" i="2"/>
  <c r="Z106" i="2"/>
  <c r="AC106" i="2"/>
  <c r="AE106" i="2"/>
  <c r="Y106" i="2"/>
  <c r="J106" i="2"/>
  <c r="E109" i="2"/>
  <c r="AI144" i="2"/>
  <c r="P235" i="1"/>
  <c r="AB235" i="1" s="1"/>
  <c r="AC235" i="1" s="1"/>
  <c r="AB231" i="1"/>
  <c r="AC231" i="1" s="1"/>
  <c r="P233" i="1"/>
  <c r="P237" i="1"/>
  <c r="P82" i="1"/>
  <c r="AB12" i="1"/>
  <c r="AC12" i="1" s="1"/>
  <c r="P412" i="1"/>
  <c r="AB410" i="1"/>
  <c r="AC410" i="1" s="1"/>
  <c r="P307" i="1"/>
  <c r="AB307" i="1" s="1"/>
  <c r="AC307" i="1" s="1"/>
  <c r="P88" i="1"/>
  <c r="P456" i="1"/>
  <c r="AB456" i="1" s="1"/>
  <c r="AC456" i="1" s="1"/>
  <c r="P121" i="1"/>
  <c r="AB121" i="1" s="1"/>
  <c r="AC121" i="1" s="1"/>
  <c r="P120" i="1"/>
  <c r="AB120" i="1" s="1"/>
  <c r="AC120" i="1" s="1"/>
  <c r="P122" i="1"/>
  <c r="AB122" i="1" s="1"/>
  <c r="AC122" i="1" s="1"/>
  <c r="P308" i="1"/>
  <c r="P280" i="1"/>
  <c r="AB280" i="1" s="1"/>
  <c r="AC280" i="1" s="1"/>
  <c r="P457" i="1"/>
  <c r="AB457" i="1" s="1"/>
  <c r="AC457" i="1" s="1"/>
  <c r="AB75" i="1"/>
  <c r="AC75" i="1" s="1"/>
  <c r="P279" i="1"/>
  <c r="AB279" i="1" s="1"/>
  <c r="AC279" i="1" s="1"/>
  <c r="Z19" i="2"/>
  <c r="J19" i="2"/>
  <c r="V141" i="2"/>
  <c r="I19" i="2"/>
  <c r="AD141" i="2"/>
  <c r="R19" i="2"/>
  <c r="W19" i="2"/>
  <c r="AF19" i="2"/>
  <c r="AD19" i="2"/>
  <c r="Q19" i="2"/>
  <c r="T141" i="2"/>
  <c r="O19" i="2"/>
  <c r="S19" i="2"/>
  <c r="M141" i="2"/>
  <c r="N141" i="2"/>
  <c r="G19" i="2"/>
  <c r="AB19" i="2"/>
  <c r="O271" i="1"/>
  <c r="O454" i="1"/>
  <c r="O277" i="1"/>
  <c r="O276" i="1"/>
  <c r="O269" i="1"/>
  <c r="O446" i="1"/>
  <c r="O448" i="1"/>
  <c r="O275" i="1"/>
  <c r="O453" i="1"/>
  <c r="O452" i="1"/>
  <c r="AA19" i="2"/>
  <c r="N19" i="2"/>
  <c r="U19" i="2"/>
  <c r="T19" i="2"/>
  <c r="F19" i="2"/>
  <c r="M19" i="2"/>
  <c r="P19" i="2"/>
  <c r="AE19" i="2"/>
  <c r="E210" i="2"/>
  <c r="O99" i="1"/>
  <c r="O274" i="1"/>
  <c r="O447" i="1"/>
  <c r="O451" i="1"/>
  <c r="O450" i="1"/>
  <c r="O273" i="1"/>
  <c r="O270" i="1"/>
  <c r="L19" i="2"/>
  <c r="H19" i="2"/>
  <c r="V19" i="2"/>
  <c r="X19" i="2"/>
  <c r="AC19" i="2"/>
  <c r="N200" i="15"/>
  <c r="N201" i="15" s="1"/>
  <c r="N36" i="15" s="1"/>
  <c r="M200" i="15"/>
  <c r="M201" i="15" s="1"/>
  <c r="M36" i="15" s="1"/>
  <c r="AG140" i="2"/>
  <c r="AH140" i="2" s="1"/>
  <c r="H141" i="2"/>
  <c r="G141" i="2"/>
  <c r="AE141" i="2"/>
  <c r="W141" i="2"/>
  <c r="AC141" i="2"/>
  <c r="AA141" i="2"/>
  <c r="U141" i="2"/>
  <c r="L141" i="2"/>
  <c r="J141" i="2"/>
  <c r="R141" i="2"/>
  <c r="S141" i="2"/>
  <c r="P141" i="2"/>
  <c r="AB141" i="2"/>
  <c r="Y141" i="2"/>
  <c r="AF141" i="2"/>
  <c r="Z141" i="2"/>
  <c r="Q141" i="2"/>
  <c r="O141" i="2"/>
  <c r="AG139" i="2"/>
  <c r="AH139" i="2" s="1"/>
  <c r="F141" i="2"/>
  <c r="AG179" i="2"/>
  <c r="AH179" i="2" s="1"/>
  <c r="AG150" i="2"/>
  <c r="AH150" i="2" s="1"/>
  <c r="AG153" i="2"/>
  <c r="AH153" i="2" s="1"/>
  <c r="AH520" i="2"/>
  <c r="AG185" i="2"/>
  <c r="AH185" i="2" s="1"/>
  <c r="AG147" i="2"/>
  <c r="AH147" i="2" s="1"/>
  <c r="AG261" i="2"/>
  <c r="AH261" i="2" s="1"/>
  <c r="O85" i="15"/>
  <c r="R85" i="15" s="1"/>
  <c r="E49" i="2"/>
  <c r="E238" i="2"/>
  <c r="I326" i="1"/>
  <c r="E276" i="2"/>
  <c r="I283" i="1"/>
  <c r="I459" i="1"/>
  <c r="AH338" i="2"/>
  <c r="AG102" i="2" l="1"/>
  <c r="AH102" i="2" s="1"/>
  <c r="AG112" i="2"/>
  <c r="AH112" i="2" s="1"/>
  <c r="AG106" i="2"/>
  <c r="AH106" i="2" s="1"/>
  <c r="AG115" i="2"/>
  <c r="AH115" i="2" s="1"/>
  <c r="V109" i="2"/>
  <c r="U109" i="2"/>
  <c r="AF109" i="2"/>
  <c r="S109" i="2"/>
  <c r="F109" i="2"/>
  <c r="L109" i="2"/>
  <c r="H109" i="2"/>
  <c r="X109" i="2"/>
  <c r="P109" i="2"/>
  <c r="R109" i="2"/>
  <c r="I109" i="2"/>
  <c r="N109" i="2"/>
  <c r="M109" i="2"/>
  <c r="Z109" i="2"/>
  <c r="Q109" i="2"/>
  <c r="AE109" i="2"/>
  <c r="AA109" i="2"/>
  <c r="AC109" i="2"/>
  <c r="T109" i="2"/>
  <c r="J109" i="2"/>
  <c r="G109" i="2"/>
  <c r="O109" i="2"/>
  <c r="AD109" i="2"/>
  <c r="AB109" i="2"/>
  <c r="Y109" i="2"/>
  <c r="W109" i="2"/>
  <c r="K109" i="2"/>
  <c r="AI147" i="2"/>
  <c r="AI140" i="2"/>
  <c r="AI150" i="2"/>
  <c r="P414" i="1"/>
  <c r="P440" i="1"/>
  <c r="AB412" i="1"/>
  <c r="AC412" i="1" s="1"/>
  <c r="P131" i="1"/>
  <c r="AB131" i="1" s="1"/>
  <c r="AC131" i="1" s="1"/>
  <c r="P130" i="1"/>
  <c r="AB130" i="1" s="1"/>
  <c r="AC130" i="1" s="1"/>
  <c r="AB82" i="1"/>
  <c r="AC82" i="1" s="1"/>
  <c r="E20" i="2"/>
  <c r="P98" i="1"/>
  <c r="P142" i="1"/>
  <c r="AB142" i="1" s="1"/>
  <c r="AC142" i="1" s="1"/>
  <c r="P91" i="1"/>
  <c r="P93" i="1" s="1"/>
  <c r="AB93" i="1" s="1"/>
  <c r="AC93" i="1" s="1"/>
  <c r="AB88" i="1"/>
  <c r="AC88" i="1" s="1"/>
  <c r="P264" i="1"/>
  <c r="AB233" i="1"/>
  <c r="AC233" i="1" s="1"/>
  <c r="P312" i="1"/>
  <c r="AB308" i="1"/>
  <c r="AC308" i="1" s="1"/>
  <c r="N210" i="2"/>
  <c r="T210" i="2"/>
  <c r="F210" i="2"/>
  <c r="U210" i="2"/>
  <c r="AE210" i="2"/>
  <c r="P210" i="2"/>
  <c r="M210" i="2"/>
  <c r="AA210" i="2"/>
  <c r="I210" i="2"/>
  <c r="R210" i="2"/>
  <c r="AC210" i="2"/>
  <c r="X210" i="2"/>
  <c r="V210" i="2"/>
  <c r="H210" i="2"/>
  <c r="L210" i="2"/>
  <c r="G210" i="2"/>
  <c r="J210" i="2"/>
  <c r="Y210" i="2"/>
  <c r="Q210" i="2"/>
  <c r="S210" i="2"/>
  <c r="O210" i="2"/>
  <c r="AD210" i="2"/>
  <c r="AB210" i="2"/>
  <c r="W210" i="2"/>
  <c r="AF210" i="2"/>
  <c r="Z210" i="2"/>
  <c r="O101" i="1"/>
  <c r="AG141" i="2"/>
  <c r="AH141" i="2" s="1"/>
  <c r="AH529" i="2"/>
  <c r="I12" i="15"/>
  <c r="T85" i="15"/>
  <c r="K12" i="15" s="1"/>
  <c r="E277" i="2"/>
  <c r="E239" i="2"/>
  <c r="AG109" i="2" l="1"/>
  <c r="AH109" i="2" s="1"/>
  <c r="AI141" i="2"/>
  <c r="P446" i="1"/>
  <c r="P448" i="1"/>
  <c r="AB448" i="1" s="1"/>
  <c r="AC448" i="1" s="1"/>
  <c r="P454" i="1"/>
  <c r="AB454" i="1" s="1"/>
  <c r="AC454" i="1" s="1"/>
  <c r="P453" i="1"/>
  <c r="AB453" i="1" s="1"/>
  <c r="AC453" i="1" s="1"/>
  <c r="P275" i="1"/>
  <c r="AB275" i="1" s="1"/>
  <c r="AC275" i="1" s="1"/>
  <c r="P276" i="1"/>
  <c r="AB276" i="1" s="1"/>
  <c r="AC276" i="1" s="1"/>
  <c r="P269" i="1"/>
  <c r="P271" i="1"/>
  <c r="AB271" i="1" s="1"/>
  <c r="AC271" i="1" s="1"/>
  <c r="P277" i="1"/>
  <c r="AB277" i="1" s="1"/>
  <c r="AC277" i="1" s="1"/>
  <c r="P452" i="1"/>
  <c r="AB452" i="1" s="1"/>
  <c r="AC452" i="1" s="1"/>
  <c r="AB264" i="1"/>
  <c r="AC264" i="1" s="1"/>
  <c r="E211" i="2"/>
  <c r="AB312" i="1"/>
  <c r="AC312" i="1" s="1"/>
  <c r="AB98" i="1"/>
  <c r="AC98" i="1" s="1"/>
  <c r="W20" i="2"/>
  <c r="W21" i="2" s="1"/>
  <c r="F20" i="2"/>
  <c r="I20" i="2"/>
  <c r="I21" i="2" s="1"/>
  <c r="T20" i="2"/>
  <c r="T21" i="2" s="1"/>
  <c r="P20" i="2"/>
  <c r="P21" i="2" s="1"/>
  <c r="L20" i="2"/>
  <c r="L21" i="2" s="1"/>
  <c r="N20" i="2"/>
  <c r="N21" i="2" s="1"/>
  <c r="V20" i="2"/>
  <c r="V21" i="2" s="1"/>
  <c r="X20" i="2"/>
  <c r="X21" i="2" s="1"/>
  <c r="AE20" i="2"/>
  <c r="AE21" i="2" s="1"/>
  <c r="S20" i="2"/>
  <c r="S21" i="2" s="1"/>
  <c r="AA20" i="2"/>
  <c r="AA21" i="2" s="1"/>
  <c r="H20" i="2"/>
  <c r="H21" i="2" s="1"/>
  <c r="M20" i="2"/>
  <c r="M21" i="2" s="1"/>
  <c r="Y20" i="2"/>
  <c r="Y21" i="2" s="1"/>
  <c r="Z20" i="2"/>
  <c r="Z21" i="2" s="1"/>
  <c r="O20" i="2"/>
  <c r="O21" i="2" s="1"/>
  <c r="K20" i="2"/>
  <c r="G20" i="2"/>
  <c r="G21" i="2" s="1"/>
  <c r="J20" i="2"/>
  <c r="J21" i="2" s="1"/>
  <c r="Q20" i="2"/>
  <c r="Q21" i="2" s="1"/>
  <c r="E21" i="2"/>
  <c r="E40" i="2" s="1"/>
  <c r="AD20" i="2"/>
  <c r="AD21" i="2" s="1"/>
  <c r="R20" i="2"/>
  <c r="R21" i="2" s="1"/>
  <c r="AB20" i="2"/>
  <c r="AB21" i="2" s="1"/>
  <c r="AF20" i="2"/>
  <c r="AF21" i="2" s="1"/>
  <c r="U20" i="2"/>
  <c r="U21" i="2" s="1"/>
  <c r="AC20" i="2"/>
  <c r="AC21" i="2" s="1"/>
  <c r="P450" i="1"/>
  <c r="AB450" i="1" s="1"/>
  <c r="AC450" i="1" s="1"/>
  <c r="P451" i="1"/>
  <c r="AB451" i="1" s="1"/>
  <c r="AC451" i="1" s="1"/>
  <c r="P273" i="1"/>
  <c r="AB273" i="1" s="1"/>
  <c r="AC273" i="1" s="1"/>
  <c r="P447" i="1"/>
  <c r="AB447" i="1" s="1"/>
  <c r="AC447" i="1" s="1"/>
  <c r="P274" i="1"/>
  <c r="AB274" i="1" s="1"/>
  <c r="AC274" i="1" s="1"/>
  <c r="P270" i="1"/>
  <c r="AB270" i="1" s="1"/>
  <c r="AC270" i="1" s="1"/>
  <c r="AB440" i="1"/>
  <c r="AC440" i="1" s="1"/>
  <c r="P99" i="1"/>
  <c r="AB99" i="1" s="1"/>
  <c r="AC99" i="1" s="1"/>
  <c r="AB91" i="1"/>
  <c r="AC91" i="1" s="1"/>
  <c r="O104" i="1"/>
  <c r="J449" i="2"/>
  <c r="J447" i="2"/>
  <c r="P101" i="1" l="1"/>
  <c r="AB446" i="1"/>
  <c r="AC446" i="1" s="1"/>
  <c r="AG20" i="2"/>
  <c r="AH20" i="2" s="1"/>
  <c r="F21" i="2"/>
  <c r="F211" i="2"/>
  <c r="Q211" i="2"/>
  <c r="Q212" i="2" s="1"/>
  <c r="T211" i="2"/>
  <c r="T212" i="2" s="1"/>
  <c r="X211" i="2"/>
  <c r="X212" i="2" s="1"/>
  <c r="P211" i="2"/>
  <c r="P212" i="2" s="1"/>
  <c r="R211" i="2"/>
  <c r="R212" i="2" s="1"/>
  <c r="M211" i="2"/>
  <c r="M212" i="2" s="1"/>
  <c r="O211" i="2"/>
  <c r="O212" i="2" s="1"/>
  <c r="N211" i="2"/>
  <c r="N212" i="2" s="1"/>
  <c r="H211" i="2"/>
  <c r="H212" i="2" s="1"/>
  <c r="G211" i="2"/>
  <c r="G212" i="2" s="1"/>
  <c r="J211" i="2"/>
  <c r="J212" i="2" s="1"/>
  <c r="S211" i="2"/>
  <c r="S212" i="2" s="1"/>
  <c r="L211" i="2"/>
  <c r="L212" i="2" s="1"/>
  <c r="AD211" i="2"/>
  <c r="AD212" i="2" s="1"/>
  <c r="V211" i="2"/>
  <c r="V212" i="2" s="1"/>
  <c r="AC211" i="2"/>
  <c r="AC212" i="2" s="1"/>
  <c r="AE211" i="2"/>
  <c r="AE212" i="2" s="1"/>
  <c r="K211" i="2"/>
  <c r="Z211" i="2"/>
  <c r="Z212" i="2" s="1"/>
  <c r="AF211" i="2"/>
  <c r="AF212" i="2" s="1"/>
  <c r="Y211" i="2"/>
  <c r="Y212" i="2" s="1"/>
  <c r="AB211" i="2"/>
  <c r="AB212" i="2" s="1"/>
  <c r="AA211" i="2"/>
  <c r="AA212" i="2" s="1"/>
  <c r="W211" i="2"/>
  <c r="W212" i="2" s="1"/>
  <c r="U211" i="2"/>
  <c r="U212" i="2" s="1"/>
  <c r="I211" i="2"/>
  <c r="I212" i="2" s="1"/>
  <c r="E212" i="2"/>
  <c r="E231" i="2" s="1"/>
  <c r="AB269" i="1"/>
  <c r="AC269" i="1" s="1"/>
  <c r="O124" i="1"/>
  <c r="J455" i="2"/>
  <c r="E320" i="2" l="1"/>
  <c r="E232" i="2"/>
  <c r="AG211" i="2"/>
  <c r="AH211" i="2" s="1"/>
  <c r="F212" i="2"/>
  <c r="P104" i="1"/>
  <c r="AB101" i="1"/>
  <c r="AC101" i="1" s="1"/>
  <c r="O126" i="1"/>
  <c r="J462" i="2"/>
  <c r="J458" i="2"/>
  <c r="P124" i="1" l="1"/>
  <c r="AB104" i="1"/>
  <c r="AC104" i="1" s="1"/>
  <c r="O318" i="1"/>
  <c r="O449" i="1"/>
  <c r="O322" i="1"/>
  <c r="O272" i="1"/>
  <c r="O314" i="1"/>
  <c r="O320" i="1"/>
  <c r="O278" i="1"/>
  <c r="O324" i="1"/>
  <c r="O455" i="1"/>
  <c r="O316" i="1"/>
  <c r="O281" i="1"/>
  <c r="E58" i="2"/>
  <c r="J459" i="2"/>
  <c r="J483" i="2"/>
  <c r="J465" i="2"/>
  <c r="P126" i="1" l="1"/>
  <c r="AB124" i="1"/>
  <c r="AC124" i="1" s="1"/>
  <c r="Z58" i="2"/>
  <c r="J58" i="2"/>
  <c r="U58" i="2"/>
  <c r="L58" i="2"/>
  <c r="R58" i="2"/>
  <c r="V58" i="2"/>
  <c r="N58" i="2"/>
  <c r="AB58" i="2"/>
  <c r="P58" i="2"/>
  <c r="AC58" i="2"/>
  <c r="W58" i="2"/>
  <c r="F58" i="2"/>
  <c r="I58" i="2"/>
  <c r="O58" i="2"/>
  <c r="H58" i="2"/>
  <c r="AA58" i="2"/>
  <c r="S58" i="2"/>
  <c r="T58" i="2"/>
  <c r="Q58" i="2"/>
  <c r="M58" i="2"/>
  <c r="AD58" i="2"/>
  <c r="AF58" i="2"/>
  <c r="AE58" i="2"/>
  <c r="Y58" i="2"/>
  <c r="X58" i="2"/>
  <c r="G58" i="2"/>
  <c r="O283" i="1"/>
  <c r="E286" i="2"/>
  <c r="O459" i="1"/>
  <c r="E248" i="2"/>
  <c r="O326" i="1"/>
  <c r="J466" i="2"/>
  <c r="J490" i="2"/>
  <c r="J486" i="2"/>
  <c r="P316" i="1" l="1"/>
  <c r="P314" i="1"/>
  <c r="P455" i="1"/>
  <c r="AB455" i="1" s="1"/>
  <c r="AC455" i="1" s="1"/>
  <c r="P320" i="1"/>
  <c r="AB320" i="1" s="1"/>
  <c r="AC320" i="1" s="1"/>
  <c r="E59" i="2"/>
  <c r="P449" i="1"/>
  <c r="P322" i="1"/>
  <c r="AB322" i="1" s="1"/>
  <c r="AC322" i="1" s="1"/>
  <c r="P278" i="1"/>
  <c r="AB278" i="1" s="1"/>
  <c r="AC278" i="1" s="1"/>
  <c r="P281" i="1"/>
  <c r="AB281" i="1" s="1"/>
  <c r="AC281" i="1" s="1"/>
  <c r="P324" i="1"/>
  <c r="AB324" i="1" s="1"/>
  <c r="AC324" i="1" s="1"/>
  <c r="P318" i="1"/>
  <c r="AB318" i="1" s="1"/>
  <c r="AC318" i="1" s="1"/>
  <c r="P272" i="1"/>
  <c r="AB126" i="1"/>
  <c r="F248" i="2"/>
  <c r="AB248" i="2"/>
  <c r="J248" i="2"/>
  <c r="M248" i="2"/>
  <c r="W248" i="2"/>
  <c r="Y248" i="2"/>
  <c r="V248" i="2"/>
  <c r="P248" i="2"/>
  <c r="S248" i="2"/>
  <c r="Q248" i="2"/>
  <c r="O248" i="2"/>
  <c r="X248" i="2"/>
  <c r="T248" i="2"/>
  <c r="AC248" i="2"/>
  <c r="U248" i="2"/>
  <c r="N248" i="2"/>
  <c r="AE248" i="2"/>
  <c r="Z248" i="2"/>
  <c r="R248" i="2"/>
  <c r="AF248" i="2"/>
  <c r="I248" i="2"/>
  <c r="H248" i="2"/>
  <c r="L248" i="2"/>
  <c r="G248" i="2"/>
  <c r="AA248" i="2"/>
  <c r="AD248" i="2"/>
  <c r="U286" i="2"/>
  <c r="Q286" i="2"/>
  <c r="W286" i="2"/>
  <c r="T286" i="2"/>
  <c r="F286" i="2"/>
  <c r="AF286" i="2"/>
  <c r="P286" i="2"/>
  <c r="Z286" i="2"/>
  <c r="X286" i="2"/>
  <c r="S286" i="2"/>
  <c r="L286" i="2"/>
  <c r="H286" i="2"/>
  <c r="AC286" i="2"/>
  <c r="O286" i="2"/>
  <c r="I286" i="2"/>
  <c r="M286" i="2"/>
  <c r="AD286" i="2"/>
  <c r="V286" i="2"/>
  <c r="N286" i="2"/>
  <c r="G286" i="2"/>
  <c r="Y286" i="2"/>
  <c r="J286" i="2"/>
  <c r="AB286" i="2"/>
  <c r="AA286" i="2"/>
  <c r="AE286" i="2"/>
  <c r="R286" i="2"/>
  <c r="O461" i="1"/>
  <c r="O285" i="1"/>
  <c r="J487" i="2"/>
  <c r="J493" i="2"/>
  <c r="AC126" i="1" l="1"/>
  <c r="E249" i="2"/>
  <c r="P326" i="1"/>
  <c r="AB326" i="1" s="1"/>
  <c r="AC326" i="1" s="1"/>
  <c r="AB314" i="1"/>
  <c r="AC314" i="1" s="1"/>
  <c r="E287" i="2"/>
  <c r="AB316" i="1"/>
  <c r="AC316" i="1" s="1"/>
  <c r="P459" i="1"/>
  <c r="AB449" i="1"/>
  <c r="AC449" i="1" s="1"/>
  <c r="P283" i="1"/>
  <c r="AB272" i="1"/>
  <c r="AC272" i="1" s="1"/>
  <c r="Q59" i="2"/>
  <c r="Q60" i="2" s="1"/>
  <c r="P59" i="2"/>
  <c r="P60" i="2" s="1"/>
  <c r="AB59" i="2"/>
  <c r="AB60" i="2" s="1"/>
  <c r="T59" i="2"/>
  <c r="T60" i="2" s="1"/>
  <c r="J59" i="2"/>
  <c r="J60" i="2" s="1"/>
  <c r="S59" i="2"/>
  <c r="S60" i="2" s="1"/>
  <c r="AC59" i="2"/>
  <c r="AC60" i="2" s="1"/>
  <c r="AF59" i="2"/>
  <c r="AF60" i="2" s="1"/>
  <c r="U59" i="2"/>
  <c r="U60" i="2" s="1"/>
  <c r="W59" i="2"/>
  <c r="W60" i="2" s="1"/>
  <c r="L59" i="2"/>
  <c r="L60" i="2" s="1"/>
  <c r="O59" i="2"/>
  <c r="O60" i="2" s="1"/>
  <c r="M59" i="2"/>
  <c r="M60" i="2" s="1"/>
  <c r="N59" i="2"/>
  <c r="N60" i="2" s="1"/>
  <c r="AE59" i="2"/>
  <c r="AE60" i="2" s="1"/>
  <c r="X59" i="2"/>
  <c r="X60" i="2" s="1"/>
  <c r="F59" i="2"/>
  <c r="R59" i="2"/>
  <c r="R60" i="2" s="1"/>
  <c r="Y59" i="2"/>
  <c r="Y60" i="2" s="1"/>
  <c r="G59" i="2"/>
  <c r="G60" i="2" s="1"/>
  <c r="V59" i="2"/>
  <c r="V60" i="2" s="1"/>
  <c r="AA59" i="2"/>
  <c r="AA60" i="2" s="1"/>
  <c r="H59" i="2"/>
  <c r="H60" i="2" s="1"/>
  <c r="AD59" i="2"/>
  <c r="AD60" i="2" s="1"/>
  <c r="Z59" i="2"/>
  <c r="Z60" i="2" s="1"/>
  <c r="I59" i="2"/>
  <c r="I60" i="2" s="1"/>
  <c r="K59" i="2"/>
  <c r="E60" i="2"/>
  <c r="E79" i="2" s="1"/>
  <c r="O463" i="1"/>
  <c r="O129" i="1"/>
  <c r="E134" i="2"/>
  <c r="O287" i="1"/>
  <c r="O328" i="1"/>
  <c r="J494" i="2"/>
  <c r="J488" i="2"/>
  <c r="AG59" i="2" l="1"/>
  <c r="AH59" i="2" s="1"/>
  <c r="F60" i="2"/>
  <c r="P285" i="1"/>
  <c r="AB283" i="1"/>
  <c r="AC283" i="1" s="1"/>
  <c r="P461" i="1"/>
  <c r="P463" i="1" s="1"/>
  <c r="E173" i="2" s="1"/>
  <c r="AB459" i="1"/>
  <c r="AC459" i="1" s="1"/>
  <c r="AD287" i="2"/>
  <c r="AD288" i="2" s="1"/>
  <c r="W287" i="2"/>
  <c r="W288" i="2" s="1"/>
  <c r="AB287" i="2"/>
  <c r="AB288" i="2" s="1"/>
  <c r="X287" i="2"/>
  <c r="X288" i="2" s="1"/>
  <c r="V287" i="2"/>
  <c r="V288" i="2" s="1"/>
  <c r="Q287" i="2"/>
  <c r="Q288" i="2" s="1"/>
  <c r="R287" i="2"/>
  <c r="R288" i="2" s="1"/>
  <c r="AC287" i="2"/>
  <c r="AC288" i="2" s="1"/>
  <c r="Z287" i="2"/>
  <c r="Z288" i="2" s="1"/>
  <c r="O287" i="2"/>
  <c r="O288" i="2" s="1"/>
  <c r="U287" i="2"/>
  <c r="U288" i="2" s="1"/>
  <c r="F287" i="2"/>
  <c r="T287" i="2"/>
  <c r="T288" i="2" s="1"/>
  <c r="K287" i="2"/>
  <c r="M287" i="2"/>
  <c r="M288" i="2" s="1"/>
  <c r="AF287" i="2"/>
  <c r="AF288" i="2" s="1"/>
  <c r="N287" i="2"/>
  <c r="N288" i="2" s="1"/>
  <c r="J287" i="2"/>
  <c r="J288" i="2" s="1"/>
  <c r="G287" i="2"/>
  <c r="G288" i="2" s="1"/>
  <c r="H287" i="2"/>
  <c r="H288" i="2" s="1"/>
  <c r="P287" i="2"/>
  <c r="P288" i="2" s="1"/>
  <c r="I287" i="2"/>
  <c r="I288" i="2" s="1"/>
  <c r="Y287" i="2"/>
  <c r="Y288" i="2" s="1"/>
  <c r="L287" i="2"/>
  <c r="L288" i="2" s="1"/>
  <c r="AE287" i="2"/>
  <c r="AE288" i="2" s="1"/>
  <c r="S287" i="2"/>
  <c r="S288" i="2" s="1"/>
  <c r="AA287" i="2"/>
  <c r="AA288" i="2" s="1"/>
  <c r="E288" i="2"/>
  <c r="E307" i="2" s="1"/>
  <c r="X249" i="2"/>
  <c r="X250" i="2" s="1"/>
  <c r="N249" i="2"/>
  <c r="N250" i="2" s="1"/>
  <c r="I249" i="2"/>
  <c r="I250" i="2" s="1"/>
  <c r="AD249" i="2"/>
  <c r="AD250" i="2" s="1"/>
  <c r="O249" i="2"/>
  <c r="O250" i="2" s="1"/>
  <c r="Q249" i="2"/>
  <c r="Q250" i="2" s="1"/>
  <c r="U249" i="2"/>
  <c r="U250" i="2" s="1"/>
  <c r="AF249" i="2"/>
  <c r="AF250" i="2" s="1"/>
  <c r="Y249" i="2"/>
  <c r="Y250" i="2" s="1"/>
  <c r="W249" i="2"/>
  <c r="W250" i="2" s="1"/>
  <c r="J249" i="2"/>
  <c r="J250" i="2" s="1"/>
  <c r="G249" i="2"/>
  <c r="G250" i="2" s="1"/>
  <c r="AC249" i="2"/>
  <c r="AC250" i="2" s="1"/>
  <c r="AE249" i="2"/>
  <c r="AE250" i="2" s="1"/>
  <c r="R249" i="2"/>
  <c r="R250" i="2" s="1"/>
  <c r="AA249" i="2"/>
  <c r="AA250" i="2" s="1"/>
  <c r="H249" i="2"/>
  <c r="H250" i="2" s="1"/>
  <c r="T249" i="2"/>
  <c r="T250" i="2" s="1"/>
  <c r="Z249" i="2"/>
  <c r="Z250" i="2" s="1"/>
  <c r="M249" i="2"/>
  <c r="M250" i="2" s="1"/>
  <c r="P249" i="2"/>
  <c r="P250" i="2" s="1"/>
  <c r="S249" i="2"/>
  <c r="S250" i="2" s="1"/>
  <c r="L249" i="2"/>
  <c r="L250" i="2" s="1"/>
  <c r="V249" i="2"/>
  <c r="V250" i="2" s="1"/>
  <c r="AB249" i="2"/>
  <c r="AB250" i="2" s="1"/>
  <c r="K249" i="2"/>
  <c r="F249" i="2"/>
  <c r="E250" i="2"/>
  <c r="E269" i="2" s="1"/>
  <c r="E321" i="2" s="1"/>
  <c r="AB134" i="2"/>
  <c r="J134" i="2"/>
  <c r="T134" i="2"/>
  <c r="V134" i="2"/>
  <c r="L134" i="2"/>
  <c r="I134" i="2"/>
  <c r="G134" i="2"/>
  <c r="AE134" i="2"/>
  <c r="Q134" i="2"/>
  <c r="E521" i="2"/>
  <c r="M134" i="2"/>
  <c r="Y134" i="2"/>
  <c r="AF134" i="2"/>
  <c r="X134" i="2"/>
  <c r="U134" i="2"/>
  <c r="H134" i="2"/>
  <c r="F134" i="2"/>
  <c r="AA134" i="2"/>
  <c r="S134" i="2"/>
  <c r="AD134" i="2"/>
  <c r="O134" i="2"/>
  <c r="N134" i="2"/>
  <c r="W134" i="2"/>
  <c r="R134" i="2"/>
  <c r="AC134" i="2"/>
  <c r="P134" i="2"/>
  <c r="Z134" i="2"/>
  <c r="O133" i="1"/>
  <c r="E172" i="2"/>
  <c r="J93" i="2"/>
  <c r="J16" i="2"/>
  <c r="J55" i="2"/>
  <c r="J207" i="2"/>
  <c r="J495" i="2"/>
  <c r="E322" i="2" l="1"/>
  <c r="E308" i="2"/>
  <c r="AG249" i="2"/>
  <c r="AH249" i="2" s="1"/>
  <c r="F250" i="2"/>
  <c r="P173" i="2"/>
  <c r="M173" i="2"/>
  <c r="L173" i="2"/>
  <c r="J173" i="2"/>
  <c r="K173" i="2"/>
  <c r="Z173" i="2"/>
  <c r="U173" i="2"/>
  <c r="H173" i="2"/>
  <c r="Q173" i="2"/>
  <c r="AA173" i="2"/>
  <c r="I173" i="2"/>
  <c r="AD173" i="2"/>
  <c r="AC173" i="2"/>
  <c r="X173" i="2"/>
  <c r="N173" i="2"/>
  <c r="G173" i="2"/>
  <c r="W173" i="2"/>
  <c r="T173" i="2"/>
  <c r="AB173" i="2"/>
  <c r="F173" i="2"/>
  <c r="AE173" i="2"/>
  <c r="V173" i="2"/>
  <c r="S173" i="2"/>
  <c r="Y173" i="2"/>
  <c r="AF173" i="2"/>
  <c r="R173" i="2"/>
  <c r="O173" i="2"/>
  <c r="P129" i="1"/>
  <c r="P133" i="1" s="1"/>
  <c r="P144" i="1" s="1"/>
  <c r="P328" i="1"/>
  <c r="E135" i="2"/>
  <c r="P287" i="1"/>
  <c r="AG287" i="2"/>
  <c r="AH287" i="2" s="1"/>
  <c r="F288" i="2"/>
  <c r="P521" i="2"/>
  <c r="N521" i="2"/>
  <c r="S521" i="2"/>
  <c r="U521" i="2"/>
  <c r="M521" i="2"/>
  <c r="G521" i="2"/>
  <c r="T521" i="2"/>
  <c r="AC172" i="2"/>
  <c r="V172" i="2"/>
  <c r="J172" i="2"/>
  <c r="W172" i="2"/>
  <c r="E174" i="2"/>
  <c r="Z172" i="2"/>
  <c r="Z174" i="2" s="1"/>
  <c r="U172" i="2"/>
  <c r="P172" i="2"/>
  <c r="O172" i="2"/>
  <c r="AE172" i="2"/>
  <c r="I172" i="2"/>
  <c r="F172" i="2"/>
  <c r="G172" i="2"/>
  <c r="N172" i="2"/>
  <c r="Q172" i="2"/>
  <c r="AB172" i="2"/>
  <c r="M172" i="2"/>
  <c r="X172" i="2"/>
  <c r="T172" i="2"/>
  <c r="AF172" i="2"/>
  <c r="H172" i="2"/>
  <c r="AA172" i="2"/>
  <c r="AD172" i="2"/>
  <c r="L172" i="2"/>
  <c r="R172" i="2"/>
  <c r="S172" i="2"/>
  <c r="Y172" i="2"/>
  <c r="AC521" i="2"/>
  <c r="AA521" i="2"/>
  <c r="X521" i="2"/>
  <c r="I521" i="2"/>
  <c r="R521" i="2"/>
  <c r="O521" i="2"/>
  <c r="F521" i="2"/>
  <c r="AF521" i="2"/>
  <c r="Q521" i="2"/>
  <c r="L521" i="2"/>
  <c r="AB521" i="2"/>
  <c r="O144" i="1"/>
  <c r="Z521" i="2"/>
  <c r="W521" i="2"/>
  <c r="AD521" i="2"/>
  <c r="H521" i="2"/>
  <c r="Y521" i="2"/>
  <c r="AE521" i="2"/>
  <c r="V521" i="2"/>
  <c r="J131" i="2"/>
  <c r="J283" i="2"/>
  <c r="J245" i="2"/>
  <c r="J169" i="2"/>
  <c r="I174" i="2" l="1"/>
  <c r="U174" i="2"/>
  <c r="E97" i="2"/>
  <c r="F174" i="2"/>
  <c r="S174" i="2"/>
  <c r="AA174" i="2"/>
  <c r="M174" i="2"/>
  <c r="AE174" i="2"/>
  <c r="AC174" i="2"/>
  <c r="N174" i="2"/>
  <c r="T174" i="2"/>
  <c r="R174" i="2"/>
  <c r="H174" i="2"/>
  <c r="Y174" i="2"/>
  <c r="P174" i="2"/>
  <c r="O174" i="2"/>
  <c r="L174" i="2"/>
  <c r="AB174" i="2"/>
  <c r="J174" i="2"/>
  <c r="AD174" i="2"/>
  <c r="X174" i="2"/>
  <c r="V174" i="2"/>
  <c r="AF174" i="2"/>
  <c r="Q174" i="2"/>
  <c r="G174" i="2"/>
  <c r="W174" i="2"/>
  <c r="AG173" i="2"/>
  <c r="AH173" i="2" s="1"/>
  <c r="R135" i="2"/>
  <c r="S135" i="2"/>
  <c r="AF135" i="2"/>
  <c r="M135" i="2"/>
  <c r="AC135" i="2"/>
  <c r="J135" i="2"/>
  <c r="Y135" i="2"/>
  <c r="N135" i="2"/>
  <c r="T135" i="2"/>
  <c r="E522" i="2"/>
  <c r="P135" i="2"/>
  <c r="AE135" i="2"/>
  <c r="AE136" i="2" s="1"/>
  <c r="Q135" i="2"/>
  <c r="X135" i="2"/>
  <c r="K135" i="2"/>
  <c r="K522" i="2" s="1"/>
  <c r="Z135" i="2"/>
  <c r="O135" i="2"/>
  <c r="AD135" i="2"/>
  <c r="G135" i="2"/>
  <c r="W135" i="2"/>
  <c r="AB135" i="2"/>
  <c r="U135" i="2"/>
  <c r="L135" i="2"/>
  <c r="V135" i="2"/>
  <c r="H135" i="2"/>
  <c r="AA135" i="2"/>
  <c r="F135" i="2"/>
  <c r="I135" i="2"/>
  <c r="E136" i="2"/>
  <c r="V559" i="2"/>
  <c r="Y559" i="2"/>
  <c r="AD559" i="2"/>
  <c r="Z559" i="2"/>
  <c r="AA559" i="2"/>
  <c r="AC559" i="2"/>
  <c r="AB559" i="2"/>
  <c r="W559" i="2"/>
  <c r="X559" i="2"/>
  <c r="T559" i="2"/>
  <c r="U559" i="2"/>
  <c r="E96" i="2"/>
  <c r="J521" i="2"/>
  <c r="G97" i="2" l="1"/>
  <c r="G540" i="2" s="1"/>
  <c r="M97" i="2"/>
  <c r="M540" i="2" s="1"/>
  <c r="M569" i="2" s="1"/>
  <c r="K97" i="2"/>
  <c r="K540" i="2" s="1"/>
  <c r="K569" i="2" s="1"/>
  <c r="AA97" i="2"/>
  <c r="AA540" i="2" s="1"/>
  <c r="AA569" i="2" s="1"/>
  <c r="Q97" i="2"/>
  <c r="Q540" i="2" s="1"/>
  <c r="Q569" i="2" s="1"/>
  <c r="P97" i="2"/>
  <c r="P540" i="2" s="1"/>
  <c r="P569" i="2" s="1"/>
  <c r="X97" i="2"/>
  <c r="X540" i="2" s="1"/>
  <c r="X643" i="2" s="1"/>
  <c r="X644" i="2" s="1"/>
  <c r="O97" i="2"/>
  <c r="O540" i="2" s="1"/>
  <c r="O569" i="2" s="1"/>
  <c r="N97" i="2"/>
  <c r="N540" i="2" s="1"/>
  <c r="N569" i="2" s="1"/>
  <c r="Y97" i="2"/>
  <c r="Y540" i="2" s="1"/>
  <c r="Y569" i="2" s="1"/>
  <c r="U97" i="2"/>
  <c r="U540" i="2" s="1"/>
  <c r="U569" i="2" s="1"/>
  <c r="AB97" i="2"/>
  <c r="AB540" i="2" s="1"/>
  <c r="AB569" i="2" s="1"/>
  <c r="AF97" i="2"/>
  <c r="AF540" i="2" s="1"/>
  <c r="AF643" i="2" s="1"/>
  <c r="AF644" i="2" s="1"/>
  <c r="AE97" i="2"/>
  <c r="AD97" i="2"/>
  <c r="AD540" i="2" s="1"/>
  <c r="AD643" i="2" s="1"/>
  <c r="AD644" i="2" s="1"/>
  <c r="S97" i="2"/>
  <c r="S540" i="2" s="1"/>
  <c r="S569" i="2" s="1"/>
  <c r="Z97" i="2"/>
  <c r="Z540" i="2" s="1"/>
  <c r="Z643" i="2" s="1"/>
  <c r="Z644" i="2" s="1"/>
  <c r="R97" i="2"/>
  <c r="R540" i="2" s="1"/>
  <c r="R569" i="2" s="1"/>
  <c r="E540" i="2"/>
  <c r="V97" i="2"/>
  <c r="V540" i="2" s="1"/>
  <c r="V569" i="2" s="1"/>
  <c r="T97" i="2"/>
  <c r="T540" i="2" s="1"/>
  <c r="T643" i="2" s="1"/>
  <c r="T644" i="2" s="1"/>
  <c r="I97" i="2"/>
  <c r="I540" i="2" s="1"/>
  <c r="I569" i="2" s="1"/>
  <c r="AC97" i="2"/>
  <c r="AC540" i="2" s="1"/>
  <c r="AC569" i="2" s="1"/>
  <c r="H97" i="2"/>
  <c r="H540" i="2" s="1"/>
  <c r="J97" i="2"/>
  <c r="J540" i="2" s="1"/>
  <c r="J569" i="2" s="1"/>
  <c r="F97" i="2"/>
  <c r="F540" i="2" s="1"/>
  <c r="W97" i="2"/>
  <c r="W540" i="2" s="1"/>
  <c r="W569" i="2" s="1"/>
  <c r="L97" i="2"/>
  <c r="L540" i="2" s="1"/>
  <c r="I522" i="2"/>
  <c r="I136" i="2"/>
  <c r="F522" i="2"/>
  <c r="AG135" i="2"/>
  <c r="AH135" i="2" s="1"/>
  <c r="F136" i="2"/>
  <c r="G522" i="2"/>
  <c r="G136" i="2"/>
  <c r="P522" i="2"/>
  <c r="P136" i="2"/>
  <c r="AF522" i="2"/>
  <c r="AF136" i="2"/>
  <c r="AA522" i="2"/>
  <c r="AA136" i="2"/>
  <c r="AD522" i="2"/>
  <c r="AD136" i="2"/>
  <c r="D521" i="2"/>
  <c r="E530" i="2" s="1"/>
  <c r="D522" i="2"/>
  <c r="E531" i="2" s="1"/>
  <c r="S522" i="2"/>
  <c r="S136" i="2"/>
  <c r="H522" i="2"/>
  <c r="H136" i="2"/>
  <c r="O522" i="2"/>
  <c r="O136" i="2"/>
  <c r="T522" i="2"/>
  <c r="T136" i="2"/>
  <c r="R522" i="2"/>
  <c r="R136" i="2"/>
  <c r="V522" i="2"/>
  <c r="V136" i="2"/>
  <c r="Z522" i="2"/>
  <c r="Z136" i="2"/>
  <c r="N522" i="2"/>
  <c r="N136" i="2"/>
  <c r="L522" i="2"/>
  <c r="L136" i="2"/>
  <c r="Y522" i="2"/>
  <c r="Y136" i="2"/>
  <c r="U522" i="2"/>
  <c r="U136" i="2"/>
  <c r="X522" i="2"/>
  <c r="X136" i="2"/>
  <c r="J522" i="2"/>
  <c r="J136" i="2"/>
  <c r="AB522" i="2"/>
  <c r="AB136" i="2"/>
  <c r="Q522" i="2"/>
  <c r="Q136" i="2"/>
  <c r="AC522" i="2"/>
  <c r="AC136" i="2"/>
  <c r="W522" i="2"/>
  <c r="W136" i="2"/>
  <c r="M522" i="2"/>
  <c r="M136" i="2"/>
  <c r="H96" i="2"/>
  <c r="Q96" i="2"/>
  <c r="N96" i="2"/>
  <c r="V96" i="2"/>
  <c r="O96" i="2"/>
  <c r="AF96" i="2"/>
  <c r="AC96" i="2"/>
  <c r="E539" i="2"/>
  <c r="Y96" i="2"/>
  <c r="P96" i="2"/>
  <c r="R96" i="2"/>
  <c r="T96" i="2"/>
  <c r="AB96" i="2"/>
  <c r="AD96" i="2"/>
  <c r="M96" i="2"/>
  <c r="S96" i="2"/>
  <c r="J96" i="2"/>
  <c r="U96" i="2"/>
  <c r="AA96" i="2"/>
  <c r="AE96" i="2"/>
  <c r="E98" i="2"/>
  <c r="L96" i="2"/>
  <c r="G96" i="2"/>
  <c r="Z96" i="2"/>
  <c r="X96" i="2"/>
  <c r="W96" i="2"/>
  <c r="I96" i="2"/>
  <c r="F96" i="2"/>
  <c r="H643" i="2" l="1"/>
  <c r="H569" i="2"/>
  <c r="G643" i="2"/>
  <c r="G569" i="2"/>
  <c r="AA643" i="2"/>
  <c r="AA644" i="2" s="1"/>
  <c r="AB643" i="2"/>
  <c r="AB644" i="2" s="1"/>
  <c r="U643" i="2"/>
  <c r="U644" i="2" s="1"/>
  <c r="X569" i="2"/>
  <c r="AD569" i="2"/>
  <c r="V643" i="2"/>
  <c r="V644" i="2" s="1"/>
  <c r="T569" i="2"/>
  <c r="Y643" i="2"/>
  <c r="Y644" i="2" s="1"/>
  <c r="W643" i="2"/>
  <c r="W644" i="2" s="1"/>
  <c r="AC643" i="2"/>
  <c r="AC644" i="2" s="1"/>
  <c r="Z569" i="2"/>
  <c r="AG97" i="2"/>
  <c r="AH97" i="2" s="1"/>
  <c r="W560" i="2"/>
  <c r="Y560" i="2"/>
  <c r="AD560" i="2"/>
  <c r="U560" i="2"/>
  <c r="V560" i="2"/>
  <c r="AB560" i="2"/>
  <c r="AC560" i="2"/>
  <c r="X560" i="2"/>
  <c r="Z560" i="2"/>
  <c r="T560" i="2"/>
  <c r="AA560" i="2"/>
  <c r="AI135" i="2"/>
  <c r="AG540" i="2"/>
  <c r="AH540" i="2" s="1"/>
  <c r="F569" i="2"/>
  <c r="AG522" i="2"/>
  <c r="F98" i="2"/>
  <c r="F539" i="2"/>
  <c r="S98" i="2"/>
  <c r="S539" i="2"/>
  <c r="AE98" i="2"/>
  <c r="AE539" i="2"/>
  <c r="AE638" i="2" s="1"/>
  <c r="AE639" i="2" s="1"/>
  <c r="V98" i="2"/>
  <c r="V539" i="2"/>
  <c r="Z98" i="2"/>
  <c r="Z539" i="2"/>
  <c r="T98" i="2"/>
  <c r="T539" i="2"/>
  <c r="G98" i="2"/>
  <c r="G539" i="2"/>
  <c r="AA98" i="2"/>
  <c r="AA539" i="2"/>
  <c r="M98" i="2"/>
  <c r="M539" i="2"/>
  <c r="R98" i="2"/>
  <c r="R539" i="2"/>
  <c r="AC98" i="2"/>
  <c r="AC539" i="2"/>
  <c r="N98" i="2"/>
  <c r="N539" i="2"/>
  <c r="U98" i="2"/>
  <c r="U539" i="2"/>
  <c r="AD98" i="2"/>
  <c r="AD539" i="2"/>
  <c r="P98" i="2"/>
  <c r="P539" i="2"/>
  <c r="AF98" i="2"/>
  <c r="AF539" i="2"/>
  <c r="AF638" i="2" s="1"/>
  <c r="AF639" i="2" s="1"/>
  <c r="Q98" i="2"/>
  <c r="Q539" i="2"/>
  <c r="I98" i="2"/>
  <c r="I539" i="2"/>
  <c r="W98" i="2"/>
  <c r="W539" i="2"/>
  <c r="L98" i="2"/>
  <c r="L539" i="2"/>
  <c r="X98" i="2"/>
  <c r="X539" i="2"/>
  <c r="J98" i="2"/>
  <c r="J539" i="2"/>
  <c r="AB98" i="2"/>
  <c r="AB539" i="2"/>
  <c r="Y98" i="2"/>
  <c r="Y539" i="2"/>
  <c r="O98" i="2"/>
  <c r="O539" i="2"/>
  <c r="H98" i="2"/>
  <c r="H539" i="2"/>
  <c r="H568" i="2" l="1"/>
  <c r="H638" i="2"/>
  <c r="G568" i="2"/>
  <c r="G638" i="2"/>
  <c r="AH522" i="2"/>
  <c r="W568" i="2"/>
  <c r="W638" i="2"/>
  <c r="W639" i="2" s="1"/>
  <c r="Q568" i="2"/>
  <c r="P568" i="2"/>
  <c r="U568" i="2"/>
  <c r="U638" i="2"/>
  <c r="U639" i="2" s="1"/>
  <c r="AC568" i="2"/>
  <c r="AC638" i="2"/>
  <c r="AC639" i="2" s="1"/>
  <c r="M568" i="2"/>
  <c r="Z568" i="2"/>
  <c r="Z638" i="2"/>
  <c r="Z639" i="2" s="1"/>
  <c r="S568" i="2"/>
  <c r="Y638" i="2"/>
  <c r="Y639" i="2" s="1"/>
  <c r="Y568" i="2"/>
  <c r="J568" i="2"/>
  <c r="X638" i="2"/>
  <c r="X639" i="2" s="1"/>
  <c r="X568" i="2"/>
  <c r="I568" i="2"/>
  <c r="AD638" i="2"/>
  <c r="AD639" i="2" s="1"/>
  <c r="AD568" i="2"/>
  <c r="N568" i="2"/>
  <c r="R568" i="2"/>
  <c r="AA638" i="2"/>
  <c r="AA639" i="2" s="1"/>
  <c r="AA568" i="2"/>
  <c r="T568" i="2"/>
  <c r="T638" i="2"/>
  <c r="T639" i="2" s="1"/>
  <c r="V568" i="2"/>
  <c r="V638" i="2"/>
  <c r="V639" i="2" s="1"/>
  <c r="F568" i="2"/>
  <c r="O568" i="2"/>
  <c r="AB568" i="2"/>
  <c r="AB638" i="2"/>
  <c r="AB639" i="2" s="1"/>
  <c r="I623" i="2" l="1"/>
  <c r="C623" i="2"/>
  <c r="F623" i="2"/>
  <c r="Q633" i="2"/>
  <c r="Q634" i="2" s="1"/>
  <c r="F633" i="2"/>
  <c r="F634" i="2" s="1"/>
  <c r="P633" i="2"/>
  <c r="P634" i="2" s="1"/>
  <c r="L547" i="2"/>
  <c r="I547" i="2"/>
  <c r="Q547" i="2"/>
  <c r="M623" i="2"/>
  <c r="J623" i="2"/>
  <c r="K623" i="2"/>
  <c r="K643" i="2" s="1"/>
  <c r="O633" i="2"/>
  <c r="O634" i="2" s="1"/>
  <c r="M633" i="2"/>
  <c r="M634" i="2" s="1"/>
  <c r="R633" i="2"/>
  <c r="R634" i="2" s="1"/>
  <c r="N547" i="2"/>
  <c r="P547" i="2"/>
  <c r="G547" i="2"/>
  <c r="E547" i="2"/>
  <c r="Q623" i="2"/>
  <c r="N623" i="2"/>
  <c r="O623" i="2"/>
  <c r="J633" i="2"/>
  <c r="J634" i="2" s="1"/>
  <c r="J547" i="2"/>
  <c r="K547" i="2"/>
  <c r="H547" i="2"/>
  <c r="F547" i="2"/>
  <c r="P623" i="2"/>
  <c r="O547" i="2"/>
  <c r="E662" i="2"/>
  <c r="F662" i="2" s="1"/>
  <c r="M547" i="2"/>
  <c r="R623" i="2"/>
  <c r="N633" i="2"/>
  <c r="N634" i="2" s="1"/>
  <c r="R547" i="2"/>
  <c r="S623" i="2"/>
  <c r="I633" i="2"/>
  <c r="I634" i="2" s="1"/>
  <c r="E549" i="2"/>
  <c r="E548" i="2"/>
  <c r="G662" i="2" l="1"/>
  <c r="H662" i="2" s="1"/>
  <c r="I662" i="2" s="1"/>
  <c r="J662" i="2" s="1"/>
  <c r="K662" i="2" s="1"/>
  <c r="M662" i="2" s="1"/>
  <c r="N662" i="2" s="1"/>
  <c r="O662" i="2" s="1"/>
  <c r="P662" i="2" s="1"/>
  <c r="Q662" i="2" s="1"/>
  <c r="R662" i="2" s="1"/>
  <c r="N638" i="2"/>
  <c r="N643" i="2"/>
  <c r="P638" i="2"/>
  <c r="P643" i="2"/>
  <c r="Q643" i="2"/>
  <c r="Q638" i="2"/>
  <c r="M638" i="2"/>
  <c r="M643" i="2"/>
  <c r="S643" i="2"/>
  <c r="S638" i="2"/>
  <c r="R643" i="2"/>
  <c r="R638" i="2"/>
  <c r="O638" i="2"/>
  <c r="O643" i="2"/>
  <c r="J638" i="2"/>
  <c r="J643" i="2"/>
  <c r="F638" i="2"/>
  <c r="F643" i="2"/>
  <c r="I643" i="2"/>
  <c r="I638" i="2"/>
  <c r="O93" i="15" l="1"/>
  <c r="C200" i="15"/>
  <c r="Q93" i="15"/>
  <c r="H13" i="15" s="1"/>
  <c r="H25" i="15" s="1"/>
  <c r="E450" i="2" s="1"/>
  <c r="P418" i="2" s="1"/>
  <c r="O95" i="15"/>
  <c r="R95" i="15" s="1"/>
  <c r="Y418" i="2" l="1"/>
  <c r="W419" i="2"/>
  <c r="M419" i="2"/>
  <c r="Y419" i="2"/>
  <c r="Q419" i="2"/>
  <c r="V418" i="2"/>
  <c r="AB419" i="2"/>
  <c r="U419" i="2"/>
  <c r="N418" i="2"/>
  <c r="Z419" i="2"/>
  <c r="AC418" i="2"/>
  <c r="I419" i="2"/>
  <c r="L418" i="2"/>
  <c r="F418" i="2"/>
  <c r="AF419" i="2"/>
  <c r="V419" i="2"/>
  <c r="J419" i="2"/>
  <c r="AC419" i="2"/>
  <c r="O418" i="2"/>
  <c r="P419" i="2"/>
  <c r="H419" i="2"/>
  <c r="G418" i="2"/>
  <c r="L419" i="2"/>
  <c r="R418" i="2"/>
  <c r="W418" i="2"/>
  <c r="T418" i="2"/>
  <c r="Z418" i="2"/>
  <c r="O419" i="2"/>
  <c r="N419" i="2"/>
  <c r="AB418" i="2"/>
  <c r="T419" i="2"/>
  <c r="G419" i="2"/>
  <c r="J418" i="2"/>
  <c r="AE418" i="2"/>
  <c r="AD418" i="2"/>
  <c r="AD419" i="2"/>
  <c r="S418" i="2"/>
  <c r="S419" i="2"/>
  <c r="X418" i="2"/>
  <c r="H418" i="2"/>
  <c r="AE419" i="2"/>
  <c r="F419" i="2"/>
  <c r="X419" i="2"/>
  <c r="U418" i="2"/>
  <c r="I418" i="2"/>
  <c r="M418" i="2"/>
  <c r="AA418" i="2"/>
  <c r="R419" i="2"/>
  <c r="AF418" i="2"/>
  <c r="Q418" i="2"/>
  <c r="P97" i="15"/>
  <c r="G13" i="15" s="1"/>
  <c r="G25" i="15" s="1"/>
  <c r="O97" i="15"/>
  <c r="F13" i="15" s="1"/>
  <c r="T95" i="15"/>
  <c r="K13" i="15" s="1"/>
  <c r="I13" i="15"/>
  <c r="AA419" i="2"/>
  <c r="O200" i="15"/>
  <c r="C201" i="15"/>
  <c r="C36" i="15" s="1"/>
  <c r="K450" i="2"/>
  <c r="AG450" i="2" s="1"/>
  <c r="AH450" i="2" s="1"/>
  <c r="K449" i="2" l="1"/>
  <c r="K502" i="2" s="1"/>
  <c r="I25" i="15"/>
  <c r="E449" i="2" s="1"/>
  <c r="K447" i="2"/>
  <c r="AG447" i="2" s="1"/>
  <c r="K25" i="15"/>
  <c r="E447" i="2" s="1"/>
  <c r="O201" i="15"/>
  <c r="P200" i="15"/>
  <c r="F25" i="15"/>
  <c r="E451" i="2" s="1"/>
  <c r="K451" i="2"/>
  <c r="K469" i="2" s="1"/>
  <c r="K418" i="2"/>
  <c r="AG418" i="2" s="1"/>
  <c r="AH418" i="2" s="1"/>
  <c r="K419" i="2"/>
  <c r="AG419" i="2" s="1"/>
  <c r="AH419" i="2" s="1"/>
  <c r="AG502" i="2" l="1"/>
  <c r="AH502" i="2" s="1"/>
  <c r="K567" i="2"/>
  <c r="K558" i="2"/>
  <c r="K581" i="2" s="1"/>
  <c r="K633" i="2"/>
  <c r="AH447" i="2"/>
  <c r="AG451" i="2"/>
  <c r="AH451" i="2" s="1"/>
  <c r="AC417" i="2"/>
  <c r="V417" i="2"/>
  <c r="N417" i="2"/>
  <c r="W417" i="2"/>
  <c r="S417" i="2"/>
  <c r="K417" i="2"/>
  <c r="AE417" i="2"/>
  <c r="G417" i="2"/>
  <c r="L417" i="2"/>
  <c r="AB417" i="2"/>
  <c r="M417" i="2"/>
  <c r="Y417" i="2"/>
  <c r="F417" i="2"/>
  <c r="AA417" i="2"/>
  <c r="O417" i="2"/>
  <c r="X417" i="2"/>
  <c r="T417" i="2"/>
  <c r="Q417" i="2"/>
  <c r="R417" i="2"/>
  <c r="Z417" i="2"/>
  <c r="U417" i="2"/>
  <c r="H417" i="2"/>
  <c r="AD417" i="2"/>
  <c r="I417" i="2"/>
  <c r="AF417" i="2"/>
  <c r="P417" i="2"/>
  <c r="J417" i="2"/>
  <c r="AG449" i="2"/>
  <c r="AH449" i="2" s="1"/>
  <c r="K455" i="2"/>
  <c r="K632" i="2" l="1"/>
  <c r="K634" i="2" s="1"/>
  <c r="K606" i="2"/>
  <c r="K458" i="2"/>
  <c r="K462" i="2"/>
  <c r="AG455" i="2"/>
  <c r="AH455" i="2" s="1"/>
  <c r="AG417" i="2"/>
  <c r="AH417" i="2" s="1"/>
  <c r="AG469" i="2"/>
  <c r="AH469" i="2" s="1"/>
  <c r="K476" i="2"/>
  <c r="K499" i="2"/>
  <c r="AG476" i="2" l="1"/>
  <c r="AH476" i="2" s="1"/>
  <c r="K472" i="2"/>
  <c r="K479" i="2"/>
  <c r="AG462" i="2"/>
  <c r="AH462" i="2" s="1"/>
  <c r="K483" i="2"/>
  <c r="K465" i="2"/>
  <c r="AG499" i="2"/>
  <c r="AH499" i="2" s="1"/>
  <c r="K500" i="2"/>
  <c r="K459" i="2"/>
  <c r="AG459" i="2" s="1"/>
  <c r="AH459" i="2" s="1"/>
  <c r="AG458" i="2"/>
  <c r="AH458" i="2" s="1"/>
  <c r="K24" i="2" l="1"/>
  <c r="AG500" i="2"/>
  <c r="AH500" i="2" s="1"/>
  <c r="K101" i="2"/>
  <c r="K63" i="2"/>
  <c r="AG479" i="2"/>
  <c r="AH479" i="2" s="1"/>
  <c r="K480" i="2"/>
  <c r="AG465" i="2"/>
  <c r="AH465" i="2" s="1"/>
  <c r="K466" i="2"/>
  <c r="AG466" i="2" s="1"/>
  <c r="AH466" i="2" s="1"/>
  <c r="AG472" i="2"/>
  <c r="AH472" i="2" s="1"/>
  <c r="K473" i="2"/>
  <c r="K486" i="2"/>
  <c r="AG483" i="2"/>
  <c r="AH483" i="2" s="1"/>
  <c r="K490" i="2"/>
  <c r="AG486" i="2" l="1"/>
  <c r="AH486" i="2" s="1"/>
  <c r="K487" i="2"/>
  <c r="K103" i="2"/>
  <c r="AG103" i="2" s="1"/>
  <c r="AH103" i="2" s="1"/>
  <c r="AG101" i="2"/>
  <c r="AH101" i="2" s="1"/>
  <c r="K474" i="2"/>
  <c r="AG473" i="2"/>
  <c r="AH473" i="2" s="1"/>
  <c r="AG480" i="2"/>
  <c r="AH480" i="2" s="1"/>
  <c r="K481" i="2"/>
  <c r="AG63" i="2"/>
  <c r="AH63" i="2" s="1"/>
  <c r="K65" i="2"/>
  <c r="AG65" i="2" s="1"/>
  <c r="AH65" i="2" s="1"/>
  <c r="AG490" i="2"/>
  <c r="AH490" i="2" s="1"/>
  <c r="K493" i="2"/>
  <c r="AG24" i="2"/>
  <c r="AH24" i="2" s="1"/>
  <c r="K26" i="2"/>
  <c r="AG26" i="2" s="1"/>
  <c r="AH26" i="2" s="1"/>
  <c r="AG493" i="2" l="1"/>
  <c r="AH493" i="2" s="1"/>
  <c r="K494" i="2"/>
  <c r="AG481" i="2"/>
  <c r="AH481" i="2" s="1"/>
  <c r="K286" i="2"/>
  <c r="K134" i="2"/>
  <c r="K248" i="2"/>
  <c r="K172" i="2"/>
  <c r="AG487" i="2"/>
  <c r="AH487" i="2" s="1"/>
  <c r="K488" i="2"/>
  <c r="AG474" i="2"/>
  <c r="AH474" i="2" s="1"/>
  <c r="K210" i="2"/>
  <c r="K58" i="2"/>
  <c r="K96" i="2"/>
  <c r="K19" i="2"/>
  <c r="K60" i="2" l="1"/>
  <c r="AG60" i="2" s="1"/>
  <c r="AH60" i="2" s="1"/>
  <c r="AG58" i="2"/>
  <c r="AH58" i="2" s="1"/>
  <c r="K212" i="2"/>
  <c r="AG212" i="2" s="1"/>
  <c r="AH212" i="2" s="1"/>
  <c r="AG210" i="2"/>
  <c r="AH210" i="2" s="1"/>
  <c r="AG172" i="2"/>
  <c r="AH172" i="2" s="1"/>
  <c r="K174" i="2"/>
  <c r="AG174" i="2" s="1"/>
  <c r="AH174" i="2" s="1"/>
  <c r="AG19" i="2"/>
  <c r="AH19" i="2" s="1"/>
  <c r="K21" i="2"/>
  <c r="AG21" i="2" s="1"/>
  <c r="AH21" i="2" s="1"/>
  <c r="AG248" i="2"/>
  <c r="AH248" i="2" s="1"/>
  <c r="K250" i="2"/>
  <c r="AG250" i="2" s="1"/>
  <c r="AH250" i="2" s="1"/>
  <c r="K495" i="2"/>
  <c r="AG494" i="2"/>
  <c r="AH494" i="2" s="1"/>
  <c r="AG286" i="2"/>
  <c r="AH286" i="2" s="1"/>
  <c r="K288" i="2"/>
  <c r="AG288" i="2" s="1"/>
  <c r="AH288" i="2" s="1"/>
  <c r="AG96" i="2"/>
  <c r="AH96" i="2" s="1"/>
  <c r="K98" i="2"/>
  <c r="AG98" i="2" s="1"/>
  <c r="AH98" i="2" s="1"/>
  <c r="AG488" i="2"/>
  <c r="AH488" i="2" s="1"/>
  <c r="K55" i="2"/>
  <c r="K207" i="2"/>
  <c r="K93" i="2"/>
  <c r="K16" i="2"/>
  <c r="AG134" i="2"/>
  <c r="K136" i="2"/>
  <c r="AG136" i="2" s="1"/>
  <c r="AH136" i="2" l="1"/>
  <c r="AI136" i="2"/>
  <c r="AH134" i="2"/>
  <c r="AI134" i="2"/>
  <c r="AG93" i="2"/>
  <c r="AH93" i="2" s="1"/>
  <c r="K539" i="2"/>
  <c r="AG207" i="2"/>
  <c r="AH207" i="2" s="1"/>
  <c r="AG495" i="2"/>
  <c r="AH495" i="2" s="1"/>
  <c r="K283" i="2"/>
  <c r="K169" i="2"/>
  <c r="K245" i="2"/>
  <c r="K131" i="2"/>
  <c r="AG55" i="2"/>
  <c r="AH55" i="2" s="1"/>
  <c r="AG16" i="2"/>
  <c r="AH16" i="2" s="1"/>
  <c r="K638" i="2" l="1"/>
  <c r="K568" i="2"/>
  <c r="AG169" i="2"/>
  <c r="AH169" i="2" s="1"/>
  <c r="K521" i="2"/>
  <c r="AG131" i="2"/>
  <c r="AI131" i="2" s="1"/>
  <c r="AG539" i="2"/>
  <c r="AH539" i="2" s="1"/>
  <c r="AG283" i="2"/>
  <c r="AH283" i="2" s="1"/>
  <c r="AG245" i="2"/>
  <c r="AH245" i="2" s="1"/>
  <c r="AH131" i="2" l="1"/>
  <c r="AG521" i="2"/>
  <c r="AH521" i="2" l="1"/>
  <c r="H178" i="1" l="1"/>
  <c r="H176" i="1"/>
  <c r="H177" i="1"/>
  <c r="H363" i="1"/>
  <c r="H362" i="1"/>
  <c r="H175" i="1"/>
  <c r="H180" i="1" l="1"/>
  <c r="I177" i="1"/>
  <c r="AB177" i="1" s="1"/>
  <c r="AC177" i="1" s="1"/>
  <c r="I176" i="1"/>
  <c r="AB176" i="1" s="1"/>
  <c r="AC176" i="1" s="1"/>
  <c r="I363" i="1"/>
  <c r="AB363" i="1" s="1"/>
  <c r="AC363" i="1" s="1"/>
  <c r="I178" i="1"/>
  <c r="AB178" i="1" s="1"/>
  <c r="AC178" i="1" s="1"/>
  <c r="I362" i="1"/>
  <c r="I175" i="1"/>
  <c r="H365" i="1"/>
  <c r="AB481" i="1"/>
  <c r="AC481" i="1" s="1"/>
  <c r="I365" i="1" l="1"/>
  <c r="I414" i="1" s="1"/>
  <c r="I461" i="1" s="1"/>
  <c r="I463" i="1" s="1"/>
  <c r="E162" i="2" s="1"/>
  <c r="I180" i="1"/>
  <c r="I237" i="1" s="1"/>
  <c r="I285" i="1" s="1"/>
  <c r="I328" i="1" s="1"/>
  <c r="H237" i="1"/>
  <c r="H414" i="1"/>
  <c r="AB362" i="1"/>
  <c r="AC362" i="1" s="1"/>
  <c r="AB175" i="1"/>
  <c r="AC175" i="1" s="1"/>
  <c r="AB365" i="1" l="1"/>
  <c r="AC365" i="1" s="1"/>
  <c r="AB180" i="1"/>
  <c r="AC180" i="1" s="1"/>
  <c r="E124" i="2"/>
  <c r="E510" i="2" s="1"/>
  <c r="I129" i="1"/>
  <c r="I133" i="1" s="1"/>
  <c r="I144" i="1" s="1"/>
  <c r="E86" i="2" s="1"/>
  <c r="E537" i="2" s="1"/>
  <c r="I287" i="1"/>
  <c r="AB237" i="1"/>
  <c r="AC237" i="1" s="1"/>
  <c r="H285" i="1"/>
  <c r="AB414" i="1"/>
  <c r="AC414" i="1" s="1"/>
  <c r="H461" i="1"/>
  <c r="E519" i="2" l="1"/>
  <c r="E528" i="2" s="1"/>
  <c r="AG510" i="2"/>
  <c r="AH510" i="2" s="1"/>
  <c r="E512" i="2"/>
  <c r="K512" i="2" s="1"/>
  <c r="K513" i="2" s="1"/>
  <c r="AB285" i="1"/>
  <c r="AC285" i="1" s="1"/>
  <c r="H287" i="1"/>
  <c r="AB287" i="1" s="1"/>
  <c r="AC287" i="1" s="1"/>
  <c r="H328" i="1"/>
  <c r="AB328" i="1" s="1"/>
  <c r="AC328" i="1" s="1"/>
  <c r="H129" i="1"/>
  <c r="E123" i="2"/>
  <c r="AB461" i="1"/>
  <c r="AC461" i="1" s="1"/>
  <c r="H463" i="1"/>
  <c r="AB463" i="1" l="1"/>
  <c r="AC463" i="1" s="1"/>
  <c r="E161" i="2"/>
  <c r="E546" i="2"/>
  <c r="AC512" i="2"/>
  <c r="AC513" i="2" s="1"/>
  <c r="T512" i="2"/>
  <c r="T513" i="2" s="1"/>
  <c r="X512" i="2"/>
  <c r="X513" i="2" s="1"/>
  <c r="S512" i="2"/>
  <c r="S513" i="2" s="1"/>
  <c r="O512" i="2"/>
  <c r="O513" i="2" s="1"/>
  <c r="Q512" i="2"/>
  <c r="Q513" i="2" s="1"/>
  <c r="AB512" i="2"/>
  <c r="AB513" i="2" s="1"/>
  <c r="AE512" i="2"/>
  <c r="AE513" i="2" s="1"/>
  <c r="W512" i="2"/>
  <c r="W513" i="2" s="1"/>
  <c r="R512" i="2"/>
  <c r="R513" i="2" s="1"/>
  <c r="AD512" i="2"/>
  <c r="AD513" i="2" s="1"/>
  <c r="Z512" i="2"/>
  <c r="Z513" i="2" s="1"/>
  <c r="I512" i="2"/>
  <c r="I513" i="2" s="1"/>
  <c r="AA512" i="2"/>
  <c r="AA513" i="2" s="1"/>
  <c r="F512" i="2"/>
  <c r="L512" i="2"/>
  <c r="L513" i="2" s="1"/>
  <c r="Y512" i="2"/>
  <c r="Y513" i="2" s="1"/>
  <c r="G512" i="2"/>
  <c r="G513" i="2" s="1"/>
  <c r="P512" i="2"/>
  <c r="P513" i="2" s="1"/>
  <c r="V512" i="2"/>
  <c r="V513" i="2" s="1"/>
  <c r="M512" i="2"/>
  <c r="M513" i="2" s="1"/>
  <c r="AF512" i="2"/>
  <c r="AF513" i="2" s="1"/>
  <c r="J512" i="2"/>
  <c r="J513" i="2" s="1"/>
  <c r="U512" i="2"/>
  <c r="U513" i="2" s="1"/>
  <c r="N512" i="2"/>
  <c r="N513" i="2" s="1"/>
  <c r="H512" i="2"/>
  <c r="H513" i="2" s="1"/>
  <c r="E513" i="2"/>
  <c r="K514" i="2" s="1"/>
  <c r="E503" i="2"/>
  <c r="E125" i="2"/>
  <c r="E518" i="2"/>
  <c r="AB129" i="1"/>
  <c r="AC129" i="1" s="1"/>
  <c r="H133" i="1"/>
  <c r="E527" i="2" l="1"/>
  <c r="E523" i="2"/>
  <c r="F513" i="2"/>
  <c r="AG513" i="2" s="1"/>
  <c r="AH513" i="2" s="1"/>
  <c r="AG512" i="2"/>
  <c r="AH512" i="2" s="1"/>
  <c r="E155" i="2"/>
  <c r="E156" i="2" s="1"/>
  <c r="AG503" i="2"/>
  <c r="AH503" i="2" s="1"/>
  <c r="E505" i="2"/>
  <c r="E163" i="2"/>
  <c r="AB133" i="1"/>
  <c r="H144" i="1"/>
  <c r="AB144" i="1" s="1"/>
  <c r="T514" i="2"/>
  <c r="V514" i="2"/>
  <c r="AC514" i="2"/>
  <c r="AD514" i="2"/>
  <c r="AA514" i="2"/>
  <c r="X514" i="2"/>
  <c r="Y514" i="2"/>
  <c r="Z514" i="2"/>
  <c r="W514" i="2"/>
  <c r="U514" i="2"/>
  <c r="AB514" i="2"/>
  <c r="AF514" i="2"/>
  <c r="O514" i="2"/>
  <c r="M514" i="2"/>
  <c r="AE514" i="2"/>
  <c r="Q514" i="2"/>
  <c r="N514" i="2"/>
  <c r="P514" i="2"/>
  <c r="I514" i="2"/>
  <c r="S514" i="2"/>
  <c r="J514" i="2"/>
  <c r="R514" i="2"/>
  <c r="L514" i="2"/>
  <c r="H514" i="2"/>
  <c r="G514" i="2"/>
  <c r="F514" i="2"/>
  <c r="AC133" i="1" l="1"/>
  <c r="L505" i="2"/>
  <c r="L506" i="2" s="1"/>
  <c r="K505" i="2"/>
  <c r="K506" i="2" s="1"/>
  <c r="H276" i="2"/>
  <c r="H200" i="2"/>
  <c r="H9" i="2"/>
  <c r="H48" i="2"/>
  <c r="H238" i="2"/>
  <c r="H162" i="2"/>
  <c r="H86" i="2"/>
  <c r="H537" i="2" s="1"/>
  <c r="H124" i="2"/>
  <c r="L200" i="2"/>
  <c r="L162" i="2"/>
  <c r="L238" i="2"/>
  <c r="L9" i="2"/>
  <c r="L276" i="2"/>
  <c r="L48" i="2"/>
  <c r="L86" i="2"/>
  <c r="L537" i="2" s="1"/>
  <c r="L124" i="2"/>
  <c r="AE162" i="2"/>
  <c r="AE276" i="2"/>
  <c r="AE200" i="2"/>
  <c r="AE86" i="2"/>
  <c r="AE9" i="2"/>
  <c r="AE48" i="2"/>
  <c r="AE238" i="2"/>
  <c r="AE124" i="2"/>
  <c r="AE519" i="2" s="1"/>
  <c r="Y238" i="2"/>
  <c r="Y86" i="2"/>
  <c r="Y276" i="2"/>
  <c r="Y200" i="2"/>
  <c r="Y162" i="2"/>
  <c r="Y9" i="2"/>
  <c r="Y48" i="2"/>
  <c r="Y124" i="2"/>
  <c r="Y519" i="2" s="1"/>
  <c r="AC144" i="1"/>
  <c r="E85" i="2"/>
  <c r="G9" i="2"/>
  <c r="G48" i="2"/>
  <c r="G200" i="2"/>
  <c r="G238" i="2"/>
  <c r="G276" i="2"/>
  <c r="G162" i="2"/>
  <c r="G86" i="2"/>
  <c r="G537" i="2" s="1"/>
  <c r="G124" i="2"/>
  <c r="R276" i="2"/>
  <c r="R48" i="2"/>
  <c r="R162" i="2"/>
  <c r="R200" i="2"/>
  <c r="R238" i="2"/>
  <c r="R9" i="2"/>
  <c r="R86" i="2"/>
  <c r="R537" i="2" s="1"/>
  <c r="R124" i="2"/>
  <c r="M9" i="2"/>
  <c r="M276" i="2"/>
  <c r="M48" i="2"/>
  <c r="M162" i="2"/>
  <c r="M200" i="2"/>
  <c r="M238" i="2"/>
  <c r="M86" i="2"/>
  <c r="M537" i="2" s="1"/>
  <c r="M124" i="2"/>
  <c r="X9" i="2"/>
  <c r="X238" i="2"/>
  <c r="X86" i="2"/>
  <c r="X276" i="2"/>
  <c r="X48" i="2"/>
  <c r="X200" i="2"/>
  <c r="X162" i="2"/>
  <c r="X124" i="2"/>
  <c r="X519" i="2" s="1"/>
  <c r="Q9" i="2"/>
  <c r="Q200" i="2"/>
  <c r="Q276" i="2"/>
  <c r="Q162" i="2"/>
  <c r="Q48" i="2"/>
  <c r="Q238" i="2"/>
  <c r="Q86" i="2"/>
  <c r="Q537" i="2" s="1"/>
  <c r="Q124" i="2"/>
  <c r="J9" i="2"/>
  <c r="J48" i="2"/>
  <c r="J200" i="2"/>
  <c r="J162" i="2"/>
  <c r="J276" i="2"/>
  <c r="J238" i="2"/>
  <c r="J86" i="2"/>
  <c r="J537" i="2" s="1"/>
  <c r="J124" i="2"/>
  <c r="O276" i="2"/>
  <c r="O200" i="2"/>
  <c r="O9" i="2"/>
  <c r="O48" i="2"/>
  <c r="O238" i="2"/>
  <c r="O86" i="2"/>
  <c r="O537" i="2" s="1"/>
  <c r="O162" i="2"/>
  <c r="O124" i="2"/>
  <c r="AA276" i="2"/>
  <c r="AA162" i="2"/>
  <c r="AA200" i="2"/>
  <c r="AA9" i="2"/>
  <c r="AA238" i="2"/>
  <c r="AA86" i="2"/>
  <c r="AA48" i="2"/>
  <c r="AA124" i="2"/>
  <c r="AA519" i="2" s="1"/>
  <c r="E193" i="2"/>
  <c r="E194" i="2" s="1"/>
  <c r="P162" i="2"/>
  <c r="P276" i="2"/>
  <c r="P238" i="2"/>
  <c r="P200" i="2"/>
  <c r="P9" i="2"/>
  <c r="P48" i="2"/>
  <c r="P86" i="2"/>
  <c r="P537" i="2" s="1"/>
  <c r="P124" i="2"/>
  <c r="Z86" i="2"/>
  <c r="Z48" i="2"/>
  <c r="Z238" i="2"/>
  <c r="Z162" i="2"/>
  <c r="Z9" i="2"/>
  <c r="Z200" i="2"/>
  <c r="Z276" i="2"/>
  <c r="Z124" i="2"/>
  <c r="Z519" i="2" s="1"/>
  <c r="E319" i="2"/>
  <c r="S238" i="2"/>
  <c r="S9" i="2"/>
  <c r="S162" i="2"/>
  <c r="S48" i="2"/>
  <c r="S86" i="2"/>
  <c r="S200" i="2"/>
  <c r="S276" i="2"/>
  <c r="S124" i="2"/>
  <c r="S519" i="2" s="1"/>
  <c r="AF276" i="2"/>
  <c r="AF86" i="2"/>
  <c r="AF200" i="2"/>
  <c r="AF238" i="2"/>
  <c r="AF162" i="2"/>
  <c r="AF9" i="2"/>
  <c r="AF48" i="2"/>
  <c r="AF124" i="2"/>
  <c r="AF519" i="2" s="1"/>
  <c r="AD276" i="2"/>
  <c r="AD200" i="2"/>
  <c r="AD9" i="2"/>
  <c r="AD48" i="2"/>
  <c r="AD162" i="2"/>
  <c r="AD124" i="2"/>
  <c r="AD519" i="2" s="1"/>
  <c r="AD238" i="2"/>
  <c r="AD86" i="2"/>
  <c r="AG514" i="2"/>
  <c r="AH514" i="2" s="1"/>
  <c r="F162" i="2"/>
  <c r="F48" i="2"/>
  <c r="F276" i="2"/>
  <c r="F238" i="2"/>
  <c r="F9" i="2"/>
  <c r="F86" i="2"/>
  <c r="F200" i="2"/>
  <c r="F124" i="2"/>
  <c r="K162" i="2"/>
  <c r="K238" i="2"/>
  <c r="K9" i="2"/>
  <c r="K48" i="2"/>
  <c r="K200" i="2"/>
  <c r="K276" i="2"/>
  <c r="K86" i="2"/>
  <c r="K537" i="2" s="1"/>
  <c r="K124" i="2"/>
  <c r="I162" i="2"/>
  <c r="I48" i="2"/>
  <c r="I200" i="2"/>
  <c r="I276" i="2"/>
  <c r="I9" i="2"/>
  <c r="I238" i="2"/>
  <c r="I124" i="2"/>
  <c r="I86" i="2"/>
  <c r="I537" i="2" s="1"/>
  <c r="AB162" i="2"/>
  <c r="AB238" i="2"/>
  <c r="AB86" i="2"/>
  <c r="AB200" i="2"/>
  <c r="AB9" i="2"/>
  <c r="AB276" i="2"/>
  <c r="AB48" i="2"/>
  <c r="AB124" i="2"/>
  <c r="AB519" i="2" s="1"/>
  <c r="AC162" i="2"/>
  <c r="AC238" i="2"/>
  <c r="AC276" i="2"/>
  <c r="AC48" i="2"/>
  <c r="AC86" i="2"/>
  <c r="AC200" i="2"/>
  <c r="AC124" i="2"/>
  <c r="AC519" i="2" s="1"/>
  <c r="AC9" i="2"/>
  <c r="H505" i="2"/>
  <c r="H506" i="2" s="1"/>
  <c r="N505" i="2"/>
  <c r="N506" i="2" s="1"/>
  <c r="AD505" i="2"/>
  <c r="AD506" i="2" s="1"/>
  <c r="AF505" i="2"/>
  <c r="AF506" i="2" s="1"/>
  <c r="G505" i="2"/>
  <c r="G506" i="2" s="1"/>
  <c r="Z505" i="2"/>
  <c r="Z506" i="2" s="1"/>
  <c r="P505" i="2"/>
  <c r="P506" i="2" s="1"/>
  <c r="T505" i="2"/>
  <c r="T506" i="2" s="1"/>
  <c r="Q505" i="2"/>
  <c r="Q506" i="2" s="1"/>
  <c r="AA505" i="2"/>
  <c r="AA506" i="2" s="1"/>
  <c r="O505" i="2"/>
  <c r="O506" i="2" s="1"/>
  <c r="J505" i="2"/>
  <c r="J506" i="2" s="1"/>
  <c r="AB505" i="2"/>
  <c r="AB506" i="2" s="1"/>
  <c r="X505" i="2"/>
  <c r="X506" i="2" s="1"/>
  <c r="I505" i="2"/>
  <c r="I506" i="2" s="1"/>
  <c r="AC505" i="2"/>
  <c r="AC506" i="2" s="1"/>
  <c r="S505" i="2"/>
  <c r="S506" i="2" s="1"/>
  <c r="U505" i="2"/>
  <c r="U506" i="2" s="1"/>
  <c r="W505" i="2"/>
  <c r="W506" i="2" s="1"/>
  <c r="AE505" i="2"/>
  <c r="AE506" i="2" s="1"/>
  <c r="R505" i="2"/>
  <c r="R506" i="2" s="1"/>
  <c r="V505" i="2"/>
  <c r="V506" i="2" s="1"/>
  <c r="M505" i="2"/>
  <c r="M506" i="2" s="1"/>
  <c r="Y505" i="2"/>
  <c r="Y506" i="2" s="1"/>
  <c r="F505" i="2"/>
  <c r="E506" i="2"/>
  <c r="V48" i="2"/>
  <c r="V238" i="2"/>
  <c r="V162" i="2"/>
  <c r="V9" i="2"/>
  <c r="V276" i="2"/>
  <c r="V200" i="2"/>
  <c r="V86" i="2"/>
  <c r="V124" i="2"/>
  <c r="V519" i="2" s="1"/>
  <c r="E532" i="2"/>
  <c r="E533" i="2" s="1"/>
  <c r="E534" i="2" s="1"/>
  <c r="U162" i="2"/>
  <c r="U276" i="2"/>
  <c r="U9" i="2"/>
  <c r="U48" i="2"/>
  <c r="U238" i="2"/>
  <c r="U86" i="2"/>
  <c r="U200" i="2"/>
  <c r="U124" i="2"/>
  <c r="U519" i="2" s="1"/>
  <c r="N200" i="2"/>
  <c r="N238" i="2"/>
  <c r="N48" i="2"/>
  <c r="N162" i="2"/>
  <c r="N9" i="2"/>
  <c r="N276" i="2"/>
  <c r="N86" i="2"/>
  <c r="N537" i="2" s="1"/>
  <c r="N124" i="2"/>
  <c r="W9" i="2"/>
  <c r="W276" i="2"/>
  <c r="W86" i="2"/>
  <c r="W162" i="2"/>
  <c r="W238" i="2"/>
  <c r="W200" i="2"/>
  <c r="W48" i="2"/>
  <c r="W124" i="2"/>
  <c r="W519" i="2" s="1"/>
  <c r="T162" i="2"/>
  <c r="T86" i="2"/>
  <c r="T238" i="2"/>
  <c r="T276" i="2"/>
  <c r="T200" i="2"/>
  <c r="T48" i="2"/>
  <c r="T9" i="2"/>
  <c r="T124" i="2"/>
  <c r="T519" i="2" s="1"/>
  <c r="G566" i="2" l="1"/>
  <c r="G629" i="2"/>
  <c r="H566" i="2"/>
  <c r="H629" i="2"/>
  <c r="AC1" i="1"/>
  <c r="K507" i="2"/>
  <c r="K123" i="2" s="1"/>
  <c r="L507" i="2"/>
  <c r="H519" i="2"/>
  <c r="K519" i="2"/>
  <c r="T557" i="2"/>
  <c r="T601" i="2" s="1"/>
  <c r="T627" i="2" s="1"/>
  <c r="W557" i="2"/>
  <c r="W601" i="2" s="1"/>
  <c r="W627" i="2" s="1"/>
  <c r="N519" i="2"/>
  <c r="U557" i="2"/>
  <c r="U601" i="2" s="1"/>
  <c r="U627" i="2" s="1"/>
  <c r="AB557" i="2"/>
  <c r="AB601" i="2" s="1"/>
  <c r="AB627" i="2" s="1"/>
  <c r="I566" i="2"/>
  <c r="I629" i="2"/>
  <c r="AG124" i="2"/>
  <c r="AH124" i="2" s="1"/>
  <c r="F519" i="2"/>
  <c r="O629" i="2"/>
  <c r="O566" i="2"/>
  <c r="Y557" i="2"/>
  <c r="Y601" i="2" s="1"/>
  <c r="Y627" i="2" s="1"/>
  <c r="L519" i="2"/>
  <c r="N566" i="2"/>
  <c r="N629" i="2"/>
  <c r="AC557" i="2"/>
  <c r="AC601" i="2" s="1"/>
  <c r="AC627" i="2" s="1"/>
  <c r="I519" i="2"/>
  <c r="K629" i="2"/>
  <c r="K566" i="2"/>
  <c r="AG200" i="2"/>
  <c r="AH200" i="2" s="1"/>
  <c r="AG86" i="2"/>
  <c r="AH86" i="2" s="1"/>
  <c r="F537" i="2"/>
  <c r="E324" i="2"/>
  <c r="E355" i="2" s="1"/>
  <c r="V557" i="2"/>
  <c r="V601" i="2" s="1"/>
  <c r="V627" i="2" s="1"/>
  <c r="AA507" i="2"/>
  <c r="AF507" i="2"/>
  <c r="W507" i="2"/>
  <c r="Y507" i="2"/>
  <c r="U507" i="2"/>
  <c r="AE507" i="2"/>
  <c r="T507" i="2"/>
  <c r="AC507" i="2"/>
  <c r="X507" i="2"/>
  <c r="V507" i="2"/>
  <c r="Z507" i="2"/>
  <c r="O507" i="2"/>
  <c r="S507" i="2"/>
  <c r="Q507" i="2"/>
  <c r="AD507" i="2"/>
  <c r="R507" i="2"/>
  <c r="AB507" i="2"/>
  <c r="N507" i="2"/>
  <c r="I507" i="2"/>
  <c r="H507" i="2"/>
  <c r="P507" i="2"/>
  <c r="M507" i="2"/>
  <c r="G507" i="2"/>
  <c r="J507" i="2"/>
  <c r="AG9" i="2"/>
  <c r="AH9" i="2" s="1"/>
  <c r="F506" i="2"/>
  <c r="AG506" i="2" s="1"/>
  <c r="AH506" i="2" s="1"/>
  <c r="AG505" i="2"/>
  <c r="AH505" i="2" s="1"/>
  <c r="AG238" i="2"/>
  <c r="AH238" i="2" s="1"/>
  <c r="AD557" i="2"/>
  <c r="AD601" i="2" s="1"/>
  <c r="AD627" i="2" s="1"/>
  <c r="Z557" i="2"/>
  <c r="Z601" i="2" s="1"/>
  <c r="Z627" i="2" s="1"/>
  <c r="P519" i="2"/>
  <c r="AG276" i="2"/>
  <c r="AH276" i="2" s="1"/>
  <c r="P629" i="2"/>
  <c r="P566" i="2"/>
  <c r="AG48" i="2"/>
  <c r="AH48" i="2" s="1"/>
  <c r="AA557" i="2"/>
  <c r="AA601" i="2" s="1"/>
  <c r="AA627" i="2" s="1"/>
  <c r="O519" i="2"/>
  <c r="J519" i="2"/>
  <c r="Q519" i="2"/>
  <c r="X557" i="2"/>
  <c r="X601" i="2" s="1"/>
  <c r="X627" i="2" s="1"/>
  <c r="M519" i="2"/>
  <c r="R519" i="2"/>
  <c r="G519" i="2"/>
  <c r="E536" i="2"/>
  <c r="E87" i="2"/>
  <c r="AG162" i="2"/>
  <c r="AH162" i="2" s="1"/>
  <c r="J566" i="2"/>
  <c r="J629" i="2"/>
  <c r="Q629" i="2"/>
  <c r="Q566" i="2"/>
  <c r="M566" i="2"/>
  <c r="M629" i="2"/>
  <c r="R629" i="2"/>
  <c r="R566" i="2"/>
  <c r="AI124" i="2" l="1"/>
  <c r="M8" i="2"/>
  <c r="M10" i="2" s="1"/>
  <c r="M40" i="2" s="1"/>
  <c r="M199" i="2"/>
  <c r="M201" i="2" s="1"/>
  <c r="M231" i="2" s="1"/>
  <c r="M360" i="2" s="1"/>
  <c r="M161" i="2"/>
  <c r="M163" i="2" s="1"/>
  <c r="M193" i="2" s="1"/>
  <c r="M368" i="2" s="1"/>
  <c r="M275" i="2"/>
  <c r="M277" i="2" s="1"/>
  <c r="M307" i="2" s="1"/>
  <c r="M237" i="2"/>
  <c r="M239" i="2" s="1"/>
  <c r="M269" i="2" s="1"/>
  <c r="M321" i="2" s="1"/>
  <c r="M47" i="2"/>
  <c r="M49" i="2" s="1"/>
  <c r="M79" i="2" s="1"/>
  <c r="M85" i="2"/>
  <c r="M123" i="2"/>
  <c r="R8" i="2"/>
  <c r="R10" i="2" s="1"/>
  <c r="R40" i="2" s="1"/>
  <c r="R199" i="2"/>
  <c r="R201" i="2" s="1"/>
  <c r="R231" i="2" s="1"/>
  <c r="R360" i="2" s="1"/>
  <c r="R275" i="2"/>
  <c r="R277" i="2" s="1"/>
  <c r="R307" i="2" s="1"/>
  <c r="R322" i="2" s="1"/>
  <c r="R47" i="2"/>
  <c r="R49" i="2" s="1"/>
  <c r="R79" i="2" s="1"/>
  <c r="R237" i="2"/>
  <c r="R239" i="2" s="1"/>
  <c r="R269" i="2" s="1"/>
  <c r="R321" i="2" s="1"/>
  <c r="R161" i="2"/>
  <c r="R163" i="2" s="1"/>
  <c r="R193" i="2" s="1"/>
  <c r="R368" i="2" s="1"/>
  <c r="R85" i="2"/>
  <c r="R123" i="2"/>
  <c r="AC237" i="2"/>
  <c r="AC239" i="2" s="1"/>
  <c r="AC269" i="2" s="1"/>
  <c r="AC321" i="2" s="1"/>
  <c r="AC8" i="2"/>
  <c r="AC10" i="2" s="1"/>
  <c r="AC40" i="2" s="1"/>
  <c r="AC275" i="2"/>
  <c r="AC277" i="2" s="1"/>
  <c r="AC307" i="2" s="1"/>
  <c r="AC322" i="2" s="1"/>
  <c r="AC47" i="2"/>
  <c r="AC49" i="2" s="1"/>
  <c r="AC79" i="2" s="1"/>
  <c r="AC161" i="2"/>
  <c r="AC163" i="2" s="1"/>
  <c r="AC193" i="2" s="1"/>
  <c r="AC368" i="2" s="1"/>
  <c r="AC199" i="2"/>
  <c r="AC201" i="2" s="1"/>
  <c r="AC231" i="2" s="1"/>
  <c r="AC360" i="2" s="1"/>
  <c r="AC85" i="2"/>
  <c r="AC87" i="2" s="1"/>
  <c r="AC117" i="2" s="1"/>
  <c r="AC369" i="2" s="1"/>
  <c r="AC123" i="2"/>
  <c r="P47" i="2"/>
  <c r="P49" i="2" s="1"/>
  <c r="P79" i="2" s="1"/>
  <c r="P275" i="2"/>
  <c r="P277" i="2" s="1"/>
  <c r="P307" i="2" s="1"/>
  <c r="P322" i="2" s="1"/>
  <c r="P8" i="2"/>
  <c r="P10" i="2" s="1"/>
  <c r="P40" i="2" s="1"/>
  <c r="P237" i="2"/>
  <c r="P239" i="2" s="1"/>
  <c r="P269" i="2" s="1"/>
  <c r="P321" i="2" s="1"/>
  <c r="P199" i="2"/>
  <c r="P201" i="2" s="1"/>
  <c r="P231" i="2" s="1"/>
  <c r="P360" i="2" s="1"/>
  <c r="P161" i="2"/>
  <c r="P163" i="2" s="1"/>
  <c r="P193" i="2" s="1"/>
  <c r="P368" i="2" s="1"/>
  <c r="P85" i="2"/>
  <c r="P123" i="2"/>
  <c r="AD8" i="2"/>
  <c r="AD10" i="2" s="1"/>
  <c r="AD40" i="2" s="1"/>
  <c r="AD237" i="2"/>
  <c r="AD239" i="2" s="1"/>
  <c r="AD269" i="2" s="1"/>
  <c r="AD321" i="2" s="1"/>
  <c r="AD47" i="2"/>
  <c r="AD49" i="2" s="1"/>
  <c r="AD79" i="2" s="1"/>
  <c r="AD199" i="2"/>
  <c r="AD201" i="2" s="1"/>
  <c r="AD231" i="2" s="1"/>
  <c r="AD360" i="2" s="1"/>
  <c r="AD161" i="2"/>
  <c r="AD163" i="2" s="1"/>
  <c r="AD193" i="2" s="1"/>
  <c r="AD368" i="2" s="1"/>
  <c r="AD275" i="2"/>
  <c r="AD277" i="2" s="1"/>
  <c r="AD307" i="2" s="1"/>
  <c r="AD322" i="2" s="1"/>
  <c r="AD85" i="2"/>
  <c r="AD87" i="2" s="1"/>
  <c r="AD117" i="2" s="1"/>
  <c r="AD369" i="2" s="1"/>
  <c r="AD123" i="2"/>
  <c r="T47" i="2"/>
  <c r="T49" i="2" s="1"/>
  <c r="T79" i="2" s="1"/>
  <c r="T8" i="2"/>
  <c r="T10" i="2" s="1"/>
  <c r="T40" i="2" s="1"/>
  <c r="T237" i="2"/>
  <c r="T239" i="2" s="1"/>
  <c r="T269" i="2" s="1"/>
  <c r="T321" i="2" s="1"/>
  <c r="T275" i="2"/>
  <c r="T277" i="2" s="1"/>
  <c r="T307" i="2" s="1"/>
  <c r="T322" i="2" s="1"/>
  <c r="T199" i="2"/>
  <c r="T201" i="2" s="1"/>
  <c r="T231" i="2" s="1"/>
  <c r="T360" i="2" s="1"/>
  <c r="T161" i="2"/>
  <c r="T163" i="2" s="1"/>
  <c r="T193" i="2" s="1"/>
  <c r="T368" i="2" s="1"/>
  <c r="T85" i="2"/>
  <c r="T87" i="2" s="1"/>
  <c r="T117" i="2" s="1"/>
  <c r="T369" i="2" s="1"/>
  <c r="T123" i="2"/>
  <c r="F507" i="2"/>
  <c r="Q47" i="2"/>
  <c r="Q49" i="2" s="1"/>
  <c r="Q79" i="2" s="1"/>
  <c r="Q8" i="2"/>
  <c r="Q10" i="2" s="1"/>
  <c r="Q40" i="2" s="1"/>
  <c r="Q161" i="2"/>
  <c r="Q163" i="2" s="1"/>
  <c r="Q193" i="2" s="1"/>
  <c r="Q368" i="2" s="1"/>
  <c r="Q275" i="2"/>
  <c r="Q277" i="2" s="1"/>
  <c r="Q307" i="2" s="1"/>
  <c r="Q322" i="2" s="1"/>
  <c r="Q237" i="2"/>
  <c r="Q239" i="2" s="1"/>
  <c r="Q269" i="2" s="1"/>
  <c r="Q321" i="2" s="1"/>
  <c r="Q199" i="2"/>
  <c r="Q201" i="2" s="1"/>
  <c r="Q231" i="2" s="1"/>
  <c r="Q360" i="2" s="1"/>
  <c r="Q85" i="2"/>
  <c r="Q123" i="2"/>
  <c r="AE8" i="2"/>
  <c r="AE10" i="2" s="1"/>
  <c r="AE40" i="2" s="1"/>
  <c r="AE199" i="2"/>
  <c r="AE201" i="2" s="1"/>
  <c r="AE231" i="2" s="1"/>
  <c r="AE360" i="2" s="1"/>
  <c r="AE275" i="2"/>
  <c r="AE277" i="2" s="1"/>
  <c r="AE307" i="2" s="1"/>
  <c r="AE322" i="2" s="1"/>
  <c r="AE47" i="2"/>
  <c r="AE49" i="2" s="1"/>
  <c r="AE79" i="2" s="1"/>
  <c r="AE237" i="2"/>
  <c r="AE239" i="2" s="1"/>
  <c r="AE269" i="2" s="1"/>
  <c r="AE321" i="2" s="1"/>
  <c r="AE161" i="2"/>
  <c r="AE163" i="2" s="1"/>
  <c r="AE193" i="2" s="1"/>
  <c r="AE368" i="2" s="1"/>
  <c r="AE85" i="2"/>
  <c r="AE87" i="2" s="1"/>
  <c r="AE117" i="2" s="1"/>
  <c r="AE123" i="2"/>
  <c r="E117" i="2"/>
  <c r="E118" i="2" s="1"/>
  <c r="E541" i="2"/>
  <c r="E545" i="2"/>
  <c r="E550" i="2" s="1"/>
  <c r="C552" i="2" s="1"/>
  <c r="S8" i="2"/>
  <c r="S10" i="2" s="1"/>
  <c r="S40" i="2" s="1"/>
  <c r="S47" i="2"/>
  <c r="S49" i="2" s="1"/>
  <c r="S79" i="2" s="1"/>
  <c r="S237" i="2"/>
  <c r="S239" i="2" s="1"/>
  <c r="S269" i="2" s="1"/>
  <c r="S321" i="2" s="1"/>
  <c r="S161" i="2"/>
  <c r="S163" i="2" s="1"/>
  <c r="S193" i="2" s="1"/>
  <c r="S368" i="2" s="1"/>
  <c r="S275" i="2"/>
  <c r="S277" i="2" s="1"/>
  <c r="S307" i="2" s="1"/>
  <c r="S322" i="2" s="1"/>
  <c r="S199" i="2"/>
  <c r="S201" i="2" s="1"/>
  <c r="S231" i="2" s="1"/>
  <c r="S360" i="2" s="1"/>
  <c r="S85" i="2"/>
  <c r="S87" i="2" s="1"/>
  <c r="S117" i="2" s="1"/>
  <c r="S123" i="2"/>
  <c r="U8" i="2"/>
  <c r="U10" i="2" s="1"/>
  <c r="U40" i="2" s="1"/>
  <c r="U47" i="2"/>
  <c r="U49" i="2" s="1"/>
  <c r="U79" i="2" s="1"/>
  <c r="U199" i="2"/>
  <c r="U201" i="2" s="1"/>
  <c r="U231" i="2" s="1"/>
  <c r="U360" i="2" s="1"/>
  <c r="U275" i="2"/>
  <c r="U277" i="2" s="1"/>
  <c r="U307" i="2" s="1"/>
  <c r="U322" i="2" s="1"/>
  <c r="U161" i="2"/>
  <c r="U163" i="2" s="1"/>
  <c r="U193" i="2" s="1"/>
  <c r="U368" i="2" s="1"/>
  <c r="U237" i="2"/>
  <c r="U239" i="2" s="1"/>
  <c r="U269" i="2" s="1"/>
  <c r="U321" i="2" s="1"/>
  <c r="U123" i="2"/>
  <c r="U85" i="2"/>
  <c r="U87" i="2" s="1"/>
  <c r="U117" i="2" s="1"/>
  <c r="E326" i="2"/>
  <c r="H8" i="2"/>
  <c r="H10" i="2" s="1"/>
  <c r="H40" i="2" s="1"/>
  <c r="H47" i="2"/>
  <c r="H49" i="2" s="1"/>
  <c r="H79" i="2" s="1"/>
  <c r="H199" i="2"/>
  <c r="H201" i="2" s="1"/>
  <c r="H231" i="2" s="1"/>
  <c r="H360" i="2" s="1"/>
  <c r="H275" i="2"/>
  <c r="H277" i="2" s="1"/>
  <c r="H307" i="2" s="1"/>
  <c r="H161" i="2"/>
  <c r="H163" i="2" s="1"/>
  <c r="H193" i="2" s="1"/>
  <c r="H368" i="2" s="1"/>
  <c r="H237" i="2"/>
  <c r="H239" i="2" s="1"/>
  <c r="H269" i="2" s="1"/>
  <c r="H321" i="2" s="1"/>
  <c r="H85" i="2"/>
  <c r="H123" i="2"/>
  <c r="O8" i="2"/>
  <c r="O10" i="2" s="1"/>
  <c r="O40" i="2" s="1"/>
  <c r="O47" i="2"/>
  <c r="O49" i="2" s="1"/>
  <c r="O79" i="2" s="1"/>
  <c r="O275" i="2"/>
  <c r="O277" i="2" s="1"/>
  <c r="O307" i="2" s="1"/>
  <c r="O322" i="2" s="1"/>
  <c r="O161" i="2"/>
  <c r="O163" i="2" s="1"/>
  <c r="O193" i="2" s="1"/>
  <c r="O368" i="2" s="1"/>
  <c r="O237" i="2"/>
  <c r="O239" i="2" s="1"/>
  <c r="O269" i="2" s="1"/>
  <c r="O321" i="2" s="1"/>
  <c r="O199" i="2"/>
  <c r="O201" i="2" s="1"/>
  <c r="O231" i="2" s="1"/>
  <c r="O360" i="2" s="1"/>
  <c r="O85" i="2"/>
  <c r="O123" i="2"/>
  <c r="Y8" i="2"/>
  <c r="Y10" i="2" s="1"/>
  <c r="Y40" i="2" s="1"/>
  <c r="Y47" i="2"/>
  <c r="Y49" i="2" s="1"/>
  <c r="Y79" i="2" s="1"/>
  <c r="Y275" i="2"/>
  <c r="Y277" i="2" s="1"/>
  <c r="Y307" i="2" s="1"/>
  <c r="Y322" i="2" s="1"/>
  <c r="Y199" i="2"/>
  <c r="Y201" i="2" s="1"/>
  <c r="Y231" i="2" s="1"/>
  <c r="Y360" i="2" s="1"/>
  <c r="Y161" i="2"/>
  <c r="Y163" i="2" s="1"/>
  <c r="Y193" i="2" s="1"/>
  <c r="Y368" i="2" s="1"/>
  <c r="Y237" i="2"/>
  <c r="Y239" i="2" s="1"/>
  <c r="Y269" i="2" s="1"/>
  <c r="Y321" i="2" s="1"/>
  <c r="Y123" i="2"/>
  <c r="Y85" i="2"/>
  <c r="Y87" i="2" s="1"/>
  <c r="Y117" i="2" s="1"/>
  <c r="Y369" i="2" s="1"/>
  <c r="J161" i="2"/>
  <c r="J163" i="2" s="1"/>
  <c r="J193" i="2" s="1"/>
  <c r="J368" i="2" s="1"/>
  <c r="J47" i="2"/>
  <c r="J49" i="2" s="1"/>
  <c r="J79" i="2" s="1"/>
  <c r="J199" i="2"/>
  <c r="J201" i="2" s="1"/>
  <c r="J231" i="2" s="1"/>
  <c r="J360" i="2" s="1"/>
  <c r="J237" i="2"/>
  <c r="J239" i="2" s="1"/>
  <c r="J269" i="2" s="1"/>
  <c r="J321" i="2" s="1"/>
  <c r="J8" i="2"/>
  <c r="J10" i="2" s="1"/>
  <c r="J40" i="2" s="1"/>
  <c r="J275" i="2"/>
  <c r="J277" i="2" s="1"/>
  <c r="J307" i="2" s="1"/>
  <c r="J85" i="2"/>
  <c r="J123" i="2"/>
  <c r="I8" i="2"/>
  <c r="I10" i="2" s="1"/>
  <c r="I40" i="2" s="1"/>
  <c r="I47" i="2"/>
  <c r="I49" i="2" s="1"/>
  <c r="I79" i="2" s="1"/>
  <c r="I237" i="2"/>
  <c r="I239" i="2" s="1"/>
  <c r="I269" i="2" s="1"/>
  <c r="I321" i="2" s="1"/>
  <c r="I161" i="2"/>
  <c r="I163" i="2" s="1"/>
  <c r="I193" i="2" s="1"/>
  <c r="I368" i="2" s="1"/>
  <c r="I199" i="2"/>
  <c r="I201" i="2" s="1"/>
  <c r="I231" i="2" s="1"/>
  <c r="I360" i="2" s="1"/>
  <c r="I275" i="2"/>
  <c r="I277" i="2" s="1"/>
  <c r="I307" i="2" s="1"/>
  <c r="I85" i="2"/>
  <c r="I123" i="2"/>
  <c r="Z8" i="2"/>
  <c r="Z10" i="2" s="1"/>
  <c r="Z40" i="2" s="1"/>
  <c r="Z47" i="2"/>
  <c r="Z49" i="2" s="1"/>
  <c r="Z79" i="2" s="1"/>
  <c r="Z199" i="2"/>
  <c r="Z201" i="2" s="1"/>
  <c r="Z231" i="2" s="1"/>
  <c r="Z360" i="2" s="1"/>
  <c r="Z275" i="2"/>
  <c r="Z277" i="2" s="1"/>
  <c r="Z307" i="2" s="1"/>
  <c r="Z322" i="2" s="1"/>
  <c r="Z237" i="2"/>
  <c r="Z239" i="2" s="1"/>
  <c r="Z269" i="2" s="1"/>
  <c r="Z321" i="2" s="1"/>
  <c r="Z85" i="2"/>
  <c r="Z87" i="2" s="1"/>
  <c r="Z117" i="2" s="1"/>
  <c r="Z369" i="2" s="1"/>
  <c r="Z161" i="2"/>
  <c r="Z163" i="2" s="1"/>
  <c r="Z193" i="2" s="1"/>
  <c r="Z368" i="2" s="1"/>
  <c r="Z123" i="2"/>
  <c r="W47" i="2"/>
  <c r="W49" i="2" s="1"/>
  <c r="W79" i="2" s="1"/>
  <c r="W8" i="2"/>
  <c r="W10" i="2" s="1"/>
  <c r="W40" i="2" s="1"/>
  <c r="W199" i="2"/>
  <c r="W201" i="2" s="1"/>
  <c r="W231" i="2" s="1"/>
  <c r="W360" i="2" s="1"/>
  <c r="W237" i="2"/>
  <c r="W239" i="2" s="1"/>
  <c r="W269" i="2" s="1"/>
  <c r="W321" i="2" s="1"/>
  <c r="W275" i="2"/>
  <c r="W277" i="2" s="1"/>
  <c r="W307" i="2" s="1"/>
  <c r="W322" i="2" s="1"/>
  <c r="W161" i="2"/>
  <c r="W163" i="2" s="1"/>
  <c r="W193" i="2" s="1"/>
  <c r="W368" i="2" s="1"/>
  <c r="W85" i="2"/>
  <c r="W87" i="2" s="1"/>
  <c r="W117" i="2" s="1"/>
  <c r="W123" i="2"/>
  <c r="K237" i="2"/>
  <c r="K239" i="2" s="1"/>
  <c r="K269" i="2" s="1"/>
  <c r="K321" i="2" s="1"/>
  <c r="K47" i="2"/>
  <c r="K49" i="2" s="1"/>
  <c r="K79" i="2" s="1"/>
  <c r="K8" i="2"/>
  <c r="K10" i="2" s="1"/>
  <c r="K40" i="2" s="1"/>
  <c r="K85" i="2"/>
  <c r="K275" i="2"/>
  <c r="K277" i="2" s="1"/>
  <c r="K307" i="2" s="1"/>
  <c r="K161" i="2"/>
  <c r="K163" i="2" s="1"/>
  <c r="K193" i="2" s="1"/>
  <c r="K368" i="2" s="1"/>
  <c r="K199" i="2"/>
  <c r="K201" i="2" s="1"/>
  <c r="K231" i="2" s="1"/>
  <c r="K360" i="2" s="1"/>
  <c r="N8" i="2"/>
  <c r="N10" i="2" s="1"/>
  <c r="N40" i="2" s="1"/>
  <c r="N47" i="2"/>
  <c r="N49" i="2" s="1"/>
  <c r="N79" i="2" s="1"/>
  <c r="N199" i="2"/>
  <c r="N201" i="2" s="1"/>
  <c r="N231" i="2" s="1"/>
  <c r="N360" i="2" s="1"/>
  <c r="N275" i="2"/>
  <c r="N277" i="2" s="1"/>
  <c r="N307" i="2" s="1"/>
  <c r="N322" i="2" s="1"/>
  <c r="N237" i="2"/>
  <c r="N239" i="2" s="1"/>
  <c r="N269" i="2" s="1"/>
  <c r="N321" i="2" s="1"/>
  <c r="N161" i="2"/>
  <c r="N163" i="2" s="1"/>
  <c r="N193" i="2" s="1"/>
  <c r="N368" i="2" s="1"/>
  <c r="N85" i="2"/>
  <c r="N123" i="2"/>
  <c r="V8" i="2"/>
  <c r="V10" i="2" s="1"/>
  <c r="V40" i="2" s="1"/>
  <c r="V47" i="2"/>
  <c r="V49" i="2" s="1"/>
  <c r="V79" i="2" s="1"/>
  <c r="V237" i="2"/>
  <c r="V239" i="2" s="1"/>
  <c r="V269" i="2" s="1"/>
  <c r="V321" i="2" s="1"/>
  <c r="V275" i="2"/>
  <c r="V277" i="2" s="1"/>
  <c r="V307" i="2" s="1"/>
  <c r="V322" i="2" s="1"/>
  <c r="V199" i="2"/>
  <c r="V201" i="2" s="1"/>
  <c r="V231" i="2" s="1"/>
  <c r="V360" i="2" s="1"/>
  <c r="V161" i="2"/>
  <c r="V163" i="2" s="1"/>
  <c r="V193" i="2" s="1"/>
  <c r="V368" i="2" s="1"/>
  <c r="V85" i="2"/>
  <c r="V87" i="2" s="1"/>
  <c r="V117" i="2" s="1"/>
  <c r="V369" i="2" s="1"/>
  <c r="V123" i="2"/>
  <c r="AF8" i="2"/>
  <c r="AF10" i="2" s="1"/>
  <c r="AF40" i="2" s="1"/>
  <c r="AF47" i="2"/>
  <c r="AF49" i="2" s="1"/>
  <c r="AF79" i="2" s="1"/>
  <c r="AF275" i="2"/>
  <c r="AF277" i="2" s="1"/>
  <c r="AF307" i="2" s="1"/>
  <c r="AF322" i="2" s="1"/>
  <c r="AF199" i="2"/>
  <c r="AF201" i="2" s="1"/>
  <c r="AF231" i="2" s="1"/>
  <c r="AF360" i="2" s="1"/>
  <c r="AF237" i="2"/>
  <c r="AF239" i="2" s="1"/>
  <c r="AF269" i="2" s="1"/>
  <c r="AF321" i="2" s="1"/>
  <c r="AF161" i="2"/>
  <c r="AF163" i="2" s="1"/>
  <c r="AF193" i="2" s="1"/>
  <c r="AF368" i="2" s="1"/>
  <c r="AF85" i="2"/>
  <c r="AF87" i="2" s="1"/>
  <c r="AF117" i="2" s="1"/>
  <c r="AF369" i="2" s="1"/>
  <c r="AF123" i="2"/>
  <c r="G8" i="2"/>
  <c r="G10" i="2" s="1"/>
  <c r="G40" i="2" s="1"/>
  <c r="G47" i="2"/>
  <c r="G49" i="2" s="1"/>
  <c r="G79" i="2" s="1"/>
  <c r="G237" i="2"/>
  <c r="G239" i="2" s="1"/>
  <c r="G269" i="2" s="1"/>
  <c r="G321" i="2" s="1"/>
  <c r="G199" i="2"/>
  <c r="G201" i="2" s="1"/>
  <c r="G231" i="2" s="1"/>
  <c r="G360" i="2" s="1"/>
  <c r="G275" i="2"/>
  <c r="G277" i="2" s="1"/>
  <c r="G307" i="2" s="1"/>
  <c r="G161" i="2"/>
  <c r="G163" i="2" s="1"/>
  <c r="G193" i="2" s="1"/>
  <c r="G368" i="2" s="1"/>
  <c r="G85" i="2"/>
  <c r="G123" i="2"/>
  <c r="AB8" i="2"/>
  <c r="AB10" i="2" s="1"/>
  <c r="AB40" i="2" s="1"/>
  <c r="AB47" i="2"/>
  <c r="AB49" i="2" s="1"/>
  <c r="AB79" i="2" s="1"/>
  <c r="AB199" i="2"/>
  <c r="AB201" i="2" s="1"/>
  <c r="AB231" i="2" s="1"/>
  <c r="AB360" i="2" s="1"/>
  <c r="AB237" i="2"/>
  <c r="AB239" i="2" s="1"/>
  <c r="AB269" i="2" s="1"/>
  <c r="AB321" i="2" s="1"/>
  <c r="AB161" i="2"/>
  <c r="AB163" i="2" s="1"/>
  <c r="AB193" i="2" s="1"/>
  <c r="AB368" i="2" s="1"/>
  <c r="AB275" i="2"/>
  <c r="AB277" i="2" s="1"/>
  <c r="AB307" i="2" s="1"/>
  <c r="AB322" i="2" s="1"/>
  <c r="AB85" i="2"/>
  <c r="AB87" i="2" s="1"/>
  <c r="AB117" i="2" s="1"/>
  <c r="AB369" i="2" s="1"/>
  <c r="AB123" i="2"/>
  <c r="X47" i="2"/>
  <c r="X49" i="2" s="1"/>
  <c r="X79" i="2" s="1"/>
  <c r="X8" i="2"/>
  <c r="X10" i="2" s="1"/>
  <c r="X40" i="2" s="1"/>
  <c r="X237" i="2"/>
  <c r="X239" i="2" s="1"/>
  <c r="X269" i="2" s="1"/>
  <c r="X321" i="2" s="1"/>
  <c r="X199" i="2"/>
  <c r="X201" i="2" s="1"/>
  <c r="X231" i="2" s="1"/>
  <c r="X360" i="2" s="1"/>
  <c r="X275" i="2"/>
  <c r="X277" i="2" s="1"/>
  <c r="X307" i="2" s="1"/>
  <c r="X322" i="2" s="1"/>
  <c r="X161" i="2"/>
  <c r="X163" i="2" s="1"/>
  <c r="X193" i="2" s="1"/>
  <c r="X368" i="2" s="1"/>
  <c r="X85" i="2"/>
  <c r="X87" i="2" s="1"/>
  <c r="X117" i="2" s="1"/>
  <c r="X369" i="2" s="1"/>
  <c r="X123" i="2"/>
  <c r="AA47" i="2"/>
  <c r="AA49" i="2" s="1"/>
  <c r="AA79" i="2" s="1"/>
  <c r="AA8" i="2"/>
  <c r="AA10" i="2" s="1"/>
  <c r="AA40" i="2" s="1"/>
  <c r="AA275" i="2"/>
  <c r="AA277" i="2" s="1"/>
  <c r="AA307" i="2" s="1"/>
  <c r="AA322" i="2" s="1"/>
  <c r="AA237" i="2"/>
  <c r="AA239" i="2" s="1"/>
  <c r="AA269" i="2" s="1"/>
  <c r="AA321" i="2" s="1"/>
  <c r="AA199" i="2"/>
  <c r="AA201" i="2" s="1"/>
  <c r="AA231" i="2" s="1"/>
  <c r="AA360" i="2" s="1"/>
  <c r="AA161" i="2"/>
  <c r="AA163" i="2" s="1"/>
  <c r="AA193" i="2" s="1"/>
  <c r="AA368" i="2" s="1"/>
  <c r="AA85" i="2"/>
  <c r="AA87" i="2" s="1"/>
  <c r="AA117" i="2" s="1"/>
  <c r="AA369" i="2" s="1"/>
  <c r="AA123" i="2"/>
  <c r="F566" i="2"/>
  <c r="F629" i="2"/>
  <c r="AG519" i="2"/>
  <c r="AH519" i="2" s="1"/>
  <c r="W369" i="2" l="1"/>
  <c r="U369" i="2"/>
  <c r="S369" i="2"/>
  <c r="AE369" i="2"/>
  <c r="Y361" i="2"/>
  <c r="W361" i="2"/>
  <c r="U361" i="2"/>
  <c r="AA361" i="2"/>
  <c r="X361" i="2"/>
  <c r="AB361" i="2"/>
  <c r="AF361" i="2"/>
  <c r="V361" i="2"/>
  <c r="Z361" i="2"/>
  <c r="S361" i="2"/>
  <c r="T361" i="2"/>
  <c r="AD361" i="2"/>
  <c r="AC361" i="2"/>
  <c r="AE361" i="2"/>
  <c r="AA391" i="2"/>
  <c r="X391" i="2"/>
  <c r="AB391" i="2"/>
  <c r="Y391" i="2"/>
  <c r="W391" i="2"/>
  <c r="AF391" i="2"/>
  <c r="V391" i="2"/>
  <c r="Z391" i="2"/>
  <c r="U391" i="2"/>
  <c r="S391" i="2"/>
  <c r="AE391" i="2"/>
  <c r="T391" i="2"/>
  <c r="AD391" i="2"/>
  <c r="AC391" i="2"/>
  <c r="T385" i="2"/>
  <c r="AA385" i="2"/>
  <c r="X385" i="2"/>
  <c r="AF385" i="2"/>
  <c r="V385" i="2"/>
  <c r="Y385" i="2"/>
  <c r="U385" i="2"/>
  <c r="S385" i="2"/>
  <c r="AD385" i="2"/>
  <c r="AE385" i="2"/>
  <c r="Z385" i="2"/>
  <c r="AC385" i="2"/>
  <c r="W385" i="2"/>
  <c r="AB385" i="2"/>
  <c r="T328" i="2"/>
  <c r="T402" i="2" s="1"/>
  <c r="T367" i="2"/>
  <c r="AD328" i="2"/>
  <c r="AD402" i="2" s="1"/>
  <c r="AD367" i="2"/>
  <c r="AC328" i="2"/>
  <c r="AC402" i="2" s="1"/>
  <c r="AC367" i="2"/>
  <c r="AF328" i="2"/>
  <c r="AF402" i="2" s="1"/>
  <c r="AF367" i="2"/>
  <c r="V328" i="2"/>
  <c r="V402" i="2" s="1"/>
  <c r="V367" i="2"/>
  <c r="Y328" i="2"/>
  <c r="Y402" i="2" s="1"/>
  <c r="Y367" i="2"/>
  <c r="W328" i="2"/>
  <c r="W402" i="2" s="1"/>
  <c r="W367" i="2"/>
  <c r="AA328" i="2"/>
  <c r="AA402" i="2" s="1"/>
  <c r="AA367" i="2"/>
  <c r="X328" i="2"/>
  <c r="X402" i="2" s="1"/>
  <c r="X367" i="2"/>
  <c r="AB328" i="2"/>
  <c r="AB402" i="2" s="1"/>
  <c r="AB367" i="2"/>
  <c r="Z328" i="2"/>
  <c r="Z402" i="2" s="1"/>
  <c r="Z367" i="2"/>
  <c r="U328" i="2"/>
  <c r="U402" i="2" s="1"/>
  <c r="U367" i="2"/>
  <c r="AE328" i="2"/>
  <c r="AE402" i="2" s="1"/>
  <c r="AE367" i="2"/>
  <c r="S328" i="2"/>
  <c r="S402" i="2" s="1"/>
  <c r="S367" i="2"/>
  <c r="Z388" i="2"/>
  <c r="AE387" i="2"/>
  <c r="W387" i="2"/>
  <c r="AB386" i="2"/>
  <c r="T386" i="2"/>
  <c r="AE388" i="2"/>
  <c r="Y386" i="2"/>
  <c r="Y388" i="2"/>
  <c r="AD387" i="2"/>
  <c r="V387" i="2"/>
  <c r="AA386" i="2"/>
  <c r="S386" i="2"/>
  <c r="AB387" i="2"/>
  <c r="AF388" i="2"/>
  <c r="X388" i="2"/>
  <c r="AC387" i="2"/>
  <c r="U387" i="2"/>
  <c r="Z386" i="2"/>
  <c r="W388" i="2"/>
  <c r="T387" i="2"/>
  <c r="AD388" i="2"/>
  <c r="V388" i="2"/>
  <c r="AA387" i="2"/>
  <c r="S387" i="2"/>
  <c r="AF386" i="2"/>
  <c r="X386" i="2"/>
  <c r="T388" i="2"/>
  <c r="Y387" i="2"/>
  <c r="V386" i="2"/>
  <c r="AA388" i="2"/>
  <c r="AF387" i="2"/>
  <c r="AC386" i="2"/>
  <c r="AC388" i="2"/>
  <c r="U388" i="2"/>
  <c r="Z387" i="2"/>
  <c r="AE386" i="2"/>
  <c r="W386" i="2"/>
  <c r="AB388" i="2"/>
  <c r="AD386" i="2"/>
  <c r="S388" i="2"/>
  <c r="X387" i="2"/>
  <c r="U386" i="2"/>
  <c r="AA389" i="2"/>
  <c r="X389" i="2"/>
  <c r="G194" i="2"/>
  <c r="AF320" i="2"/>
  <c r="AF383" i="2"/>
  <c r="K536" i="2"/>
  <c r="K87" i="2"/>
  <c r="K117" i="2" s="1"/>
  <c r="W389" i="2"/>
  <c r="I308" i="2"/>
  <c r="I322" i="2"/>
  <c r="J308" i="2"/>
  <c r="J322" i="2"/>
  <c r="O320" i="2"/>
  <c r="T389" i="2"/>
  <c r="AC125" i="2"/>
  <c r="AC155" i="2" s="1"/>
  <c r="AC319" i="2" s="1"/>
  <c r="AC518" i="2"/>
  <c r="R125" i="2"/>
  <c r="R155" i="2" s="1"/>
  <c r="R319" i="2" s="1"/>
  <c r="R518" i="2"/>
  <c r="M518" i="2"/>
  <c r="M125" i="2"/>
  <c r="AA383" i="2"/>
  <c r="AA320" i="2"/>
  <c r="AB389" i="2"/>
  <c r="G308" i="2"/>
  <c r="G322" i="2"/>
  <c r="N320" i="2"/>
  <c r="I232" i="2"/>
  <c r="I320" i="2"/>
  <c r="Y389" i="2"/>
  <c r="H194" i="2"/>
  <c r="S125" i="2"/>
  <c r="S155" i="2" s="1"/>
  <c r="S319" i="2" s="1"/>
  <c r="S518" i="2"/>
  <c r="AE320" i="2"/>
  <c r="AE383" i="2"/>
  <c r="T320" i="2"/>
  <c r="T383" i="2"/>
  <c r="AD389" i="2"/>
  <c r="P320" i="2"/>
  <c r="R536" i="2"/>
  <c r="R87" i="2"/>
  <c r="R117" i="2" s="1"/>
  <c r="M536" i="2"/>
  <c r="M87" i="2"/>
  <c r="M117" i="2" s="1"/>
  <c r="X383" i="2"/>
  <c r="X320" i="2"/>
  <c r="G320" i="2"/>
  <c r="G232" i="2"/>
  <c r="I194" i="2"/>
  <c r="Y383" i="2"/>
  <c r="Y320" i="2"/>
  <c r="H322" i="2"/>
  <c r="H308" i="2"/>
  <c r="U518" i="2"/>
  <c r="U125" i="2"/>
  <c r="U155" i="2" s="1"/>
  <c r="U319" i="2" s="1"/>
  <c r="AD383" i="2"/>
  <c r="AD320" i="2"/>
  <c r="AC383" i="2"/>
  <c r="AC320" i="2"/>
  <c r="AB320" i="2"/>
  <c r="AB383" i="2"/>
  <c r="W383" i="2"/>
  <c r="W320" i="2"/>
  <c r="Z320" i="2"/>
  <c r="Z383" i="2"/>
  <c r="J232" i="2"/>
  <c r="J320" i="2"/>
  <c r="H232" i="2"/>
  <c r="H320" i="2"/>
  <c r="S383" i="2"/>
  <c r="S320" i="2"/>
  <c r="AE125" i="2"/>
  <c r="AE155" i="2" s="1"/>
  <c r="AE319" i="2" s="1"/>
  <c r="AE518" i="2"/>
  <c r="Q125" i="2"/>
  <c r="Q155" i="2" s="1"/>
  <c r="Q319" i="2" s="1"/>
  <c r="Q518" i="2"/>
  <c r="F161" i="2"/>
  <c r="F275" i="2"/>
  <c r="F85" i="2"/>
  <c r="F199" i="2"/>
  <c r="F47" i="2"/>
  <c r="F237" i="2"/>
  <c r="F8" i="2"/>
  <c r="F123" i="2"/>
  <c r="AC389" i="2"/>
  <c r="AF125" i="2"/>
  <c r="AF155" i="2" s="1"/>
  <c r="AF319" i="2" s="1"/>
  <c r="AF518" i="2"/>
  <c r="V518" i="2"/>
  <c r="V125" i="2"/>
  <c r="V155" i="2" s="1"/>
  <c r="V319" i="2" s="1"/>
  <c r="N125" i="2"/>
  <c r="N155" i="2" s="1"/>
  <c r="N319" i="2" s="1"/>
  <c r="N518" i="2"/>
  <c r="K232" i="2"/>
  <c r="K320" i="2"/>
  <c r="U389" i="2"/>
  <c r="Q536" i="2"/>
  <c r="Q87" i="2"/>
  <c r="Q117" i="2" s="1"/>
  <c r="M322" i="2"/>
  <c r="M308" i="2"/>
  <c r="N87" i="2"/>
  <c r="N117" i="2" s="1"/>
  <c r="N536" i="2"/>
  <c r="K194" i="2"/>
  <c r="J194" i="2"/>
  <c r="S389" i="2"/>
  <c r="AE389" i="2"/>
  <c r="Q320" i="2"/>
  <c r="M194" i="2"/>
  <c r="AA518" i="2"/>
  <c r="AA125" i="2"/>
  <c r="AA155" i="2" s="1"/>
  <c r="AA319" i="2" s="1"/>
  <c r="X518" i="2"/>
  <c r="X125" i="2"/>
  <c r="X155" i="2" s="1"/>
  <c r="X319" i="2" s="1"/>
  <c r="AB125" i="2"/>
  <c r="AB155" i="2" s="1"/>
  <c r="AB319" i="2" s="1"/>
  <c r="AB518" i="2"/>
  <c r="G518" i="2"/>
  <c r="G125" i="2"/>
  <c r="G155" i="2" s="1"/>
  <c r="AF389" i="2"/>
  <c r="V389" i="2"/>
  <c r="K518" i="2"/>
  <c r="K125" i="2"/>
  <c r="K155" i="2" s="1"/>
  <c r="W125" i="2"/>
  <c r="W155" i="2" s="1"/>
  <c r="W319" i="2" s="1"/>
  <c r="W518" i="2"/>
  <c r="Z125" i="2"/>
  <c r="Z155" i="2" s="1"/>
  <c r="Z319" i="2" s="1"/>
  <c r="Z518" i="2"/>
  <c r="I518" i="2"/>
  <c r="I125" i="2"/>
  <c r="I155" i="2" s="1"/>
  <c r="J518" i="2"/>
  <c r="J125" i="2"/>
  <c r="J155" i="2" s="1"/>
  <c r="O125" i="2"/>
  <c r="O155" i="2" s="1"/>
  <c r="O319" i="2" s="1"/>
  <c r="O518" i="2"/>
  <c r="H518" i="2"/>
  <c r="H125" i="2"/>
  <c r="H155" i="2" s="1"/>
  <c r="E398" i="2"/>
  <c r="U320" i="2"/>
  <c r="U383" i="2"/>
  <c r="W363" i="2"/>
  <c r="V364" i="2"/>
  <c r="Y395" i="2"/>
  <c r="V404" i="2"/>
  <c r="T365" i="2"/>
  <c r="U366" i="2"/>
  <c r="AA365" i="2"/>
  <c r="AC363" i="2"/>
  <c r="V390" i="2"/>
  <c r="V365" i="2"/>
  <c r="AB364" i="2"/>
  <c r="X363" i="2"/>
  <c r="AD364" i="2"/>
  <c r="T394" i="2"/>
  <c r="AC394" i="2"/>
  <c r="U365" i="2"/>
  <c r="AE404" i="2"/>
  <c r="AF404" i="2"/>
  <c r="AE363" i="2"/>
  <c r="X395" i="2"/>
  <c r="W390" i="2"/>
  <c r="AC404" i="2"/>
  <c r="S395" i="2"/>
  <c r="X366" i="2"/>
  <c r="U394" i="2"/>
  <c r="AF363" i="2"/>
  <c r="S404" i="2"/>
  <c r="AE365" i="2"/>
  <c r="Z365" i="2"/>
  <c r="T366" i="2"/>
  <c r="AA363" i="2"/>
  <c r="AB395" i="2"/>
  <c r="V363" i="2"/>
  <c r="Y404" i="2"/>
  <c r="X365" i="2"/>
  <c r="AA364" i="2"/>
  <c r="X390" i="2"/>
  <c r="AC390" i="2"/>
  <c r="U395" i="2"/>
  <c r="AD363" i="2"/>
  <c r="T395" i="2"/>
  <c r="Y390" i="2"/>
  <c r="X384" i="2"/>
  <c r="Y384" i="2"/>
  <c r="U364" i="2"/>
  <c r="AB363" i="2"/>
  <c r="AA366" i="2"/>
  <c r="AE390" i="2"/>
  <c r="AD366" i="2"/>
  <c r="U390" i="2"/>
  <c r="Z390" i="2"/>
  <c r="AD395" i="2"/>
  <c r="Z394" i="2"/>
  <c r="AD394" i="2"/>
  <c r="Y394" i="2"/>
  <c r="S364" i="2"/>
  <c r="Z364" i="2"/>
  <c r="Y363" i="2"/>
  <c r="U404" i="2"/>
  <c r="AC366" i="2"/>
  <c r="AC395" i="2"/>
  <c r="S390" i="2"/>
  <c r="W404" i="2"/>
  <c r="T404" i="2"/>
  <c r="W384" i="2"/>
  <c r="AD390" i="2"/>
  <c r="X364" i="2"/>
  <c r="AE366" i="2"/>
  <c r="AB365" i="2"/>
  <c r="S394" i="2"/>
  <c r="AF365" i="2"/>
  <c r="AB404" i="2"/>
  <c r="S365" i="2"/>
  <c r="AB366" i="2"/>
  <c r="AC384" i="2"/>
  <c r="X404" i="2"/>
  <c r="AF394" i="2"/>
  <c r="AC364" i="2"/>
  <c r="W364" i="2"/>
  <c r="AB390" i="2"/>
  <c r="AA404" i="2"/>
  <c r="Z366" i="2"/>
  <c r="V395" i="2"/>
  <c r="AD365" i="2"/>
  <c r="Y364" i="2"/>
  <c r="T390" i="2"/>
  <c r="AA395" i="2"/>
  <c r="AD404" i="2"/>
  <c r="AF364" i="2"/>
  <c r="Z395" i="2"/>
  <c r="S366" i="2"/>
  <c r="W394" i="2"/>
  <c r="AE394" i="2"/>
  <c r="Y365" i="2"/>
  <c r="S363" i="2"/>
  <c r="Y366" i="2"/>
  <c r="X394" i="2"/>
  <c r="S384" i="2"/>
  <c r="AD384" i="2"/>
  <c r="AE364" i="2"/>
  <c r="T363" i="2"/>
  <c r="W365" i="2"/>
  <c r="AF390" i="2"/>
  <c r="AE395" i="2"/>
  <c r="AA394" i="2"/>
  <c r="U363" i="2"/>
  <c r="AF366" i="2"/>
  <c r="T384" i="2"/>
  <c r="V384" i="2"/>
  <c r="U384" i="2"/>
  <c r="W395" i="2"/>
  <c r="T364" i="2"/>
  <c r="W366" i="2"/>
  <c r="AB394" i="2"/>
  <c r="V366" i="2"/>
  <c r="AC365" i="2"/>
  <c r="AF395" i="2"/>
  <c r="Z404" i="2"/>
  <c r="Z363" i="2"/>
  <c r="AA390" i="2"/>
  <c r="V394" i="2"/>
  <c r="AB384" i="2"/>
  <c r="AF384" i="2"/>
  <c r="Z384" i="2"/>
  <c r="AE384" i="2"/>
  <c r="AA384" i="2"/>
  <c r="E328" i="2"/>
  <c r="T518" i="2"/>
  <c r="T125" i="2"/>
  <c r="T155" i="2" s="1"/>
  <c r="T319" i="2" s="1"/>
  <c r="AD125" i="2"/>
  <c r="AD155" i="2" s="1"/>
  <c r="AD319" i="2" s="1"/>
  <c r="AD518" i="2"/>
  <c r="P518" i="2"/>
  <c r="P125" i="2"/>
  <c r="P155" i="2" s="1"/>
  <c r="P319" i="2" s="1"/>
  <c r="R320" i="2"/>
  <c r="M320" i="2"/>
  <c r="M383" i="2"/>
  <c r="M232" i="2"/>
  <c r="G536" i="2"/>
  <c r="G87" i="2"/>
  <c r="G117" i="2" s="1"/>
  <c r="V383" i="2"/>
  <c r="V320" i="2"/>
  <c r="K308" i="2"/>
  <c r="K322" i="2"/>
  <c r="Z389" i="2"/>
  <c r="I536" i="2"/>
  <c r="I87" i="2"/>
  <c r="I117" i="2" s="1"/>
  <c r="J536" i="2"/>
  <c r="J87" i="2"/>
  <c r="J117" i="2" s="1"/>
  <c r="Y518" i="2"/>
  <c r="Y125" i="2"/>
  <c r="Y155" i="2" s="1"/>
  <c r="Y319" i="2" s="1"/>
  <c r="O536" i="2"/>
  <c r="O87" i="2"/>
  <c r="O117" i="2" s="1"/>
  <c r="H536" i="2"/>
  <c r="H87" i="2"/>
  <c r="H117" i="2" s="1"/>
  <c r="P536" i="2"/>
  <c r="P87" i="2"/>
  <c r="P117" i="2" s="1"/>
  <c r="J361" i="2" l="1"/>
  <c r="J369" i="2"/>
  <c r="I361" i="2"/>
  <c r="I369" i="2"/>
  <c r="N361" i="2"/>
  <c r="N369" i="2"/>
  <c r="R361" i="2"/>
  <c r="R369" i="2"/>
  <c r="K361" i="2"/>
  <c r="K369" i="2"/>
  <c r="Q361" i="2"/>
  <c r="Q369" i="2"/>
  <c r="P361" i="2"/>
  <c r="P369" i="2"/>
  <c r="G361" i="2"/>
  <c r="G369" i="2"/>
  <c r="H361" i="2"/>
  <c r="H369" i="2"/>
  <c r="M361" i="2"/>
  <c r="M369" i="2"/>
  <c r="O361" i="2"/>
  <c r="O369" i="2"/>
  <c r="S530" i="2"/>
  <c r="AD530" i="2"/>
  <c r="AB531" i="2"/>
  <c r="AA530" i="2"/>
  <c r="AE530" i="2"/>
  <c r="T531" i="2"/>
  <c r="AF530" i="2"/>
  <c r="Z530" i="2"/>
  <c r="T530" i="2"/>
  <c r="W530" i="2"/>
  <c r="X531" i="2"/>
  <c r="AE531" i="2"/>
  <c r="AB530" i="2"/>
  <c r="Y531" i="2"/>
  <c r="AF531" i="2"/>
  <c r="V530" i="2"/>
  <c r="X530" i="2"/>
  <c r="V531" i="2"/>
  <c r="U530" i="2"/>
  <c r="W531" i="2"/>
  <c r="U531" i="2"/>
  <c r="AD531" i="2"/>
  <c r="AC531" i="2"/>
  <c r="Z531" i="2"/>
  <c r="S531" i="2"/>
  <c r="Y530" i="2"/>
  <c r="AA531" i="2"/>
  <c r="AC530" i="2"/>
  <c r="P383" i="2"/>
  <c r="N383" i="2"/>
  <c r="R385" i="2"/>
  <c r="K385" i="2"/>
  <c r="G383" i="2"/>
  <c r="Q385" i="2"/>
  <c r="J383" i="2"/>
  <c r="H383" i="2"/>
  <c r="I383" i="2"/>
  <c r="O383" i="2"/>
  <c r="M385" i="2"/>
  <c r="R383" i="2"/>
  <c r="N385" i="2"/>
  <c r="K383" i="2"/>
  <c r="Q383" i="2"/>
  <c r="P385" i="2"/>
  <c r="I385" i="2"/>
  <c r="J385" i="2"/>
  <c r="O385" i="2"/>
  <c r="G385" i="2"/>
  <c r="H385" i="2"/>
  <c r="G565" i="2"/>
  <c r="G627" i="2"/>
  <c r="H565" i="2"/>
  <c r="H627" i="2"/>
  <c r="AD324" i="2"/>
  <c r="AD326" i="2" s="1"/>
  <c r="AD330" i="2" s="1"/>
  <c r="H389" i="2"/>
  <c r="H391" i="2"/>
  <c r="I389" i="2"/>
  <c r="I391" i="2"/>
  <c r="Q389" i="2"/>
  <c r="Q391" i="2"/>
  <c r="M389" i="2"/>
  <c r="M391" i="2"/>
  <c r="O389" i="2"/>
  <c r="O391" i="2"/>
  <c r="K366" i="2"/>
  <c r="K391" i="2"/>
  <c r="R389" i="2"/>
  <c r="R391" i="2"/>
  <c r="N389" i="2"/>
  <c r="N391" i="2"/>
  <c r="P389" i="2"/>
  <c r="P391" i="2"/>
  <c r="J389" i="2"/>
  <c r="J391" i="2"/>
  <c r="G389" i="2"/>
  <c r="G391" i="2"/>
  <c r="S406" i="2"/>
  <c r="T406" i="2"/>
  <c r="AF324" i="2"/>
  <c r="AF326" i="2" s="1"/>
  <c r="AF330" i="2" s="1"/>
  <c r="K390" i="2"/>
  <c r="N384" i="2"/>
  <c r="U406" i="2"/>
  <c r="K404" i="2"/>
  <c r="K389" i="2"/>
  <c r="K394" i="2"/>
  <c r="M384" i="2"/>
  <c r="P324" i="2"/>
  <c r="P355" i="2" s="1"/>
  <c r="M395" i="2"/>
  <c r="I404" i="2"/>
  <c r="I367" i="2"/>
  <c r="G394" i="2"/>
  <c r="G367" i="2"/>
  <c r="M363" i="2"/>
  <c r="M367" i="2"/>
  <c r="M394" i="2"/>
  <c r="Q328" i="2"/>
  <c r="Q402" i="2" s="1"/>
  <c r="Q367" i="2"/>
  <c r="O328" i="2"/>
  <c r="O402" i="2" s="1"/>
  <c r="O367" i="2"/>
  <c r="R328" i="2"/>
  <c r="R402" i="2" s="1"/>
  <c r="R367" i="2"/>
  <c r="H394" i="2"/>
  <c r="H367" i="2"/>
  <c r="M365" i="2"/>
  <c r="K363" i="2"/>
  <c r="K367" i="2"/>
  <c r="P328" i="2"/>
  <c r="P402" i="2" s="1"/>
  <c r="P367" i="2"/>
  <c r="J395" i="2"/>
  <c r="J367" i="2"/>
  <c r="N328" i="2"/>
  <c r="N402" i="2" s="1"/>
  <c r="N367" i="2"/>
  <c r="K388" i="2"/>
  <c r="O386" i="2"/>
  <c r="P388" i="2"/>
  <c r="J386" i="2"/>
  <c r="M386" i="2"/>
  <c r="G387" i="2"/>
  <c r="N386" i="2"/>
  <c r="H386" i="2"/>
  <c r="N388" i="2"/>
  <c r="R386" i="2"/>
  <c r="O387" i="2"/>
  <c r="J387" i="2"/>
  <c r="P386" i="2"/>
  <c r="P387" i="2"/>
  <c r="N387" i="2"/>
  <c r="Q387" i="2"/>
  <c r="R387" i="2"/>
  <c r="M387" i="2"/>
  <c r="Q386" i="2"/>
  <c r="G388" i="2"/>
  <c r="H387" i="2"/>
  <c r="J388" i="2"/>
  <c r="M388" i="2"/>
  <c r="K387" i="2"/>
  <c r="I386" i="2"/>
  <c r="O388" i="2"/>
  <c r="I388" i="2"/>
  <c r="R388" i="2"/>
  <c r="G386" i="2"/>
  <c r="I387" i="2"/>
  <c r="H388" i="2"/>
  <c r="K386" i="2"/>
  <c r="Q388" i="2"/>
  <c r="M155" i="2"/>
  <c r="M156" i="2" s="1"/>
  <c r="R404" i="2"/>
  <c r="R395" i="2"/>
  <c r="R366" i="2"/>
  <c r="T324" i="2"/>
  <c r="T355" i="2" s="1"/>
  <c r="Z324" i="2"/>
  <c r="Z326" i="2" s="1"/>
  <c r="Z330" i="2" s="1"/>
  <c r="O324" i="2"/>
  <c r="O355" i="2" s="1"/>
  <c r="AB324" i="2"/>
  <c r="AB326" i="2" s="1"/>
  <c r="AB330" i="2" s="1"/>
  <c r="M404" i="2"/>
  <c r="M390" i="2"/>
  <c r="M366" i="2"/>
  <c r="M364" i="2"/>
  <c r="N324" i="2"/>
  <c r="N326" i="2" s="1"/>
  <c r="K384" i="2"/>
  <c r="K395" i="2"/>
  <c r="K364" i="2"/>
  <c r="K365" i="2"/>
  <c r="AA324" i="2"/>
  <c r="AA326" i="2" s="1"/>
  <c r="AA330" i="2" s="1"/>
  <c r="Y324" i="2"/>
  <c r="Y326" i="2" s="1"/>
  <c r="Y330" i="2" s="1"/>
  <c r="N363" i="2"/>
  <c r="N404" i="2"/>
  <c r="N365" i="2"/>
  <c r="N390" i="2"/>
  <c r="N395" i="2"/>
  <c r="W324" i="2"/>
  <c r="W326" i="2" s="1"/>
  <c r="W330" i="2" s="1"/>
  <c r="N364" i="2"/>
  <c r="N394" i="2"/>
  <c r="N366" i="2"/>
  <c r="R365" i="2"/>
  <c r="R390" i="2"/>
  <c r="R363" i="2"/>
  <c r="R364" i="2"/>
  <c r="R394" i="2"/>
  <c r="R384" i="2"/>
  <c r="X324" i="2"/>
  <c r="X326" i="2" s="1"/>
  <c r="X330" i="2" s="1"/>
  <c r="Q363" i="2"/>
  <c r="Q364" i="2"/>
  <c r="Q366" i="2"/>
  <c r="Q394" i="2"/>
  <c r="Q384" i="2"/>
  <c r="Q404" i="2"/>
  <c r="AE324" i="2"/>
  <c r="AE326" i="2" s="1"/>
  <c r="AE330" i="2" s="1"/>
  <c r="Q395" i="2"/>
  <c r="J394" i="2"/>
  <c r="H404" i="2"/>
  <c r="P404" i="2"/>
  <c r="J384" i="2"/>
  <c r="O395" i="2"/>
  <c r="H156" i="2"/>
  <c r="H319" i="2"/>
  <c r="H324" i="2" s="1"/>
  <c r="H355" i="2" s="1"/>
  <c r="Z523" i="2"/>
  <c r="Z556" i="2"/>
  <c r="Z600" i="2" s="1"/>
  <c r="Z626" i="2" s="1"/>
  <c r="Z527" i="2"/>
  <c r="AB556" i="2"/>
  <c r="AB600" i="2" s="1"/>
  <c r="AB626" i="2" s="1"/>
  <c r="AB523" i="2"/>
  <c r="AB527" i="2"/>
  <c r="F536" i="2"/>
  <c r="F87" i="2"/>
  <c r="S523" i="2"/>
  <c r="S527" i="2"/>
  <c r="AC324" i="2"/>
  <c r="P364" i="2"/>
  <c r="H364" i="2"/>
  <c r="O364" i="2"/>
  <c r="G404" i="2"/>
  <c r="P366" i="2"/>
  <c r="J390" i="2"/>
  <c r="I363" i="2"/>
  <c r="H523" i="2"/>
  <c r="H527" i="2"/>
  <c r="H556" i="2" s="1"/>
  <c r="H575" i="2" s="1"/>
  <c r="F277" i="2"/>
  <c r="S324" i="2"/>
  <c r="J364" i="2"/>
  <c r="J404" i="2"/>
  <c r="J365" i="2"/>
  <c r="H390" i="2"/>
  <c r="I384" i="2"/>
  <c r="H365" i="2"/>
  <c r="H384" i="2"/>
  <c r="H395" i="2"/>
  <c r="O523" i="2"/>
  <c r="O527" i="2"/>
  <c r="W556" i="2"/>
  <c r="W600" i="2" s="1"/>
  <c r="W626" i="2" s="1"/>
  <c r="W523" i="2"/>
  <c r="W527" i="2"/>
  <c r="Q541" i="2"/>
  <c r="Q565" i="2"/>
  <c r="Q627" i="2"/>
  <c r="F163" i="2"/>
  <c r="U324" i="2"/>
  <c r="M328" i="2"/>
  <c r="M118" i="2"/>
  <c r="K118" i="2"/>
  <c r="K328" i="2"/>
  <c r="K402" i="2" s="1"/>
  <c r="P523" i="2"/>
  <c r="P527" i="2"/>
  <c r="P627" i="2"/>
  <c r="P565" i="2"/>
  <c r="P541" i="2"/>
  <c r="AD556" i="2"/>
  <c r="AD600" i="2" s="1"/>
  <c r="AD626" i="2" s="1"/>
  <c r="AD523" i="2"/>
  <c r="AD527" i="2"/>
  <c r="G364" i="2"/>
  <c r="G363" i="2"/>
  <c r="P390" i="2"/>
  <c r="O363" i="2"/>
  <c r="O365" i="2"/>
  <c r="G366" i="2"/>
  <c r="O394" i="2"/>
  <c r="X556" i="2"/>
  <c r="X600" i="2" s="1"/>
  <c r="X626" i="2" s="1"/>
  <c r="X523" i="2"/>
  <c r="X527" i="2"/>
  <c r="N523" i="2"/>
  <c r="N527" i="2"/>
  <c r="F518" i="2"/>
  <c r="F125" i="2"/>
  <c r="U556" i="2"/>
  <c r="U600" i="2" s="1"/>
  <c r="U626" i="2" s="1"/>
  <c r="U523" i="2"/>
  <c r="U527" i="2"/>
  <c r="M541" i="2"/>
  <c r="M627" i="2"/>
  <c r="M565" i="2"/>
  <c r="K565" i="2"/>
  <c r="K627" i="2"/>
  <c r="K541" i="2"/>
  <c r="O384" i="2"/>
  <c r="G365" i="2"/>
  <c r="I364" i="2"/>
  <c r="O404" i="2"/>
  <c r="P365" i="2"/>
  <c r="I395" i="2"/>
  <c r="Q365" i="2"/>
  <c r="J156" i="2"/>
  <c r="J319" i="2"/>
  <c r="J324" i="2" s="1"/>
  <c r="J355" i="2" s="1"/>
  <c r="K319" i="2"/>
  <c r="K324" i="2" s="1"/>
  <c r="K355" i="2" s="1"/>
  <c r="K156" i="2"/>
  <c r="F10" i="2"/>
  <c r="Q523" i="2"/>
  <c r="Q527" i="2"/>
  <c r="M523" i="2"/>
  <c r="M527" i="2"/>
  <c r="E402" i="2"/>
  <c r="E330" i="2"/>
  <c r="J118" i="2"/>
  <c r="J328" i="2"/>
  <c r="J402" i="2" s="1"/>
  <c r="P394" i="2"/>
  <c r="P384" i="2"/>
  <c r="G384" i="2"/>
  <c r="I365" i="2"/>
  <c r="E400" i="2"/>
  <c r="J523" i="2"/>
  <c r="J527" i="2"/>
  <c r="K523" i="2"/>
  <c r="K527" i="2"/>
  <c r="AA556" i="2"/>
  <c r="AA600" i="2" s="1"/>
  <c r="AA626" i="2" s="1"/>
  <c r="AA523" i="2"/>
  <c r="AA527" i="2"/>
  <c r="N627" i="2"/>
  <c r="N565" i="2"/>
  <c r="N541" i="2"/>
  <c r="V324" i="2"/>
  <c r="F239" i="2"/>
  <c r="Q324" i="2"/>
  <c r="R627" i="2"/>
  <c r="R565" i="2"/>
  <c r="R541" i="2"/>
  <c r="R523" i="2"/>
  <c r="R527" i="2"/>
  <c r="J627" i="2"/>
  <c r="J565" i="2"/>
  <c r="J541" i="2"/>
  <c r="T556" i="2"/>
  <c r="T600" i="2" s="1"/>
  <c r="T626" i="2" s="1"/>
  <c r="T523" i="2"/>
  <c r="T527" i="2"/>
  <c r="G395" i="2"/>
  <c r="O390" i="2"/>
  <c r="O366" i="2"/>
  <c r="I390" i="2"/>
  <c r="P363" i="2"/>
  <c r="J363" i="2"/>
  <c r="J366" i="2"/>
  <c r="P395" i="2"/>
  <c r="H363" i="2"/>
  <c r="I156" i="2"/>
  <c r="I319" i="2"/>
  <c r="I324" i="2" s="1"/>
  <c r="I355" i="2" s="1"/>
  <c r="G156" i="2"/>
  <c r="G319" i="2"/>
  <c r="G324" i="2" s="1"/>
  <c r="G355" i="2" s="1"/>
  <c r="V556" i="2"/>
  <c r="V600" i="2" s="1"/>
  <c r="V626" i="2" s="1"/>
  <c r="V523" i="2"/>
  <c r="V527" i="2"/>
  <c r="F49" i="2"/>
  <c r="AE523" i="2"/>
  <c r="AE527" i="2"/>
  <c r="R324" i="2"/>
  <c r="H541" i="2"/>
  <c r="I565" i="2"/>
  <c r="I541" i="2"/>
  <c r="I627" i="2"/>
  <c r="G541" i="2"/>
  <c r="O565" i="2"/>
  <c r="O541" i="2"/>
  <c r="O627" i="2"/>
  <c r="Y523" i="2"/>
  <c r="Y556" i="2"/>
  <c r="Y600" i="2" s="1"/>
  <c r="Y626" i="2" s="1"/>
  <c r="Y527" i="2"/>
  <c r="H328" i="2"/>
  <c r="H402" i="2" s="1"/>
  <c r="H118" i="2"/>
  <c r="I118" i="2"/>
  <c r="I328" i="2"/>
  <c r="I402" i="2" s="1"/>
  <c r="G118" i="2"/>
  <c r="G328" i="2"/>
  <c r="G402" i="2" s="1"/>
  <c r="I394" i="2"/>
  <c r="H366" i="2"/>
  <c r="I366" i="2"/>
  <c r="Q390" i="2"/>
  <c r="G390" i="2"/>
  <c r="I523" i="2"/>
  <c r="I527" i="2"/>
  <c r="G523" i="2"/>
  <c r="G527" i="2"/>
  <c r="G556" i="2" s="1"/>
  <c r="G575" i="2" s="1"/>
  <c r="AF523" i="2"/>
  <c r="AF527" i="2"/>
  <c r="F201" i="2"/>
  <c r="AC556" i="2"/>
  <c r="AC600" i="2" s="1"/>
  <c r="AC626" i="2" s="1"/>
  <c r="AC523" i="2"/>
  <c r="AC527" i="2"/>
  <c r="J531" i="2" l="1"/>
  <c r="I531" i="2"/>
  <c r="H531" i="2"/>
  <c r="H560" i="2" s="1"/>
  <c r="I530" i="2"/>
  <c r="P531" i="2"/>
  <c r="K530" i="2"/>
  <c r="K548" i="2" s="1"/>
  <c r="N530" i="2"/>
  <c r="N559" i="2" s="1"/>
  <c r="O531" i="2"/>
  <c r="O549" i="2" s="1"/>
  <c r="G530" i="2"/>
  <c r="G559" i="2" s="1"/>
  <c r="J530" i="2"/>
  <c r="P530" i="2"/>
  <c r="R530" i="2"/>
  <c r="R548" i="2" s="1"/>
  <c r="G531" i="2"/>
  <c r="G560" i="2" s="1"/>
  <c r="K531" i="2"/>
  <c r="Q531" i="2"/>
  <c r="Q549" i="2" s="1"/>
  <c r="R531" i="2"/>
  <c r="R560" i="2" s="1"/>
  <c r="M531" i="2"/>
  <c r="Q530" i="2"/>
  <c r="M530" i="2"/>
  <c r="M548" i="2" s="1"/>
  <c r="N531" i="2"/>
  <c r="O530" i="2"/>
  <c r="O548" i="2" s="1"/>
  <c r="H530" i="2"/>
  <c r="H559" i="2" s="1"/>
  <c r="AD355" i="2"/>
  <c r="Q406" i="2"/>
  <c r="N330" i="2"/>
  <c r="N331" i="2" s="1"/>
  <c r="H600" i="2"/>
  <c r="H626" i="2"/>
  <c r="G600" i="2"/>
  <c r="G626" i="2"/>
  <c r="K406" i="2"/>
  <c r="G15" i="4" s="1"/>
  <c r="T326" i="2"/>
  <c r="T330" i="2" s="1"/>
  <c r="T587" i="2" s="1"/>
  <c r="T588" i="2" s="1"/>
  <c r="P326" i="2"/>
  <c r="P330" i="2" s="1"/>
  <c r="P331" i="2" s="1"/>
  <c r="AF355" i="2"/>
  <c r="I406" i="2"/>
  <c r="G13" i="4" s="1"/>
  <c r="O406" i="2"/>
  <c r="N406" i="2"/>
  <c r="R406" i="2"/>
  <c r="P406" i="2"/>
  <c r="Y355" i="2"/>
  <c r="O326" i="2"/>
  <c r="O330" i="2" s="1"/>
  <c r="O331" i="2" s="1"/>
  <c r="M319" i="2"/>
  <c r="M324" i="2" s="1"/>
  <c r="M326" i="2" s="1"/>
  <c r="N355" i="2"/>
  <c r="Z355" i="2"/>
  <c r="AB355" i="2"/>
  <c r="M402" i="2"/>
  <c r="M406" i="2" s="1"/>
  <c r="G406" i="2"/>
  <c r="G11" i="4" s="1"/>
  <c r="AA355" i="2"/>
  <c r="X355" i="2"/>
  <c r="H406" i="2"/>
  <c r="G12" i="4" s="1"/>
  <c r="W355" i="2"/>
  <c r="AE355" i="2"/>
  <c r="J406" i="2"/>
  <c r="G14" i="4" s="1"/>
  <c r="I556" i="2"/>
  <c r="I575" i="2" s="1"/>
  <c r="I545" i="2"/>
  <c r="I326" i="2"/>
  <c r="I330" i="2" s="1"/>
  <c r="I331" i="2" s="1"/>
  <c r="F269" i="2"/>
  <c r="F155" i="2"/>
  <c r="S559" i="2"/>
  <c r="S548" i="2"/>
  <c r="AF331" i="2"/>
  <c r="Y331" i="2"/>
  <c r="Y592" i="2"/>
  <c r="Y593" i="2" s="1"/>
  <c r="Y587" i="2"/>
  <c r="Y588" i="2" s="1"/>
  <c r="P545" i="2"/>
  <c r="P556" i="2"/>
  <c r="P575" i="2" s="1"/>
  <c r="H326" i="2"/>
  <c r="H330" i="2" s="1"/>
  <c r="H331" i="2" s="1"/>
  <c r="F79" i="2"/>
  <c r="F523" i="2"/>
  <c r="F527" i="2"/>
  <c r="W331" i="2"/>
  <c r="W587" i="2"/>
  <c r="W588" i="2" s="1"/>
  <c r="W592" i="2"/>
  <c r="W593" i="2" s="1"/>
  <c r="F231" i="2"/>
  <c r="F360" i="2" s="1"/>
  <c r="V355" i="2"/>
  <c r="V326" i="2"/>
  <c r="V330" i="2" s="1"/>
  <c r="U355" i="2"/>
  <c r="U326" i="2"/>
  <c r="U330" i="2" s="1"/>
  <c r="Z587" i="2"/>
  <c r="Z588" i="2" s="1"/>
  <c r="Z331" i="2"/>
  <c r="Z592" i="2"/>
  <c r="Z593" i="2" s="1"/>
  <c r="R326" i="2"/>
  <c r="R330" i="2" s="1"/>
  <c r="R331" i="2" s="1"/>
  <c r="R355" i="2"/>
  <c r="K545" i="2"/>
  <c r="K556" i="2"/>
  <c r="K575" i="2" s="1"/>
  <c r="N545" i="2"/>
  <c r="N556" i="2"/>
  <c r="N575" i="2" s="1"/>
  <c r="F193" i="2"/>
  <c r="F368" i="2" s="1"/>
  <c r="X331" i="2"/>
  <c r="X592" i="2"/>
  <c r="X593" i="2" s="1"/>
  <c r="X587" i="2"/>
  <c r="X588" i="2" s="1"/>
  <c r="S326" i="2"/>
  <c r="S330" i="2" s="1"/>
  <c r="S331" i="2" s="1"/>
  <c r="S355" i="2"/>
  <c r="H545" i="2"/>
  <c r="E331" i="2"/>
  <c r="U612" i="2"/>
  <c r="U613" i="2" s="1"/>
  <c r="AA612" i="2"/>
  <c r="AA613" i="2" s="1"/>
  <c r="AD612" i="2"/>
  <c r="AD613" i="2" s="1"/>
  <c r="X612" i="2"/>
  <c r="X613" i="2" s="1"/>
  <c r="V612" i="2"/>
  <c r="V613" i="2" s="1"/>
  <c r="E650" i="2"/>
  <c r="AE612" i="2"/>
  <c r="AE613" i="2" s="1"/>
  <c r="Z612" i="2"/>
  <c r="Z613" i="2" s="1"/>
  <c r="W612" i="2"/>
  <c r="W613" i="2" s="1"/>
  <c r="AB612" i="2"/>
  <c r="AB613" i="2" s="1"/>
  <c r="AF612" i="2"/>
  <c r="AF613" i="2" s="1"/>
  <c r="T612" i="2"/>
  <c r="T613" i="2" s="1"/>
  <c r="Y612" i="2"/>
  <c r="Y613" i="2" s="1"/>
  <c r="AC612" i="2"/>
  <c r="AC613" i="2" s="1"/>
  <c r="AA587" i="2"/>
  <c r="AA588" i="2" s="1"/>
  <c r="AA331" i="2"/>
  <c r="AA592" i="2"/>
  <c r="AA593" i="2" s="1"/>
  <c r="F307" i="2"/>
  <c r="AC326" i="2"/>
  <c r="AC330" i="2" s="1"/>
  <c r="AC355" i="2"/>
  <c r="F117" i="2"/>
  <c r="R556" i="2"/>
  <c r="R575" i="2" s="1"/>
  <c r="R545" i="2"/>
  <c r="J556" i="2"/>
  <c r="J575" i="2" s="1"/>
  <c r="J545" i="2"/>
  <c r="Q545" i="2"/>
  <c r="Q556" i="2"/>
  <c r="Q575" i="2" s="1"/>
  <c r="S556" i="2"/>
  <c r="S545" i="2"/>
  <c r="F627" i="2"/>
  <c r="F565" i="2"/>
  <c r="F541" i="2"/>
  <c r="M545" i="2"/>
  <c r="M556" i="2"/>
  <c r="M575" i="2" s="1"/>
  <c r="G545" i="2"/>
  <c r="AE587" i="2"/>
  <c r="AE588" i="2" s="1"/>
  <c r="AE331" i="2"/>
  <c r="AE592" i="2"/>
  <c r="AE593" i="2" s="1"/>
  <c r="G326" i="2"/>
  <c r="G330" i="2" s="1"/>
  <c r="G331" i="2" s="1"/>
  <c r="K326" i="2"/>
  <c r="K330" i="2" s="1"/>
  <c r="K331" i="2" s="1"/>
  <c r="Q326" i="2"/>
  <c r="Q330" i="2" s="1"/>
  <c r="Q331" i="2" s="1"/>
  <c r="Q355" i="2"/>
  <c r="E406" i="2"/>
  <c r="F40" i="2"/>
  <c r="J326" i="2"/>
  <c r="J330" i="2" s="1"/>
  <c r="J331" i="2" s="1"/>
  <c r="AD331" i="2"/>
  <c r="AD592" i="2"/>
  <c r="AD593" i="2" s="1"/>
  <c r="AD587" i="2"/>
  <c r="AD588" i="2" s="1"/>
  <c r="S560" i="2"/>
  <c r="S549" i="2"/>
  <c r="O545" i="2"/>
  <c r="O556" i="2"/>
  <c r="O575" i="2" s="1"/>
  <c r="AB587" i="2"/>
  <c r="AB588" i="2" s="1"/>
  <c r="AB592" i="2"/>
  <c r="AB593" i="2" s="1"/>
  <c r="AB331" i="2"/>
  <c r="F361" i="2" l="1"/>
  <c r="F369" i="2"/>
  <c r="H611" i="2"/>
  <c r="H586" i="2"/>
  <c r="H591" i="2"/>
  <c r="H616" i="2"/>
  <c r="G611" i="2"/>
  <c r="G586" i="2"/>
  <c r="G591" i="2"/>
  <c r="G616" i="2"/>
  <c r="F367" i="2"/>
  <c r="F391" i="2"/>
  <c r="T331" i="2"/>
  <c r="T592" i="2"/>
  <c r="T593" i="2" s="1"/>
  <c r="M560" i="2"/>
  <c r="M549" i="2"/>
  <c r="J560" i="2"/>
  <c r="J549" i="2"/>
  <c r="K560" i="2"/>
  <c r="K549" i="2"/>
  <c r="I560" i="2"/>
  <c r="I549" i="2"/>
  <c r="F385" i="2"/>
  <c r="F386" i="2"/>
  <c r="F387" i="2"/>
  <c r="F388" i="2"/>
  <c r="K559" i="2"/>
  <c r="K611" i="2" s="1"/>
  <c r="M355" i="2"/>
  <c r="R549" i="2"/>
  <c r="M330" i="2"/>
  <c r="M331" i="2" s="1"/>
  <c r="M559" i="2"/>
  <c r="M586" i="2" s="1"/>
  <c r="Q560" i="2"/>
  <c r="Q591" i="2" s="1"/>
  <c r="N548" i="2"/>
  <c r="R559" i="2"/>
  <c r="R586" i="2" s="1"/>
  <c r="N560" i="2"/>
  <c r="N591" i="2" s="1"/>
  <c r="N549" i="2"/>
  <c r="O560" i="2"/>
  <c r="O591" i="2" s="1"/>
  <c r="O559" i="2"/>
  <c r="O586" i="2" s="1"/>
  <c r="S591" i="2"/>
  <c r="S616" i="2"/>
  <c r="S656" i="2"/>
  <c r="AC592" i="2"/>
  <c r="AC593" i="2" s="1"/>
  <c r="AC587" i="2"/>
  <c r="AC588" i="2" s="1"/>
  <c r="AC331" i="2"/>
  <c r="V331" i="2"/>
  <c r="V592" i="2"/>
  <c r="V593" i="2" s="1"/>
  <c r="V587" i="2"/>
  <c r="V588" i="2" s="1"/>
  <c r="P600" i="2"/>
  <c r="P626" i="2"/>
  <c r="G549" i="2"/>
  <c r="R600" i="2"/>
  <c r="R626" i="2"/>
  <c r="F308" i="2"/>
  <c r="F322" i="2"/>
  <c r="K600" i="2"/>
  <c r="K626" i="2"/>
  <c r="S586" i="2"/>
  <c r="S611" i="2"/>
  <c r="G548" i="2"/>
  <c r="M600" i="2"/>
  <c r="M626" i="2"/>
  <c r="N586" i="2"/>
  <c r="N611" i="2"/>
  <c r="R591" i="2"/>
  <c r="R616" i="2"/>
  <c r="U331" i="2"/>
  <c r="U587" i="2"/>
  <c r="U588" i="2" s="1"/>
  <c r="U592" i="2"/>
  <c r="U593" i="2" s="1"/>
  <c r="F232" i="2"/>
  <c r="F320" i="2"/>
  <c r="F383" i="2"/>
  <c r="F80" i="2"/>
  <c r="Q626" i="2"/>
  <c r="Q600" i="2"/>
  <c r="I559" i="2"/>
  <c r="I548" i="2"/>
  <c r="H549" i="2"/>
  <c r="H548" i="2"/>
  <c r="O600" i="2"/>
  <c r="O626" i="2"/>
  <c r="F156" i="2"/>
  <c r="F319" i="2"/>
  <c r="I626" i="2"/>
  <c r="I600" i="2"/>
  <c r="E408" i="2"/>
  <c r="E409" i="2" s="1"/>
  <c r="J548" i="2"/>
  <c r="J559" i="2"/>
  <c r="F118" i="2"/>
  <c r="F328" i="2"/>
  <c r="F394" i="2"/>
  <c r="F363" i="2"/>
  <c r="AG362" i="2" s="1"/>
  <c r="AH362" i="2" s="1"/>
  <c r="F404" i="2"/>
  <c r="F364" i="2"/>
  <c r="F384" i="2"/>
  <c r="F365" i="2"/>
  <c r="F390" i="2"/>
  <c r="F395" i="2"/>
  <c r="F366" i="2"/>
  <c r="N600" i="2"/>
  <c r="N626" i="2"/>
  <c r="P560" i="2"/>
  <c r="P549" i="2"/>
  <c r="Q548" i="2"/>
  <c r="Q559" i="2"/>
  <c r="S575" i="2"/>
  <c r="S600" i="2"/>
  <c r="J600" i="2"/>
  <c r="J626" i="2"/>
  <c r="F194" i="2"/>
  <c r="F389" i="2"/>
  <c r="F556" i="2"/>
  <c r="F575" i="2" s="1"/>
  <c r="F545" i="2"/>
  <c r="P548" i="2"/>
  <c r="P559" i="2"/>
  <c r="F321" i="2"/>
  <c r="F530" i="2" l="1"/>
  <c r="F531" i="2"/>
  <c r="G607" i="2"/>
  <c r="G608" i="2" s="1"/>
  <c r="H607" i="2"/>
  <c r="H608" i="2" s="1"/>
  <c r="H617" i="2"/>
  <c r="H618" i="2" s="1"/>
  <c r="H658" i="2" s="1"/>
  <c r="G617" i="2"/>
  <c r="G618" i="2" s="1"/>
  <c r="G658" i="2" s="1"/>
  <c r="H612" i="2"/>
  <c r="H613" i="2" s="1"/>
  <c r="G612" i="2"/>
  <c r="G613" i="2" s="1"/>
  <c r="G603" i="2"/>
  <c r="H603" i="2"/>
  <c r="G601" i="2"/>
  <c r="H601" i="2"/>
  <c r="G637" i="2"/>
  <c r="G639" i="2" s="1"/>
  <c r="G666" i="2" s="1"/>
  <c r="F10" i="17" s="1"/>
  <c r="H642" i="2"/>
  <c r="H644" i="2" s="1"/>
  <c r="H664" i="2" s="1"/>
  <c r="D11" i="17" s="1"/>
  <c r="G642" i="2"/>
  <c r="G644" i="2" s="1"/>
  <c r="G664" i="2" s="1"/>
  <c r="D10" i="17" s="1"/>
  <c r="H637" i="2"/>
  <c r="H639" i="2" s="1"/>
  <c r="H666" i="2" s="1"/>
  <c r="F11" i="17" s="1"/>
  <c r="M591" i="2"/>
  <c r="M616" i="2"/>
  <c r="M642" i="2" s="1"/>
  <c r="M644" i="2" s="1"/>
  <c r="M664" i="2" s="1"/>
  <c r="I616" i="2"/>
  <c r="I642" i="2" s="1"/>
  <c r="I644" i="2" s="1"/>
  <c r="I664" i="2" s="1"/>
  <c r="D12" i="17" s="1"/>
  <c r="I591" i="2"/>
  <c r="K591" i="2"/>
  <c r="K616" i="2"/>
  <c r="K642" i="2" s="1"/>
  <c r="K644" i="2" s="1"/>
  <c r="K664" i="2" s="1"/>
  <c r="J616" i="2"/>
  <c r="J642" i="2" s="1"/>
  <c r="J644" i="2" s="1"/>
  <c r="J664" i="2" s="1"/>
  <c r="D13" i="17" s="1"/>
  <c r="J591" i="2"/>
  <c r="K586" i="2"/>
  <c r="M611" i="2"/>
  <c r="Q616" i="2"/>
  <c r="Q642" i="2" s="1"/>
  <c r="Q644" i="2" s="1"/>
  <c r="Q664" i="2" s="1"/>
  <c r="O616" i="2"/>
  <c r="O642" i="2" s="1"/>
  <c r="O644" i="2" s="1"/>
  <c r="O664" i="2" s="1"/>
  <c r="R611" i="2"/>
  <c r="R637" i="2" s="1"/>
  <c r="R639" i="2" s="1"/>
  <c r="R666" i="2" s="1"/>
  <c r="N616" i="2"/>
  <c r="N642" i="2" s="1"/>
  <c r="N644" i="2" s="1"/>
  <c r="N664" i="2" s="1"/>
  <c r="O611" i="2"/>
  <c r="O637" i="2" s="1"/>
  <c r="O639" i="2" s="1"/>
  <c r="Q586" i="2"/>
  <c r="Q611" i="2"/>
  <c r="M637" i="2"/>
  <c r="M639" i="2" s="1"/>
  <c r="F324" i="2"/>
  <c r="F355" i="2" s="1"/>
  <c r="F600" i="2"/>
  <c r="F626" i="2"/>
  <c r="N637" i="2"/>
  <c r="N639" i="2" s="1"/>
  <c r="J586" i="2"/>
  <c r="J611" i="2"/>
  <c r="K637" i="2"/>
  <c r="K639" i="2" s="1"/>
  <c r="K666" i="2" s="1"/>
  <c r="S637" i="2"/>
  <c r="S639" i="2" s="1"/>
  <c r="S642" i="2"/>
  <c r="S644" i="2" s="1"/>
  <c r="S664" i="2" s="1"/>
  <c r="F402" i="2"/>
  <c r="V617" i="2"/>
  <c r="V618" i="2" s="1"/>
  <c r="R607" i="2"/>
  <c r="R608" i="2" s="1"/>
  <c r="M607" i="2"/>
  <c r="M608" i="2" s="1"/>
  <c r="AE617" i="2"/>
  <c r="AE618" i="2" s="1"/>
  <c r="I612" i="2"/>
  <c r="W617" i="2"/>
  <c r="W618" i="2" s="1"/>
  <c r="S612" i="2"/>
  <c r="S613" i="2" s="1"/>
  <c r="M612" i="2"/>
  <c r="J607" i="2"/>
  <c r="J608" i="2" s="1"/>
  <c r="AF617" i="2"/>
  <c r="AF618" i="2" s="1"/>
  <c r="R612" i="2"/>
  <c r="Q617" i="2"/>
  <c r="N617" i="2"/>
  <c r="Q607" i="2"/>
  <c r="Q608" i="2" s="1"/>
  <c r="T617" i="2"/>
  <c r="T618" i="2" s="1"/>
  <c r="Y617" i="2"/>
  <c r="Y618" i="2" s="1"/>
  <c r="Z617" i="2"/>
  <c r="Z618" i="2" s="1"/>
  <c r="P617" i="2"/>
  <c r="F617" i="2"/>
  <c r="O612" i="2"/>
  <c r="R617" i="2"/>
  <c r="R618" i="2" s="1"/>
  <c r="R658" i="2" s="1"/>
  <c r="P612" i="2"/>
  <c r="Q612" i="2"/>
  <c r="F612" i="2"/>
  <c r="F607" i="2"/>
  <c r="F608" i="2" s="1"/>
  <c r="AD617" i="2"/>
  <c r="AD618" i="2" s="1"/>
  <c r="S617" i="2"/>
  <c r="S618" i="2" s="1"/>
  <c r="S658" i="2" s="1"/>
  <c r="O607" i="2"/>
  <c r="O608" i="2" s="1"/>
  <c r="P607" i="2"/>
  <c r="P608" i="2" s="1"/>
  <c r="U617" i="2"/>
  <c r="U618" i="2" s="1"/>
  <c r="AA617" i="2"/>
  <c r="AA618" i="2" s="1"/>
  <c r="I617" i="2"/>
  <c r="J612" i="2"/>
  <c r="E656" i="2"/>
  <c r="F656" i="2" s="1"/>
  <c r="I607" i="2"/>
  <c r="I608" i="2" s="1"/>
  <c r="X617" i="2"/>
  <c r="X618" i="2" s="1"/>
  <c r="AB617" i="2"/>
  <c r="AB618" i="2" s="1"/>
  <c r="N612" i="2"/>
  <c r="N613" i="2" s="1"/>
  <c r="K612" i="2"/>
  <c r="K613" i="2" s="1"/>
  <c r="N607" i="2"/>
  <c r="N608" i="2" s="1"/>
  <c r="O617" i="2"/>
  <c r="C597" i="2"/>
  <c r="AC617" i="2"/>
  <c r="AC618" i="2" s="1"/>
  <c r="J617" i="2"/>
  <c r="K607" i="2"/>
  <c r="K608" i="2" s="1"/>
  <c r="M617" i="2"/>
  <c r="K617" i="2"/>
  <c r="J603" i="2"/>
  <c r="M603" i="2"/>
  <c r="I603" i="2"/>
  <c r="O603" i="2"/>
  <c r="N603" i="2"/>
  <c r="Q603" i="2"/>
  <c r="K603" i="2"/>
  <c r="R603" i="2"/>
  <c r="P603" i="2"/>
  <c r="F603" i="2"/>
  <c r="Q601" i="2"/>
  <c r="M601" i="2"/>
  <c r="J601" i="2"/>
  <c r="P601" i="2"/>
  <c r="O601" i="2"/>
  <c r="N601" i="2"/>
  <c r="K601" i="2"/>
  <c r="R601" i="2"/>
  <c r="I601" i="2"/>
  <c r="F601" i="2"/>
  <c r="R642" i="2"/>
  <c r="R644" i="2" s="1"/>
  <c r="R664" i="2" s="1"/>
  <c r="S626" i="2"/>
  <c r="P616" i="2"/>
  <c r="P591" i="2"/>
  <c r="P586" i="2"/>
  <c r="P611" i="2"/>
  <c r="I586" i="2"/>
  <c r="I611" i="2"/>
  <c r="G660" i="2" l="1"/>
  <c r="H660" i="2"/>
  <c r="H597" i="2"/>
  <c r="G597" i="2"/>
  <c r="G656" i="2"/>
  <c r="H656" i="2" s="1"/>
  <c r="I656" i="2" s="1"/>
  <c r="J656" i="2" s="1"/>
  <c r="K656" i="2" s="1"/>
  <c r="M656" i="2" s="1"/>
  <c r="M618" i="2"/>
  <c r="M658" i="2" s="1"/>
  <c r="K618" i="2"/>
  <c r="K658" i="2" s="1"/>
  <c r="I618" i="2"/>
  <c r="I658" i="2" s="1"/>
  <c r="J618" i="2"/>
  <c r="J658" i="2" s="1"/>
  <c r="O618" i="2"/>
  <c r="O658" i="2" s="1"/>
  <c r="M613" i="2"/>
  <c r="Q618" i="2"/>
  <c r="Q658" i="2" s="1"/>
  <c r="R613" i="2"/>
  <c r="R660" i="2" s="1"/>
  <c r="O613" i="2"/>
  <c r="N618" i="2"/>
  <c r="N658" i="2" s="1"/>
  <c r="K660" i="2"/>
  <c r="P613" i="2"/>
  <c r="P637" i="2"/>
  <c r="P639" i="2" s="1"/>
  <c r="F326" i="2"/>
  <c r="J597" i="2"/>
  <c r="O597" i="2"/>
  <c r="R597" i="2"/>
  <c r="Q597" i="2"/>
  <c r="I597" i="2"/>
  <c r="K597" i="2"/>
  <c r="N597" i="2"/>
  <c r="F597" i="2"/>
  <c r="M597" i="2"/>
  <c r="P597" i="2"/>
  <c r="F560" i="2"/>
  <c r="F549" i="2"/>
  <c r="F548" i="2"/>
  <c r="F559" i="2"/>
  <c r="P618" i="2"/>
  <c r="P658" i="2" s="1"/>
  <c r="P642" i="2"/>
  <c r="P644" i="2" s="1"/>
  <c r="P664" i="2" s="1"/>
  <c r="I637" i="2"/>
  <c r="I639" i="2" s="1"/>
  <c r="I666" i="2" s="1"/>
  <c r="F12" i="17" s="1"/>
  <c r="I613" i="2"/>
  <c r="I660" i="2" s="1"/>
  <c r="Q637" i="2"/>
  <c r="Q639" i="2" s="1"/>
  <c r="Q613" i="2"/>
  <c r="F406" i="2"/>
  <c r="J613" i="2"/>
  <c r="J660" i="2" s="1"/>
  <c r="J637" i="2"/>
  <c r="J639" i="2" s="1"/>
  <c r="J666" i="2" s="1"/>
  <c r="F13" i="17" s="1"/>
  <c r="F611" i="2" l="1"/>
  <c r="F613" i="2" s="1"/>
  <c r="F586" i="2"/>
  <c r="F591" i="2"/>
  <c r="F616" i="2"/>
  <c r="G10" i="4"/>
  <c r="F330" i="2"/>
  <c r="F331" i="2" s="1"/>
  <c r="F637" i="2" l="1"/>
  <c r="F639" i="2" s="1"/>
  <c r="F618" i="2"/>
  <c r="F658" i="2" s="1"/>
  <c r="F642" i="2"/>
  <c r="F644" i="2" s="1"/>
  <c r="F664" i="2" s="1"/>
  <c r="D9" i="17" s="1"/>
  <c r="L8" i="2" l="1"/>
  <c r="AG8" i="2" s="1"/>
  <c r="AH8" i="2" s="1"/>
  <c r="L47" i="2"/>
  <c r="L49" i="2" s="1"/>
  <c r="L237" i="2"/>
  <c r="L239" i="2" s="1"/>
  <c r="L123" i="2"/>
  <c r="L275" i="2"/>
  <c r="AG275" i="2" s="1"/>
  <c r="AH275" i="2" s="1"/>
  <c r="L85" i="2"/>
  <c r="AG85" i="2" s="1"/>
  <c r="AH85" i="2" s="1"/>
  <c r="L161" i="2"/>
  <c r="L163" i="2" s="1"/>
  <c r="AG507" i="2"/>
  <c r="AH507" i="2" s="1"/>
  <c r="L199" i="2"/>
  <c r="AG199" i="2" s="1"/>
  <c r="AH199" i="2" s="1"/>
  <c r="L518" i="2" l="1"/>
  <c r="L527" i="2" s="1"/>
  <c r="AG239" i="2"/>
  <c r="AH239" i="2" s="1"/>
  <c r="L269" i="2"/>
  <c r="AG49" i="2"/>
  <c r="AH49" i="2" s="1"/>
  <c r="L79" i="2"/>
  <c r="AG79" i="2" s="1"/>
  <c r="AH79" i="2" s="1"/>
  <c r="L193" i="2"/>
  <c r="L368" i="2" s="1"/>
  <c r="AG368" i="2" s="1"/>
  <c r="AH368" i="2" s="1"/>
  <c r="AG163" i="2"/>
  <c r="AH163" i="2" s="1"/>
  <c r="AG161" i="2"/>
  <c r="AH161" i="2" s="1"/>
  <c r="L201" i="2"/>
  <c r="L536" i="2"/>
  <c r="L125" i="2"/>
  <c r="AG47" i="2"/>
  <c r="AH47" i="2" s="1"/>
  <c r="L10" i="2"/>
  <c r="L87" i="2"/>
  <c r="AG237" i="2"/>
  <c r="AH237" i="2" s="1"/>
  <c r="L277" i="2"/>
  <c r="AG123" i="2"/>
  <c r="AG518" i="2" l="1"/>
  <c r="AH518" i="2" s="1"/>
  <c r="L523" i="2"/>
  <c r="AH123" i="2"/>
  <c r="AI123" i="2"/>
  <c r="AG125" i="2"/>
  <c r="L155" i="2"/>
  <c r="AG536" i="2"/>
  <c r="AH536" i="2" s="1"/>
  <c r="L541" i="2"/>
  <c r="AG541" i="2" s="1"/>
  <c r="AH541" i="2" s="1"/>
  <c r="AG10" i="2"/>
  <c r="AH10" i="2" s="1"/>
  <c r="L40" i="2"/>
  <c r="AG40" i="2" s="1"/>
  <c r="AH40" i="2" s="1"/>
  <c r="AG201" i="2"/>
  <c r="AH201" i="2" s="1"/>
  <c r="L231" i="2"/>
  <c r="L545" i="2"/>
  <c r="AG527" i="2"/>
  <c r="AH527" i="2" s="1"/>
  <c r="L307" i="2"/>
  <c r="AG277" i="2"/>
  <c r="AH277" i="2" s="1"/>
  <c r="AG269" i="2"/>
  <c r="AH269" i="2" s="1"/>
  <c r="L321" i="2"/>
  <c r="AG321" i="2" s="1"/>
  <c r="L117" i="2"/>
  <c r="AG87" i="2"/>
  <c r="AH87" i="2" s="1"/>
  <c r="AG193" i="2"/>
  <c r="AH193" i="2" s="1"/>
  <c r="L194" i="2"/>
  <c r="L361" i="2" l="1"/>
  <c r="AG361" i="2" s="1"/>
  <c r="AH361" i="2" s="1"/>
  <c r="L369" i="2"/>
  <c r="AG369" i="2" s="1"/>
  <c r="AH369" i="2" s="1"/>
  <c r="L385" i="2"/>
  <c r="AG385" i="2" s="1"/>
  <c r="AH385" i="2" s="1"/>
  <c r="L360" i="2"/>
  <c r="L367" i="2"/>
  <c r="AG367" i="2" s="1"/>
  <c r="AH367" i="2" s="1"/>
  <c r="L391" i="2"/>
  <c r="AG391" i="2" s="1"/>
  <c r="AH391" i="2" s="1"/>
  <c r="L389" i="2"/>
  <c r="AG389" i="2" s="1"/>
  <c r="AH389" i="2" s="1"/>
  <c r="L386" i="2"/>
  <c r="AG386" i="2" s="1"/>
  <c r="AH386" i="2" s="1"/>
  <c r="L388" i="2"/>
  <c r="AG388" i="2" s="1"/>
  <c r="AH388" i="2" s="1"/>
  <c r="L387" i="2"/>
  <c r="AG387" i="2" s="1"/>
  <c r="AH387" i="2" s="1"/>
  <c r="AG523" i="2"/>
  <c r="AH523" i="2" s="1"/>
  <c r="AH125" i="2"/>
  <c r="AI125" i="2"/>
  <c r="AH321" i="2"/>
  <c r="L383" i="2"/>
  <c r="AG383" i="2" s="1"/>
  <c r="AH383" i="2" s="1"/>
  <c r="AG231" i="2"/>
  <c r="AH231" i="2" s="1"/>
  <c r="L320" i="2"/>
  <c r="AG320" i="2" s="1"/>
  <c r="L232" i="2"/>
  <c r="L366" i="2"/>
  <c r="AG366" i="2" s="1"/>
  <c r="AH366" i="2" s="1"/>
  <c r="L384" i="2"/>
  <c r="AG384" i="2" s="1"/>
  <c r="AH384" i="2" s="1"/>
  <c r="L363" i="2"/>
  <c r="L404" i="2"/>
  <c r="AG404" i="2" s="1"/>
  <c r="AH404" i="2" s="1"/>
  <c r="L364" i="2"/>
  <c r="AG364" i="2" s="1"/>
  <c r="AH364" i="2" s="1"/>
  <c r="L390" i="2"/>
  <c r="AG390" i="2" s="1"/>
  <c r="AH390" i="2" s="1"/>
  <c r="L395" i="2"/>
  <c r="AG395" i="2" s="1"/>
  <c r="AH395" i="2" s="1"/>
  <c r="AG117" i="2"/>
  <c r="AH117" i="2" s="1"/>
  <c r="L365" i="2"/>
  <c r="AG365" i="2" s="1"/>
  <c r="AH365" i="2" s="1"/>
  <c r="L328" i="2"/>
  <c r="L394" i="2"/>
  <c r="L118" i="2"/>
  <c r="L322" i="2"/>
  <c r="AG322" i="2" s="1"/>
  <c r="AG307" i="2"/>
  <c r="AH307" i="2" s="1"/>
  <c r="L308" i="2"/>
  <c r="L156" i="2"/>
  <c r="AG155" i="2"/>
  <c r="L319" i="2"/>
  <c r="L530" i="2" l="1"/>
  <c r="AG530" i="2" s="1"/>
  <c r="L531" i="2"/>
  <c r="AG531" i="2" s="1"/>
  <c r="AG363" i="2"/>
  <c r="AG360" i="2"/>
  <c r="AH360" i="2" s="1"/>
  <c r="AG394" i="2"/>
  <c r="AH155" i="2"/>
  <c r="AI155" i="2"/>
  <c r="AH320" i="2"/>
  <c r="AI320" i="2"/>
  <c r="AH322" i="2"/>
  <c r="AI322" i="2"/>
  <c r="AG328" i="2"/>
  <c r="L402" i="2"/>
  <c r="AG319" i="2"/>
  <c r="L324" i="2"/>
  <c r="AH363" i="2" l="1"/>
  <c r="AH530" i="2"/>
  <c r="AH394" i="2"/>
  <c r="L549" i="2"/>
  <c r="AH531" i="2"/>
  <c r="AH328" i="2"/>
  <c r="AI328" i="2"/>
  <c r="AH319" i="2"/>
  <c r="AI319" i="2"/>
  <c r="L548" i="2"/>
  <c r="AG324" i="2"/>
  <c r="L326" i="2"/>
  <c r="L355" i="2"/>
  <c r="L406" i="2"/>
  <c r="AG402" i="2"/>
  <c r="AH402" i="2" s="1"/>
  <c r="AH324" i="2" l="1"/>
  <c r="AI324" i="2"/>
  <c r="AG355" i="2"/>
  <c r="AH355" i="2" s="1"/>
  <c r="AG406" i="2"/>
  <c r="AH406" i="2" s="1"/>
  <c r="G26" i="4"/>
  <c r="AG326" i="2"/>
  <c r="AI326" i="2" s="1"/>
  <c r="L330" i="2"/>
  <c r="L331" i="2" s="1"/>
  <c r="AG330" i="2" l="1"/>
  <c r="AH330" i="2" s="1"/>
  <c r="AH326" i="2"/>
  <c r="N656" i="2" l="1"/>
  <c r="O656" i="2" s="1"/>
  <c r="P656" i="2" s="1"/>
  <c r="Q656" i="2" s="1"/>
  <c r="R656" i="2" s="1"/>
  <c r="W358" i="2" l="1"/>
  <c r="AE359" i="2"/>
  <c r="AE342" i="2"/>
  <c r="W342" i="2"/>
  <c r="W359" i="2"/>
  <c r="P342" i="2"/>
  <c r="P359" i="2"/>
  <c r="AA359" i="2"/>
  <c r="AA342" i="2"/>
  <c r="Q359" i="2"/>
  <c r="Q342" i="2"/>
  <c r="W341" i="2"/>
  <c r="W349" i="2" s="1"/>
  <c r="W351" i="2" s="1"/>
  <c r="K342" i="2"/>
  <c r="K359" i="2"/>
  <c r="AB341" i="2"/>
  <c r="AB358" i="2"/>
  <c r="AE341" i="2"/>
  <c r="AE358" i="2"/>
  <c r="AE528" i="2" s="1"/>
  <c r="AE532" i="2" s="1"/>
  <c r="AA358" i="2"/>
  <c r="AA341" i="2"/>
  <c r="U358" i="2"/>
  <c r="V341" i="2"/>
  <c r="V358" i="2"/>
  <c r="AC341" i="2"/>
  <c r="AC358" i="2"/>
  <c r="X358" i="2"/>
  <c r="AD358" i="2"/>
  <c r="I359" i="2"/>
  <c r="I342" i="2"/>
  <c r="J342" i="2"/>
  <c r="J359" i="2"/>
  <c r="X341" i="2"/>
  <c r="N359" i="2"/>
  <c r="N342" i="2"/>
  <c r="H342" i="2"/>
  <c r="H359" i="2"/>
  <c r="AD342" i="2"/>
  <c r="AD359" i="2"/>
  <c r="AD341" i="2"/>
  <c r="U341" i="2"/>
  <c r="AB342" i="2"/>
  <c r="AB359" i="2"/>
  <c r="R359" i="2"/>
  <c r="R342" i="2"/>
  <c r="S359" i="2"/>
  <c r="S342" i="2"/>
  <c r="U359" i="2"/>
  <c r="U342" i="2"/>
  <c r="T341" i="2"/>
  <c r="T358" i="2"/>
  <c r="L342" i="2"/>
  <c r="L359" i="2"/>
  <c r="X359" i="2"/>
  <c r="X342" i="2"/>
  <c r="V342" i="2"/>
  <c r="V359" i="2"/>
  <c r="M358" i="2"/>
  <c r="AF342" i="2"/>
  <c r="AF359" i="2"/>
  <c r="T359" i="2"/>
  <c r="T342" i="2"/>
  <c r="Z342" i="2"/>
  <c r="Z359" i="2"/>
  <c r="O358" i="2"/>
  <c r="F342" i="2"/>
  <c r="F359" i="2"/>
  <c r="G342" i="2"/>
  <c r="G359" i="2"/>
  <c r="G358" i="2"/>
  <c r="AC342" i="2"/>
  <c r="AC359" i="2"/>
  <c r="R341" i="2"/>
  <c r="R358" i="2"/>
  <c r="Y341" i="2"/>
  <c r="Y358" i="2"/>
  <c r="N341" i="2"/>
  <c r="N358" i="2"/>
  <c r="N528" i="2" s="1"/>
  <c r="K358" i="2"/>
  <c r="H341" i="2"/>
  <c r="H358" i="2"/>
  <c r="H528" i="2" s="1"/>
  <c r="I358" i="2"/>
  <c r="O359" i="2"/>
  <c r="O342" i="2"/>
  <c r="L341" i="2"/>
  <c r="L358" i="2"/>
  <c r="L396" i="2" s="1"/>
  <c r="L398" i="2" s="1"/>
  <c r="Q358" i="2"/>
  <c r="Z341" i="2"/>
  <c r="Z358" i="2"/>
  <c r="P341" i="2"/>
  <c r="P358" i="2"/>
  <c r="Q341" i="2"/>
  <c r="Q349" i="2" s="1"/>
  <c r="Q351" i="2" s="1"/>
  <c r="O341" i="2"/>
  <c r="Y342" i="2"/>
  <c r="Y359" i="2"/>
  <c r="M342" i="2"/>
  <c r="M359" i="2"/>
  <c r="J358" i="2"/>
  <c r="G341" i="2"/>
  <c r="J341" i="2"/>
  <c r="I341" i="2"/>
  <c r="M341" i="2"/>
  <c r="K341" i="2"/>
  <c r="AF341" i="2"/>
  <c r="AF358" i="2"/>
  <c r="AF528" i="2" s="1"/>
  <c r="AF532" i="2" s="1"/>
  <c r="S341" i="2"/>
  <c r="S358" i="2"/>
  <c r="F358" i="2"/>
  <c r="F341" i="2"/>
  <c r="R349" i="2" l="1"/>
  <c r="R351" i="2" s="1"/>
  <c r="H349" i="2"/>
  <c r="H351" i="2" s="1"/>
  <c r="D12" i="4" s="1"/>
  <c r="Q396" i="2"/>
  <c r="Q398" i="2" s="1"/>
  <c r="Q400" i="2" s="1"/>
  <c r="Q408" i="2" s="1"/>
  <c r="Q578" i="2" s="1"/>
  <c r="N349" i="2"/>
  <c r="N351" i="2" s="1"/>
  <c r="AE349" i="2"/>
  <c r="AE351" i="2" s="1"/>
  <c r="G349" i="2"/>
  <c r="G351" i="2" s="1"/>
  <c r="D11" i="4" s="1"/>
  <c r="R396" i="2"/>
  <c r="R398" i="2" s="1"/>
  <c r="M528" i="2"/>
  <c r="M532" i="2" s="1"/>
  <c r="AF349" i="2"/>
  <c r="AF351" i="2" s="1"/>
  <c r="F349" i="2"/>
  <c r="F351" i="2" s="1"/>
  <c r="D10" i="4" s="1"/>
  <c r="F528" i="2"/>
  <c r="K349" i="2"/>
  <c r="K351" i="2" s="1"/>
  <c r="D15" i="4" s="1"/>
  <c r="S398" i="2"/>
  <c r="I349" i="2"/>
  <c r="I351" i="2" s="1"/>
  <c r="D13" i="4" s="1"/>
  <c r="I528" i="2"/>
  <c r="J349" i="2"/>
  <c r="J351" i="2" s="1"/>
  <c r="D14" i="4" s="1"/>
  <c r="S349" i="2"/>
  <c r="S351" i="2" s="1"/>
  <c r="P349" i="2"/>
  <c r="P351" i="2" s="1"/>
  <c r="L349" i="2"/>
  <c r="L351" i="2" s="1"/>
  <c r="J528" i="2"/>
  <c r="J546" i="2" s="1"/>
  <c r="J550" i="2" s="1"/>
  <c r="K396" i="2"/>
  <c r="K398" i="2" s="1"/>
  <c r="E15" i="4" s="1"/>
  <c r="K528" i="2"/>
  <c r="K546" i="2" s="1"/>
  <c r="K550" i="2" s="1"/>
  <c r="G528" i="2"/>
  <c r="Z349" i="2"/>
  <c r="Z351" i="2" s="1"/>
  <c r="AA349" i="2"/>
  <c r="AA351" i="2" s="1"/>
  <c r="AA398" i="2"/>
  <c r="O528" i="2"/>
  <c r="O546" i="2" s="1"/>
  <c r="O550" i="2" s="1"/>
  <c r="AB398" i="2"/>
  <c r="X398" i="2"/>
  <c r="T398" i="2"/>
  <c r="Z398" i="2"/>
  <c r="P396" i="2"/>
  <c r="P398" i="2" s="1"/>
  <c r="O349" i="2"/>
  <c r="O351" i="2" s="1"/>
  <c r="AD398" i="2"/>
  <c r="Y349" i="2"/>
  <c r="Y351" i="2" s="1"/>
  <c r="X528" i="2"/>
  <c r="X532" i="2" s="1"/>
  <c r="T349" i="2"/>
  <c r="T351" i="2" s="1"/>
  <c r="M349" i="2"/>
  <c r="M351" i="2" s="1"/>
  <c r="U528" i="2"/>
  <c r="U532" i="2" s="1"/>
  <c r="T528" i="2"/>
  <c r="T532" i="2" s="1"/>
  <c r="AD528" i="2"/>
  <c r="AD532" i="2" s="1"/>
  <c r="Z528" i="2"/>
  <c r="Z532" i="2" s="1"/>
  <c r="Y528" i="2"/>
  <c r="Y532" i="2" s="1"/>
  <c r="N396" i="2"/>
  <c r="N398" i="2" s="1"/>
  <c r="U349" i="2"/>
  <c r="U351" i="2" s="1"/>
  <c r="X349" i="2"/>
  <c r="X351" i="2" s="1"/>
  <c r="AC398" i="2"/>
  <c r="AE398" i="2"/>
  <c r="R528" i="2"/>
  <c r="R532" i="2" s="1"/>
  <c r="AD349" i="2"/>
  <c r="AD351" i="2" s="1"/>
  <c r="AC349" i="2"/>
  <c r="AC351" i="2" s="1"/>
  <c r="S528" i="2"/>
  <c r="S557" i="2" s="1"/>
  <c r="V398" i="2"/>
  <c r="AG342" i="2"/>
  <c r="AH342" i="2" s="1"/>
  <c r="V349" i="2"/>
  <c r="V351" i="2" s="1"/>
  <c r="AB528" i="2"/>
  <c r="AB532" i="2" s="1"/>
  <c r="O396" i="2"/>
  <c r="O398" i="2" s="1"/>
  <c r="AB349" i="2"/>
  <c r="AB351" i="2" s="1"/>
  <c r="AG341" i="2"/>
  <c r="N557" i="2"/>
  <c r="N577" i="2" s="1"/>
  <c r="N546" i="2"/>
  <c r="N550" i="2" s="1"/>
  <c r="N532" i="2"/>
  <c r="AG359" i="2"/>
  <c r="AH359" i="2" s="1"/>
  <c r="I396" i="2"/>
  <c r="I398" i="2" s="1"/>
  <c r="E13" i="4" s="1"/>
  <c r="H557" i="2"/>
  <c r="H577" i="2" s="1"/>
  <c r="H546" i="2"/>
  <c r="H550" i="2" s="1"/>
  <c r="H532" i="2"/>
  <c r="M396" i="2"/>
  <c r="M398" i="2" s="1"/>
  <c r="W528" i="2"/>
  <c r="W532" i="2" s="1"/>
  <c r="AG358" i="2"/>
  <c r="AH358" i="2" s="1"/>
  <c r="F396" i="2"/>
  <c r="G396" i="2"/>
  <c r="G398" i="2" s="1"/>
  <c r="E11" i="4" s="1"/>
  <c r="AF398" i="2"/>
  <c r="Q528" i="2"/>
  <c r="U398" i="2"/>
  <c r="W398" i="2"/>
  <c r="W400" i="2" s="1"/>
  <c r="W408" i="2" s="1"/>
  <c r="W409" i="2" s="1"/>
  <c r="J396" i="2"/>
  <c r="J398" i="2" s="1"/>
  <c r="E14" i="4" s="1"/>
  <c r="Y398" i="2"/>
  <c r="AC528" i="2"/>
  <c r="AC532" i="2" s="1"/>
  <c r="P528" i="2"/>
  <c r="L528" i="2"/>
  <c r="AA528" i="2"/>
  <c r="AA532" i="2" s="1"/>
  <c r="H396" i="2"/>
  <c r="H398" i="2" s="1"/>
  <c r="E12" i="4" s="1"/>
  <c r="V528" i="2"/>
  <c r="V532" i="2" s="1"/>
  <c r="R400" i="2" l="1"/>
  <c r="R408" i="2" s="1"/>
  <c r="R582" i="2" s="1"/>
  <c r="R583" i="2" s="1"/>
  <c r="N400" i="2"/>
  <c r="N408" i="2" s="1"/>
  <c r="N572" i="2" s="1"/>
  <c r="M546" i="2"/>
  <c r="M550" i="2" s="1"/>
  <c r="AE400" i="2"/>
  <c r="AE408" i="2" s="1"/>
  <c r="AE409" i="2" s="1"/>
  <c r="AF400" i="2"/>
  <c r="AF408" i="2" s="1"/>
  <c r="AF409" i="2" s="1"/>
  <c r="S400" i="2"/>
  <c r="S408" i="2" s="1"/>
  <c r="S409" i="2" s="1"/>
  <c r="M557" i="2"/>
  <c r="M577" i="2" s="1"/>
  <c r="M602" i="2" s="1"/>
  <c r="M659" i="2" s="1"/>
  <c r="J532" i="2"/>
  <c r="P400" i="2"/>
  <c r="P408" i="2" s="1"/>
  <c r="P650" i="2" s="1"/>
  <c r="AD400" i="2"/>
  <c r="AD408" i="2" s="1"/>
  <c r="AD409" i="2" s="1"/>
  <c r="L400" i="2"/>
  <c r="L408" i="2" s="1"/>
  <c r="L409" i="2" s="1"/>
  <c r="T400" i="2"/>
  <c r="T408" i="2" s="1"/>
  <c r="T409" i="2" s="1"/>
  <c r="K400" i="2"/>
  <c r="K408" i="2" s="1"/>
  <c r="K578" i="2" s="1"/>
  <c r="Q409" i="2"/>
  <c r="Q582" i="2"/>
  <c r="Q583" i="2" s="1"/>
  <c r="AA400" i="2"/>
  <c r="AA408" i="2" s="1"/>
  <c r="AA409" i="2" s="1"/>
  <c r="Q587" i="2"/>
  <c r="Q588" i="2" s="1"/>
  <c r="Z400" i="2"/>
  <c r="Z408" i="2" s="1"/>
  <c r="Z409" i="2" s="1"/>
  <c r="O557" i="2"/>
  <c r="O577" i="2" s="1"/>
  <c r="O628" i="2" s="1"/>
  <c r="O665" i="2" s="1"/>
  <c r="O532" i="2"/>
  <c r="Q650" i="2"/>
  <c r="Q572" i="2"/>
  <c r="Q592" i="2"/>
  <c r="Q593" i="2" s="1"/>
  <c r="Q652" i="2" s="1"/>
  <c r="Q576" i="2"/>
  <c r="AB400" i="2"/>
  <c r="AB408" i="2" s="1"/>
  <c r="AB409" i="2" s="1"/>
  <c r="J557" i="2"/>
  <c r="J577" i="2" s="1"/>
  <c r="J602" i="2" s="1"/>
  <c r="J659" i="2" s="1"/>
  <c r="R546" i="2"/>
  <c r="R550" i="2" s="1"/>
  <c r="R557" i="2"/>
  <c r="R577" i="2" s="1"/>
  <c r="R602" i="2" s="1"/>
  <c r="R659" i="2" s="1"/>
  <c r="O400" i="2"/>
  <c r="O408" i="2" s="1"/>
  <c r="O578" i="2" s="1"/>
  <c r="X400" i="2"/>
  <c r="X408" i="2" s="1"/>
  <c r="X409" i="2" s="1"/>
  <c r="Y400" i="2"/>
  <c r="Y408" i="2" s="1"/>
  <c r="Y409" i="2" s="1"/>
  <c r="K532" i="2"/>
  <c r="I400" i="2"/>
  <c r="I408" i="2" s="1"/>
  <c r="I587" i="2" s="1"/>
  <c r="I588" i="2" s="1"/>
  <c r="U400" i="2"/>
  <c r="U408" i="2" s="1"/>
  <c r="U409" i="2" s="1"/>
  <c r="M400" i="2"/>
  <c r="M408" i="2" s="1"/>
  <c r="M592" i="2" s="1"/>
  <c r="M593" i="2" s="1"/>
  <c r="M652" i="2" s="1"/>
  <c r="S546" i="2"/>
  <c r="S550" i="2" s="1"/>
  <c r="AC400" i="2"/>
  <c r="AC408" i="2" s="1"/>
  <c r="AC409" i="2" s="1"/>
  <c r="V400" i="2"/>
  <c r="V408" i="2" s="1"/>
  <c r="V409" i="2" s="1"/>
  <c r="K557" i="2"/>
  <c r="K577" i="2" s="1"/>
  <c r="K628" i="2" s="1"/>
  <c r="K665" i="2" s="1"/>
  <c r="S532" i="2"/>
  <c r="G532" i="2"/>
  <c r="G557" i="2"/>
  <c r="G577" i="2" s="1"/>
  <c r="G546" i="2"/>
  <c r="G550" i="2" s="1"/>
  <c r="H628" i="2"/>
  <c r="H665" i="2" s="1"/>
  <c r="E11" i="17" s="1"/>
  <c r="H602" i="2"/>
  <c r="H659" i="2" s="1"/>
  <c r="AG349" i="2"/>
  <c r="AH341" i="2"/>
  <c r="N602" i="2"/>
  <c r="N659" i="2" s="1"/>
  <c r="N628" i="2"/>
  <c r="N665" i="2" s="1"/>
  <c r="I546" i="2"/>
  <c r="I550" i="2" s="1"/>
  <c r="I532" i="2"/>
  <c r="I557" i="2"/>
  <c r="I577" i="2" s="1"/>
  <c r="G400" i="2"/>
  <c r="G408" i="2" s="1"/>
  <c r="J400" i="2"/>
  <c r="J408" i="2" s="1"/>
  <c r="F11" i="4"/>
  <c r="F13" i="4"/>
  <c r="M13" i="4" s="1"/>
  <c r="L546" i="2"/>
  <c r="L550" i="2" s="1"/>
  <c r="L532" i="2"/>
  <c r="F14" i="4"/>
  <c r="F398" i="2"/>
  <c r="AG396" i="2"/>
  <c r="AH396" i="2" s="1"/>
  <c r="P546" i="2"/>
  <c r="P550" i="2" s="1"/>
  <c r="P557" i="2"/>
  <c r="P577" i="2" s="1"/>
  <c r="P532" i="2"/>
  <c r="Q557" i="2"/>
  <c r="Q577" i="2" s="1"/>
  <c r="Q546" i="2"/>
  <c r="Q550" i="2" s="1"/>
  <c r="Q532" i="2"/>
  <c r="F15" i="4"/>
  <c r="M15" i="4" s="1"/>
  <c r="F12" i="4"/>
  <c r="M12" i="4" s="1"/>
  <c r="S601" i="2"/>
  <c r="S577" i="2"/>
  <c r="AG528" i="2"/>
  <c r="AH528" i="2" s="1"/>
  <c r="F532" i="2"/>
  <c r="F546" i="2"/>
  <c r="F550" i="2" s="1"/>
  <c r="F557" i="2"/>
  <c r="F577" i="2" s="1"/>
  <c r="H400" i="2"/>
  <c r="H408" i="2" s="1"/>
  <c r="D26" i="4"/>
  <c r="D33" i="4" s="1"/>
  <c r="N576" i="2" l="1"/>
  <c r="H14" i="4"/>
  <c r="M14" i="4"/>
  <c r="R592" i="2"/>
  <c r="R593" i="2" s="1"/>
  <c r="R652" i="2" s="1"/>
  <c r="M628" i="2"/>
  <c r="M665" i="2" s="1"/>
  <c r="R409" i="2"/>
  <c r="R587" i="2"/>
  <c r="R588" i="2" s="1"/>
  <c r="R576" i="2"/>
  <c r="R572" i="2"/>
  <c r="R578" i="2"/>
  <c r="R653" i="2" s="1"/>
  <c r="R650" i="2"/>
  <c r="N650" i="2"/>
  <c r="N587" i="2"/>
  <c r="N588" i="2" s="1"/>
  <c r="N578" i="2"/>
  <c r="N582" i="2"/>
  <c r="N583" i="2" s="1"/>
  <c r="N592" i="2"/>
  <c r="N593" i="2" s="1"/>
  <c r="N652" i="2" s="1"/>
  <c r="N409" i="2"/>
  <c r="S592" i="2"/>
  <c r="S593" i="2" s="1"/>
  <c r="S587" i="2"/>
  <c r="S588" i="2" s="1"/>
  <c r="P578" i="2"/>
  <c r="P582" i="2"/>
  <c r="P583" i="2" s="1"/>
  <c r="O602" i="2"/>
  <c r="O659" i="2" s="1"/>
  <c r="P409" i="2"/>
  <c r="P576" i="2"/>
  <c r="P587" i="2"/>
  <c r="P588" i="2" s="1"/>
  <c r="P572" i="2"/>
  <c r="P592" i="2"/>
  <c r="P593" i="2" s="1"/>
  <c r="P652" i="2" s="1"/>
  <c r="O576" i="2"/>
  <c r="K409" i="2"/>
  <c r="K650" i="2"/>
  <c r="K582" i="2"/>
  <c r="K583" i="2" s="1"/>
  <c r="J628" i="2"/>
  <c r="J665" i="2" s="1"/>
  <c r="E13" i="17" s="1"/>
  <c r="K572" i="2"/>
  <c r="K592" i="2"/>
  <c r="K593" i="2" s="1"/>
  <c r="K652" i="2" s="1"/>
  <c r="K587" i="2"/>
  <c r="K588" i="2" s="1"/>
  <c r="K576" i="2"/>
  <c r="R628" i="2"/>
  <c r="R665" i="2" s="1"/>
  <c r="O587" i="2"/>
  <c r="O588" i="2" s="1"/>
  <c r="O572" i="2"/>
  <c r="I572" i="2"/>
  <c r="O592" i="2"/>
  <c r="O593" i="2" s="1"/>
  <c r="O652" i="2" s="1"/>
  <c r="O582" i="2"/>
  <c r="O583" i="2" s="1"/>
  <c r="O409" i="2"/>
  <c r="O650" i="2"/>
  <c r="M582" i="2"/>
  <c r="M583" i="2" s="1"/>
  <c r="M576" i="2"/>
  <c r="M650" i="2"/>
  <c r="I409" i="2"/>
  <c r="I578" i="2"/>
  <c r="I653" i="2" s="1"/>
  <c r="I592" i="2"/>
  <c r="I593" i="2" s="1"/>
  <c r="I652" i="2" s="1"/>
  <c r="I576" i="2"/>
  <c r="I650" i="2"/>
  <c r="I582" i="2"/>
  <c r="I583" i="2" s="1"/>
  <c r="M587" i="2"/>
  <c r="M588" i="2" s="1"/>
  <c r="M409" i="2"/>
  <c r="M572" i="2"/>
  <c r="M578" i="2"/>
  <c r="K602" i="2"/>
  <c r="K659" i="2" s="1"/>
  <c r="K653" i="2"/>
  <c r="D36" i="4"/>
  <c r="D37" i="4"/>
  <c r="D38" i="4"/>
  <c r="AG398" i="2"/>
  <c r="AH398" i="2" s="1"/>
  <c r="E10" i="4"/>
  <c r="F400" i="2"/>
  <c r="H11" i="4"/>
  <c r="L11" i="4" s="1"/>
  <c r="M11" i="4" s="1"/>
  <c r="G602" i="2"/>
  <c r="G659" i="2" s="1"/>
  <c r="G628" i="2"/>
  <c r="G665" i="2" s="1"/>
  <c r="E10" i="17" s="1"/>
  <c r="H15" i="4"/>
  <c r="H592" i="2"/>
  <c r="H593" i="2" s="1"/>
  <c r="H652" i="2" s="1"/>
  <c r="H572" i="2"/>
  <c r="H576" i="2"/>
  <c r="H409" i="2"/>
  <c r="H582" i="2"/>
  <c r="H583" i="2" s="1"/>
  <c r="H578" i="2"/>
  <c r="H653" i="2" s="1"/>
  <c r="H587" i="2"/>
  <c r="H588" i="2" s="1"/>
  <c r="H650" i="2"/>
  <c r="Q602" i="2"/>
  <c r="Q659" i="2" s="1"/>
  <c r="Q628" i="2"/>
  <c r="Q665" i="2" s="1"/>
  <c r="F602" i="2"/>
  <c r="F659" i="2" s="1"/>
  <c r="F628" i="2"/>
  <c r="F665" i="2" s="1"/>
  <c r="E9" i="17" s="1"/>
  <c r="S659" i="2"/>
  <c r="S627" i="2"/>
  <c r="S665" i="2" s="1"/>
  <c r="J650" i="2"/>
  <c r="J582" i="2"/>
  <c r="J583" i="2" s="1"/>
  <c r="J587" i="2"/>
  <c r="J588" i="2" s="1"/>
  <c r="J592" i="2"/>
  <c r="J593" i="2" s="1"/>
  <c r="J652" i="2" s="1"/>
  <c r="J576" i="2"/>
  <c r="J409" i="2"/>
  <c r="J572" i="2"/>
  <c r="J578" i="2"/>
  <c r="J653" i="2" s="1"/>
  <c r="D41" i="4"/>
  <c r="D42" i="4"/>
  <c r="D44" i="4"/>
  <c r="D46" i="4"/>
  <c r="D48" i="4"/>
  <c r="D47" i="4"/>
  <c r="D43" i="4"/>
  <c r="D40" i="4"/>
  <c r="D45" i="4"/>
  <c r="D39" i="4"/>
  <c r="H12" i="4"/>
  <c r="P628" i="2"/>
  <c r="P665" i="2" s="1"/>
  <c r="P602" i="2"/>
  <c r="P659" i="2" s="1"/>
  <c r="G576" i="2"/>
  <c r="G587" i="2"/>
  <c r="G588" i="2" s="1"/>
  <c r="G582" i="2"/>
  <c r="G583" i="2" s="1"/>
  <c r="G592" i="2"/>
  <c r="G593" i="2" s="1"/>
  <c r="G652" i="2" s="1"/>
  <c r="G650" i="2"/>
  <c r="G578" i="2"/>
  <c r="G653" i="2" s="1"/>
  <c r="G409" i="2"/>
  <c r="G572" i="2"/>
  <c r="Q653" i="2"/>
  <c r="D34" i="4"/>
  <c r="AH349" i="2"/>
  <c r="AG351" i="2"/>
  <c r="AH351" i="2" s="1"/>
  <c r="AG532" i="2"/>
  <c r="AH532" i="2" s="1"/>
  <c r="D35" i="4"/>
  <c r="H13" i="4"/>
  <c r="I628" i="2"/>
  <c r="I665" i="2" s="1"/>
  <c r="E12" i="17" s="1"/>
  <c r="I602" i="2"/>
  <c r="I659" i="2" s="1"/>
  <c r="R654" i="2" l="1"/>
  <c r="N653" i="2"/>
  <c r="S653" i="2"/>
  <c r="P653" i="2"/>
  <c r="O653" i="2"/>
  <c r="K654" i="2"/>
  <c r="I654" i="2"/>
  <c r="M653" i="2"/>
  <c r="E26" i="4"/>
  <c r="F26" i="4" s="1"/>
  <c r="H26" i="4" s="1"/>
  <c r="F10" i="4"/>
  <c r="M10" i="4" s="1"/>
  <c r="G654" i="2"/>
  <c r="F408" i="2"/>
  <c r="AG400" i="2"/>
  <c r="AH400" i="2" s="1"/>
  <c r="AH1" i="2" s="1"/>
  <c r="J654" i="2"/>
  <c r="H654" i="2"/>
  <c r="M26" i="4" l="1"/>
  <c r="M27" i="4" s="1"/>
  <c r="M9" i="4"/>
  <c r="F650" i="2"/>
  <c r="F582" i="2"/>
  <c r="F583" i="2" s="1"/>
  <c r="F592" i="2"/>
  <c r="F593" i="2" s="1"/>
  <c r="F652" i="2" s="1"/>
  <c r="F578" i="2"/>
  <c r="F409" i="2"/>
  <c r="F576" i="2"/>
  <c r="F587" i="2"/>
  <c r="F588" i="2" s="1"/>
  <c r="F572" i="2"/>
  <c r="H10" i="4"/>
  <c r="I10" i="4" s="1"/>
  <c r="I14" i="4"/>
  <c r="I11" i="4"/>
  <c r="I13" i="4"/>
  <c r="I26" i="4"/>
  <c r="I12" i="4"/>
  <c r="I15" i="4"/>
  <c r="F653" i="2" l="1"/>
</calcChain>
</file>

<file path=xl/sharedStrings.xml><?xml version="1.0" encoding="utf-8"?>
<sst xmlns="http://schemas.openxmlformats.org/spreadsheetml/2006/main" count="2275" uniqueCount="1122">
  <si>
    <t>Total</t>
  </si>
  <si>
    <t>Station Equipment</t>
  </si>
  <si>
    <t>Primary Distribution Plant</t>
  </si>
  <si>
    <t>Customer Services</t>
  </si>
  <si>
    <t>Meters</t>
  </si>
  <si>
    <t>Lighting Systems</t>
  </si>
  <si>
    <t>Description</t>
  </si>
  <si>
    <t>Name</t>
  </si>
  <si>
    <t>Vector</t>
  </si>
  <si>
    <t>System</t>
  </si>
  <si>
    <t>Demand</t>
  </si>
  <si>
    <t>Energy</t>
  </si>
  <si>
    <t>Customer</t>
  </si>
  <si>
    <t>Total Check</t>
  </si>
  <si>
    <t>Status</t>
  </si>
  <si>
    <t>Plant in Service</t>
  </si>
  <si>
    <t>PDIST</t>
  </si>
  <si>
    <t>LAND AND LAND RIGHTS</t>
  </si>
  <si>
    <t>P360</t>
  </si>
  <si>
    <t>Total Intangible Plant</t>
  </si>
  <si>
    <t>PINT</t>
  </si>
  <si>
    <t>Distribution</t>
  </si>
  <si>
    <t>STATION EQUIPMENT</t>
  </si>
  <si>
    <t>P362</t>
  </si>
  <si>
    <t>F001</t>
  </si>
  <si>
    <t>POLES, TOWERS AND FIXTURES</t>
  </si>
  <si>
    <t>P364</t>
  </si>
  <si>
    <t>F002</t>
  </si>
  <si>
    <t>OVERHEAD CONDUCTORS AND DEVICE</t>
  </si>
  <si>
    <t>P365</t>
  </si>
  <si>
    <t>F003</t>
  </si>
  <si>
    <t>UNDERGROUND CONDUIT</t>
  </si>
  <si>
    <t>P366</t>
  </si>
  <si>
    <t>F004</t>
  </si>
  <si>
    <t>UNDERGROUND CONDUCTORS AND DEV</t>
  </si>
  <si>
    <t>P367</t>
  </si>
  <si>
    <t>LINE TRANSFORMERS</t>
  </si>
  <si>
    <t>P368</t>
  </si>
  <si>
    <t>F005</t>
  </si>
  <si>
    <t>SERVICES</t>
  </si>
  <si>
    <t>P369</t>
  </si>
  <si>
    <t>F006</t>
  </si>
  <si>
    <t>METERS</t>
  </si>
  <si>
    <t>P370</t>
  </si>
  <si>
    <t>F007</t>
  </si>
  <si>
    <t>INSTALLATIONS ON CONSUMERS PRE</t>
  </si>
  <si>
    <t>P371</t>
  </si>
  <si>
    <t>STREET LIGHTING AND SIGNAL SYS</t>
  </si>
  <si>
    <t>P373</t>
  </si>
  <si>
    <t>F008</t>
  </si>
  <si>
    <t>Total Distribution Plant</t>
  </si>
  <si>
    <t>General Plant</t>
  </si>
  <si>
    <t>P389</t>
  </si>
  <si>
    <t>STRUCTURES AND IMPROVEMENTS</t>
  </si>
  <si>
    <t>P390</t>
  </si>
  <si>
    <t>OFFICE FURNITURE AND EQUIPMENT</t>
  </si>
  <si>
    <t>P391</t>
  </si>
  <si>
    <t>TRANSPORTATION EQUIPMENT</t>
  </si>
  <si>
    <t>P392</t>
  </si>
  <si>
    <t>STORES EQUIPMENT</t>
  </si>
  <si>
    <t>P393</t>
  </si>
  <si>
    <t>TOOLS, SHOP &amp; GARAGE EQUIPMENT</t>
  </si>
  <si>
    <t>P394</t>
  </si>
  <si>
    <t>LABORATORY EQUIPMENT</t>
  </si>
  <si>
    <t>P395</t>
  </si>
  <si>
    <t>POWER OPERATED EQUIPMENT</t>
  </si>
  <si>
    <t>P396</t>
  </si>
  <si>
    <t>COMMUNICATION EQUIPMENT</t>
  </si>
  <si>
    <t>P397</t>
  </si>
  <si>
    <t>Total General Plant</t>
  </si>
  <si>
    <t>PGP</t>
  </si>
  <si>
    <t>Total Plant in Service</t>
  </si>
  <si>
    <t>TPIS</t>
  </si>
  <si>
    <t>Construction Work in Progress (CWIP)</t>
  </si>
  <si>
    <t xml:space="preserve">  Total Construction Work in Progress</t>
  </si>
  <si>
    <t>TCWIP</t>
  </si>
  <si>
    <t>Rate Base</t>
  </si>
  <si>
    <t>Utility Plant</t>
  </si>
  <si>
    <t xml:space="preserve">    Total Utility Plant</t>
  </si>
  <si>
    <t>TUP</t>
  </si>
  <si>
    <t>Less: Acummulated Provision for Depreciation</t>
  </si>
  <si>
    <t xml:space="preserve">  General Plant</t>
  </si>
  <si>
    <t>TADEPR</t>
  </si>
  <si>
    <t>Net Utility Plant</t>
  </si>
  <si>
    <t>NTPLANT</t>
  </si>
  <si>
    <t>Working Capital</t>
  </si>
  <si>
    <t>Operation and Maintenance Expenses</t>
  </si>
  <si>
    <t>CWC</t>
  </si>
  <si>
    <t>OMLPP</t>
  </si>
  <si>
    <t>PREPAY</t>
  </si>
  <si>
    <t xml:space="preserve">  Total Working Capital</t>
  </si>
  <si>
    <t>TWC</t>
  </si>
  <si>
    <t>CSTDEP</t>
  </si>
  <si>
    <t>Net Rate Base</t>
  </si>
  <si>
    <t>RB</t>
  </si>
  <si>
    <t>Purchased Power</t>
  </si>
  <si>
    <t>OMPP</t>
  </si>
  <si>
    <t>Distribution Operation Expense</t>
  </si>
  <si>
    <t>OPERATION SUPERVISION AND ENGI</t>
  </si>
  <si>
    <t>OM580</t>
  </si>
  <si>
    <t>LOAD DISPATCHING</t>
  </si>
  <si>
    <t>OM581</t>
  </si>
  <si>
    <t>OVERHEAD LINE EXPENSES</t>
  </si>
  <si>
    <t>OM583</t>
  </si>
  <si>
    <t>UNDERGROUND LINE EXPENSES</t>
  </si>
  <si>
    <t>OM584</t>
  </si>
  <si>
    <t>STREET LIGHTING EXPENSE</t>
  </si>
  <si>
    <t>OM585</t>
  </si>
  <si>
    <t>METER EXPENSES</t>
  </si>
  <si>
    <t>OM586</t>
  </si>
  <si>
    <t>CUSTOMER INSTALLATIONS EXPENSE</t>
  </si>
  <si>
    <t>OM587</t>
  </si>
  <si>
    <t>MISCELLANEOUS DISTRIBUTION EXP</t>
  </si>
  <si>
    <t>OM588</t>
  </si>
  <si>
    <t>RENTS</t>
  </si>
  <si>
    <t>OM589</t>
  </si>
  <si>
    <t>Total Distribution Operation Expense</t>
  </si>
  <si>
    <t>OMDO</t>
  </si>
  <si>
    <t>Distribution Maintenance Expense</t>
  </si>
  <si>
    <t>MAINTENANCE SUPERVISION AND EN</t>
  </si>
  <si>
    <t>OM590</t>
  </si>
  <si>
    <t>MAINTENANCE OF STATION EQUIPME</t>
  </si>
  <si>
    <t>OM592</t>
  </si>
  <si>
    <t>MAINTENANCE OF OVERHEAD LINES</t>
  </si>
  <si>
    <t>OM593</t>
  </si>
  <si>
    <t>MAINTENANCE OF UNDERGROUND LIN</t>
  </si>
  <si>
    <t>OM594</t>
  </si>
  <si>
    <t>MAINTENANCE OF LINE TRANSFORME</t>
  </si>
  <si>
    <t>OM595</t>
  </si>
  <si>
    <t>MAINTENANCE OF METERS</t>
  </si>
  <si>
    <t>OM597</t>
  </si>
  <si>
    <t>OM598</t>
  </si>
  <si>
    <t>Total Distribution Maintenance Expense</t>
  </si>
  <si>
    <t>OMDM</t>
  </si>
  <si>
    <t>OMSUB</t>
  </si>
  <si>
    <t>Operation and Maintenance Expenses (Continued)</t>
  </si>
  <si>
    <t>Customer Accounts Expense</t>
  </si>
  <si>
    <t>SUPERVISION/CUSTOMER ACCTS</t>
  </si>
  <si>
    <t>OM901</t>
  </si>
  <si>
    <t>F009</t>
  </si>
  <si>
    <t>METER READING EXPENSES</t>
  </si>
  <si>
    <t>OM902</t>
  </si>
  <si>
    <t>OM903</t>
  </si>
  <si>
    <t>UNCOLLECTIBLE ACCOUNTS</t>
  </si>
  <si>
    <t>OM904</t>
  </si>
  <si>
    <t>Total Customer Accounts Expense</t>
  </si>
  <si>
    <t>OMCA</t>
  </si>
  <si>
    <t>Customer Service Expense</t>
  </si>
  <si>
    <t>OM907</t>
  </si>
  <si>
    <t>F010</t>
  </si>
  <si>
    <t>CUSTOMER ASSISTANCE EXPENSES</t>
  </si>
  <si>
    <t>OM908</t>
  </si>
  <si>
    <t>INFORMATIONAL AND INSTRUCTIONA</t>
  </si>
  <si>
    <t>OM909</t>
  </si>
  <si>
    <t>MISCELLANEOUS CUSTOMER SERVICE</t>
  </si>
  <si>
    <t>OM910</t>
  </si>
  <si>
    <t>Total Customer Service Expense</t>
  </si>
  <si>
    <t>OMCS</t>
  </si>
  <si>
    <t>Administrative and General Expense</t>
  </si>
  <si>
    <t>ADMIN. &amp; GEN. SALARIES-</t>
  </si>
  <si>
    <t>OM920</t>
  </si>
  <si>
    <t>OFFICE SUPPLIES AND EXPENSES</t>
  </si>
  <si>
    <t>OM921</t>
  </si>
  <si>
    <t>OUTSIDE SERVICES EMPLOYED</t>
  </si>
  <si>
    <t>OM923</t>
  </si>
  <si>
    <t>PROPERTY INSURANCE</t>
  </si>
  <si>
    <t>OM924</t>
  </si>
  <si>
    <t>INJURIES AND DAMAGES - INSURAN</t>
  </si>
  <si>
    <t>OM925</t>
  </si>
  <si>
    <t>EMPLOYEE BENEFITS</t>
  </si>
  <si>
    <t>OM926</t>
  </si>
  <si>
    <t>REGULATORY COMMISSION EXPENSES</t>
  </si>
  <si>
    <t>OM928</t>
  </si>
  <si>
    <t>MISCELLANEOUS GENERAL EXPENSES</t>
  </si>
  <si>
    <t>OM930</t>
  </si>
  <si>
    <t>RENTS AND LEASES</t>
  </si>
  <si>
    <t>OM931</t>
  </si>
  <si>
    <t>MAINTENANCE OF GENERAL PLANT</t>
  </si>
  <si>
    <t>Total Administrative and General Expense</t>
  </si>
  <si>
    <t>OMAG</t>
  </si>
  <si>
    <t>Total Operation and Maintenance Expenses</t>
  </si>
  <si>
    <t>TOM</t>
  </si>
  <si>
    <t>Labor Expenses</t>
  </si>
  <si>
    <t>Other Expenses</t>
  </si>
  <si>
    <t>Depreciation Expenses</t>
  </si>
  <si>
    <t>Total Depreciation Expense</t>
  </si>
  <si>
    <t>TDEPR</t>
  </si>
  <si>
    <t>Property Taxes</t>
  </si>
  <si>
    <t>PTAX</t>
  </si>
  <si>
    <t>OT</t>
  </si>
  <si>
    <t>Interest -- LTD</t>
  </si>
  <si>
    <t>INTLTD</t>
  </si>
  <si>
    <t>Interest -- Other</t>
  </si>
  <si>
    <t>INTOTH</t>
  </si>
  <si>
    <t>Other Deductions</t>
  </si>
  <si>
    <t>DEDUCT</t>
  </si>
  <si>
    <t>Total Other Expenses</t>
  </si>
  <si>
    <t>TOE</t>
  </si>
  <si>
    <t>Functional Vectors</t>
  </si>
  <si>
    <t>Poles, Towers and Fixtures</t>
  </si>
  <si>
    <t>Overhead Conductors and Devices</t>
  </si>
  <si>
    <t>Underground Conductors and Devices</t>
  </si>
  <si>
    <t>Line Transformers</t>
  </si>
  <si>
    <t>Services</t>
  </si>
  <si>
    <t>Street Lighting</t>
  </si>
  <si>
    <t>Meter Reading</t>
  </si>
  <si>
    <t>Billing</t>
  </si>
  <si>
    <t>Allocation</t>
  </si>
  <si>
    <t xml:space="preserve">  Demand</t>
  </si>
  <si>
    <t>PLPPD</t>
  </si>
  <si>
    <t>D01</t>
  </si>
  <si>
    <t xml:space="preserve">  Energy</t>
  </si>
  <si>
    <t>PLPPE</t>
  </si>
  <si>
    <t>E01</t>
  </si>
  <si>
    <t>Total Purchase Power</t>
  </si>
  <si>
    <t>PLPPT</t>
  </si>
  <si>
    <t>PLSED</t>
  </si>
  <si>
    <t>D02</t>
  </si>
  <si>
    <t>PLDPD</t>
  </si>
  <si>
    <t>D03</t>
  </si>
  <si>
    <t xml:space="preserve">  Customer</t>
  </si>
  <si>
    <t>PLDPC</t>
  </si>
  <si>
    <t>C01</t>
  </si>
  <si>
    <t>Total Primary Distribution Plant</t>
  </si>
  <si>
    <t>PLCSD</t>
  </si>
  <si>
    <t>PLCSC</t>
  </si>
  <si>
    <t>C02</t>
  </si>
  <si>
    <t>Total Customer Services</t>
  </si>
  <si>
    <t>PLMC</t>
  </si>
  <si>
    <t>C03</t>
  </si>
  <si>
    <t>PLLSC</t>
  </si>
  <si>
    <t>C04</t>
  </si>
  <si>
    <t>PLMRBC</t>
  </si>
  <si>
    <t>C05</t>
  </si>
  <si>
    <t>C06</t>
  </si>
  <si>
    <t>PLT</t>
  </si>
  <si>
    <t>NPPPD</t>
  </si>
  <si>
    <t>NPPPE</t>
  </si>
  <si>
    <t>NPPPT</t>
  </si>
  <si>
    <t>NPSED</t>
  </si>
  <si>
    <t>NPDPD</t>
  </si>
  <si>
    <t>NPDPC</t>
  </si>
  <si>
    <t>NPCSD</t>
  </si>
  <si>
    <t>NPCSC</t>
  </si>
  <si>
    <t>NPMC</t>
  </si>
  <si>
    <t>NPLSC</t>
  </si>
  <si>
    <t>NPMRBC</t>
  </si>
  <si>
    <t>NPT</t>
  </si>
  <si>
    <t>Net Cost Rate Base</t>
  </si>
  <si>
    <t>RBPPD</t>
  </si>
  <si>
    <t>RBPPE</t>
  </si>
  <si>
    <t>RBPPT</t>
  </si>
  <si>
    <t>RBSED</t>
  </si>
  <si>
    <t>RBDPD</t>
  </si>
  <si>
    <t>RBDPC</t>
  </si>
  <si>
    <t>RBCSD</t>
  </si>
  <si>
    <t>RBCSC</t>
  </si>
  <si>
    <t>RBMC</t>
  </si>
  <si>
    <t>RBLSC</t>
  </si>
  <si>
    <t>RBMRBC</t>
  </si>
  <si>
    <t>RBT</t>
  </si>
  <si>
    <t>OMPPD</t>
  </si>
  <si>
    <t>OMPPE</t>
  </si>
  <si>
    <t>OMPPT</t>
  </si>
  <si>
    <t>OMSED</t>
  </si>
  <si>
    <t>OMDPD</t>
  </si>
  <si>
    <t>OMDPC</t>
  </si>
  <si>
    <t>OMCSD</t>
  </si>
  <si>
    <t>OMCSC</t>
  </si>
  <si>
    <t>OMMC</t>
  </si>
  <si>
    <t>OMLSC</t>
  </si>
  <si>
    <t>OMMRBC</t>
  </si>
  <si>
    <t>OMT</t>
  </si>
  <si>
    <t>LBPPD</t>
  </si>
  <si>
    <t>LBPPE</t>
  </si>
  <si>
    <t>LBPPT</t>
  </si>
  <si>
    <t>LBSED</t>
  </si>
  <si>
    <t>LBDPD</t>
  </si>
  <si>
    <t>LBDPC</t>
  </si>
  <si>
    <t>LBCSD</t>
  </si>
  <si>
    <t>LBCSC</t>
  </si>
  <si>
    <t>LBMC</t>
  </si>
  <si>
    <t>LBLSC</t>
  </si>
  <si>
    <t>LBMRBC</t>
  </si>
  <si>
    <t>LBT</t>
  </si>
  <si>
    <t>DPPPD</t>
  </si>
  <si>
    <t>DPPPE</t>
  </si>
  <si>
    <t>DPPPT</t>
  </si>
  <si>
    <t>DPSED</t>
  </si>
  <si>
    <t>DPDPD</t>
  </si>
  <si>
    <t>DPDPC</t>
  </si>
  <si>
    <t>DPCSD</t>
  </si>
  <si>
    <t>DPCSC</t>
  </si>
  <si>
    <t>DPMC</t>
  </si>
  <si>
    <t>DPLSC</t>
  </si>
  <si>
    <t>DPMRBC</t>
  </si>
  <si>
    <t>DPT</t>
  </si>
  <si>
    <t>PTPPD</t>
  </si>
  <si>
    <t>PTPPE</t>
  </si>
  <si>
    <t>PTPPT</t>
  </si>
  <si>
    <t>PTSED</t>
  </si>
  <si>
    <t>PTDPD</t>
  </si>
  <si>
    <t>PTDPC</t>
  </si>
  <si>
    <t>PTCSD</t>
  </si>
  <si>
    <t>PTCSC</t>
  </si>
  <si>
    <t>PTMC</t>
  </si>
  <si>
    <t>PTLSC</t>
  </si>
  <si>
    <t>PTMRBC</t>
  </si>
  <si>
    <t>PTT</t>
  </si>
  <si>
    <t>Other Taxes</t>
  </si>
  <si>
    <t>OTPPD</t>
  </si>
  <si>
    <t>OTPPE</t>
  </si>
  <si>
    <t>OTPPT</t>
  </si>
  <si>
    <t>OTSED</t>
  </si>
  <si>
    <t>OTDPD</t>
  </si>
  <si>
    <t>OTDPC</t>
  </si>
  <si>
    <t>OTCSD</t>
  </si>
  <si>
    <t>OTCSC</t>
  </si>
  <si>
    <t>OTMC</t>
  </si>
  <si>
    <t>OTLSC</t>
  </si>
  <si>
    <t>OTMRBC</t>
  </si>
  <si>
    <t>OTT</t>
  </si>
  <si>
    <t>Operating Revenues</t>
  </si>
  <si>
    <t>REVUC</t>
  </si>
  <si>
    <t>Total Operating Revenues</t>
  </si>
  <si>
    <t>TOR</t>
  </si>
  <si>
    <t>Operating Expenses</t>
  </si>
  <si>
    <t xml:space="preserve">   Operation and Maintenance Expenses</t>
  </si>
  <si>
    <t xml:space="preserve">   Depreciation and Amortization Expenses</t>
  </si>
  <si>
    <t xml:space="preserve">   Property Taxes</t>
  </si>
  <si>
    <t xml:space="preserve">   Other Taxes</t>
  </si>
  <si>
    <t>Total Operating Expenses</t>
  </si>
  <si>
    <t>Utility Operating Margin</t>
  </si>
  <si>
    <t>Rate of Return</t>
  </si>
  <si>
    <t>Energy Allocation Factors</t>
  </si>
  <si>
    <t>Energy Usage by Class</t>
  </si>
  <si>
    <t>Demand Allocation Factors</t>
  </si>
  <si>
    <t>Purchase Power -- Average 12 CP</t>
  </si>
  <si>
    <t>Station Equipment -- Maximum Class Demand</t>
  </si>
  <si>
    <t>Primary Distribution Plant -- Maximum Class Demand</t>
  </si>
  <si>
    <t>Customer Allocation Factors</t>
  </si>
  <si>
    <t>Primary Distribution Plant -- Average Number of Customers</t>
  </si>
  <si>
    <t>Customer Services -- Average Number of Customers</t>
  </si>
  <si>
    <t>Meter Costs -- Weighted Cost of Meters</t>
  </si>
  <si>
    <t>Lighting Systems -- Lighting Customers</t>
  </si>
  <si>
    <t>Meter Reading and Billing -- Weighted Cost</t>
  </si>
  <si>
    <t>Margin</t>
  </si>
  <si>
    <t>Revenue</t>
  </si>
  <si>
    <t>Rev</t>
  </si>
  <si>
    <t>Transmission</t>
  </si>
  <si>
    <t>CONDUCTORS AND DEVICES</t>
  </si>
  <si>
    <t>P350</t>
  </si>
  <si>
    <t>P353</t>
  </si>
  <si>
    <t>P355</t>
  </si>
  <si>
    <t>P356</t>
  </si>
  <si>
    <t>Pri &amp; Sec. Distr Plant</t>
  </si>
  <si>
    <t>Primary &amp; Secondary Distribution Plant</t>
  </si>
  <si>
    <t>Intangible Plant</t>
  </si>
  <si>
    <t>Total Transmission Plant</t>
  </si>
  <si>
    <t>ORGANIZATION</t>
  </si>
  <si>
    <t>P301</t>
  </si>
  <si>
    <t>MISCELLANEOUS EQUIPMENT</t>
  </si>
  <si>
    <t>P398</t>
  </si>
  <si>
    <t>COMPLETED CONSTR NOT CLASSIFIED</t>
  </si>
  <si>
    <t>P106</t>
  </si>
  <si>
    <t>Plant in Service (Continued)</t>
  </si>
  <si>
    <t xml:space="preserve">  Total Utility Plant</t>
  </si>
  <si>
    <t xml:space="preserve">  Transmission</t>
  </si>
  <si>
    <t xml:space="preserve">  Electric Plant Amortization</t>
  </si>
  <si>
    <t xml:space="preserve">  Retirement Work in Progress</t>
  </si>
  <si>
    <t>Transmission Expenses</t>
  </si>
  <si>
    <t>STATION EXPENSES</t>
  </si>
  <si>
    <t>MAINTENACE SUPERVISION AND ENG</t>
  </si>
  <si>
    <t>OPERATION SUPERVISION AND ENG</t>
  </si>
  <si>
    <t>MAINT OF STATION EQUIPMENT</t>
  </si>
  <si>
    <t>MAINT OF OVERHEAD LINES</t>
  </si>
  <si>
    <t>Total Transmission Expenses</t>
  </si>
  <si>
    <t>OM582</t>
  </si>
  <si>
    <t>PURCHASED POWER</t>
  </si>
  <si>
    <t>MAINTENANCE OF ST LIGHTS &amp; SIG SYSTEMS</t>
  </si>
  <si>
    <t>OM596</t>
  </si>
  <si>
    <t>Total Distribution Operation and Maintenance Expenses</t>
  </si>
  <si>
    <t>Transmission and Distribution Expenses</t>
  </si>
  <si>
    <t>MAINTENANCE OF MISC DISTR PLANT</t>
  </si>
  <si>
    <t>SUPERVISION</t>
  </si>
  <si>
    <t>DUPLICATE CHARGES-CR</t>
  </si>
  <si>
    <t>OM929</t>
  </si>
  <si>
    <t>AMORT LIMITED-TERM ELECT PLANT</t>
  </si>
  <si>
    <t>AMORT ELECT PLANT ACQUISIT ADJ</t>
  </si>
  <si>
    <t>Total Cost of Service (O&amp;M + Other Expenses)</t>
  </si>
  <si>
    <t>PTRAN</t>
  </si>
  <si>
    <t>F011</t>
  </si>
  <si>
    <t>PT&amp;D</t>
  </si>
  <si>
    <t>ADEPREPA</t>
  </si>
  <si>
    <t>RWIP</t>
  </si>
  <si>
    <t>ADEPRTP</t>
  </si>
  <si>
    <t>M&amp;S</t>
  </si>
  <si>
    <t>OM555</t>
  </si>
  <si>
    <t>OTHER EXPENSES</t>
  </si>
  <si>
    <t>Total Purchased Power</t>
  </si>
  <si>
    <t>OM557</t>
  </si>
  <si>
    <t>TPP</t>
  </si>
  <si>
    <t>Purchased Power Expenses</t>
  </si>
  <si>
    <t>OM560</t>
  </si>
  <si>
    <t>OM561</t>
  </si>
  <si>
    <t>OM562</t>
  </si>
  <si>
    <t>OM563</t>
  </si>
  <si>
    <t>OM568</t>
  </si>
  <si>
    <t>OM570</t>
  </si>
  <si>
    <t>OM571</t>
  </si>
  <si>
    <t>Sub-Total Transmission, Distribution, Cust Acct and Cust Service</t>
  </si>
  <si>
    <t>OMSUB2</t>
  </si>
  <si>
    <t>Operation and Maintenance Expenses Less Purchase Power</t>
  </si>
  <si>
    <t>Cash Working Capital - Operation and Maintenance Expenses</t>
  </si>
  <si>
    <t>DEPRTP</t>
  </si>
  <si>
    <t>DEPRGP</t>
  </si>
  <si>
    <t>DEPRLTEP</t>
  </si>
  <si>
    <t>DEPRAADJ</t>
  </si>
  <si>
    <t>P352</t>
  </si>
  <si>
    <t>TOWERS AND FIXTURES</t>
  </si>
  <si>
    <t>POLES AND FIXTURES</t>
  </si>
  <si>
    <t>P354</t>
  </si>
  <si>
    <t>ROADS AND TRAILS</t>
  </si>
  <si>
    <t>P359</t>
  </si>
  <si>
    <t>P361</t>
  </si>
  <si>
    <t xml:space="preserve">  CWIP Transmission</t>
  </si>
  <si>
    <t xml:space="preserve">  Dist-Structures</t>
  </si>
  <si>
    <t xml:space="preserve">  Dist-Station</t>
  </si>
  <si>
    <t xml:space="preserve">  Dist-Poles and Fixtures</t>
  </si>
  <si>
    <t xml:space="preserve">  Dist-OH Conductor</t>
  </si>
  <si>
    <t xml:space="preserve">  Dist-UG Conductor</t>
  </si>
  <si>
    <t xml:space="preserve">  Dist-Line Transformers</t>
  </si>
  <si>
    <t xml:space="preserve">  Dist-Services</t>
  </si>
  <si>
    <t xml:space="preserve">  Dist-Meters</t>
  </si>
  <si>
    <t xml:space="preserve">  Dist-Installations on Customer Premises</t>
  </si>
  <si>
    <t xml:space="preserve">  Dist-Lighting &amp; Signal Systems</t>
  </si>
  <si>
    <t>ADEPRD1</t>
  </si>
  <si>
    <t>ADEPRD2</t>
  </si>
  <si>
    <t>ADEPRD3</t>
  </si>
  <si>
    <t>ADEPRD4</t>
  </si>
  <si>
    <t>ADEPRD5</t>
  </si>
  <si>
    <t>ADEPRD6</t>
  </si>
  <si>
    <t>ADEPRD7</t>
  </si>
  <si>
    <t>ADEPRD8</t>
  </si>
  <si>
    <t>ADEPRD9</t>
  </si>
  <si>
    <t>ADEPRD10</t>
  </si>
  <si>
    <t>ADEPRD11</t>
  </si>
  <si>
    <t xml:space="preserve">  Dist-UG Conduit</t>
  </si>
  <si>
    <t>ADEPRD12</t>
  </si>
  <si>
    <t xml:space="preserve">  CWIP General Plant</t>
  </si>
  <si>
    <t>METER EXPENSES - LOAD MANAGEMENT</t>
  </si>
  <si>
    <t>OM586x</t>
  </si>
  <si>
    <t>RECORDS AND COLLECTION</t>
  </si>
  <si>
    <t>MISC CUST ACCOUNTS</t>
  </si>
  <si>
    <t>CUSTOMER ASSISTANCE EXP-LOAD MGMT</t>
  </si>
  <si>
    <t>OM908x</t>
  </si>
  <si>
    <t>INFORM AND INSTRUC -LOAD MGMT</t>
  </si>
  <si>
    <t>OM909x</t>
  </si>
  <si>
    <t>DEPRDP1</t>
  </si>
  <si>
    <t>DEPRDP2</t>
  </si>
  <si>
    <t>DEPRDP3</t>
  </si>
  <si>
    <t>DEPRDP4</t>
  </si>
  <si>
    <t>DEPRDP5</t>
  </si>
  <si>
    <t>DEPRDP6</t>
  </si>
  <si>
    <t>DEPRDP7</t>
  </si>
  <si>
    <t>DEPRDP8</t>
  </si>
  <si>
    <t>DEPRDP9</t>
  </si>
  <si>
    <t>DEPRDP10</t>
  </si>
  <si>
    <t>DEPRDP11</t>
  </si>
  <si>
    <t>DEPRDP12</t>
  </si>
  <si>
    <t>Load Management</t>
  </si>
  <si>
    <t>F012</t>
  </si>
  <si>
    <t>PLD</t>
  </si>
  <si>
    <t>Labor Expenses (Continued)</t>
  </si>
  <si>
    <t>LBPP</t>
  </si>
  <si>
    <t>LB557</t>
  </si>
  <si>
    <t>LB561</t>
  </si>
  <si>
    <t>LB562</t>
  </si>
  <si>
    <t>LB563</t>
  </si>
  <si>
    <t>LB568</t>
  </si>
  <si>
    <t>LB570</t>
  </si>
  <si>
    <t>LB571</t>
  </si>
  <si>
    <t>LB580</t>
  </si>
  <si>
    <t>LB581</t>
  </si>
  <si>
    <t>LB582</t>
  </si>
  <si>
    <t>LB583</t>
  </si>
  <si>
    <t>LB584</t>
  </si>
  <si>
    <t>LB585</t>
  </si>
  <si>
    <t>LB586</t>
  </si>
  <si>
    <t>LB586x</t>
  </si>
  <si>
    <t>LB587</t>
  </si>
  <si>
    <t>LB588</t>
  </si>
  <si>
    <t>LB589</t>
  </si>
  <si>
    <t>LBDO</t>
  </si>
  <si>
    <t>LB590</t>
  </si>
  <si>
    <t>LB592</t>
  </si>
  <si>
    <t>LB593</t>
  </si>
  <si>
    <t>LB594</t>
  </si>
  <si>
    <t>LB595</t>
  </si>
  <si>
    <t>LB596</t>
  </si>
  <si>
    <t>LB597</t>
  </si>
  <si>
    <t>LB598</t>
  </si>
  <si>
    <t>LBDM</t>
  </si>
  <si>
    <t>LBSUB</t>
  </si>
  <si>
    <t>LB901</t>
  </si>
  <si>
    <t>LB902</t>
  </si>
  <si>
    <t>LB903</t>
  </si>
  <si>
    <t>LB904</t>
  </si>
  <si>
    <t>LBCA</t>
  </si>
  <si>
    <t>LB907</t>
  </si>
  <si>
    <t>LB908</t>
  </si>
  <si>
    <t>LB908x</t>
  </si>
  <si>
    <t>LB909</t>
  </si>
  <si>
    <t>LB909x</t>
  </si>
  <si>
    <t>LB910</t>
  </si>
  <si>
    <t>LBCS</t>
  </si>
  <si>
    <t>LBSUB2</t>
  </si>
  <si>
    <t>LB920</t>
  </si>
  <si>
    <t>LB921</t>
  </si>
  <si>
    <t>LB923</t>
  </si>
  <si>
    <t>LB924</t>
  </si>
  <si>
    <t>LB925</t>
  </si>
  <si>
    <t>LB926</t>
  </si>
  <si>
    <t>LB928</t>
  </si>
  <si>
    <t>LB929</t>
  </si>
  <si>
    <t>LB930</t>
  </si>
  <si>
    <t>LB931</t>
  </si>
  <si>
    <t>LBAG</t>
  </si>
  <si>
    <t>TLB</t>
  </si>
  <si>
    <t>LBLPP</t>
  </si>
  <si>
    <t>LB555</t>
  </si>
  <si>
    <t>LB560</t>
  </si>
  <si>
    <t>Total Purchased Power Labor</t>
  </si>
  <si>
    <t>Total Transmission Labor Expenses</t>
  </si>
  <si>
    <t>Transmission Labor Expenses</t>
  </si>
  <si>
    <t>Distribution Operation Labor Expense</t>
  </si>
  <si>
    <t>Total Distribution Operation Labor Expense</t>
  </si>
  <si>
    <t>Distribution Maintenance Labor Expense</t>
  </si>
  <si>
    <t>Total Distribution Maintenance Labor Expense</t>
  </si>
  <si>
    <t>Total Distribution Operation and Maintenance Labor Expenses</t>
  </si>
  <si>
    <t>Transmission and Distribution Labor Expenses</t>
  </si>
  <si>
    <t>Purchased Power, Transmission and Distribution Labor Expenses</t>
  </si>
  <si>
    <t>Total Customer Accounts Labor Expense</t>
  </si>
  <si>
    <t>Total Customer Service Labor Expense</t>
  </si>
  <si>
    <t>Sub-Total Trans, Distr, Cust Acct and Cust Service Labor Exp</t>
  </si>
  <si>
    <t>Meter Reading, Billing and Customer Service</t>
  </si>
  <si>
    <t>F013</t>
  </si>
  <si>
    <t>F014</t>
  </si>
  <si>
    <t>Intallations on Customer Premises - Plant in Service</t>
  </si>
  <si>
    <t>Intallations on Customer Premises - Accum Depr</t>
  </si>
  <si>
    <t>OM588x</t>
  </si>
  <si>
    <t>F015</t>
  </si>
  <si>
    <t>F016</t>
  </si>
  <si>
    <t>CWIP1</t>
  </si>
  <si>
    <t>CWIP2</t>
  </si>
  <si>
    <t>CWIP3</t>
  </si>
  <si>
    <t>CWIP4</t>
  </si>
  <si>
    <t>CWIP5</t>
  </si>
  <si>
    <t>Customers (Monthly Bills)</t>
  </si>
  <si>
    <t>Average Customers (Bills/12)</t>
  </si>
  <si>
    <t>Average Customers (Lighting = Lights)</t>
  </si>
  <si>
    <t>R01</t>
  </si>
  <si>
    <t>Cust01</t>
  </si>
  <si>
    <t>Cust02</t>
  </si>
  <si>
    <t>Cust03</t>
  </si>
  <si>
    <t>Cust04</t>
  </si>
  <si>
    <t>NCP</t>
  </si>
  <si>
    <t>Allocation Factors</t>
  </si>
  <si>
    <t>Total Operating Revenue -- Actual</t>
  </si>
  <si>
    <t>Pro-Forma Adjustments:</t>
  </si>
  <si>
    <t>Total Pro-Forma Operating Revenue</t>
  </si>
  <si>
    <t>Total Operating Expenses -- Actual</t>
  </si>
  <si>
    <t>Total Pro-forma Operating Expenses</t>
  </si>
  <si>
    <t>Utility Operating Margin -- Pro-Forma</t>
  </si>
  <si>
    <t>LEASED PROP. ON CONSUMERS PREMISES</t>
  </si>
  <si>
    <t>P372</t>
  </si>
  <si>
    <t>WATER HEATER - HEAT PUMP PROGRAM</t>
  </si>
  <si>
    <t>OM913</t>
  </si>
  <si>
    <t>ASSOCIATED DUES</t>
  </si>
  <si>
    <t xml:space="preserve">  Dist</t>
  </si>
  <si>
    <t xml:space="preserve">  Distribution Plant</t>
  </si>
  <si>
    <t>Average</t>
  </si>
  <si>
    <t>Cost of Service Summary -- Unadjusted Results</t>
  </si>
  <si>
    <t>Customers</t>
  </si>
  <si>
    <t>OTHER TANGIBLE PROPERTY</t>
  </si>
  <si>
    <t>P399</t>
  </si>
  <si>
    <t>MISC. TRANSMISSION EXPENSES</t>
  </si>
  <si>
    <t>OM566</t>
  </si>
  <si>
    <t>DEMONSTRATION AND SELLING EXP</t>
  </si>
  <si>
    <t>OM912</t>
  </si>
  <si>
    <t>LB566</t>
  </si>
  <si>
    <t>LB912</t>
  </si>
  <si>
    <t>LB913</t>
  </si>
  <si>
    <t>PAYROLL GENERAL LEDGER DEFAULT</t>
  </si>
  <si>
    <t>LB950</t>
  </si>
  <si>
    <t>Customer Specific Assignment</t>
  </si>
  <si>
    <t>Transmission Residual</t>
  </si>
  <si>
    <t xml:space="preserve">Transmission Plant In Service </t>
  </si>
  <si>
    <t>Transmission Residual Demand Allocator</t>
  </si>
  <si>
    <t>TRDA</t>
  </si>
  <si>
    <t>TA1</t>
  </si>
  <si>
    <t>Transmission Total</t>
  </si>
  <si>
    <t>T01</t>
  </si>
  <si>
    <t>Distribution Residual Demand Allocator</t>
  </si>
  <si>
    <t xml:space="preserve">Distribution Plant In Service </t>
  </si>
  <si>
    <t>Distribution Residual</t>
  </si>
  <si>
    <t>Distribution Total</t>
  </si>
  <si>
    <t>DDA</t>
  </si>
  <si>
    <t>DA1</t>
  </si>
  <si>
    <t>DT1</t>
  </si>
  <si>
    <t>Substation Residual Demand Allocator</t>
  </si>
  <si>
    <t xml:space="preserve">Substation Plant In Service </t>
  </si>
  <si>
    <t>Substation Residual</t>
  </si>
  <si>
    <t>Substation Total</t>
  </si>
  <si>
    <t>SDA</t>
  </si>
  <si>
    <t>ST1</t>
  </si>
  <si>
    <t>SA1</t>
  </si>
  <si>
    <t>Cust05</t>
  </si>
  <si>
    <t>Cust06</t>
  </si>
  <si>
    <t>CSA</t>
  </si>
  <si>
    <t>Customer Services Allocator</t>
  </si>
  <si>
    <t>Customer Services Demand</t>
  </si>
  <si>
    <t>CSD</t>
  </si>
  <si>
    <t>Transmission Plant Allocator</t>
  </si>
  <si>
    <t>TOMDA</t>
  </si>
  <si>
    <t>TOMA</t>
  </si>
  <si>
    <t>T02</t>
  </si>
  <si>
    <t>DOMDA</t>
  </si>
  <si>
    <t>DOMA</t>
  </si>
  <si>
    <t>DOM</t>
  </si>
  <si>
    <t>SOMDA</t>
  </si>
  <si>
    <t>STOM</t>
  </si>
  <si>
    <t>SOMA</t>
  </si>
  <si>
    <t>Transmission O&amp;M Allocator</t>
  </si>
  <si>
    <t>Distribution O&amp;M Allocator</t>
  </si>
  <si>
    <t>Distribution Plant Allocator</t>
  </si>
  <si>
    <t>Substation Plant Allocator</t>
  </si>
  <si>
    <t>Substation O&amp;M Allocator</t>
  </si>
  <si>
    <t>ADVERTISING EXPENSES</t>
  </si>
  <si>
    <t>MDSE-JOBBING-CONTRACT</t>
  </si>
  <si>
    <t>MISC SALES EXPENSE</t>
  </si>
  <si>
    <t>OM916</t>
  </si>
  <si>
    <t>LB915</t>
  </si>
  <si>
    <t>LB916</t>
  </si>
  <si>
    <t>Coincident</t>
  </si>
  <si>
    <t>Purchased Power Demand</t>
  </si>
  <si>
    <t>Purchased Power Energy</t>
  </si>
  <si>
    <t>Distribution Demand</t>
  </si>
  <si>
    <t>Distribution Customer</t>
  </si>
  <si>
    <t>Operating Expenses-Unit Costs</t>
  </si>
  <si>
    <t>Rate Base-Unit Costs</t>
  </si>
  <si>
    <t>Purchased Power Residual Demand Allocator</t>
  </si>
  <si>
    <t xml:space="preserve">Purchased Power Demand Costs </t>
  </si>
  <si>
    <t>Purchased Power Demand Residual</t>
  </si>
  <si>
    <t>Purchased Power Demand Total</t>
  </si>
  <si>
    <t>Purchased Power Demand Allocator</t>
  </si>
  <si>
    <t>PPDT</t>
  </si>
  <si>
    <t>PPDA</t>
  </si>
  <si>
    <t>PPDRA</t>
  </si>
  <si>
    <t>Purchased Power Residual Energy Allocator</t>
  </si>
  <si>
    <t xml:space="preserve">Purchased Power Energy Costs </t>
  </si>
  <si>
    <t>Purchased Power Energy Residual</t>
  </si>
  <si>
    <t>Purchased Power Energy Total</t>
  </si>
  <si>
    <t>Purchased Power Energy Allocator</t>
  </si>
  <si>
    <t>PPERA</t>
  </si>
  <si>
    <t>PPET</t>
  </si>
  <si>
    <t>PPEA</t>
  </si>
  <si>
    <t>Unit Revenue Requirement @ Current Class Revenues</t>
  </si>
  <si>
    <t xml:space="preserve">Distribution Demand </t>
  </si>
  <si>
    <t xml:space="preserve">Distribution Customer </t>
  </si>
  <si>
    <t>Distribution Customer (Per Customer Per Month)</t>
  </si>
  <si>
    <t>Distribution Customer Margin (Per Customer Per Month)</t>
  </si>
  <si>
    <t>Total Distribution Customer (Per Customer Per Month)</t>
  </si>
  <si>
    <t>Unit Revenue Requirement @ Total System Rate of Return</t>
  </si>
  <si>
    <t>Expenses</t>
  </si>
  <si>
    <t>Operating</t>
  </si>
  <si>
    <t>Summary of Rates of Return by Class</t>
  </si>
  <si>
    <t>Summary of Billing Determinants and Demand Analysis</t>
  </si>
  <si>
    <t>Meter Costs</t>
  </si>
  <si>
    <t>Average Demand</t>
  </si>
  <si>
    <t>Coincidence Factor</t>
  </si>
  <si>
    <t>Coincident Demand</t>
  </si>
  <si>
    <t>Max Demand</t>
  </si>
  <si>
    <t>Individual</t>
  </si>
  <si>
    <t>Sum of</t>
  </si>
  <si>
    <t>Demands</t>
  </si>
  <si>
    <t>Summer</t>
  </si>
  <si>
    <t>Winter</t>
  </si>
  <si>
    <t>SIC</t>
  </si>
  <si>
    <t>Coin Demand</t>
  </si>
  <si>
    <t>Winter CP Demands</t>
  </si>
  <si>
    <t>Summer CP Demands</t>
  </si>
  <si>
    <t>Class Maximum Demands</t>
  </si>
  <si>
    <t>Class Demand</t>
  </si>
  <si>
    <t>During</t>
  </si>
  <si>
    <t>Peak Month</t>
  </si>
  <si>
    <t>Pro-Forma Operating Expenses</t>
  </si>
  <si>
    <t>Unit Revenue Requirement @ Specified Rate of Return</t>
  </si>
  <si>
    <t>Service Costs</t>
  </si>
  <si>
    <t xml:space="preserve">Services </t>
  </si>
  <si>
    <t>SERV</t>
  </si>
  <si>
    <t>N/A</t>
  </si>
  <si>
    <t>MISC. INTANGIBLE</t>
  </si>
  <si>
    <t>P303</t>
  </si>
  <si>
    <t>ELECTRIC PLANT PURCHASED OR SOLD</t>
  </si>
  <si>
    <t>P102</t>
  </si>
  <si>
    <t>Mapping</t>
  </si>
  <si>
    <t>MISC DISTR EXP -- MAPPING</t>
  </si>
  <si>
    <t>OM911</t>
  </si>
  <si>
    <t>OM935</t>
  </si>
  <si>
    <t>LB911</t>
  </si>
  <si>
    <t>LB935</t>
  </si>
  <si>
    <t>Difference</t>
  </si>
  <si>
    <t>12 - Month</t>
  </si>
  <si>
    <t xml:space="preserve">Customer </t>
  </si>
  <si>
    <t>Loss Factor</t>
  </si>
  <si>
    <t>Energy Including Losses</t>
  </si>
  <si>
    <t>Sum of the Individual Customer Demands</t>
  </si>
  <si>
    <t>Misc. Service Revenue</t>
  </si>
  <si>
    <t>MISCSERV</t>
  </si>
  <si>
    <t>Pro-forma Rate Base</t>
  </si>
  <si>
    <t>Pro-forma Rate Base Adjustments</t>
  </si>
  <si>
    <t xml:space="preserve">  </t>
  </si>
  <si>
    <t>Total Transmission and Distribution Plant</t>
  </si>
  <si>
    <t>Rate</t>
  </si>
  <si>
    <t>Allocation Factor</t>
  </si>
  <si>
    <t>Lighting</t>
  </si>
  <si>
    <t>Diversified Load Factor</t>
  </si>
  <si>
    <t>Non-Coincident Demand</t>
  </si>
  <si>
    <t>Individual Customer Load Factor</t>
  </si>
  <si>
    <t>Sum of Individual Customer Demands</t>
  </si>
  <si>
    <t>Rate     Code</t>
  </si>
  <si>
    <t>Revenue Requirement Calculated at a Rate of Return of</t>
  </si>
  <si>
    <t>Energy Charge ($/kWh)</t>
  </si>
  <si>
    <t>Production &amp; Purchased Power</t>
  </si>
  <si>
    <t xml:space="preserve">  Total Sales of Electric Energy</t>
  </si>
  <si>
    <t xml:space="preserve">  Other Electric Revenues</t>
  </si>
  <si>
    <t xml:space="preserve">  Asset Retirement Costs</t>
  </si>
  <si>
    <t xml:space="preserve">  Steam Prod Plant</t>
  </si>
  <si>
    <t>Steam Production</t>
  </si>
  <si>
    <t>BOILER PLANT EQUIPMENT</t>
  </si>
  <si>
    <t>ENGINES AND ENGINE DRIVEN GENERATORS</t>
  </si>
  <si>
    <t>TURBOGENERATOR UNITS</t>
  </si>
  <si>
    <t>ACCESSORY ELEC EQUIP</t>
  </si>
  <si>
    <t>ASSET RETIREMENT COST FOR STEAM PROD</t>
  </si>
  <si>
    <t>MISC POWER PLANT EQUIPMENT</t>
  </si>
  <si>
    <t>P310</t>
  </si>
  <si>
    <t>P312</t>
  </si>
  <si>
    <t>P313</t>
  </si>
  <si>
    <t>P314</t>
  </si>
  <si>
    <t>P315</t>
  </si>
  <si>
    <t>P316</t>
  </si>
  <si>
    <t>P317</t>
  </si>
  <si>
    <t>P311</t>
  </si>
  <si>
    <t>PPROD</t>
  </si>
  <si>
    <t>Total Steam Production Plant</t>
  </si>
  <si>
    <t>Total Production, Transmission &amp; Distribution Plant</t>
  </si>
  <si>
    <t>PPT&amp;D</t>
  </si>
  <si>
    <t>F017</t>
  </si>
  <si>
    <t xml:space="preserve">  CWIP Production</t>
  </si>
  <si>
    <t>Steam Power Production Operations Expense</t>
  </si>
  <si>
    <t>Steam Power Production Maintenance Expense</t>
  </si>
  <si>
    <t>Total Steam Production Maintenance Expense</t>
  </si>
  <si>
    <t>Total Steam Production Operation and Maintenance Expenses</t>
  </si>
  <si>
    <t>Total Steam Production Operation Expense</t>
  </si>
  <si>
    <t>OPERATION SUPV AND ENGINEERING</t>
  </si>
  <si>
    <t>FUEL</t>
  </si>
  <si>
    <t>STEAM EXPENSES</t>
  </si>
  <si>
    <t>STEAM FROM OTHER SOURCES</t>
  </si>
  <si>
    <t>STEAM TRANSFERRED - CREDIT</t>
  </si>
  <si>
    <t>ELECTRIC EXPENSES</t>
  </si>
  <si>
    <t>MISC STEAM POWER EXPENSES</t>
  </si>
  <si>
    <t>ALLOWANCES</t>
  </si>
  <si>
    <t>MAINENANCE SUPV AND ENGINEERING</t>
  </si>
  <si>
    <t>MAINTENANCE OF STRUCTURES</t>
  </si>
  <si>
    <t>MAINTENANCE OF BOILER PLANT</t>
  </si>
  <si>
    <t>MAINTENANCE OF ELECTRIC PLANT</t>
  </si>
  <si>
    <t>MAINTENANCE OF MISC STEAM PLANT</t>
  </si>
  <si>
    <t>OM500</t>
  </si>
  <si>
    <t>OM501</t>
  </si>
  <si>
    <t>OM502</t>
  </si>
  <si>
    <t>OM503</t>
  </si>
  <si>
    <t>OM504</t>
  </si>
  <si>
    <t>OM505</t>
  </si>
  <si>
    <t>OM506</t>
  </si>
  <si>
    <t>OM507</t>
  </si>
  <si>
    <t>OM509</t>
  </si>
  <si>
    <t>OMPO</t>
  </si>
  <si>
    <t>OMPM</t>
  </si>
  <si>
    <t>OM510</t>
  </si>
  <si>
    <t>OM511</t>
  </si>
  <si>
    <t>OM512</t>
  </si>
  <si>
    <t>OM513</t>
  </si>
  <si>
    <t>OM514</t>
  </si>
  <si>
    <t>Production - Demand</t>
  </si>
  <si>
    <t>Production - Energy</t>
  </si>
  <si>
    <t>OMP</t>
  </si>
  <si>
    <t>Production, Purchased Power, Trans and Distr Expenses</t>
  </si>
  <si>
    <t>Steam Production, Transmission and Distribution Expenses</t>
  </si>
  <si>
    <t>DEPRPP</t>
  </si>
  <si>
    <t>FRANCHISES</t>
  </si>
  <si>
    <t>P302</t>
  </si>
  <si>
    <t>Electric Plant Acquisition Adjustment</t>
  </si>
  <si>
    <t>RENEWABLE ENERGY CR EXP</t>
  </si>
  <si>
    <t>OM559</t>
  </si>
  <si>
    <t xml:space="preserve">  Steam Production</t>
  </si>
  <si>
    <t xml:space="preserve">   Total Accumulated Depreciation &amp; Amort</t>
  </si>
  <si>
    <t xml:space="preserve">  Accum Amtz - Electric Plant Acquisition</t>
  </si>
  <si>
    <t xml:space="preserve">  Accum Amtz - Electric Plant in Service </t>
  </si>
  <si>
    <t xml:space="preserve">  General Plant </t>
  </si>
  <si>
    <t>ADEPRPP</t>
  </si>
  <si>
    <t xml:space="preserve">  CWIP Distribution</t>
  </si>
  <si>
    <t>LB500</t>
  </si>
  <si>
    <t>LB501</t>
  </si>
  <si>
    <t>LB502</t>
  </si>
  <si>
    <t>LB503</t>
  </si>
  <si>
    <t>LB504</t>
  </si>
  <si>
    <t>LB505</t>
  </si>
  <si>
    <t>LB506</t>
  </si>
  <si>
    <t>LB507</t>
  </si>
  <si>
    <t>LB509</t>
  </si>
  <si>
    <t>LBPO</t>
  </si>
  <si>
    <t>LB510</t>
  </si>
  <si>
    <t>LB511</t>
  </si>
  <si>
    <t>LB512</t>
  </si>
  <si>
    <t>LB513</t>
  </si>
  <si>
    <t>LB514</t>
  </si>
  <si>
    <t>LBPM</t>
  </si>
  <si>
    <t>LBP</t>
  </si>
  <si>
    <t>Regulatory Liabilities</t>
  </si>
  <si>
    <t>REGLIAB</t>
  </si>
  <si>
    <t>TOTAL</t>
  </si>
  <si>
    <t>Rate Class</t>
  </si>
  <si>
    <t>Total                         Cost</t>
  </si>
  <si>
    <t>Total             Cost</t>
  </si>
  <si>
    <t>KWH</t>
  </si>
  <si>
    <t>Cost of Service Summary -- Adjusted Results</t>
  </si>
  <si>
    <t>Other Allocation Factors</t>
  </si>
  <si>
    <t>on Rate Base</t>
  </si>
  <si>
    <t>Rate Schedule</t>
  </si>
  <si>
    <t>Code</t>
  </si>
  <si>
    <t>Rate               Code</t>
  </si>
  <si>
    <t>Installed            Meters</t>
  </si>
  <si>
    <t>Avg Meter           Cost</t>
  </si>
  <si>
    <t>Allocation            Factor</t>
  </si>
  <si>
    <t>Average         Service           Cost</t>
  </si>
  <si>
    <t xml:space="preserve">Average             Number               of Services </t>
  </si>
  <si>
    <t>Summary of Cost-Based Charges</t>
  </si>
  <si>
    <t>At Current Class Rate of Return</t>
  </si>
  <si>
    <t>Customer Charge ($/month)</t>
  </si>
  <si>
    <t>Demand Charge ($/kW)</t>
  </si>
  <si>
    <t>At Current Total System Rate of Return</t>
  </si>
  <si>
    <t>At Specified Total System Rate of Return</t>
  </si>
  <si>
    <t>NPTD</t>
  </si>
  <si>
    <t>PLTD</t>
  </si>
  <si>
    <t>RBTD</t>
  </si>
  <si>
    <t>OMTD</t>
  </si>
  <si>
    <t>LBTD</t>
  </si>
  <si>
    <t>DPTD</t>
  </si>
  <si>
    <t>PTTD</t>
  </si>
  <si>
    <t>OTTD</t>
  </si>
  <si>
    <t>12 Month Sum of Coincident Demands</t>
  </si>
  <si>
    <t>SICD</t>
  </si>
  <si>
    <t>Transmission Demand</t>
  </si>
  <si>
    <t>Production &amp; Purchase Power</t>
  </si>
  <si>
    <t>Production &amp; Purchased Power Demand</t>
  </si>
  <si>
    <t>Production &amp; Purchased Power Energy</t>
  </si>
  <si>
    <t>Purchased Power Energy (per KWH)</t>
  </si>
  <si>
    <t>Distribution Customer (per Customer)</t>
  </si>
  <si>
    <t>Production &amp; Purchased Power Energy (Per KWH)</t>
  </si>
  <si>
    <t>Production &amp; Purchased Power Energy Margin (Per KWH)</t>
  </si>
  <si>
    <t>Total Pro Forma Adjustments</t>
  </si>
  <si>
    <t>Average Customers (Lighting =45 Lights per Cust)</t>
  </si>
  <si>
    <t>Allocation Factors (continued)</t>
  </si>
  <si>
    <t>Various</t>
  </si>
  <si>
    <t>%</t>
  </si>
  <si>
    <t xml:space="preserve"> Revenue</t>
  </si>
  <si>
    <t>Pro Forma</t>
  </si>
  <si>
    <t>Power Supply</t>
  </si>
  <si>
    <t>SYSTEM CONTROL &amp; LOAD DISPATCHING</t>
  </si>
  <si>
    <t>OM556</t>
  </si>
  <si>
    <t>TRANSMISION OF ELEC BY OTHERS</t>
  </si>
  <si>
    <t>OM564</t>
  </si>
  <si>
    <t>OM565</t>
  </si>
  <si>
    <t>OM567</t>
  </si>
  <si>
    <t>MAINTENANCE SUPERVISION AND ENG</t>
  </si>
  <si>
    <t>OM569</t>
  </si>
  <si>
    <t>MAINT MISC</t>
  </si>
  <si>
    <t xml:space="preserve">MAINT OF TRANS PLANT </t>
  </si>
  <si>
    <t>OM572</t>
  </si>
  <si>
    <t>OM573</t>
  </si>
  <si>
    <t>OM574</t>
  </si>
  <si>
    <t>MAINT OF UNDERGROUND LINES</t>
  </si>
  <si>
    <t>OM917</t>
  </si>
  <si>
    <t>TRANSPORTATION EXPENSES</t>
  </si>
  <si>
    <t>OM933</t>
  </si>
  <si>
    <t>OM932</t>
  </si>
  <si>
    <t>MAINT OF GENERAL PLANT</t>
  </si>
  <si>
    <t>Total Demand $</t>
  </si>
  <si>
    <t>Total Energy $</t>
  </si>
  <si>
    <t>Total $</t>
  </si>
  <si>
    <t>Variance $</t>
  </si>
  <si>
    <t>Total Demand %</t>
  </si>
  <si>
    <t>Total Energy %</t>
  </si>
  <si>
    <t xml:space="preserve">SALES </t>
  </si>
  <si>
    <t>OM914</t>
  </si>
  <si>
    <t>DUPLICATE CHARGES - CREDIT</t>
  </si>
  <si>
    <t xml:space="preserve">  CWIP Other</t>
  </si>
  <si>
    <t>Deferred Debits &amp; Credits</t>
  </si>
  <si>
    <t>DDEB1</t>
  </si>
  <si>
    <t>DDEB2</t>
  </si>
  <si>
    <t>DDEB3</t>
  </si>
  <si>
    <t>DCRED1</t>
  </si>
  <si>
    <t xml:space="preserve">  Total Deferred Debits &amp; Credits</t>
  </si>
  <si>
    <t>Acct 555</t>
  </si>
  <si>
    <t>kWh</t>
  </si>
  <si>
    <t>Unitized Rate of Return</t>
  </si>
  <si>
    <t>beretta12</t>
  </si>
  <si>
    <t xml:space="preserve">Unitized </t>
  </si>
  <si>
    <t>Residential &amp; Commercial Rev</t>
  </si>
  <si>
    <t>RCRev</t>
  </si>
  <si>
    <t>12CP</t>
  </si>
  <si>
    <t>WCP</t>
  </si>
  <si>
    <t>SCP</t>
  </si>
  <si>
    <t>#</t>
  </si>
  <si>
    <t>Item</t>
  </si>
  <si>
    <t>Energy (kWh)</t>
  </si>
  <si>
    <t>Materials and Supplies (13-Month Avg)</t>
  </si>
  <si>
    <t>Prepayments (13-Month Average)</t>
  </si>
  <si>
    <t>FAC</t>
  </si>
  <si>
    <t>ES</t>
  </si>
  <si>
    <t>$/Month</t>
  </si>
  <si>
    <t>$/KWH</t>
  </si>
  <si>
    <t>$/KW</t>
  </si>
  <si>
    <t>Variance</t>
  </si>
  <si>
    <t>Summary of Cost-Based Rates</t>
  </si>
  <si>
    <t>Actual</t>
  </si>
  <si>
    <t>Linear Regression Inputs</t>
  </si>
  <si>
    <t>Unit Cost</t>
  </si>
  <si>
    <t>Size</t>
  </si>
  <si>
    <t>Cost</t>
  </si>
  <si>
    <t>Quantity</t>
  </si>
  <si>
    <t>($ per Unit)</t>
  </si>
  <si>
    <t>y*n^0.5</t>
  </si>
  <si>
    <t>n^0.5</t>
  </si>
  <si>
    <t>xn^0.5</t>
  </si>
  <si>
    <t>Zero Intercept Linear Regression Results</t>
  </si>
  <si>
    <t>LINEST Array</t>
  </si>
  <si>
    <t>Size Coefficient  ($ per MCM)</t>
  </si>
  <si>
    <t>Zero Intercept ($ per Unit)</t>
  </si>
  <si>
    <t>R-Square</t>
  </si>
  <si>
    <t>Plant Classification</t>
  </si>
  <si>
    <t>Total Number of Units</t>
  </si>
  <si>
    <t>Zero Intercept ($/Unit)</t>
  </si>
  <si>
    <t>Minimum System ($/Unit)</t>
  </si>
  <si>
    <t>Use Min System (M) or Zero Intercept (Z)?</t>
  </si>
  <si>
    <t>Zero Intercept or Min System Cost ($)</t>
  </si>
  <si>
    <t>Total Cost of Sample</t>
  </si>
  <si>
    <t>Percentage of Total</t>
  </si>
  <si>
    <t>Percentage Classified as Customer-Related</t>
  </si>
  <si>
    <t>Percentage Classified as Demand-Related</t>
  </si>
  <si>
    <t>Account 365 - Overhead Conductors and Devices</t>
  </si>
  <si>
    <t>Z</t>
  </si>
  <si>
    <t>Account 367 - Underground Conductors and Devices</t>
  </si>
  <si>
    <t>Account 368 - Line Transformers</t>
  </si>
  <si>
    <t>NARUC CAM</t>
  </si>
  <si>
    <t>Incl?</t>
  </si>
  <si>
    <t>Qty</t>
  </si>
  <si>
    <t>*</t>
  </si>
  <si>
    <t xml:space="preserve">* Only single-phase up to 50 KVA should be included </t>
  </si>
  <si>
    <t>in the Customer-related component per NARUC CAM</t>
  </si>
  <si>
    <t>Descripton</t>
  </si>
  <si>
    <t>Acct</t>
  </si>
  <si>
    <t>Zero Intercept &amp; Minimum System Analyses</t>
  </si>
  <si>
    <t>Meter Reading Billing and Cust Acct Service</t>
  </si>
  <si>
    <t>Production &amp; Purchased Power Demand (per KWH or KW)</t>
  </si>
  <si>
    <t>Transmission Demand (per KWH or KW)</t>
  </si>
  <si>
    <t>Distribution Demand (per KWH or KW)</t>
  </si>
  <si>
    <t>Production &amp; Purchased Power Demand (Per KWH or KW)</t>
  </si>
  <si>
    <t>Production &amp; Purchased Power Demand Margin (Per KWH or KW)</t>
  </si>
  <si>
    <t>Transmission Demand (Per KWH or KW)</t>
  </si>
  <si>
    <t>Transmission Demand Margin (Per KWH or KW)</t>
  </si>
  <si>
    <t>Total Transmission Demand (Per KWH or KW)</t>
  </si>
  <si>
    <t>Distribution Demand (Per KWH or KW)</t>
  </si>
  <si>
    <t>Distribution Demand Margin (Per KWH or KW)</t>
  </si>
  <si>
    <t>Total Distribution Demand (Per KWH or KW)</t>
  </si>
  <si>
    <t>Other Taxes (PSC Assessment)</t>
  </si>
  <si>
    <t>Metered CP, All but Direct Serve</t>
  </si>
  <si>
    <t>Calculated CP All but Direct Serve</t>
  </si>
  <si>
    <t>.</t>
  </si>
  <si>
    <t>Year End Customers</t>
  </si>
  <si>
    <t>Life Insurance</t>
  </si>
  <si>
    <t>Wages &amp; Salaries</t>
  </si>
  <si>
    <t>&lt; target</t>
  </si>
  <si>
    <t>&lt; diff</t>
  </si>
  <si>
    <t>Reserved</t>
  </si>
  <si>
    <t>Method</t>
  </si>
  <si>
    <t>After Proposed Rate Revisions</t>
  </si>
  <si>
    <t>Share of</t>
  </si>
  <si>
    <t xml:space="preserve">Share of </t>
  </si>
  <si>
    <t xml:space="preserve">Less: Customer Deposits </t>
  </si>
  <si>
    <t>--reserved--</t>
  </si>
  <si>
    <t>PPA exp</t>
  </si>
  <si>
    <t>Check</t>
  </si>
  <si>
    <t>Average Customers (Lighting = 0)</t>
  </si>
  <si>
    <t>Revenue Increase</t>
  </si>
  <si>
    <t>A1 - Farm &amp; Home</t>
  </si>
  <si>
    <t>A1</t>
  </si>
  <si>
    <t>A2 - Commercial &amp; Small Power</t>
  </si>
  <si>
    <t>A2</t>
  </si>
  <si>
    <t xml:space="preserve">LP - Large Power </t>
  </si>
  <si>
    <t>LP</t>
  </si>
  <si>
    <t>LPR - Large Power</t>
  </si>
  <si>
    <t>LPR</t>
  </si>
  <si>
    <t>IND 1-B - Industrial</t>
  </si>
  <si>
    <t>IND-1B</t>
  </si>
  <si>
    <t>YL</t>
  </si>
  <si>
    <t>Billing Demand (kW)</t>
  </si>
  <si>
    <t>Demand Charge</t>
  </si>
  <si>
    <t>Energy Charge</t>
  </si>
  <si>
    <t>Metering Point</t>
  </si>
  <si>
    <t>Sub/Wheeling Charge</t>
  </si>
  <si>
    <t>Fuel Adjustment Clause</t>
  </si>
  <si>
    <t>Environmental Surcharge</t>
  </si>
  <si>
    <t>SUBTOTAL</t>
  </si>
  <si>
    <t>Direct Load Control</t>
  </si>
  <si>
    <t>Direct Load Surcharge</t>
  </si>
  <si>
    <t>Direct Load Total Charge</t>
  </si>
  <si>
    <t>Green Power KWH</t>
  </si>
  <si>
    <t>Green Power Charge</t>
  </si>
  <si>
    <t>Generator Credit</t>
  </si>
  <si>
    <t>#2 - 3 STRAND COP</t>
  </si>
  <si>
    <t>#4 ACWC</t>
  </si>
  <si>
    <t>#6 ACWC</t>
  </si>
  <si>
    <t>#8 ACWC</t>
  </si>
  <si>
    <t>#6 HD COPPER</t>
  </si>
  <si>
    <t>#6 STEEL</t>
  </si>
  <si>
    <t>#2 ACSR</t>
  </si>
  <si>
    <t>#4 ACSR</t>
  </si>
  <si>
    <t>#1/0 ACSR</t>
  </si>
  <si>
    <t>#3/0 ACSR</t>
  </si>
  <si>
    <t>#4/0 ACSR</t>
  </si>
  <si>
    <t>#3/0 SPACER CABLE</t>
  </si>
  <si>
    <t>336.4 ACSR</t>
  </si>
  <si>
    <t>250+MCM</t>
  </si>
  <si>
    <t>397 ACSR</t>
  </si>
  <si>
    <t>#2 ACSR 15KV TW</t>
  </si>
  <si>
    <t>1/0 AAC 15 KV H CABLE</t>
  </si>
  <si>
    <t>#2 COPPER</t>
  </si>
  <si>
    <t>#4/0 URD PRIMARY</t>
  </si>
  <si>
    <t>#2 UF 15KV</t>
  </si>
  <si>
    <t>1/0 UF AL 15KV</t>
  </si>
  <si>
    <t>5 KVA CONV</t>
  </si>
  <si>
    <t>10 KVA CONV</t>
  </si>
  <si>
    <t>15 KVA CONV</t>
  </si>
  <si>
    <t>25 KVA CONV</t>
  </si>
  <si>
    <t>37.5 KVA CONV</t>
  </si>
  <si>
    <t>50 KVA CONV</t>
  </si>
  <si>
    <t>50 KVA/TWACS</t>
  </si>
  <si>
    <t>1.5 KV CSP</t>
  </si>
  <si>
    <t>3 KVA CSP</t>
  </si>
  <si>
    <t>5 KVA CSP</t>
  </si>
  <si>
    <t>7.5 KVA CSP</t>
  </si>
  <si>
    <t>10 KVA CSP</t>
  </si>
  <si>
    <t>15 KVA CSP</t>
  </si>
  <si>
    <t>25 KVA CSP</t>
  </si>
  <si>
    <t>PADMOUNT SINGLE PH 25 KVA</t>
  </si>
  <si>
    <t>PADMOUNT SINGLE PH 50 KVA</t>
  </si>
  <si>
    <t>75 KVA CONV</t>
  </si>
  <si>
    <t>100 KVA CONV</t>
  </si>
  <si>
    <t>167 KVA CONV</t>
  </si>
  <si>
    <t>225 KVA CONV</t>
  </si>
  <si>
    <t>225, 300, &amp; 333</t>
  </si>
  <si>
    <t>500 KVA CONV</t>
  </si>
  <si>
    <t>833-1500 KVA</t>
  </si>
  <si>
    <t>PADMOUNT SINGLE PH 100 KVA</t>
  </si>
  <si>
    <t>PADMOUNT THREE PH 75 KVA</t>
  </si>
  <si>
    <t>PADMOUNT THREE PH 300 KVA</t>
  </si>
  <si>
    <t>PADMOUNT THREE PH 1500 KVA</t>
  </si>
  <si>
    <t>PADMOUNT THREE PH 225 KVA</t>
  </si>
  <si>
    <t>PADMOUNT 3 PH 150 KVA</t>
  </si>
  <si>
    <t>Cost Based Rates</t>
  </si>
  <si>
    <t>BIG SANDY RECC</t>
  </si>
  <si>
    <t>RATE B</t>
  </si>
  <si>
    <t>Reported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</si>
  <si>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</si>
  <si>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</si>
  <si>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</si>
  <si>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</si>
  <si>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</si>
  <si>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</si>
  <si>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</si>
  <si>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</si>
  <si>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</si>
  <si>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</si>
  <si>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</si>
  <si>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</si>
  <si>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1/0 BARE MSR AWA</t>
  </si>
  <si>
    <t>37.5 KVA</t>
  </si>
  <si>
    <t>Depreciation Expense</t>
  </si>
  <si>
    <t>Year-End Customers</t>
  </si>
  <si>
    <t>Rate Case Expenses</t>
  </si>
  <si>
    <t>Donations &amp; Promotional Advertising</t>
  </si>
  <si>
    <t>Professional Services</t>
  </si>
  <si>
    <t>Directors Fees</t>
  </si>
  <si>
    <t xml:space="preserve">Farm &amp; Home </t>
  </si>
  <si>
    <t xml:space="preserve">Commercial &amp; Small Power </t>
  </si>
  <si>
    <t>Large Power Service (25-750 kV)</t>
  </si>
  <si>
    <t>Large Power Service (750 kVA +)</t>
  </si>
  <si>
    <t>Industrial</t>
  </si>
  <si>
    <t>Toggle</t>
  </si>
  <si>
    <t>GTCC</t>
  </si>
  <si>
    <t>Interest on LTD</t>
  </si>
  <si>
    <t>Estimated ES Demand Share</t>
  </si>
  <si>
    <t>Estimated ES Energy Share</t>
  </si>
  <si>
    <t>FAC Revenue</t>
  </si>
  <si>
    <t>ES Revenue</t>
  </si>
  <si>
    <t>ROW</t>
  </si>
  <si>
    <t>Target Incr</t>
  </si>
  <si>
    <t>ROROB</t>
  </si>
  <si>
    <t>Target ROROB</t>
  </si>
  <si>
    <t>Rebuttal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</si>
</sst>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_);_(&quot;$&quot;* \(#,##0.0\);_(&quot;$&quot;* &quot;-&quot;??_);_(@_)"/>
    <numFmt numFmtId="165" formatCode="_(&quot;$&quot;* #,##0_);_(&quot;$&quot;* \(#,##0\);_(&quot;$&quot;* &quot;-&quot;??_);_(@_)"/>
    <numFmt numFmtId="166" formatCode="_(* #,##0_);_(* \(#,##0\);_(* &quot;-&quot;??_);_(@_)"/>
    <numFmt numFmtId="167" formatCode="0.000"/>
    <numFmt numFmtId="168" formatCode="0.0000"/>
    <numFmt numFmtId="169" formatCode="0.000000"/>
    <numFmt numFmtId="170" formatCode="_(* #,##0.0000_);_(* \(#,##0.0000\);_(* &quot;-&quot;??_);_(@_)"/>
    <numFmt numFmtId="171" formatCode="_(* #,##0.00000_);_(* \(#,##0.00000\);_(* &quot;-&quot;??_);_(@_)"/>
    <numFmt numFmtId="172" formatCode="_(* #,##0.000000_);_(* \(#,##0.000000\);_(* &quot;-&quot;??_);_(@_)"/>
    <numFmt numFmtId="173" formatCode="0.0000000"/>
    <numFmt numFmtId="174" formatCode="0.00000000"/>
    <numFmt numFmtId="175" formatCode="0.000000000"/>
    <numFmt numFmtId="176" formatCode="_(* #,##0.000000_);_(* \(#,##0.000000\);_(* &quot;-&quot;??????_);_(@_)"/>
    <numFmt numFmtId="177" formatCode="_(* #,##0.000_);_(* \(#,##0.000\);_(* &quot;-&quot;??_);_(@_)"/>
    <numFmt numFmtId="178" formatCode="_(* #,##0.0000000_);_(* \(#,##0.0000000\);_(* &quot;-&quot;??_);_(@_)"/>
    <numFmt numFmtId="179" formatCode="[$-409]mmm\-yy;@"/>
    <numFmt numFmtId="180" formatCode="mmm\ yyyy"/>
    <numFmt numFmtId="181" formatCode="0.0%"/>
    <numFmt numFmtId="182" formatCode="0.0000%"/>
    <numFmt numFmtId="185" formatCode="0.000000%"/>
  </numFmts>
  <fonts count="18" x14ac:knownFonts="1">
    <font>
      <sz val="11"/>
      <name val="Times New Roman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u val="singleAccounting"/>
      <sz val="10"/>
      <name val="Arial"/>
      <family val="2"/>
    </font>
    <font>
      <b/>
      <u val="singleAccounting"/>
      <sz val="10"/>
      <name val="Arial"/>
      <family val="2"/>
    </font>
    <font>
      <b/>
      <i/>
      <sz val="10"/>
      <name val="Arial"/>
      <family val="2"/>
    </font>
    <font>
      <sz val="8"/>
      <name val="Times New Roman"/>
      <family val="1"/>
    </font>
    <font>
      <sz val="10"/>
      <color rgb="FF7030A0"/>
      <name val="Arial"/>
      <family val="2"/>
    </font>
    <font>
      <i/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sz val="10"/>
      <color rgb="FF0000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8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right"/>
    </xf>
    <xf numFmtId="0" fontId="3" fillId="0" borderId="0" xfId="0" applyFont="1" applyAlignment="1">
      <alignment horizontal="right"/>
    </xf>
    <xf numFmtId="166" fontId="4" fillId="0" borderId="0" xfId="1" applyNumberFormat="1" applyFont="1"/>
    <xf numFmtId="43" fontId="4" fillId="0" borderId="0" xfId="1" applyFont="1"/>
    <xf numFmtId="0" fontId="4" fillId="0" borderId="3" xfId="0" applyFont="1" applyBorder="1" applyAlignment="1">
      <alignment horizontal="left"/>
    </xf>
    <xf numFmtId="0" fontId="5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166" fontId="4" fillId="0" borderId="0" xfId="0" applyNumberFormat="1" applyFont="1"/>
    <xf numFmtId="166" fontId="4" fillId="0" borderId="3" xfId="1" applyNumberFormat="1" applyFont="1" applyBorder="1"/>
    <xf numFmtId="171" fontId="4" fillId="0" borderId="0" xfId="1" applyNumberFormat="1" applyFont="1"/>
    <xf numFmtId="170" fontId="4" fillId="0" borderId="0" xfId="1" applyNumberFormat="1" applyFont="1"/>
    <xf numFmtId="165" fontId="4" fillId="0" borderId="0" xfId="2" applyNumberFormat="1" applyFont="1"/>
    <xf numFmtId="43" fontId="4" fillId="0" borderId="0" xfId="0" applyNumberFormat="1" applyFont="1"/>
    <xf numFmtId="10" fontId="4" fillId="0" borderId="0" xfId="0" applyNumberFormat="1" applyFont="1"/>
    <xf numFmtId="43" fontId="4" fillId="0" borderId="0" xfId="1" applyFont="1" applyFill="1"/>
    <xf numFmtId="172" fontId="4" fillId="0" borderId="0" xfId="1" applyNumberFormat="1" applyFont="1" applyFill="1"/>
    <xf numFmtId="166" fontId="4" fillId="0" borderId="0" xfId="1" applyNumberFormat="1" applyFont="1" applyFill="1"/>
    <xf numFmtId="43" fontId="3" fillId="0" borderId="0" xfId="1" applyFont="1" applyFill="1" applyBorder="1" applyAlignment="1">
      <alignment horizontal="center"/>
    </xf>
    <xf numFmtId="166" fontId="3" fillId="0" borderId="0" xfId="1" applyNumberFormat="1" applyFont="1" applyFill="1" applyBorder="1" applyAlignment="1"/>
    <xf numFmtId="43" fontId="3" fillId="0" borderId="0" xfId="1" applyFont="1" applyFill="1" applyBorder="1" applyAlignment="1">
      <alignment horizontal="right"/>
    </xf>
    <xf numFmtId="172" fontId="4" fillId="0" borderId="0" xfId="1" applyNumberFormat="1" applyFont="1" applyFill="1" applyBorder="1" applyAlignment="1">
      <alignment horizontal="center" wrapText="1"/>
    </xf>
    <xf numFmtId="166" fontId="3" fillId="0" borderId="0" xfId="1" applyNumberFormat="1" applyFont="1" applyFill="1" applyBorder="1" applyAlignment="1">
      <alignment horizontal="right"/>
    </xf>
    <xf numFmtId="43" fontId="3" fillId="0" borderId="0" xfId="1" applyFont="1" applyFill="1" applyBorder="1" applyAlignment="1">
      <alignment horizontal="right" wrapText="1"/>
    </xf>
    <xf numFmtId="172" fontId="4" fillId="0" borderId="0" xfId="1" applyNumberFormat="1" applyFont="1" applyFill="1" applyAlignment="1">
      <alignment horizontal="center"/>
    </xf>
    <xf numFmtId="0" fontId="3" fillId="0" borderId="0" xfId="0" applyFont="1" applyAlignment="1">
      <alignment horizontal="center"/>
    </xf>
    <xf numFmtId="43" fontId="3" fillId="0" borderId="0" xfId="1" applyFont="1" applyFill="1" applyAlignment="1">
      <alignment horizontal="right"/>
    </xf>
    <xf numFmtId="166" fontId="3" fillId="0" borderId="0" xfId="1" applyNumberFormat="1" applyFont="1" applyFill="1" applyAlignment="1">
      <alignment horizontal="center"/>
    </xf>
    <xf numFmtId="172" fontId="3" fillId="0" borderId="0" xfId="1" applyNumberFormat="1" applyFont="1" applyFill="1" applyAlignment="1">
      <alignment horizontal="center"/>
    </xf>
    <xf numFmtId="172" fontId="3" fillId="0" borderId="0" xfId="1" applyNumberFormat="1" applyFont="1" applyFill="1" applyAlignment="1">
      <alignment horizontal="right"/>
    </xf>
    <xf numFmtId="0" fontId="5" fillId="0" borderId="0" xfId="0" applyFont="1" applyAlignment="1">
      <alignment horizontal="center"/>
    </xf>
    <xf numFmtId="43" fontId="3" fillId="0" borderId="1" xfId="1" applyFont="1" applyFill="1" applyBorder="1" applyAlignment="1">
      <alignment horizontal="center"/>
    </xf>
    <xf numFmtId="43" fontId="3" fillId="0" borderId="1" xfId="1" applyFont="1" applyFill="1" applyBorder="1" applyAlignment="1">
      <alignment horizontal="right"/>
    </xf>
    <xf numFmtId="172" fontId="3" fillId="0" borderId="1" xfId="1" applyNumberFormat="1" applyFont="1" applyFill="1" applyBorder="1" applyAlignment="1">
      <alignment horizontal="right"/>
    </xf>
    <xf numFmtId="165" fontId="4" fillId="0" borderId="0" xfId="2" applyNumberFormat="1" applyFont="1" applyFill="1"/>
    <xf numFmtId="10" fontId="4" fillId="0" borderId="0" xfId="3" applyNumberFormat="1" applyFont="1" applyFill="1"/>
    <xf numFmtId="165" fontId="4" fillId="0" borderId="0" xfId="2" applyNumberFormat="1" applyFont="1" applyFill="1" applyBorder="1"/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5" fontId="4" fillId="0" borderId="6" xfId="2" applyNumberFormat="1" applyFont="1" applyFill="1" applyBorder="1" applyAlignment="1">
      <alignment vertical="center"/>
    </xf>
    <xf numFmtId="10" fontId="4" fillId="0" borderId="6" xfId="3" applyNumberFormat="1" applyFont="1" applyFill="1" applyBorder="1" applyAlignment="1">
      <alignment vertical="center"/>
    </xf>
    <xf numFmtId="43" fontId="4" fillId="0" borderId="6" xfId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2" applyFont="1" applyFill="1" applyBorder="1"/>
    <xf numFmtId="10" fontId="4" fillId="0" borderId="0" xfId="3" applyNumberFormat="1" applyFont="1" applyFill="1" applyBorder="1"/>
    <xf numFmtId="43" fontId="4" fillId="0" borderId="0" xfId="1" applyFont="1" applyFill="1" applyBorder="1" applyAlignment="1">
      <alignment horizontal="right"/>
    </xf>
    <xf numFmtId="172" fontId="4" fillId="0" borderId="0" xfId="1" applyNumberFormat="1" applyFont="1" applyFill="1" applyBorder="1" applyAlignment="1">
      <alignment horizontal="right"/>
    </xf>
    <xf numFmtId="166" fontId="4" fillId="0" borderId="0" xfId="1" applyNumberFormat="1" applyFont="1" applyFill="1" applyAlignment="1">
      <alignment vertical="center"/>
    </xf>
    <xf numFmtId="0" fontId="4" fillId="0" borderId="0" xfId="0" applyFont="1" applyAlignment="1">
      <alignment horizontal="centerContinuous"/>
    </xf>
    <xf numFmtId="0" fontId="3" fillId="0" borderId="1" xfId="0" applyFont="1" applyBorder="1" applyAlignment="1">
      <alignment horizontal="centerContinuous"/>
    </xf>
    <xf numFmtId="0" fontId="3" fillId="0" borderId="1" xfId="0" applyFont="1" applyBorder="1" applyAlignment="1">
      <alignment horizontal="right" wrapText="1"/>
    </xf>
    <xf numFmtId="0" fontId="3" fillId="0" borderId="0" xfId="0" applyFont="1" applyAlignment="1">
      <alignment horizontal="right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2" fontId="4" fillId="0" borderId="0" xfId="0" applyNumberFormat="1" applyFont="1"/>
    <xf numFmtId="165" fontId="4" fillId="0" borderId="0" xfId="0" applyNumberFormat="1" applyFont="1"/>
    <xf numFmtId="2" fontId="4" fillId="0" borderId="0" xfId="0" applyNumberFormat="1" applyFont="1" applyAlignment="1">
      <alignment horizontal="center"/>
    </xf>
    <xf numFmtId="0" fontId="3" fillId="0" borderId="0" xfId="0" quotePrefix="1" applyFont="1"/>
    <xf numFmtId="0" fontId="4" fillId="0" borderId="0" xfId="0" quotePrefix="1" applyFont="1"/>
    <xf numFmtId="169" fontId="4" fillId="0" borderId="0" xfId="0" applyNumberFormat="1" applyFont="1"/>
    <xf numFmtId="169" fontId="4" fillId="0" borderId="0" xfId="1" applyNumberFormat="1" applyFont="1" applyFill="1"/>
    <xf numFmtId="166" fontId="4" fillId="0" borderId="0" xfId="1" applyNumberFormat="1" applyFont="1" applyFill="1" applyAlignment="1">
      <alignment horizontal="centerContinuous"/>
    </xf>
    <xf numFmtId="171" fontId="4" fillId="0" borderId="0" xfId="1" applyNumberFormat="1" applyFont="1" applyFill="1"/>
    <xf numFmtId="0" fontId="4" fillId="2" borderId="0" xfId="0" applyFont="1" applyFill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 wrapText="1"/>
    </xf>
    <xf numFmtId="0" fontId="3" fillId="2" borderId="0" xfId="0" applyFont="1" applyFill="1" applyAlignment="1">
      <alignment horizontal="right" wrapText="1"/>
    </xf>
    <xf numFmtId="0" fontId="4" fillId="0" borderId="0" xfId="0" applyFont="1" applyAlignment="1">
      <alignment wrapText="1"/>
    </xf>
    <xf numFmtId="166" fontId="4" fillId="0" borderId="0" xfId="1" applyNumberFormat="1" applyFont="1" applyAlignment="1">
      <alignment wrapText="1"/>
    </xf>
    <xf numFmtId="0" fontId="3" fillId="2" borderId="1" xfId="0" applyFont="1" applyFill="1" applyBorder="1" applyAlignment="1">
      <alignment horizontal="right"/>
    </xf>
    <xf numFmtId="165" fontId="4" fillId="2" borderId="0" xfId="2" applyNumberFormat="1" applyFont="1" applyFill="1"/>
    <xf numFmtId="165" fontId="4" fillId="0" borderId="3" xfId="2" applyNumberFormat="1" applyFont="1" applyFill="1" applyBorder="1"/>
    <xf numFmtId="165" fontId="4" fillId="0" borderId="3" xfId="2" applyNumberFormat="1" applyFont="1" applyBorder="1"/>
    <xf numFmtId="165" fontId="4" fillId="2" borderId="3" xfId="2" applyNumberFormat="1" applyFont="1" applyFill="1" applyBorder="1"/>
    <xf numFmtId="165" fontId="4" fillId="0" borderId="3" xfId="0" applyNumberFormat="1" applyFont="1" applyBorder="1"/>
    <xf numFmtId="166" fontId="6" fillId="0" borderId="0" xfId="1" applyNumberFormat="1" applyFont="1" applyAlignment="1">
      <alignment horizontal="right"/>
    </xf>
    <xf numFmtId="43" fontId="4" fillId="0" borderId="0" xfId="1" applyFont="1" applyAlignment="1">
      <alignment horizontal="right"/>
    </xf>
    <xf numFmtId="165" fontId="4" fillId="2" borderId="0" xfId="0" applyNumberFormat="1" applyFont="1" applyFill="1"/>
    <xf numFmtId="166" fontId="4" fillId="2" borderId="0" xfId="1" applyNumberFormat="1" applyFont="1" applyFill="1"/>
    <xf numFmtId="0" fontId="3" fillId="0" borderId="7" xfId="0" applyFont="1" applyBorder="1"/>
    <xf numFmtId="0" fontId="3" fillId="0" borderId="8" xfId="0" applyFont="1" applyBorder="1"/>
    <xf numFmtId="10" fontId="3" fillId="0" borderId="9" xfId="3" applyNumberFormat="1" applyFont="1" applyBorder="1"/>
    <xf numFmtId="10" fontId="3" fillId="0" borderId="9" xfId="3" applyNumberFormat="1" applyFont="1" applyFill="1" applyBorder="1"/>
    <xf numFmtId="10" fontId="3" fillId="2" borderId="9" xfId="3" applyNumberFormat="1" applyFont="1" applyFill="1" applyBorder="1"/>
    <xf numFmtId="166" fontId="3" fillId="0" borderId="0" xfId="1" applyNumberFormat="1" applyFont="1"/>
    <xf numFmtId="43" fontId="3" fillId="0" borderId="0" xfId="1" applyFont="1" applyBorder="1"/>
    <xf numFmtId="10" fontId="3" fillId="0" borderId="0" xfId="3" applyNumberFormat="1" applyFont="1" applyBorder="1"/>
    <xf numFmtId="172" fontId="4" fillId="0" borderId="0" xfId="1" applyNumberFormat="1" applyFont="1"/>
    <xf numFmtId="172" fontId="4" fillId="2" borderId="0" xfId="1" applyNumberFormat="1" applyFont="1" applyFill="1"/>
    <xf numFmtId="172" fontId="4" fillId="0" borderId="0" xfId="0" applyNumberFormat="1" applyFont="1"/>
    <xf numFmtId="167" fontId="4" fillId="0" borderId="0" xfId="0" applyNumberFormat="1" applyFont="1"/>
    <xf numFmtId="166" fontId="4" fillId="2" borderId="0" xfId="0" applyNumberFormat="1" applyFont="1" applyFill="1"/>
    <xf numFmtId="171" fontId="4" fillId="2" borderId="0" xfId="1" applyNumberFormat="1" applyFont="1" applyFill="1"/>
    <xf numFmtId="164" fontId="4" fillId="0" borderId="0" xfId="2" applyNumberFormat="1" applyFont="1" applyFill="1"/>
    <xf numFmtId="164" fontId="4" fillId="0" borderId="0" xfId="0" applyNumberFormat="1" applyFont="1"/>
    <xf numFmtId="1" fontId="4" fillId="0" borderId="0" xfId="0" applyNumberFormat="1" applyFont="1"/>
    <xf numFmtId="43" fontId="4" fillId="2" borderId="0" xfId="1" applyFont="1" applyFill="1"/>
    <xf numFmtId="165" fontId="4" fillId="2" borderId="3" xfId="0" applyNumberFormat="1" applyFont="1" applyFill="1" applyBorder="1"/>
    <xf numFmtId="0" fontId="4" fillId="2" borderId="3" xfId="0" applyFont="1" applyFill="1" applyBorder="1"/>
    <xf numFmtId="175" fontId="4" fillId="2" borderId="0" xfId="0" applyNumberFormat="1" applyFont="1" applyFill="1"/>
    <xf numFmtId="2" fontId="4" fillId="2" borderId="0" xfId="0" applyNumberFormat="1" applyFont="1" applyFill="1"/>
    <xf numFmtId="174" fontId="4" fillId="2" borderId="0" xfId="0" applyNumberFormat="1" applyFont="1" applyFill="1"/>
    <xf numFmtId="173" fontId="4" fillId="2" borderId="0" xfId="0" applyNumberFormat="1" applyFont="1" applyFill="1"/>
    <xf numFmtId="0" fontId="6" fillId="0" borderId="0" xfId="0" applyFont="1"/>
    <xf numFmtId="172" fontId="4" fillId="2" borderId="0" xfId="0" applyNumberFormat="1" applyFont="1" applyFill="1"/>
    <xf numFmtId="172" fontId="4" fillId="0" borderId="0" xfId="0" applyNumberFormat="1" applyFont="1" applyAlignment="1">
      <alignment vertical="center"/>
    </xf>
    <xf numFmtId="172" fontId="7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166" fontId="4" fillId="0" borderId="0" xfId="1" applyNumberFormat="1" applyFont="1" applyAlignment="1">
      <alignment vertical="center"/>
    </xf>
    <xf numFmtId="176" fontId="4" fillId="0" borderId="0" xfId="0" applyNumberFormat="1" applyFont="1"/>
    <xf numFmtId="172" fontId="7" fillId="0" borderId="0" xfId="0" applyNumberFormat="1" applyFont="1"/>
    <xf numFmtId="172" fontId="7" fillId="2" borderId="0" xfId="0" applyNumberFormat="1" applyFont="1" applyFill="1"/>
    <xf numFmtId="43" fontId="4" fillId="2" borderId="0" xfId="0" applyNumberFormat="1" applyFont="1" applyFill="1"/>
    <xf numFmtId="43" fontId="7" fillId="0" borderId="0" xfId="1" applyFont="1" applyFill="1"/>
    <xf numFmtId="43" fontId="7" fillId="0" borderId="0" xfId="1" applyFont="1"/>
    <xf numFmtId="43" fontId="7" fillId="2" borderId="0" xfId="1" applyFont="1" applyFill="1"/>
    <xf numFmtId="10" fontId="4" fillId="0" borderId="0" xfId="0" applyNumberFormat="1" applyFont="1" applyAlignment="1">
      <alignment horizontal="left"/>
    </xf>
    <xf numFmtId="178" fontId="4" fillId="0" borderId="0" xfId="0" applyNumberFormat="1" applyFont="1"/>
    <xf numFmtId="10" fontId="4" fillId="0" borderId="0" xfId="3" applyNumberFormat="1" applyFont="1"/>
    <xf numFmtId="10" fontId="4" fillId="2" borderId="0" xfId="3" applyNumberFormat="1" applyFont="1" applyFill="1"/>
    <xf numFmtId="171" fontId="4" fillId="0" borderId="0" xfId="0" applyNumberFormat="1" applyFont="1"/>
    <xf numFmtId="10" fontId="4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172" fontId="4" fillId="0" borderId="0" xfId="0" applyNumberFormat="1" applyFont="1" applyAlignment="1">
      <alignment horizontal="right"/>
    </xf>
    <xf numFmtId="166" fontId="4" fillId="0" borderId="0" xfId="1" applyNumberFormat="1" applyFont="1" applyFill="1" applyAlignment="1">
      <alignment horizontal="right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66" fontId="4" fillId="0" borderId="0" xfId="1" applyNumberFormat="1" applyFont="1" applyFill="1" applyAlignment="1"/>
    <xf numFmtId="166" fontId="4" fillId="0" borderId="0" xfId="3" applyNumberFormat="1" applyFont="1" applyFill="1" applyAlignment="1"/>
    <xf numFmtId="165" fontId="4" fillId="0" borderId="0" xfId="2" applyNumberFormat="1" applyFont="1" applyFill="1" applyAlignment="1"/>
    <xf numFmtId="9" fontId="4" fillId="0" borderId="0" xfId="3" applyFont="1" applyFill="1"/>
    <xf numFmtId="0" fontId="4" fillId="0" borderId="3" xfId="0" applyFont="1" applyBorder="1" applyAlignment="1">
      <alignment horizontal="center"/>
    </xf>
    <xf numFmtId="166" fontId="4" fillId="0" borderId="3" xfId="1" applyNumberFormat="1" applyFont="1" applyFill="1" applyBorder="1" applyAlignment="1"/>
    <xf numFmtId="165" fontId="4" fillId="0" borderId="3" xfId="2" applyNumberFormat="1" applyFont="1" applyFill="1" applyBorder="1" applyAlignment="1"/>
    <xf numFmtId="166" fontId="4" fillId="0" borderId="3" xfId="0" applyNumberFormat="1" applyFont="1" applyBorder="1"/>
    <xf numFmtId="10" fontId="4" fillId="0" borderId="3" xfId="3" applyNumberFormat="1" applyFont="1" applyFill="1" applyBorder="1"/>
    <xf numFmtId="44" fontId="4" fillId="0" borderId="0" xfId="2" applyFont="1" applyFill="1"/>
    <xf numFmtId="166" fontId="3" fillId="0" borderId="0" xfId="1" applyNumberFormat="1" applyFont="1" applyFill="1" applyAlignment="1">
      <alignment horizontal="right"/>
    </xf>
    <xf numFmtId="166" fontId="3" fillId="0" borderId="0" xfId="0" applyNumberFormat="1" applyFont="1" applyAlignment="1">
      <alignment horizontal="right"/>
    </xf>
    <xf numFmtId="166" fontId="8" fillId="0" borderId="0" xfId="1" applyNumberFormat="1" applyFont="1" applyFill="1" applyAlignment="1">
      <alignment horizontal="left"/>
    </xf>
    <xf numFmtId="166" fontId="8" fillId="0" borderId="0" xfId="1" applyNumberFormat="1" applyFont="1" applyFill="1" applyAlignment="1">
      <alignment horizontal="center"/>
    </xf>
    <xf numFmtId="180" fontId="8" fillId="0" borderId="0" xfId="1" applyNumberFormat="1" applyFont="1" applyFill="1" applyAlignment="1">
      <alignment horizontal="right"/>
    </xf>
    <xf numFmtId="166" fontId="8" fillId="0" borderId="0" xfId="1" applyNumberFormat="1" applyFont="1" applyFill="1" applyAlignment="1">
      <alignment horizontal="right"/>
    </xf>
    <xf numFmtId="0" fontId="7" fillId="0" borderId="0" xfId="0" applyFont="1"/>
    <xf numFmtId="1" fontId="3" fillId="0" borderId="0" xfId="0" applyNumberFormat="1" applyFont="1" applyAlignment="1">
      <alignment horizontal="center"/>
    </xf>
    <xf numFmtId="166" fontId="4" fillId="0" borderId="0" xfId="0" applyNumberFormat="1" applyFont="1" applyAlignment="1">
      <alignment horizontal="center"/>
    </xf>
    <xf numFmtId="166" fontId="4" fillId="0" borderId="0" xfId="3" applyNumberFormat="1" applyFont="1" applyFill="1" applyAlignment="1">
      <alignment horizontal="right"/>
    </xf>
    <xf numFmtId="179" fontId="5" fillId="0" borderId="0" xfId="0" applyNumberFormat="1" applyFont="1" applyAlignment="1">
      <alignment horizontal="center"/>
    </xf>
    <xf numFmtId="179" fontId="3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4" fillId="0" borderId="0" xfId="1" applyNumberFormat="1" applyFont="1" applyFill="1" applyAlignment="1">
      <alignment horizontal="center"/>
    </xf>
    <xf numFmtId="165" fontId="4" fillId="0" borderId="0" xfId="2" applyNumberFormat="1" applyFont="1" applyFill="1" applyAlignment="1">
      <alignment horizontal="right"/>
    </xf>
    <xf numFmtId="10" fontId="4" fillId="0" borderId="0" xfId="3" applyNumberFormat="1" applyFont="1" applyFill="1" applyAlignment="1">
      <alignment horizontal="right"/>
    </xf>
    <xf numFmtId="0" fontId="4" fillId="0" borderId="6" xfId="0" applyFont="1" applyBorder="1"/>
    <xf numFmtId="166" fontId="4" fillId="0" borderId="6" xfId="1" applyNumberFormat="1" applyFont="1" applyFill="1" applyBorder="1" applyAlignment="1">
      <alignment horizontal="center"/>
    </xf>
    <xf numFmtId="166" fontId="4" fillId="0" borderId="6" xfId="1" applyNumberFormat="1" applyFont="1" applyFill="1" applyBorder="1"/>
    <xf numFmtId="165" fontId="4" fillId="0" borderId="6" xfId="0" applyNumberFormat="1" applyFont="1" applyBorder="1"/>
    <xf numFmtId="10" fontId="4" fillId="0" borderId="6" xfId="0" applyNumberFormat="1" applyFont="1" applyBorder="1"/>
    <xf numFmtId="166" fontId="4" fillId="0" borderId="0" xfId="1" applyNumberFormat="1" applyFont="1" applyFill="1" applyAlignment="1">
      <alignment horizontal="center"/>
    </xf>
    <xf numFmtId="166" fontId="4" fillId="0" borderId="0" xfId="1" applyNumberFormat="1" applyFont="1" applyFill="1" applyBorder="1" applyAlignment="1">
      <alignment horizontal="center"/>
    </xf>
    <xf numFmtId="166" fontId="4" fillId="0" borderId="0" xfId="1" applyNumberFormat="1" applyFont="1" applyFill="1" applyBorder="1"/>
    <xf numFmtId="165" fontId="4" fillId="0" borderId="0" xfId="2" applyNumberFormat="1" applyFont="1" applyFill="1" applyAlignment="1">
      <alignment horizontal="center"/>
    </xf>
    <xf numFmtId="166" fontId="4" fillId="0" borderId="6" xfId="1" applyNumberFormat="1" applyFont="1" applyFill="1" applyBorder="1" applyAlignment="1">
      <alignment horizontal="right"/>
    </xf>
    <xf numFmtId="165" fontId="4" fillId="0" borderId="6" xfId="0" applyNumberFormat="1" applyFont="1" applyBorder="1" applyAlignment="1">
      <alignment horizontal="right"/>
    </xf>
    <xf numFmtId="10" fontId="4" fillId="0" borderId="6" xfId="0" applyNumberFormat="1" applyFont="1" applyBorder="1" applyAlignment="1">
      <alignment horizontal="right"/>
    </xf>
    <xf numFmtId="166" fontId="4" fillId="0" borderId="0" xfId="1" applyNumberFormat="1" applyFont="1" applyFill="1" applyBorder="1" applyAlignment="1">
      <alignment horizontal="right"/>
    </xf>
    <xf numFmtId="0" fontId="5" fillId="0" borderId="0" xfId="0" applyFont="1" applyAlignment="1">
      <alignment horizontal="left"/>
    </xf>
    <xf numFmtId="170" fontId="4" fillId="0" borderId="0" xfId="1" applyNumberFormat="1" applyFont="1" applyFill="1"/>
    <xf numFmtId="10" fontId="3" fillId="0" borderId="4" xfId="3" applyNumberFormat="1" applyFont="1" applyFill="1" applyBorder="1"/>
    <xf numFmtId="43" fontId="7" fillId="0" borderId="0" xfId="1" applyFont="1" applyFill="1" applyAlignment="1">
      <alignment vertical="center"/>
    </xf>
    <xf numFmtId="10" fontId="4" fillId="0" borderId="0" xfId="3" applyNumberFormat="1" applyFont="1" applyFill="1" applyAlignment="1"/>
    <xf numFmtId="166" fontId="4" fillId="0" borderId="0" xfId="1" applyNumberFormat="1" applyFont="1" applyFill="1" applyBorder="1" applyAlignment="1"/>
    <xf numFmtId="165" fontId="4" fillId="0" borderId="0" xfId="2" applyNumberFormat="1" applyFont="1" applyFill="1" applyBorder="1" applyAlignment="1"/>
    <xf numFmtId="43" fontId="4" fillId="0" borderId="0" xfId="1" applyFont="1" applyAlignment="1">
      <alignment horizontal="left"/>
    </xf>
    <xf numFmtId="0" fontId="4" fillId="0" borderId="0" xfId="0" quotePrefix="1" applyFont="1" applyAlignment="1">
      <alignment horizontal="left"/>
    </xf>
    <xf numFmtId="166" fontId="4" fillId="0" borderId="0" xfId="1" applyNumberFormat="1" applyFont="1" applyFill="1" applyAlignment="1">
      <alignment horizontal="left"/>
    </xf>
    <xf numFmtId="165" fontId="4" fillId="0" borderId="0" xfId="2" applyNumberFormat="1" applyFont="1" applyFill="1" applyBorder="1" applyAlignment="1">
      <alignment vertical="center"/>
    </xf>
    <xf numFmtId="10" fontId="9" fillId="0" borderId="10" xfId="3" applyNumberFormat="1" applyFont="1" applyFill="1" applyBorder="1" applyAlignment="1">
      <alignment vertical="center"/>
    </xf>
    <xf numFmtId="10" fontId="4" fillId="0" borderId="3" xfId="3" applyNumberFormat="1" applyFont="1" applyFill="1" applyBorder="1" applyAlignment="1">
      <alignment vertical="center"/>
    </xf>
    <xf numFmtId="43" fontId="4" fillId="0" borderId="3" xfId="1" applyFont="1" applyFill="1" applyBorder="1" applyAlignment="1">
      <alignment vertical="center"/>
    </xf>
    <xf numFmtId="181" fontId="4" fillId="0" borderId="0" xfId="3" applyNumberFormat="1" applyFont="1" applyFill="1"/>
    <xf numFmtId="181" fontId="4" fillId="0" borderId="0" xfId="1" applyNumberFormat="1" applyFont="1" applyFill="1"/>
    <xf numFmtId="181" fontId="4" fillId="0" borderId="6" xfId="3" applyNumberFormat="1" applyFont="1" applyFill="1" applyBorder="1" applyAlignment="1">
      <alignment vertical="center"/>
    </xf>
    <xf numFmtId="181" fontId="4" fillId="0" borderId="6" xfId="1" applyNumberFormat="1" applyFont="1" applyFill="1" applyBorder="1"/>
    <xf numFmtId="166" fontId="4" fillId="0" borderId="0" xfId="1" quotePrefix="1" applyNumberFormat="1" applyFont="1" applyFill="1" applyAlignment="1">
      <alignment horizontal="left"/>
    </xf>
    <xf numFmtId="1" fontId="3" fillId="0" borderId="0" xfId="0" applyNumberFormat="1" applyFont="1" applyAlignment="1">
      <alignment horizontal="left"/>
    </xf>
    <xf numFmtId="182" fontId="4" fillId="0" borderId="0" xfId="3" applyNumberFormat="1" applyFont="1" applyFill="1"/>
    <xf numFmtId="165" fontId="4" fillId="0" borderId="4" xfId="0" applyNumberFormat="1" applyFont="1" applyBorder="1"/>
    <xf numFmtId="172" fontId="4" fillId="3" borderId="0" xfId="1" applyNumberFormat="1" applyFont="1" applyFill="1"/>
    <xf numFmtId="0" fontId="4" fillId="0" borderId="3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4" borderId="0" xfId="0" applyFont="1" applyFill="1"/>
    <xf numFmtId="165" fontId="4" fillId="4" borderId="0" xfId="0" applyNumberFormat="1" applyFont="1" applyFill="1"/>
    <xf numFmtId="165" fontId="4" fillId="4" borderId="0" xfId="2" applyNumberFormat="1" applyFont="1" applyFill="1"/>
    <xf numFmtId="0" fontId="12" fillId="0" borderId="0" xfId="1" applyNumberFormat="1" applyFont="1" applyFill="1" applyAlignment="1">
      <alignment horizontal="right"/>
    </xf>
    <xf numFmtId="0" fontId="11" fillId="0" borderId="0" xfId="0" applyFont="1"/>
    <xf numFmtId="166" fontId="3" fillId="0" borderId="0" xfId="0" applyNumberFormat="1" applyFont="1" applyAlignment="1">
      <alignment horizontal="center"/>
    </xf>
    <xf numFmtId="0" fontId="13" fillId="0" borderId="0" xfId="0" applyFont="1"/>
    <xf numFmtId="0" fontId="6" fillId="0" borderId="0" xfId="0" applyFont="1" applyAlignment="1">
      <alignment horizontal="centerContinuous"/>
    </xf>
    <xf numFmtId="169" fontId="4" fillId="0" borderId="0" xfId="0" applyNumberFormat="1" applyFont="1" applyAlignment="1">
      <alignment horizontal="centerContinuous"/>
    </xf>
    <xf numFmtId="166" fontId="14" fillId="0" borderId="0" xfId="1" applyNumberFormat="1" applyFont="1" applyFill="1"/>
    <xf numFmtId="166" fontId="13" fillId="0" borderId="0" xfId="1" applyNumberFormat="1" applyFont="1" applyFill="1"/>
    <xf numFmtId="10" fontId="13" fillId="0" borderId="0" xfId="3" applyNumberFormat="1" applyFont="1" applyFill="1"/>
    <xf numFmtId="44" fontId="13" fillId="0" borderId="0" xfId="2" applyFont="1" applyFill="1"/>
    <xf numFmtId="4" fontId="13" fillId="0" borderId="0" xfId="0" applyNumberFormat="1" applyFont="1"/>
    <xf numFmtId="9" fontId="13" fillId="0" borderId="0" xfId="3" applyFont="1" applyFill="1"/>
    <xf numFmtId="166" fontId="13" fillId="0" borderId="0" xfId="0" applyNumberFormat="1" applyFont="1"/>
    <xf numFmtId="166" fontId="13" fillId="0" borderId="0" xfId="1" applyNumberFormat="1" applyFont="1" applyAlignment="1">
      <alignment horizontal="center"/>
    </xf>
    <xf numFmtId="166" fontId="13" fillId="0" borderId="3" xfId="1" applyNumberFormat="1" applyFont="1" applyBorder="1" applyAlignment="1">
      <alignment horizontal="center"/>
    </xf>
    <xf numFmtId="43" fontId="15" fillId="0" borderId="0" xfId="1" applyFont="1" applyAlignment="1">
      <alignment horizontal="center"/>
    </xf>
    <xf numFmtId="166" fontId="15" fillId="0" borderId="10" xfId="1" applyNumberFormat="1" applyFont="1" applyBorder="1" applyAlignment="1">
      <alignment horizontal="center"/>
    </xf>
    <xf numFmtId="166" fontId="15" fillId="0" borderId="0" xfId="1" applyNumberFormat="1" applyFont="1" applyFill="1" applyAlignment="1">
      <alignment horizontal="center"/>
    </xf>
    <xf numFmtId="0" fontId="15" fillId="0" borderId="0" xfId="0" applyFont="1" applyAlignment="1">
      <alignment horizontal="center"/>
    </xf>
    <xf numFmtId="9" fontId="13" fillId="0" borderId="0" xfId="3" applyFont="1"/>
    <xf numFmtId="165" fontId="13" fillId="0" borderId="0" xfId="0" applyNumberFormat="1" applyFont="1"/>
    <xf numFmtId="165" fontId="13" fillId="0" borderId="0" xfId="3" applyNumberFormat="1" applyFont="1"/>
    <xf numFmtId="43" fontId="13" fillId="0" borderId="0" xfId="1" applyFont="1"/>
    <xf numFmtId="43" fontId="15" fillId="0" borderId="0" xfId="1" applyFont="1"/>
    <xf numFmtId="166" fontId="13" fillId="0" borderId="0" xfId="1" applyNumberFormat="1" applyFont="1"/>
    <xf numFmtId="165" fontId="13" fillId="0" borderId="0" xfId="2" applyNumberFormat="1" applyFont="1" applyFill="1" applyAlignment="1">
      <alignment horizontal="right"/>
    </xf>
    <xf numFmtId="165" fontId="13" fillId="0" borderId="0" xfId="2" applyNumberFormat="1" applyFont="1" applyFill="1"/>
    <xf numFmtId="44" fontId="13" fillId="0" borderId="6" xfId="2" applyFont="1" applyFill="1" applyBorder="1"/>
    <xf numFmtId="44" fontId="13" fillId="0" borderId="6" xfId="2" applyFont="1" applyFill="1" applyBorder="1" applyAlignment="1">
      <alignment horizontal="right"/>
    </xf>
    <xf numFmtId="170" fontId="13" fillId="0" borderId="0" xfId="1" applyNumberFormat="1" applyFont="1" applyFill="1"/>
    <xf numFmtId="0" fontId="15" fillId="0" borderId="0" xfId="0" applyFont="1"/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177" fontId="15" fillId="0" borderId="0" xfId="1" applyNumberFormat="1" applyFont="1" applyFill="1" applyAlignment="1">
      <alignment horizontal="right"/>
    </xf>
    <xf numFmtId="177" fontId="15" fillId="0" borderId="2" xfId="1" applyNumberFormat="1" applyFont="1" applyFill="1" applyBorder="1" applyAlignment="1">
      <alignment horizontal="left"/>
    </xf>
    <xf numFmtId="177" fontId="15" fillId="0" borderId="2" xfId="1" applyNumberFormat="1" applyFont="1" applyFill="1" applyBorder="1" applyAlignment="1">
      <alignment horizontal="right"/>
    </xf>
    <xf numFmtId="0" fontId="15" fillId="0" borderId="2" xfId="0" applyFont="1" applyBorder="1" applyAlignment="1">
      <alignment horizontal="center"/>
    </xf>
    <xf numFmtId="166" fontId="15" fillId="0" borderId="2" xfId="1" applyNumberFormat="1" applyFont="1" applyFill="1" applyBorder="1" applyAlignment="1">
      <alignment horizontal="center"/>
    </xf>
    <xf numFmtId="0" fontId="15" fillId="0" borderId="2" xfId="0" applyFont="1" applyBorder="1" applyAlignment="1">
      <alignment horizontal="right"/>
    </xf>
    <xf numFmtId="0" fontId="15" fillId="0" borderId="0" xfId="0" applyFont="1" applyAlignment="1">
      <alignment horizontal="right"/>
    </xf>
    <xf numFmtId="43" fontId="13" fillId="0" borderId="0" xfId="1" applyFont="1" applyFill="1"/>
    <xf numFmtId="17" fontId="13" fillId="0" borderId="0" xfId="0" applyNumberFormat="1" applyFont="1"/>
    <xf numFmtId="0" fontId="13" fillId="0" borderId="3" xfId="0" applyFont="1" applyBorder="1" applyAlignment="1">
      <alignment horizontal="left"/>
    </xf>
    <xf numFmtId="44" fontId="13" fillId="0" borderId="3" xfId="0" applyNumberFormat="1" applyFont="1" applyBorder="1"/>
    <xf numFmtId="166" fontId="13" fillId="0" borderId="3" xfId="1" applyNumberFormat="1" applyFont="1" applyFill="1" applyBorder="1"/>
    <xf numFmtId="171" fontId="13" fillId="0" borderId="0" xfId="1" applyNumberFormat="1" applyFont="1" applyFill="1"/>
    <xf numFmtId="0" fontId="16" fillId="0" borderId="0" xfId="0" applyFont="1"/>
    <xf numFmtId="177" fontId="13" fillId="0" borderId="0" xfId="1" applyNumberFormat="1" applyFont="1" applyFill="1"/>
    <xf numFmtId="0" fontId="13" fillId="0" borderId="0" xfId="0" applyFont="1" applyAlignment="1">
      <alignment horizontal="right"/>
    </xf>
    <xf numFmtId="44" fontId="13" fillId="0" borderId="0" xfId="2" applyFont="1" applyFill="1" applyAlignment="1">
      <alignment horizontal="right"/>
    </xf>
    <xf numFmtId="168" fontId="13" fillId="0" borderId="0" xfId="0" applyNumberFormat="1" applyFont="1"/>
    <xf numFmtId="10" fontId="13" fillId="0" borderId="4" xfId="3" applyNumberFormat="1" applyFont="1" applyFill="1" applyBorder="1"/>
    <xf numFmtId="10" fontId="13" fillId="0" borderId="5" xfId="0" applyNumberFormat="1" applyFont="1" applyBorder="1"/>
    <xf numFmtId="166" fontId="15" fillId="0" borderId="2" xfId="1" applyNumberFormat="1" applyFont="1" applyFill="1" applyBorder="1" applyAlignment="1">
      <alignment horizontal="right"/>
    </xf>
    <xf numFmtId="43" fontId="13" fillId="0" borderId="0" xfId="0" applyNumberFormat="1" applyFont="1"/>
    <xf numFmtId="0" fontId="13" fillId="0" borderId="0" xfId="0" applyFont="1" applyAlignment="1">
      <alignment horizontal="left"/>
    </xf>
    <xf numFmtId="177" fontId="13" fillId="0" borderId="0" xfId="1" applyNumberFormat="1" applyFont="1" applyFill="1" applyAlignment="1">
      <alignment horizontal="right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44" fontId="13" fillId="0" borderId="0" xfId="0" applyNumberFormat="1" applyFont="1"/>
    <xf numFmtId="44" fontId="13" fillId="0" borderId="0" xfId="0" applyNumberFormat="1" applyFont="1" applyAlignment="1">
      <alignment horizontal="center"/>
    </xf>
    <xf numFmtId="170" fontId="4" fillId="0" borderId="0" xfId="0" applyNumberFormat="1" applyFont="1"/>
    <xf numFmtId="166" fontId="4" fillId="3" borderId="0" xfId="1" applyNumberFormat="1" applyFont="1" applyFill="1"/>
    <xf numFmtId="165" fontId="4" fillId="3" borderId="0" xfId="0" applyNumberFormat="1" applyFont="1" applyFill="1"/>
    <xf numFmtId="165" fontId="4" fillId="3" borderId="0" xfId="2" applyNumberFormat="1" applyFont="1" applyFill="1"/>
    <xf numFmtId="166" fontId="3" fillId="0" borderId="0" xfId="1" applyNumberFormat="1" applyFont="1" applyFill="1" applyBorder="1" applyAlignment="1">
      <alignment horizontal="center"/>
    </xf>
    <xf numFmtId="43" fontId="4" fillId="0" borderId="11" xfId="1" applyFont="1" applyFill="1" applyBorder="1" applyAlignment="1">
      <alignment horizontal="center"/>
    </xf>
    <xf numFmtId="43" fontId="4" fillId="0" borderId="10" xfId="1" applyFont="1" applyFill="1" applyBorder="1" applyAlignment="1">
      <alignment horizontal="center"/>
    </xf>
    <xf numFmtId="43" fontId="4" fillId="0" borderId="12" xfId="1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0" xfId="0" applyFont="1" applyAlignment="1">
      <alignment horizontal="center"/>
    </xf>
    <xf numFmtId="166" fontId="17" fillId="0" borderId="0" xfId="1" applyNumberFormat="1" applyFont="1" applyFill="1" applyAlignment="1">
      <alignment horizontal="center"/>
    </xf>
    <xf numFmtId="182" fontId="17" fillId="0" borderId="0" xfId="3" applyNumberFormat="1" applyFont="1" applyFill="1" applyAlignment="1">
      <alignment horizontal="center"/>
    </xf>
    <xf numFmtId="166" fontId="4" fillId="0" borderId="2" xfId="1" applyNumberFormat="1" applyFont="1" applyFill="1" applyBorder="1"/>
    <xf numFmtId="165" fontId="4" fillId="0" borderId="0" xfId="0" applyNumberFormat="1" applyFont="1" applyAlignment="1">
      <alignment vertical="center"/>
    </xf>
    <xf numFmtId="185" fontId="11" fillId="5" borderId="0" xfId="0" applyNumberFormat="1" applyFont="1" applyFill="1" applyAlignment="1">
      <alignment horizontal="center"/>
    </xf>
    <xf numFmtId="166" fontId="12" fillId="3" borderId="0" xfId="1" applyNumberFormat="1" applyFont="1" applyFill="1" applyAlignment="1">
      <alignment horizontal="right"/>
    </xf>
  </cellXfs>
  <cellStyles count="6">
    <cellStyle name="Comma" xfId="1" builtinId="3"/>
    <cellStyle name="Comma 2" xfId="5" xr:uid="{D3E40D1E-9089-4D32-9E0B-9E29F6FAB58A}"/>
    <cellStyle name="Currency" xfId="2" builtinId="4"/>
    <cellStyle name="Normal" xfId="0" builtinId="0"/>
    <cellStyle name="Normal 2" xfId="4" xr:uid="{B7AE1133-55F2-4385-8236-A248A8FE414A}"/>
    <cellStyle name="Percent" xfId="3" builtinId="5"/>
  </cellStyles>
  <dxfs count="16">
    <dxf>
      <font>
        <color rgb="FF9C0006"/>
      </font>
    </dxf>
    <dxf>
      <font>
        <color rgb="FF00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006600"/>
      </font>
    </dxf>
    <dxf>
      <font>
        <color rgb="FF9C0006"/>
      </font>
    </dxf>
    <dxf>
      <font>
        <color rgb="FF006600"/>
      </font>
    </dxf>
    <dxf>
      <font>
        <color rgb="FF9C0006"/>
      </font>
    </dxf>
    <dxf>
      <font>
        <color rgb="FF006600"/>
      </font>
    </dxf>
    <dxf>
      <font>
        <color rgb="FF9C0006"/>
      </font>
    </dxf>
    <dxf>
      <font>
        <color theme="6" tint="-0.499984740745262"/>
      </font>
    </dxf>
    <dxf>
      <font>
        <condense val="0"/>
        <extend val="0"/>
        <color rgb="FF9C0006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00FF"/>
      <color rgb="FF006600"/>
      <color rgb="FFFFFFCC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49"/>
  <sheetViews>
    <sheetView view="pageBreakPreview" topLeftCell="B1" zoomScaleNormal="100" zoomScaleSheetLayoutView="100" workbookViewId="0">
      <selection activeCell="I2" sqref="I2"/>
    </sheetView>
  </sheetViews>
  <sheetFormatPr defaultColWidth="9.140625" defaultRowHeight="12.75" x14ac:dyDescent="0.2"/>
  <cols>
    <col min="1" max="1" width="4.42578125" style="3" customWidth="1"/>
    <col min="2" max="2" width="28.5703125" style="12" customWidth="1"/>
    <col min="3" max="3" width="6.85546875" style="22" bestFit="1" customWidth="1"/>
    <col min="4" max="4" width="13.42578125" style="22" customWidth="1"/>
    <col min="5" max="5" width="14" style="22" customWidth="1"/>
    <col min="6" max="6" width="12.5703125" style="23" customWidth="1"/>
    <col min="7" max="7" width="13.5703125" style="3" customWidth="1"/>
    <col min="8" max="8" width="13.5703125" style="24" customWidth="1"/>
    <col min="9" max="9" width="14.42578125" style="24" bestFit="1" customWidth="1"/>
    <col min="10" max="10" width="4.42578125" style="3" customWidth="1"/>
    <col min="11" max="11" width="124.7109375" style="24" customWidth="1"/>
    <col min="12" max="12" width="14.7109375" style="24" bestFit="1" customWidth="1"/>
    <col min="13" max="13" width="15.7109375" style="24" customWidth="1"/>
    <col min="14" max="14" width="15.7109375" style="3" customWidth="1"/>
    <col min="15" max="15" width="17.28515625" style="3" customWidth="1"/>
    <col min="16" max="16" width="13" style="3" customWidth="1"/>
    <col min="17" max="17" width="9.28515625" style="3" bestFit="1" customWidth="1"/>
    <col min="18" max="18" width="14.140625" style="3" bestFit="1" customWidth="1"/>
    <col min="19" max="16384" width="9.140625" style="3"/>
  </cols>
  <sheetData>
    <row r="1" spans="1:39" x14ac:dyDescent="0.2">
      <c r="A1" s="2" t="s">
        <v>1082</v>
      </c>
      <c r="F1" s="29"/>
      <c r="G1" s="134"/>
      <c r="H1" s="134"/>
      <c r="I1" s="205">
        <v>2023</v>
      </c>
    </row>
    <row r="2" spans="1:39" x14ac:dyDescent="0.2">
      <c r="A2" s="2" t="s">
        <v>676</v>
      </c>
      <c r="C2" s="25"/>
      <c r="D2" s="25"/>
      <c r="E2" s="25"/>
      <c r="F2" s="25"/>
      <c r="I2" s="282" t="s">
        <v>1121</v>
      </c>
      <c r="K2" s="26"/>
      <c r="L2" s="26"/>
      <c r="M2" s="26"/>
      <c r="N2" s="26"/>
    </row>
    <row r="3" spans="1:39" x14ac:dyDescent="0.2">
      <c r="A3" s="2"/>
      <c r="C3" s="2"/>
      <c r="D3" s="27"/>
      <c r="E3" s="27"/>
      <c r="F3" s="28"/>
      <c r="K3" s="29"/>
      <c r="L3" s="34" t="s">
        <v>1118</v>
      </c>
      <c r="M3" s="29"/>
      <c r="N3" s="26"/>
    </row>
    <row r="4" spans="1:39" x14ac:dyDescent="0.2">
      <c r="F4" s="31"/>
      <c r="L4" s="277">
        <v>2861405.5442734645</v>
      </c>
      <c r="N4" s="26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</row>
    <row r="5" spans="1:39" x14ac:dyDescent="0.2">
      <c r="A5" s="2"/>
      <c r="B5" s="32"/>
      <c r="C5" s="33"/>
      <c r="D5" s="33"/>
      <c r="E5" s="33"/>
      <c r="F5" s="33"/>
      <c r="G5" s="33"/>
      <c r="I5" s="23"/>
      <c r="L5" s="24" t="s">
        <v>1119</v>
      </c>
      <c r="N5" s="26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</row>
    <row r="6" spans="1:39" s="32" customFormat="1" x14ac:dyDescent="0.2">
      <c r="C6" s="33"/>
      <c r="D6" s="33" t="s">
        <v>877</v>
      </c>
      <c r="E6" s="33" t="s">
        <v>877</v>
      </c>
      <c r="F6" s="33"/>
      <c r="H6" s="33" t="s">
        <v>877</v>
      </c>
      <c r="I6" s="33" t="s">
        <v>918</v>
      </c>
      <c r="K6" s="34"/>
      <c r="L6" s="278">
        <v>3.8399999999999997E-2</v>
      </c>
      <c r="M6" s="34"/>
      <c r="N6" s="26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</row>
    <row r="7" spans="1:39" s="32" customFormat="1" x14ac:dyDescent="0.2">
      <c r="C7" s="33"/>
      <c r="D7" s="33" t="s">
        <v>675</v>
      </c>
      <c r="E7" s="33" t="s">
        <v>675</v>
      </c>
      <c r="F7" s="36"/>
      <c r="G7" s="6"/>
      <c r="H7" s="6" t="s">
        <v>333</v>
      </c>
      <c r="I7" s="6" t="s">
        <v>333</v>
      </c>
      <c r="K7" s="34"/>
      <c r="L7" s="281">
        <v>3.9009910000000002E-2</v>
      </c>
      <c r="M7" s="34"/>
      <c r="N7" s="26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</row>
    <row r="8" spans="1:39" s="32" customFormat="1" ht="13.5" thickBot="1" x14ac:dyDescent="0.25">
      <c r="A8" s="37" t="s">
        <v>924</v>
      </c>
      <c r="B8" s="38" t="s">
        <v>724</v>
      </c>
      <c r="C8" s="38" t="s">
        <v>840</v>
      </c>
      <c r="D8" s="39" t="s">
        <v>347</v>
      </c>
      <c r="E8" s="39" t="s">
        <v>674</v>
      </c>
      <c r="F8" s="39" t="s">
        <v>346</v>
      </c>
      <c r="G8" s="40" t="s">
        <v>76</v>
      </c>
      <c r="H8" s="39" t="s">
        <v>838</v>
      </c>
      <c r="I8" s="39" t="s">
        <v>838</v>
      </c>
      <c r="J8" s="35"/>
      <c r="L8" s="32" t="s">
        <v>1120</v>
      </c>
      <c r="N8" s="26"/>
    </row>
    <row r="9" spans="1:39" x14ac:dyDescent="0.2">
      <c r="A9" s="12"/>
      <c r="B9" s="2"/>
      <c r="C9" s="32"/>
      <c r="F9" s="22"/>
      <c r="G9" s="23"/>
      <c r="H9" s="3"/>
      <c r="I9" s="34"/>
      <c r="J9" s="35"/>
      <c r="M9" s="279">
        <f>SUM(M10:M16)</f>
        <v>2861405.65</v>
      </c>
      <c r="N9" s="26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</row>
    <row r="10" spans="1:39" x14ac:dyDescent="0.2">
      <c r="A10" s="12">
        <v>1</v>
      </c>
      <c r="B10" s="3" t="s">
        <v>1006</v>
      </c>
      <c r="C10" s="12" t="s">
        <v>1007</v>
      </c>
      <c r="D10" s="41">
        <f>'Alloc &amp; Returns'!F$351</f>
        <v>16401882.962465603</v>
      </c>
      <c r="E10" s="41">
        <f>'Alloc &amp; Returns'!F$398</f>
        <v>17864570.818817526</v>
      </c>
      <c r="F10" s="41">
        <f>D10-E10</f>
        <v>-1462687.8563519232</v>
      </c>
      <c r="G10" s="41">
        <f>'Alloc &amp; Returns'!F$406</f>
        <v>26955196.744410895</v>
      </c>
      <c r="H10" s="42">
        <f>F10/G10</f>
        <v>-5.4263668346446352E-2</v>
      </c>
      <c r="I10" s="22">
        <f>IF(H$26&lt;0,-H10/H$26,H10/H$26)</f>
        <v>-1.3492907639744003</v>
      </c>
      <c r="J10" s="35"/>
      <c r="K10" s="141"/>
      <c r="L10" s="42">
        <f>L7</f>
        <v>3.9009910000000002E-2</v>
      </c>
      <c r="M10" s="41">
        <f>ROUND(L10*G10-F10,2)</f>
        <v>2514207.66</v>
      </c>
      <c r="N10" s="26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</row>
    <row r="11" spans="1:39" x14ac:dyDescent="0.2">
      <c r="A11" s="12">
        <v>2</v>
      </c>
      <c r="B11" s="3" t="s">
        <v>1008</v>
      </c>
      <c r="C11" s="12" t="s">
        <v>1009</v>
      </c>
      <c r="D11" s="41">
        <f>'Alloc &amp; Returns'!G$351</f>
        <v>1191283.6489500923</v>
      </c>
      <c r="E11" s="41">
        <f>'Alloc &amp; Returns'!G$398</f>
        <v>1072318.1846403626</v>
      </c>
      <c r="F11" s="41">
        <f t="shared" ref="F11:F26" si="0">D11-E11</f>
        <v>118965.46430972964</v>
      </c>
      <c r="G11" s="41">
        <f>'Alloc &amp; Returns'!G$406</f>
        <v>1588169.6497079157</v>
      </c>
      <c r="H11" s="42">
        <f t="shared" ref="H11:H15" si="1">F11/G11</f>
        <v>7.4907277274571304E-2</v>
      </c>
      <c r="I11" s="22">
        <f t="shared" ref="I11:I15" si="2">IF(H$26&lt;0,-H11/H$26,H11/H$26)</f>
        <v>1.8626034778142231</v>
      </c>
      <c r="J11" s="35"/>
      <c r="K11" s="141"/>
      <c r="L11" s="42">
        <f>H11</f>
        <v>7.4907277274571304E-2</v>
      </c>
      <c r="M11" s="41">
        <f t="shared" ref="M11:M15" si="3">ROUND(L11*G11-F11,2)</f>
        <v>0</v>
      </c>
      <c r="N11" s="26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</row>
    <row r="12" spans="1:39" x14ac:dyDescent="0.2">
      <c r="A12" s="12">
        <v>3</v>
      </c>
      <c r="B12" s="3" t="s">
        <v>1010</v>
      </c>
      <c r="C12" s="12" t="s">
        <v>1011</v>
      </c>
      <c r="D12" s="41">
        <f>'Alloc &amp; Returns'!H$351</f>
        <v>1967329.5072506722</v>
      </c>
      <c r="E12" s="41">
        <f>'Alloc &amp; Returns'!H$398</f>
        <v>2090089.6840716866</v>
      </c>
      <c r="F12" s="41">
        <f t="shared" si="0"/>
        <v>-122760.17682101438</v>
      </c>
      <c r="G12" s="41">
        <f>'Alloc &amp; Returns'!H$406</f>
        <v>2099111.9358035247</v>
      </c>
      <c r="H12" s="42">
        <f t="shared" si="1"/>
        <v>-5.848195835922522E-2</v>
      </c>
      <c r="I12" s="22">
        <f t="shared" si="2"/>
        <v>-1.4541804613990073</v>
      </c>
      <c r="J12" s="35"/>
      <c r="K12" s="141"/>
      <c r="L12" s="42">
        <f t="shared" ref="L12:L15" si="4">L$7</f>
        <v>3.9009910000000002E-2</v>
      </c>
      <c r="M12" s="41">
        <f t="shared" si="3"/>
        <v>204646.34</v>
      </c>
      <c r="N12" s="26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</row>
    <row r="13" spans="1:39" x14ac:dyDescent="0.2">
      <c r="A13" s="12">
        <v>4</v>
      </c>
      <c r="B13" s="3" t="s">
        <v>1012</v>
      </c>
      <c r="C13" s="12" t="s">
        <v>1013</v>
      </c>
      <c r="D13" s="41">
        <f>'Alloc &amp; Returns'!I$351</f>
        <v>821717.66121667356</v>
      </c>
      <c r="E13" s="41">
        <f>'Alloc &amp; Returns'!I$398</f>
        <v>796244.22530669067</v>
      </c>
      <c r="F13" s="41">
        <f t="shared" si="0"/>
        <v>25473.435909982887</v>
      </c>
      <c r="G13" s="41">
        <f>'Alloc &amp; Returns'!I$406</f>
        <v>924976.46168766893</v>
      </c>
      <c r="H13" s="42">
        <f t="shared" si="1"/>
        <v>2.7539550426510576E-2</v>
      </c>
      <c r="I13" s="22">
        <f t="shared" si="2"/>
        <v>0.6847834318398317</v>
      </c>
      <c r="J13" s="35"/>
      <c r="K13" s="141"/>
      <c r="L13" s="42">
        <f t="shared" si="4"/>
        <v>3.9009910000000002E-2</v>
      </c>
      <c r="M13" s="41">
        <f t="shared" si="3"/>
        <v>10609.81</v>
      </c>
      <c r="N13" s="26"/>
      <c r="O13" s="141"/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</row>
    <row r="14" spans="1:39" x14ac:dyDescent="0.2">
      <c r="A14" s="12">
        <v>5</v>
      </c>
      <c r="B14" s="3" t="s">
        <v>1014</v>
      </c>
      <c r="C14" s="12" t="s">
        <v>1015</v>
      </c>
      <c r="D14" s="41">
        <f>'Alloc &amp; Returns'!J$351</f>
        <v>438235.71015136084</v>
      </c>
      <c r="E14" s="41">
        <f>'Alloc &amp; Returns'!J$398</f>
        <v>468023.09863340034</v>
      </c>
      <c r="F14" s="41">
        <f t="shared" si="0"/>
        <v>-29787.388482039503</v>
      </c>
      <c r="G14" s="41">
        <f>'Alloc &amp; Returns'!J$406</f>
        <v>303914.53920634778</v>
      </c>
      <c r="H14" s="42">
        <f t="shared" si="1"/>
        <v>-9.8012383875504108E-2</v>
      </c>
      <c r="I14" s="22">
        <f t="shared" si="2"/>
        <v>-2.4371224494812802</v>
      </c>
      <c r="J14" s="35"/>
      <c r="K14" s="141"/>
      <c r="L14" s="42">
        <f t="shared" si="4"/>
        <v>3.9009910000000002E-2</v>
      </c>
      <c r="M14" s="41">
        <f t="shared" si="3"/>
        <v>41643.07</v>
      </c>
      <c r="N14" s="26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</row>
    <row r="15" spans="1:39" x14ac:dyDescent="0.2">
      <c r="A15" s="12">
        <v>6</v>
      </c>
      <c r="B15" s="3" t="s">
        <v>726</v>
      </c>
      <c r="C15" s="12" t="s">
        <v>1016</v>
      </c>
      <c r="D15" s="41">
        <f>'Alloc &amp; Returns'!K$351</f>
        <v>889099.08996559412</v>
      </c>
      <c r="E15" s="41">
        <f>'Alloc &amp; Returns'!K$398</f>
        <v>841853.72280379594</v>
      </c>
      <c r="F15" s="41">
        <f t="shared" si="0"/>
        <v>47245.367161798174</v>
      </c>
      <c r="G15" s="41">
        <f>'Alloc &amp; Returns'!K$406</f>
        <v>3525876.8015874978</v>
      </c>
      <c r="H15" s="42">
        <f t="shared" si="1"/>
        <v>1.3399608046579031E-2</v>
      </c>
      <c r="I15" s="22">
        <f t="shared" si="2"/>
        <v>0.33318734116342086</v>
      </c>
      <c r="J15" s="35"/>
      <c r="K15" s="141"/>
      <c r="L15" s="42">
        <f t="shared" si="4"/>
        <v>3.9009910000000002E-2</v>
      </c>
      <c r="M15" s="41">
        <f t="shared" si="3"/>
        <v>90298.77</v>
      </c>
      <c r="N15" s="26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</row>
    <row r="16" spans="1:39" hidden="1" x14ac:dyDescent="0.2">
      <c r="A16" s="12"/>
      <c r="B16" s="3"/>
      <c r="C16" s="12"/>
      <c r="D16" s="41"/>
      <c r="E16" s="41"/>
      <c r="F16" s="41"/>
      <c r="G16" s="41"/>
      <c r="H16" s="42"/>
      <c r="I16" s="22"/>
      <c r="J16" s="35"/>
      <c r="K16" s="141"/>
      <c r="L16" s="42"/>
      <c r="M16" s="41"/>
      <c r="N16" s="26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</row>
    <row r="17" spans="1:39" hidden="1" x14ac:dyDescent="0.2">
      <c r="A17" s="12"/>
      <c r="B17" s="3"/>
      <c r="C17" s="12"/>
      <c r="D17" s="41"/>
      <c r="E17" s="41"/>
      <c r="F17" s="41"/>
      <c r="G17" s="41"/>
      <c r="H17" s="42"/>
      <c r="I17" s="22"/>
      <c r="J17" s="35"/>
      <c r="K17" s="141"/>
      <c r="L17" s="141"/>
      <c r="M17" s="141"/>
      <c r="N17" s="26"/>
      <c r="O17" s="141"/>
      <c r="P17" s="141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</row>
    <row r="18" spans="1:39" hidden="1" x14ac:dyDescent="0.2">
      <c r="A18" s="12"/>
      <c r="B18" s="3"/>
      <c r="C18" s="12"/>
      <c r="D18" s="41"/>
      <c r="E18" s="41"/>
      <c r="F18" s="41"/>
      <c r="G18" s="41"/>
      <c r="H18" s="42"/>
      <c r="I18" s="42"/>
      <c r="J18" s="35"/>
      <c r="K18" s="141"/>
      <c r="L18" s="141"/>
      <c r="M18" s="141"/>
      <c r="N18" s="26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</row>
    <row r="19" spans="1:39" hidden="1" x14ac:dyDescent="0.2">
      <c r="A19" s="12"/>
      <c r="B19" s="3"/>
      <c r="C19" s="12"/>
      <c r="D19" s="41"/>
      <c r="E19" s="41"/>
      <c r="F19" s="43"/>
      <c r="G19" s="41"/>
      <c r="H19" s="42"/>
      <c r="I19" s="42"/>
      <c r="J19" s="35"/>
      <c r="K19" s="141"/>
      <c r="L19" s="141"/>
      <c r="M19" s="141"/>
      <c r="N19" s="26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</row>
    <row r="20" spans="1:39" hidden="1" x14ac:dyDescent="0.2">
      <c r="A20" s="12"/>
      <c r="B20" s="3"/>
      <c r="C20" s="12"/>
      <c r="D20" s="41"/>
      <c r="E20" s="41"/>
      <c r="F20" s="43"/>
      <c r="G20" s="41"/>
      <c r="H20" s="42"/>
      <c r="I20" s="42"/>
      <c r="J20" s="35"/>
      <c r="K20" s="141"/>
      <c r="L20" s="141"/>
      <c r="M20" s="141"/>
      <c r="N20" s="26"/>
      <c r="O20" s="141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</row>
    <row r="21" spans="1:39" hidden="1" x14ac:dyDescent="0.2">
      <c r="A21" s="12"/>
      <c r="B21" s="3"/>
      <c r="C21" s="12"/>
      <c r="D21" s="43"/>
      <c r="E21" s="41"/>
      <c r="F21" s="43"/>
      <c r="G21" s="41"/>
      <c r="H21" s="42"/>
      <c r="I21" s="42"/>
      <c r="J21" s="35"/>
      <c r="K21" s="141"/>
      <c r="L21" s="141"/>
      <c r="M21" s="141"/>
      <c r="N21" s="26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</row>
    <row r="22" spans="1:39" hidden="1" x14ac:dyDescent="0.2">
      <c r="A22" s="12"/>
      <c r="B22" s="3"/>
      <c r="C22" s="12"/>
      <c r="D22" s="43"/>
      <c r="E22" s="41"/>
      <c r="F22" s="43"/>
      <c r="G22" s="43"/>
      <c r="H22" s="42"/>
      <c r="I22" s="42"/>
      <c r="J22" s="35"/>
      <c r="K22" s="141"/>
      <c r="L22" s="141"/>
      <c r="M22" s="141"/>
      <c r="N22" s="26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</row>
    <row r="23" spans="1:39" hidden="1" x14ac:dyDescent="0.2">
      <c r="A23" s="12"/>
      <c r="B23" s="3"/>
      <c r="C23" s="12"/>
      <c r="D23" s="43"/>
      <c r="E23" s="41"/>
      <c r="F23" s="43"/>
      <c r="G23" s="43"/>
      <c r="H23" s="42"/>
      <c r="I23" s="42"/>
      <c r="J23" s="35"/>
      <c r="K23" s="197"/>
      <c r="L23" s="197"/>
      <c r="M23" s="197"/>
      <c r="N23" s="26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  <c r="AG23" s="197"/>
      <c r="AH23" s="197"/>
      <c r="AI23" s="197"/>
      <c r="AJ23" s="197"/>
      <c r="AK23" s="197"/>
      <c r="AL23" s="197"/>
      <c r="AM23" s="197"/>
    </row>
    <row r="24" spans="1:39" hidden="1" x14ac:dyDescent="0.2">
      <c r="A24" s="12"/>
      <c r="B24" s="3"/>
      <c r="C24" s="12"/>
      <c r="D24" s="43"/>
      <c r="E24" s="41"/>
      <c r="F24" s="43"/>
      <c r="G24" s="43"/>
      <c r="H24" s="42"/>
      <c r="I24" s="42"/>
      <c r="J24" s="35"/>
      <c r="K24" s="141"/>
      <c r="L24" s="141"/>
      <c r="M24" s="141"/>
      <c r="N24" s="26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</row>
    <row r="25" spans="1:39" hidden="1" x14ac:dyDescent="0.2">
      <c r="A25" s="12"/>
      <c r="B25" s="3"/>
      <c r="C25" s="12"/>
      <c r="D25" s="43"/>
      <c r="E25" s="41"/>
      <c r="F25" s="43"/>
      <c r="G25" s="43"/>
      <c r="H25" s="42"/>
      <c r="I25" s="42"/>
      <c r="J25" s="35"/>
      <c r="K25" s="141"/>
      <c r="L25" s="141"/>
      <c r="M25" s="141"/>
      <c r="N25" s="26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</row>
    <row r="26" spans="1:39" s="49" customFormat="1" ht="26.25" customHeight="1" thickBot="1" x14ac:dyDescent="0.25">
      <c r="A26" s="44">
        <v>7</v>
      </c>
      <c r="B26" s="49" t="s">
        <v>0</v>
      </c>
      <c r="C26" s="45"/>
      <c r="D26" s="46">
        <f>SUM(D10:D25)</f>
        <v>21709548.579999991</v>
      </c>
      <c r="E26" s="46">
        <f>SUM(E10:E25)</f>
        <v>23133099.734273463</v>
      </c>
      <c r="F26" s="46">
        <f t="shared" si="0"/>
        <v>-1423551.1542734727</v>
      </c>
      <c r="G26" s="46">
        <f>SUM(G10:G25)</f>
        <v>35397246.132403851</v>
      </c>
      <c r="H26" s="47">
        <f>F26/G26</f>
        <v>-4.0216437994884162E-2</v>
      </c>
      <c r="I26" s="48">
        <f>H26/H$26</f>
        <v>1</v>
      </c>
      <c r="J26" s="35"/>
      <c r="K26" s="141"/>
      <c r="L26" s="141"/>
      <c r="M26" s="46">
        <f>SUM(M10:M25)</f>
        <v>2861405.65</v>
      </c>
      <c r="N26" s="26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</row>
    <row r="27" spans="1:39" s="49" customFormat="1" ht="26.45" customHeight="1" thickTop="1" x14ac:dyDescent="0.2">
      <c r="A27" s="44"/>
      <c r="B27" s="3"/>
      <c r="C27" s="44"/>
      <c r="D27" s="187"/>
      <c r="E27" s="187"/>
      <c r="F27" s="187"/>
      <c r="G27" s="187"/>
      <c r="H27" s="189"/>
      <c r="I27" s="190"/>
      <c r="J27" s="35"/>
      <c r="M27" s="280">
        <f>M26-L4</f>
        <v>0.10572653543204069</v>
      </c>
      <c r="N27" s="26"/>
    </row>
    <row r="28" spans="1:39" s="49" customFormat="1" ht="26.25" customHeight="1" x14ac:dyDescent="0.2">
      <c r="A28" s="44"/>
      <c r="D28" s="187"/>
      <c r="E28" s="187"/>
      <c r="F28" s="187"/>
      <c r="G28" s="187"/>
      <c r="H28" s="188" t="s">
        <v>997</v>
      </c>
      <c r="I28" s="188"/>
      <c r="J28" s="35"/>
    </row>
    <row r="29" spans="1:39" x14ac:dyDescent="0.2">
      <c r="A29" s="12"/>
      <c r="B29" s="3"/>
      <c r="C29" s="12"/>
      <c r="D29" s="50"/>
      <c r="E29" s="50"/>
      <c r="F29" s="43"/>
      <c r="G29" s="50"/>
      <c r="H29" s="33" t="s">
        <v>877</v>
      </c>
      <c r="I29" s="33" t="s">
        <v>918</v>
      </c>
      <c r="J29" s="35"/>
      <c r="K29" s="32"/>
      <c r="L29" s="34"/>
      <c r="M29" s="34"/>
      <c r="N29" s="35"/>
      <c r="O29" s="32"/>
      <c r="P29" s="32"/>
      <c r="Q29" s="32"/>
    </row>
    <row r="30" spans="1:39" x14ac:dyDescent="0.2">
      <c r="A30" s="32"/>
      <c r="B30" s="3"/>
      <c r="C30" s="33"/>
      <c r="D30" s="33" t="s">
        <v>998</v>
      </c>
      <c r="E30" s="33" t="s">
        <v>999</v>
      </c>
      <c r="F30" s="22"/>
      <c r="G30" s="23"/>
      <c r="H30" s="6" t="s">
        <v>333</v>
      </c>
      <c r="I30" s="6" t="s">
        <v>333</v>
      </c>
      <c r="J30" s="24"/>
      <c r="K30" s="32"/>
      <c r="L30" s="34"/>
      <c r="N30" s="24"/>
    </row>
    <row r="31" spans="1:39" ht="13.5" thickBot="1" x14ac:dyDescent="0.25">
      <c r="A31" s="37" t="s">
        <v>924</v>
      </c>
      <c r="B31" s="38" t="s">
        <v>724</v>
      </c>
      <c r="C31" s="38" t="s">
        <v>840</v>
      </c>
      <c r="D31" s="39" t="s">
        <v>347</v>
      </c>
      <c r="E31" s="39" t="s">
        <v>11</v>
      </c>
      <c r="F31" s="22"/>
      <c r="G31" s="23"/>
      <c r="H31" s="39" t="s">
        <v>838</v>
      </c>
      <c r="I31" s="39" t="s">
        <v>838</v>
      </c>
      <c r="J31" s="24"/>
      <c r="K31" s="32"/>
      <c r="L31" s="34"/>
      <c r="N31" s="24"/>
    </row>
    <row r="32" spans="1:39" x14ac:dyDescent="0.2">
      <c r="A32" s="12"/>
      <c r="B32" s="2"/>
      <c r="C32" s="32"/>
      <c r="D32" s="32"/>
      <c r="F32" s="22"/>
      <c r="G32" s="23"/>
      <c r="H32" s="3"/>
      <c r="I32" s="34"/>
      <c r="J32" s="24"/>
      <c r="K32" s="3"/>
      <c r="N32" s="24"/>
    </row>
    <row r="33" spans="1:14" x14ac:dyDescent="0.2">
      <c r="A33" s="12">
        <f>A26+1</f>
        <v>8</v>
      </c>
      <c r="B33" s="3" t="str">
        <f>B10</f>
        <v>A1 - Farm &amp; Home</v>
      </c>
      <c r="C33" s="12" t="str">
        <f>C10</f>
        <v>A1</v>
      </c>
      <c r="D33" s="191">
        <f t="shared" ref="D33:D39" si="5">D10/D$26</f>
        <v>0.75551469446840103</v>
      </c>
      <c r="E33" s="191">
        <f>'Billing Det'!P8</f>
        <v>0.73231296599483775</v>
      </c>
      <c r="F33" s="22"/>
      <c r="G33" s="141"/>
      <c r="H33" s="42">
        <v>3.8992460510087278E-2</v>
      </c>
      <c r="I33" s="22">
        <v>0.95994309693144886</v>
      </c>
      <c r="J33" s="24"/>
      <c r="K33" s="3"/>
      <c r="N33" s="24"/>
    </row>
    <row r="34" spans="1:14" x14ac:dyDescent="0.2">
      <c r="A34" s="12">
        <f>A33+1</f>
        <v>9</v>
      </c>
      <c r="B34" s="3" t="str">
        <f t="shared" ref="B34:C39" si="6">B11</f>
        <v>A2 - Commercial &amp; Small Power</v>
      </c>
      <c r="C34" s="12" t="str">
        <f t="shared" si="6"/>
        <v>A2</v>
      </c>
      <c r="D34" s="191">
        <f t="shared" si="5"/>
        <v>5.4873718104280031E-2</v>
      </c>
      <c r="E34" s="191">
        <f>'Billing Det'!P9</f>
        <v>4.3595296800524715E-2</v>
      </c>
      <c r="F34" s="22"/>
      <c r="G34" s="141"/>
      <c r="H34" s="42">
        <v>7.4907277274571304E-2</v>
      </c>
      <c r="I34" s="22">
        <v>1.8441186524008297</v>
      </c>
      <c r="J34" s="24"/>
      <c r="K34" s="3"/>
      <c r="N34" s="24"/>
    </row>
    <row r="35" spans="1:14" x14ac:dyDescent="0.2">
      <c r="A35" s="12">
        <f t="shared" ref="A35:A39" si="7">A34+1</f>
        <v>10</v>
      </c>
      <c r="B35" s="3" t="str">
        <f t="shared" si="6"/>
        <v xml:space="preserve">LP - Large Power </v>
      </c>
      <c r="C35" s="12" t="str">
        <f t="shared" si="6"/>
        <v>LP</v>
      </c>
      <c r="D35" s="191">
        <f t="shared" si="5"/>
        <v>9.0620470527106325E-2</v>
      </c>
      <c r="E35" s="191">
        <f>'Billing Det'!P10</f>
        <v>0.1169001127689983</v>
      </c>
      <c r="F35" s="22"/>
      <c r="G35" s="141"/>
      <c r="H35" s="42">
        <v>3.9025284624770784E-2</v>
      </c>
      <c r="I35" s="22">
        <v>0.96075118346641297</v>
      </c>
      <c r="J35" s="24"/>
      <c r="K35" s="3"/>
      <c r="N35" s="24"/>
    </row>
    <row r="36" spans="1:14" x14ac:dyDescent="0.2">
      <c r="A36" s="12">
        <f t="shared" si="7"/>
        <v>11</v>
      </c>
      <c r="B36" s="3" t="str">
        <f t="shared" si="6"/>
        <v>LPR - Large Power</v>
      </c>
      <c r="C36" s="12" t="str">
        <f t="shared" si="6"/>
        <v>LPR</v>
      </c>
      <c r="D36" s="191">
        <f t="shared" si="5"/>
        <v>3.7850518088325624E-2</v>
      </c>
      <c r="E36" s="191">
        <f>'Billing Det'!P11</f>
        <v>5.3853443975562507E-2</v>
      </c>
      <c r="F36" s="22"/>
      <c r="G36" s="141"/>
      <c r="H36" s="42">
        <v>3.9011236722872905E-2</v>
      </c>
      <c r="I36" s="22">
        <v>0.96040534259674659</v>
      </c>
      <c r="J36" s="24"/>
      <c r="K36" s="3"/>
      <c r="N36" s="24"/>
    </row>
    <row r="37" spans="1:14" x14ac:dyDescent="0.2">
      <c r="A37" s="12">
        <f t="shared" si="7"/>
        <v>12</v>
      </c>
      <c r="B37" s="3" t="str">
        <f t="shared" si="6"/>
        <v>IND 1-B - Industrial</v>
      </c>
      <c r="C37" s="12" t="str">
        <f t="shared" si="6"/>
        <v>IND-1B</v>
      </c>
      <c r="D37" s="191">
        <f t="shared" si="5"/>
        <v>2.0186311499589965E-2</v>
      </c>
      <c r="E37" s="191">
        <f>'Billing Det'!P12</f>
        <v>3.474799362092286E-2</v>
      </c>
      <c r="F37" s="22"/>
      <c r="G37" s="141"/>
      <c r="H37" s="42">
        <v>4.0312385090253103E-2</v>
      </c>
      <c r="I37" s="22">
        <v>0.99243790419996025</v>
      </c>
      <c r="J37" s="24"/>
      <c r="K37" s="3"/>
      <c r="N37" s="24"/>
    </row>
    <row r="38" spans="1:14" x14ac:dyDescent="0.2">
      <c r="A38" s="12">
        <f t="shared" si="7"/>
        <v>13</v>
      </c>
      <c r="B38" s="3" t="str">
        <f t="shared" si="6"/>
        <v>Lighting</v>
      </c>
      <c r="C38" s="12" t="str">
        <f t="shared" si="6"/>
        <v>YL</v>
      </c>
      <c r="D38" s="191">
        <f t="shared" si="5"/>
        <v>4.0954287312297236E-2</v>
      </c>
      <c r="E38" s="191">
        <f>'Billing Det'!P13</f>
        <v>1.8590186839153845E-2</v>
      </c>
      <c r="G38" s="141"/>
      <c r="H38" s="42">
        <v>3.9011858582202005E-2</v>
      </c>
      <c r="I38" s="22">
        <v>0.96042065195559245</v>
      </c>
    </row>
    <row r="39" spans="1:14" hidden="1" x14ac:dyDescent="0.2">
      <c r="A39" s="12">
        <f t="shared" si="7"/>
        <v>14</v>
      </c>
      <c r="B39" s="3">
        <f t="shared" si="6"/>
        <v>0</v>
      </c>
      <c r="C39" s="12">
        <f t="shared" si="6"/>
        <v>0</v>
      </c>
      <c r="D39" s="191">
        <f t="shared" si="5"/>
        <v>0</v>
      </c>
      <c r="E39" s="191">
        <f>'Billing Det'!P14</f>
        <v>0</v>
      </c>
      <c r="G39" s="141"/>
      <c r="H39" s="42"/>
      <c r="I39" s="22"/>
    </row>
    <row r="40" spans="1:14" hidden="1" x14ac:dyDescent="0.2">
      <c r="A40" s="12"/>
      <c r="B40" s="3"/>
      <c r="C40" s="12"/>
      <c r="D40" s="191">
        <f t="shared" ref="D40:D48" si="8">D18/D$26</f>
        <v>0</v>
      </c>
      <c r="E40" s="192">
        <f>'Billing Det'!P16</f>
        <v>0</v>
      </c>
      <c r="H40" s="42"/>
      <c r="I40" s="42"/>
    </row>
    <row r="41" spans="1:14" hidden="1" x14ac:dyDescent="0.2">
      <c r="A41" s="12"/>
      <c r="B41" s="3"/>
      <c r="C41" s="12"/>
      <c r="D41" s="191">
        <f t="shared" si="8"/>
        <v>0</v>
      </c>
      <c r="E41" s="192">
        <f>'Billing Det'!P17</f>
        <v>0</v>
      </c>
      <c r="H41" s="42"/>
      <c r="I41" s="42"/>
    </row>
    <row r="42" spans="1:14" hidden="1" x14ac:dyDescent="0.2">
      <c r="A42" s="12"/>
      <c r="B42" s="3"/>
      <c r="C42" s="12"/>
      <c r="D42" s="191">
        <f t="shared" si="8"/>
        <v>0</v>
      </c>
      <c r="E42" s="192">
        <f>'Billing Det'!P18</f>
        <v>0</v>
      </c>
      <c r="H42" s="42"/>
      <c r="I42" s="42"/>
    </row>
    <row r="43" spans="1:14" hidden="1" x14ac:dyDescent="0.2">
      <c r="A43" s="12"/>
      <c r="B43" s="3"/>
      <c r="C43" s="12"/>
      <c r="D43" s="191">
        <f t="shared" si="8"/>
        <v>0</v>
      </c>
      <c r="E43" s="192">
        <f>'Billing Det'!P19</f>
        <v>0</v>
      </c>
      <c r="H43" s="42"/>
      <c r="I43" s="42"/>
    </row>
    <row r="44" spans="1:14" hidden="1" x14ac:dyDescent="0.2">
      <c r="A44" s="12"/>
      <c r="B44" s="3"/>
      <c r="C44" s="12"/>
      <c r="D44" s="191">
        <f t="shared" si="8"/>
        <v>0</v>
      </c>
      <c r="E44" s="192">
        <f>'Billing Det'!P20</f>
        <v>0</v>
      </c>
      <c r="H44" s="42"/>
      <c r="I44" s="42"/>
    </row>
    <row r="45" spans="1:14" hidden="1" x14ac:dyDescent="0.2">
      <c r="A45" s="12"/>
      <c r="B45" s="3"/>
      <c r="C45" s="12"/>
      <c r="D45" s="191">
        <f t="shared" si="8"/>
        <v>0</v>
      </c>
      <c r="E45" s="192">
        <f>'Billing Det'!P21</f>
        <v>0</v>
      </c>
      <c r="H45" s="42"/>
      <c r="I45" s="42"/>
    </row>
    <row r="46" spans="1:14" hidden="1" x14ac:dyDescent="0.2">
      <c r="A46" s="12"/>
      <c r="B46" s="3"/>
      <c r="C46" s="12"/>
      <c r="D46" s="191">
        <f t="shared" si="8"/>
        <v>0</v>
      </c>
      <c r="E46" s="192">
        <f>'Billing Det'!P22</f>
        <v>0</v>
      </c>
      <c r="H46" s="42"/>
      <c r="I46" s="42"/>
    </row>
    <row r="47" spans="1:14" hidden="1" x14ac:dyDescent="0.2">
      <c r="A47" s="12"/>
      <c r="B47" s="3"/>
      <c r="C47" s="12"/>
      <c r="D47" s="191">
        <f t="shared" si="8"/>
        <v>0</v>
      </c>
      <c r="E47" s="192">
        <f>'Billing Det'!P23</f>
        <v>0</v>
      </c>
      <c r="H47" s="42"/>
      <c r="I47" s="42"/>
    </row>
    <row r="48" spans="1:14" ht="18.600000000000001" customHeight="1" thickBot="1" x14ac:dyDescent="0.25">
      <c r="A48" s="44">
        <v>15</v>
      </c>
      <c r="B48" s="3"/>
      <c r="C48" s="45"/>
      <c r="D48" s="193">
        <f t="shared" si="8"/>
        <v>1</v>
      </c>
      <c r="E48" s="194">
        <f>SUM(E33:E39)</f>
        <v>0.99999999999999989</v>
      </c>
      <c r="H48" s="47">
        <v>4.0619554049329022E-2</v>
      </c>
      <c r="I48" s="48">
        <v>1</v>
      </c>
    </row>
    <row r="49" ht="13.5" thickTop="1" x14ac:dyDescent="0.2"/>
  </sheetData>
  <phoneticPr fontId="0" type="noConversion"/>
  <conditionalFormatting sqref="D40:D44">
    <cfRule type="cellIs" dxfId="15" priority="25" stopIfTrue="1" operator="lessThan">
      <formula>$H$26</formula>
    </cfRule>
    <cfRule type="cellIs" dxfId="14" priority="26" stopIfTrue="1" operator="greaterThan">
      <formula>$H$26</formula>
    </cfRule>
  </conditionalFormatting>
  <conditionalFormatting sqref="H16">
    <cfRule type="cellIs" dxfId="13" priority="6" operator="lessThan">
      <formula>0.5342</formula>
    </cfRule>
  </conditionalFormatting>
  <conditionalFormatting sqref="H16:H17">
    <cfRule type="cellIs" dxfId="12" priority="5" operator="greaterThan">
      <formula>$H$26</formula>
    </cfRule>
  </conditionalFormatting>
  <conditionalFormatting sqref="H17">
    <cfRule type="cellIs" dxfId="11" priority="18" operator="lessThan">
      <formula>$H$26</formula>
    </cfRule>
  </conditionalFormatting>
  <conditionalFormatting sqref="I17">
    <cfRule type="cellIs" dxfId="10" priority="15" operator="greaterThan">
      <formula>$I$26</formula>
    </cfRule>
    <cfRule type="cellIs" dxfId="9" priority="16" operator="lessThan">
      <formula>$I$26</formula>
    </cfRule>
  </conditionalFormatting>
  <conditionalFormatting sqref="I17:I26">
    <cfRule type="cellIs" dxfId="8" priority="3" operator="greaterThan">
      <formula>$I$26</formula>
    </cfRule>
    <cfRule type="cellIs" dxfId="7" priority="4" operator="lessThan">
      <formula>$I$26</formula>
    </cfRule>
  </conditionalFormatting>
  <conditionalFormatting sqref="I48">
    <cfRule type="cellIs" dxfId="1" priority="1" operator="greaterThan">
      <formula>$I$26</formula>
    </cfRule>
    <cfRule type="cellIs" dxfId="0" priority="2" operator="lessThan">
      <formula>$I$26</formula>
    </cfRule>
  </conditionalFormatting>
  <pageMargins left="0.75" right="0.75" top="1" bottom="1" header="0.5" footer="0.5"/>
  <pageSetup orientation="landscape" r:id="rId1"/>
  <headerFooter alignWithMargins="0">
    <oddFooter>&amp;RExhibit JW-3
Page &amp;P of &amp;N</oddFooter>
  </headerFooter>
  <ignoredErrors>
    <ignoredError sqref="F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48"/>
  <sheetViews>
    <sheetView tabSelected="1" view="pageBreakPreview" zoomScaleNormal="100" zoomScaleSheetLayoutView="100" workbookViewId="0">
      <selection activeCell="L17" sqref="L17"/>
    </sheetView>
  </sheetViews>
  <sheetFormatPr defaultColWidth="9.140625" defaultRowHeight="12.75" x14ac:dyDescent="0.2"/>
  <cols>
    <col min="1" max="1" width="4.42578125" style="3" customWidth="1"/>
    <col min="2" max="2" width="29.28515625" style="12" bestFit="1" customWidth="1"/>
    <col min="3" max="3" width="3.42578125" style="22" customWidth="1"/>
    <col min="4" max="4" width="10.7109375" style="3" bestFit="1" customWidth="1"/>
    <col min="5" max="5" width="10.7109375" style="24" bestFit="1" customWidth="1"/>
    <col min="6" max="6" width="9.140625" style="24" bestFit="1" customWidth="1"/>
    <col min="7" max="7" width="9.140625" style="3"/>
    <col min="8" max="8" width="6.85546875" style="24" bestFit="1" customWidth="1"/>
    <col min="9" max="9" width="9.85546875" style="24" bestFit="1" customWidth="1"/>
    <col min="10" max="10" width="2.28515625" style="24" customWidth="1"/>
    <col min="11" max="11" width="7.85546875" style="3" bestFit="1" customWidth="1"/>
    <col min="12" max="12" width="9.85546875" style="3" bestFit="1" customWidth="1"/>
    <col min="13" max="13" width="6.85546875" style="3" bestFit="1" customWidth="1"/>
    <col min="14" max="15" width="9.140625" style="3"/>
    <col min="16" max="16" width="9.140625" style="3" customWidth="1"/>
    <col min="17" max="16384" width="9.140625" style="3"/>
  </cols>
  <sheetData>
    <row r="1" spans="1:13" x14ac:dyDescent="0.2">
      <c r="A1" s="2" t="s">
        <v>1082</v>
      </c>
      <c r="F1" s="268" t="s">
        <v>1121</v>
      </c>
    </row>
    <row r="2" spans="1:13" x14ac:dyDescent="0.2">
      <c r="A2" s="2" t="s">
        <v>935</v>
      </c>
      <c r="C2" s="25"/>
      <c r="E2" s="26"/>
      <c r="F2" s="26"/>
      <c r="H2" s="271"/>
      <c r="I2" s="271"/>
      <c r="J2" s="271"/>
      <c r="K2" s="271"/>
    </row>
    <row r="3" spans="1:13" x14ac:dyDescent="0.2">
      <c r="A3" s="2"/>
      <c r="C3" s="2"/>
      <c r="E3" s="29"/>
      <c r="F3" s="30"/>
      <c r="H3" s="29"/>
      <c r="I3" s="29"/>
      <c r="J3" s="29"/>
      <c r="K3" s="30"/>
    </row>
    <row r="4" spans="1:13" x14ac:dyDescent="0.2">
      <c r="D4" s="272" t="s">
        <v>1081</v>
      </c>
      <c r="E4" s="273"/>
      <c r="F4" s="274"/>
    </row>
    <row r="5" spans="1:13" s="32" customFormat="1" x14ac:dyDescent="0.2">
      <c r="I5" s="34"/>
      <c r="J5" s="34"/>
      <c r="K5" s="35"/>
    </row>
    <row r="6" spans="1:13" s="32" customFormat="1" x14ac:dyDescent="0.2">
      <c r="C6" s="2"/>
      <c r="D6" s="52" t="s">
        <v>714</v>
      </c>
      <c r="E6" s="53" t="s">
        <v>11</v>
      </c>
      <c r="F6" s="52" t="s">
        <v>10</v>
      </c>
      <c r="H6" s="34"/>
      <c r="I6" s="34"/>
      <c r="J6" s="34"/>
      <c r="K6" s="35"/>
    </row>
    <row r="7" spans="1:13" s="32" customFormat="1" ht="13.5" thickBot="1" x14ac:dyDescent="0.25">
      <c r="A7" s="37" t="s">
        <v>924</v>
      </c>
      <c r="B7" s="38" t="s">
        <v>724</v>
      </c>
      <c r="C7" s="22"/>
      <c r="D7" s="39" t="s">
        <v>931</v>
      </c>
      <c r="E7" s="39" t="s">
        <v>932</v>
      </c>
      <c r="F7" s="39" t="s">
        <v>933</v>
      </c>
      <c r="G7" s="35"/>
      <c r="I7" s="34"/>
      <c r="J7" s="34"/>
      <c r="K7" s="34"/>
      <c r="L7" s="35"/>
    </row>
    <row r="8" spans="1:13" x14ac:dyDescent="0.2">
      <c r="A8" s="12"/>
      <c r="B8" s="2"/>
      <c r="C8" s="2"/>
      <c r="D8" s="22"/>
      <c r="E8" s="23"/>
      <c r="F8" s="3"/>
      <c r="G8" s="35"/>
      <c r="H8" s="32"/>
      <c r="I8" s="34"/>
      <c r="J8" s="34"/>
      <c r="K8" s="34"/>
      <c r="L8" s="35"/>
      <c r="M8" s="32"/>
    </row>
    <row r="9" spans="1:13" x14ac:dyDescent="0.2">
      <c r="A9" s="12">
        <v>1</v>
      </c>
      <c r="B9" s="3" t="str">
        <f>'Summary of Returns'!B10</f>
        <v>A1 - Farm &amp; Home</v>
      </c>
      <c r="D9" s="20">
        <f>'Alloc &amp; Returns'!F664</f>
        <v>42.642634032561503</v>
      </c>
      <c r="E9" s="17">
        <f>'Alloc &amp; Returns'!F665</f>
        <v>9.075827338058734E-2</v>
      </c>
      <c r="F9" s="20">
        <f>'Alloc &amp; Returns'!F666</f>
        <v>0</v>
      </c>
      <c r="G9" s="35"/>
      <c r="H9" s="32"/>
      <c r="I9" s="34"/>
      <c r="J9" s="34"/>
      <c r="K9" s="34"/>
      <c r="L9" s="35"/>
      <c r="M9" s="32"/>
    </row>
    <row r="10" spans="1:13" x14ac:dyDescent="0.2">
      <c r="A10" s="12">
        <v>2</v>
      </c>
      <c r="B10" s="3" t="str">
        <f>'Summary of Returns'!B11</f>
        <v>A2 - Commercial &amp; Small Power</v>
      </c>
      <c r="C10" s="2"/>
      <c r="D10" s="20">
        <f>'Alloc &amp; Returns'!G664</f>
        <v>41.518685454312077</v>
      </c>
      <c r="E10" s="17">
        <f>'Alloc &amp; Returns'!G665</f>
        <v>3.8964773278202532E-2</v>
      </c>
      <c r="F10" s="20">
        <f>'Alloc &amp; Returns'!G666</f>
        <v>9.3229933065391855</v>
      </c>
      <c r="G10" s="35"/>
      <c r="H10" s="32"/>
      <c r="I10" s="34"/>
      <c r="J10" s="34"/>
      <c r="K10" s="34"/>
      <c r="L10" s="35"/>
      <c r="M10" s="32"/>
    </row>
    <row r="11" spans="1:13" x14ac:dyDescent="0.2">
      <c r="A11" s="12">
        <v>3</v>
      </c>
      <c r="B11" s="3" t="str">
        <f>'Summary of Returns'!B12</f>
        <v xml:space="preserve">LP - Large Power </v>
      </c>
      <c r="D11" s="20">
        <f>'Alloc &amp; Returns'!H664</f>
        <v>84.656286352838094</v>
      </c>
      <c r="E11" s="72">
        <f>'Alloc &amp; Returns'!H665</f>
        <v>4.4135399264917254E-2</v>
      </c>
      <c r="F11" s="20">
        <f>'Alloc &amp; Returns'!H666</f>
        <v>12.518253512635846</v>
      </c>
      <c r="G11" s="35"/>
      <c r="H11" s="32"/>
      <c r="I11" s="34"/>
      <c r="J11" s="34"/>
      <c r="K11" s="34"/>
      <c r="L11" s="35"/>
      <c r="M11" s="32"/>
    </row>
    <row r="12" spans="1:13" x14ac:dyDescent="0.2">
      <c r="A12" s="12">
        <v>4</v>
      </c>
      <c r="B12" s="3" t="str">
        <f>'Summary of Returns'!B13</f>
        <v>LPR - Large Power</v>
      </c>
      <c r="C12" s="2"/>
      <c r="D12" s="22">
        <f>'Alloc &amp; Returns'!I664</f>
        <v>367.66345388507796</v>
      </c>
      <c r="E12" s="72">
        <f>'Alloc &amp; Returns'!I665</f>
        <v>4.552024097884412E-2</v>
      </c>
      <c r="F12" s="22">
        <f>'Alloc &amp; Returns'!I666</f>
        <v>7.9213044535289967</v>
      </c>
      <c r="G12" s="35"/>
      <c r="H12" s="32"/>
      <c r="I12" s="34"/>
      <c r="J12" s="34"/>
      <c r="K12" s="34"/>
      <c r="L12" s="35"/>
      <c r="M12" s="32"/>
    </row>
    <row r="13" spans="1:13" x14ac:dyDescent="0.2">
      <c r="A13" s="12">
        <v>5</v>
      </c>
      <c r="B13" s="3" t="str">
        <f>'Summary of Returns'!B14</f>
        <v>IND 1-B - Industrial</v>
      </c>
      <c r="D13" s="22">
        <f>'Alloc &amp; Returns'!J664</f>
        <v>716.69595716414483</v>
      </c>
      <c r="E13" s="72">
        <f>'Alloc &amp; Returns'!J665</f>
        <v>3.1034878431252449E-2</v>
      </c>
      <c r="F13" s="22">
        <f>'Alloc &amp; Returns'!J666</f>
        <v>19.200252984901841</v>
      </c>
      <c r="G13" s="35"/>
      <c r="H13" s="32"/>
      <c r="I13" s="34"/>
      <c r="J13" s="34"/>
      <c r="K13" s="34"/>
      <c r="L13" s="35"/>
      <c r="M13" s="32"/>
    </row>
    <row r="14" spans="1:13" x14ac:dyDescent="0.2">
      <c r="A14" s="12"/>
      <c r="B14" s="3"/>
      <c r="C14" s="2"/>
      <c r="D14" s="22"/>
      <c r="E14" s="23"/>
      <c r="F14" s="22"/>
      <c r="G14" s="35"/>
      <c r="H14" s="32"/>
      <c r="I14" s="34"/>
      <c r="J14" s="34"/>
      <c r="K14" s="34"/>
      <c r="L14" s="35"/>
      <c r="M14" s="32"/>
    </row>
    <row r="15" spans="1:13" x14ac:dyDescent="0.2">
      <c r="A15" s="12"/>
      <c r="B15" s="3"/>
      <c r="D15" s="22"/>
      <c r="E15" s="22"/>
      <c r="F15" s="22"/>
      <c r="G15" s="22"/>
      <c r="H15" s="32"/>
      <c r="I15" s="34"/>
      <c r="J15" s="34"/>
      <c r="K15" s="34"/>
      <c r="L15" s="35"/>
      <c r="M15" s="32"/>
    </row>
    <row r="16" spans="1:13" ht="15" customHeight="1" x14ac:dyDescent="0.2">
      <c r="A16" s="12"/>
      <c r="B16" s="3"/>
      <c r="C16" s="2"/>
      <c r="D16" s="2"/>
      <c r="E16" s="2"/>
      <c r="F16" s="2"/>
      <c r="G16" s="2"/>
      <c r="H16" s="32"/>
      <c r="I16" s="34"/>
      <c r="J16" s="34"/>
      <c r="K16" s="34"/>
      <c r="L16" s="35"/>
      <c r="M16" s="32"/>
    </row>
    <row r="17" spans="1:11" ht="15" customHeight="1" x14ac:dyDescent="0.2">
      <c r="A17" s="12"/>
      <c r="B17" s="3"/>
      <c r="G17" s="35"/>
      <c r="K17" s="24"/>
    </row>
    <row r="18" spans="1:11" ht="15" customHeight="1" x14ac:dyDescent="0.2">
      <c r="A18" s="12"/>
      <c r="B18" s="3"/>
      <c r="C18" s="2"/>
      <c r="E18" s="29"/>
      <c r="F18" s="30"/>
      <c r="G18" s="35"/>
      <c r="K18" s="24"/>
    </row>
    <row r="19" spans="1:11" ht="15" customHeight="1" x14ac:dyDescent="0.2">
      <c r="A19" s="12"/>
      <c r="B19" s="3"/>
      <c r="G19" s="35"/>
      <c r="K19" s="24"/>
    </row>
    <row r="20" spans="1:11" ht="15" customHeight="1" x14ac:dyDescent="0.2">
      <c r="A20" s="12"/>
      <c r="B20" s="3"/>
      <c r="C20" s="2"/>
      <c r="E20" s="29"/>
      <c r="F20" s="30"/>
      <c r="G20" s="35"/>
      <c r="K20" s="24"/>
    </row>
    <row r="21" spans="1:11" ht="15" customHeight="1" x14ac:dyDescent="0.2">
      <c r="A21" s="12"/>
      <c r="B21" s="3"/>
      <c r="G21" s="35"/>
      <c r="K21" s="24"/>
    </row>
    <row r="22" spans="1:11" ht="15" customHeight="1" x14ac:dyDescent="0.2">
      <c r="A22" s="12"/>
      <c r="B22" s="3"/>
      <c r="C22" s="2"/>
      <c r="E22" s="29"/>
      <c r="F22" s="30"/>
      <c r="G22" s="35"/>
      <c r="K22" s="24"/>
    </row>
    <row r="23" spans="1:11" ht="15" customHeight="1" x14ac:dyDescent="0.2">
      <c r="A23" s="12"/>
      <c r="B23" s="3"/>
      <c r="G23" s="35"/>
      <c r="K23" s="24"/>
    </row>
    <row r="24" spans="1:11" x14ac:dyDescent="0.2">
      <c r="A24" s="12"/>
      <c r="B24" s="3"/>
      <c r="C24" s="2"/>
      <c r="G24" s="35"/>
      <c r="K24" s="24"/>
    </row>
    <row r="25" spans="1:11" s="49" customFormat="1" ht="26.25" customHeight="1" x14ac:dyDescent="0.2">
      <c r="A25" s="44"/>
      <c r="B25" s="3"/>
      <c r="C25" s="22"/>
      <c r="G25" s="35"/>
      <c r="J25" s="54"/>
      <c r="K25" s="54"/>
    </row>
    <row r="26" spans="1:11" x14ac:dyDescent="0.2">
      <c r="A26" s="44"/>
      <c r="B26" s="3"/>
      <c r="D26" s="49"/>
      <c r="E26" s="49"/>
      <c r="F26" s="49"/>
      <c r="G26" s="35"/>
      <c r="K26" s="24"/>
    </row>
    <row r="27" spans="1:11" x14ac:dyDescent="0.2">
      <c r="A27" s="44"/>
      <c r="B27" s="3"/>
      <c r="D27" s="49"/>
      <c r="E27" s="49"/>
      <c r="F27" s="49"/>
      <c r="G27" s="24"/>
      <c r="H27" s="32"/>
      <c r="I27" s="34"/>
      <c r="K27" s="24"/>
    </row>
    <row r="28" spans="1:11" x14ac:dyDescent="0.2">
      <c r="A28" s="44"/>
      <c r="B28" s="3"/>
      <c r="D28" s="49"/>
      <c r="E28" s="49"/>
      <c r="F28" s="49"/>
      <c r="G28" s="24"/>
      <c r="H28" s="32"/>
      <c r="I28" s="34"/>
      <c r="K28" s="24"/>
    </row>
    <row r="29" spans="1:11" x14ac:dyDescent="0.2">
      <c r="A29" s="44"/>
      <c r="B29" s="3"/>
      <c r="D29" s="49"/>
      <c r="E29" s="49"/>
      <c r="F29" s="49"/>
      <c r="G29" s="24"/>
      <c r="H29" s="32"/>
      <c r="I29" s="34"/>
      <c r="K29" s="24"/>
    </row>
    <row r="30" spans="1:11" x14ac:dyDescent="0.2">
      <c r="A30" s="44"/>
      <c r="B30" s="3"/>
      <c r="C30" s="2"/>
      <c r="D30" s="49"/>
      <c r="E30" s="49"/>
      <c r="F30" s="49"/>
      <c r="G30" s="24"/>
      <c r="H30" s="3"/>
      <c r="K30" s="24"/>
    </row>
    <row r="31" spans="1:11" x14ac:dyDescent="0.2">
      <c r="A31" s="44"/>
      <c r="B31" s="3"/>
      <c r="D31" s="49"/>
      <c r="E31" s="49"/>
      <c r="F31" s="49"/>
      <c r="G31" s="24"/>
      <c r="H31" s="3"/>
      <c r="K31" s="24"/>
    </row>
    <row r="32" spans="1:11" x14ac:dyDescent="0.2">
      <c r="A32" s="44"/>
      <c r="B32" s="3"/>
      <c r="C32" s="2"/>
      <c r="D32" s="49"/>
      <c r="E32" s="49"/>
      <c r="F32" s="49"/>
      <c r="G32" s="24"/>
      <c r="H32" s="3"/>
      <c r="K32" s="24"/>
    </row>
    <row r="33" spans="1:11" x14ac:dyDescent="0.2">
      <c r="A33" s="44"/>
      <c r="B33" s="3"/>
      <c r="D33" s="49"/>
      <c r="E33" s="49"/>
      <c r="F33" s="49"/>
      <c r="G33" s="24"/>
      <c r="H33" s="3"/>
      <c r="K33" s="24"/>
    </row>
    <row r="34" spans="1:11" x14ac:dyDescent="0.2">
      <c r="A34" s="44"/>
      <c r="B34" s="3"/>
      <c r="C34" s="2"/>
      <c r="D34" s="49"/>
      <c r="E34" s="49"/>
      <c r="F34" s="49"/>
      <c r="G34" s="24"/>
      <c r="H34" s="3"/>
      <c r="K34" s="24"/>
    </row>
    <row r="35" spans="1:11" x14ac:dyDescent="0.2">
      <c r="A35" s="44"/>
      <c r="B35" s="3"/>
      <c r="D35" s="49"/>
      <c r="E35" s="49"/>
      <c r="F35" s="49"/>
      <c r="G35" s="24"/>
      <c r="H35" s="3"/>
      <c r="K35" s="24"/>
    </row>
    <row r="36" spans="1:11" x14ac:dyDescent="0.2">
      <c r="A36" s="44"/>
      <c r="B36" s="3"/>
      <c r="C36" s="2"/>
      <c r="D36" s="49"/>
      <c r="E36" s="49"/>
      <c r="F36" s="49"/>
    </row>
    <row r="37" spans="1:11" x14ac:dyDescent="0.2">
      <c r="A37" s="44"/>
      <c r="B37" s="3"/>
      <c r="D37" s="49"/>
      <c r="E37" s="49"/>
      <c r="F37" s="49"/>
    </row>
    <row r="38" spans="1:11" x14ac:dyDescent="0.2">
      <c r="A38" s="44"/>
      <c r="B38" s="3"/>
      <c r="C38" s="2"/>
      <c r="D38" s="49"/>
      <c r="E38" s="49"/>
      <c r="F38" s="49"/>
    </row>
    <row r="39" spans="1:11" x14ac:dyDescent="0.2">
      <c r="A39" s="44"/>
      <c r="B39" s="3"/>
      <c r="D39" s="49"/>
      <c r="E39" s="49"/>
      <c r="F39" s="49"/>
    </row>
    <row r="40" spans="1:11" x14ac:dyDescent="0.2">
      <c r="A40" s="12"/>
      <c r="B40" s="3"/>
      <c r="C40" s="2"/>
      <c r="D40" s="49"/>
      <c r="E40" s="49"/>
      <c r="F40" s="49"/>
    </row>
    <row r="41" spans="1:11" x14ac:dyDescent="0.2">
      <c r="A41" s="12"/>
      <c r="B41" s="3"/>
      <c r="D41" s="49"/>
      <c r="E41" s="49"/>
      <c r="F41" s="49"/>
    </row>
    <row r="42" spans="1:11" x14ac:dyDescent="0.2">
      <c r="A42" s="12"/>
      <c r="B42" s="3"/>
      <c r="C42" s="2"/>
      <c r="D42" s="49"/>
      <c r="E42" s="49"/>
      <c r="F42" s="49"/>
    </row>
    <row r="43" spans="1:11" x14ac:dyDescent="0.2">
      <c r="A43" s="12"/>
      <c r="B43" s="3"/>
      <c r="D43" s="49"/>
      <c r="E43" s="49"/>
      <c r="F43" s="49"/>
    </row>
    <row r="44" spans="1:11" x14ac:dyDescent="0.2">
      <c r="A44" s="12"/>
      <c r="B44" s="3"/>
      <c r="C44" s="2"/>
    </row>
    <row r="45" spans="1:11" x14ac:dyDescent="0.2">
      <c r="A45" s="12"/>
      <c r="B45" s="3"/>
    </row>
    <row r="46" spans="1:11" x14ac:dyDescent="0.2">
      <c r="A46" s="12"/>
      <c r="B46" s="3"/>
      <c r="C46" s="2"/>
    </row>
    <row r="47" spans="1:11" x14ac:dyDescent="0.2">
      <c r="A47" s="44"/>
      <c r="B47" s="49"/>
    </row>
    <row r="48" spans="1:11" x14ac:dyDescent="0.2">
      <c r="A48" s="44"/>
      <c r="B48" s="49"/>
    </row>
  </sheetData>
  <mergeCells count="2">
    <mergeCell ref="H2:K2"/>
    <mergeCell ref="D4:F4"/>
  </mergeCells>
  <pageMargins left="0.75" right="0.75" top="1" bottom="1" header="0.5" footer="0.5"/>
  <pageSetup orientation="landscape" r:id="rId1"/>
  <headerFooter alignWithMargins="0">
    <oddFooter>&amp;RExhibit JW-3
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506"/>
  <sheetViews>
    <sheetView view="pageBreakPreview" zoomScale="75" zoomScaleNormal="100" zoomScaleSheetLayoutView="75" workbookViewId="0">
      <pane xSplit="6" ySplit="3" topLeftCell="G46" activePane="bottomRight" state="frozen"/>
      <selection activeCell="K26" sqref="K26"/>
      <selection pane="topRight" activeCell="K26" sqref="K26"/>
      <selection pane="bottomLeft" activeCell="K26" sqref="K26"/>
      <selection pane="bottomRight" activeCell="Z1" sqref="Z1:Z1048576"/>
    </sheetView>
  </sheetViews>
  <sheetFormatPr defaultColWidth="9.140625" defaultRowHeight="12.75" x14ac:dyDescent="0.2"/>
  <cols>
    <col min="1" max="1" width="7.7109375" style="3" customWidth="1"/>
    <col min="2" max="2" width="47.5703125" style="3" customWidth="1"/>
    <col min="3" max="3" width="12.85546875" style="3" customWidth="1"/>
    <col min="4" max="4" width="12.42578125" style="3" customWidth="1"/>
    <col min="5" max="5" width="4.42578125" style="3" customWidth="1"/>
    <col min="6" max="6" width="18.85546875" style="3" customWidth="1"/>
    <col min="7" max="7" width="2.5703125" style="3" customWidth="1"/>
    <col min="8" max="8" width="17.140625" style="3" customWidth="1"/>
    <col min="9" max="9" width="14.85546875" style="3" customWidth="1"/>
    <col min="10" max="10" width="2.7109375" style="3" customWidth="1"/>
    <col min="11" max="11" width="16.28515625" style="3" customWidth="1"/>
    <col min="12" max="12" width="2.7109375" style="3" customWidth="1"/>
    <col min="13" max="13" width="24.7109375" style="3" bestFit="1" customWidth="1"/>
    <col min="14" max="14" width="3.85546875" style="3" customWidth="1"/>
    <col min="15" max="15" width="16.28515625" style="3" customWidth="1"/>
    <col min="16" max="16" width="15.5703125" style="3" customWidth="1"/>
    <col min="17" max="17" width="1.85546875" style="55" customWidth="1"/>
    <col min="18" max="18" width="13.7109375" style="3" customWidth="1"/>
    <col min="19" max="19" width="15.140625" style="3" customWidth="1"/>
    <col min="20" max="20" width="1.85546875" style="3" customWidth="1"/>
    <col min="21" max="21" width="14.28515625" style="3" bestFit="1" customWidth="1"/>
    <col min="22" max="22" width="1.85546875" style="3" customWidth="1"/>
    <col min="23" max="23" width="13.85546875" style="3" customWidth="1"/>
    <col min="24" max="24" width="1.85546875" style="3" customWidth="1"/>
    <col min="25" max="25" width="15" style="3" customWidth="1"/>
    <col min="26" max="26" width="1.85546875" style="3" customWidth="1"/>
    <col min="27" max="27" width="14.140625" style="3" customWidth="1"/>
    <col min="28" max="28" width="16.140625" style="3" customWidth="1"/>
    <col min="29" max="29" width="14.7109375" style="3" customWidth="1"/>
    <col min="30" max="30" width="12.85546875" style="3" customWidth="1"/>
    <col min="31" max="31" width="9.140625" style="3"/>
    <col min="32" max="32" width="18.140625" style="3" customWidth="1"/>
    <col min="33" max="16384" width="9.140625" style="3"/>
  </cols>
  <sheetData>
    <row r="1" spans="1:30" x14ac:dyDescent="0.2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AC1" s="12" t="str">
        <f>IF(COUNTIF(AC4:AC488,"err"),"err","ok")</f>
        <v>ok</v>
      </c>
    </row>
    <row r="2" spans="1:30" ht="56.25" customHeight="1" thickBot="1" x14ac:dyDescent="0.25">
      <c r="A2" s="2"/>
      <c r="B2" s="2"/>
      <c r="C2" s="6"/>
      <c r="D2" s="4" t="s">
        <v>207</v>
      </c>
      <c r="E2" s="6"/>
      <c r="F2" s="6" t="s">
        <v>0</v>
      </c>
      <c r="G2" s="6"/>
      <c r="H2" s="56" t="s">
        <v>878</v>
      </c>
      <c r="I2" s="56"/>
      <c r="K2" s="57" t="s">
        <v>349</v>
      </c>
      <c r="L2" s="2"/>
      <c r="M2" s="57" t="s">
        <v>1</v>
      </c>
      <c r="N2" s="58"/>
      <c r="O2" s="56" t="s">
        <v>355</v>
      </c>
      <c r="P2" s="56"/>
      <c r="Q2" s="2"/>
      <c r="R2" s="56" t="s">
        <v>3</v>
      </c>
      <c r="S2" s="56"/>
      <c r="T2" s="2"/>
      <c r="U2" s="59" t="s">
        <v>4</v>
      </c>
      <c r="V2" s="6"/>
      <c r="W2" s="57" t="s">
        <v>726</v>
      </c>
      <c r="X2" s="58"/>
      <c r="Y2" s="57" t="s">
        <v>974</v>
      </c>
      <c r="Z2" s="58"/>
      <c r="AA2" s="57" t="s">
        <v>470</v>
      </c>
      <c r="AB2" s="2"/>
      <c r="AC2" s="2"/>
    </row>
    <row r="3" spans="1:30" ht="13.5" thickBot="1" x14ac:dyDescent="0.25">
      <c r="A3" s="60" t="s">
        <v>6</v>
      </c>
      <c r="B3" s="60"/>
      <c r="C3" s="61" t="s">
        <v>7</v>
      </c>
      <c r="D3" s="61" t="s">
        <v>8</v>
      </c>
      <c r="E3" s="59"/>
      <c r="F3" s="59" t="s">
        <v>9</v>
      </c>
      <c r="G3" s="62"/>
      <c r="H3" s="59" t="s">
        <v>10</v>
      </c>
      <c r="I3" s="59" t="s">
        <v>11</v>
      </c>
      <c r="J3" s="59"/>
      <c r="K3" s="59" t="s">
        <v>10</v>
      </c>
      <c r="L3" s="59"/>
      <c r="M3" s="59" t="s">
        <v>10</v>
      </c>
      <c r="N3" s="59"/>
      <c r="O3" s="59" t="s">
        <v>10</v>
      </c>
      <c r="P3" s="59" t="s">
        <v>12</v>
      </c>
      <c r="Q3" s="56"/>
      <c r="R3" s="59" t="s">
        <v>10</v>
      </c>
      <c r="S3" s="59" t="s">
        <v>12</v>
      </c>
      <c r="T3" s="59"/>
      <c r="U3" s="59" t="s">
        <v>12</v>
      </c>
      <c r="V3" s="59"/>
      <c r="W3" s="59" t="s">
        <v>12</v>
      </c>
      <c r="X3" s="59"/>
      <c r="Y3" s="59" t="s">
        <v>12</v>
      </c>
      <c r="Z3" s="59"/>
      <c r="AA3" s="59" t="s">
        <v>12</v>
      </c>
      <c r="AB3" s="59" t="s">
        <v>13</v>
      </c>
      <c r="AC3" s="63" t="s">
        <v>14</v>
      </c>
    </row>
    <row r="4" spans="1:30" x14ac:dyDescent="0.2">
      <c r="F4" s="11"/>
      <c r="G4" s="14"/>
      <c r="H4" s="14"/>
      <c r="I4" s="14"/>
      <c r="J4" s="14"/>
      <c r="K4" s="14"/>
      <c r="L4" s="14"/>
      <c r="M4" s="14"/>
      <c r="N4" s="14"/>
      <c r="O4" s="14"/>
      <c r="P4" s="14"/>
      <c r="Q4" s="209"/>
      <c r="R4" s="14"/>
      <c r="S4" s="14"/>
      <c r="T4" s="14"/>
      <c r="U4" s="14"/>
      <c r="V4" s="14"/>
      <c r="W4" s="14"/>
      <c r="X4" s="14"/>
      <c r="Y4" s="14"/>
      <c r="Z4" s="14"/>
      <c r="AA4" s="14"/>
      <c r="AC4" s="12"/>
    </row>
    <row r="5" spans="1:30" x14ac:dyDescent="0.2">
      <c r="A5" s="10" t="s">
        <v>15</v>
      </c>
      <c r="F5" s="43"/>
      <c r="G5" s="14"/>
      <c r="H5" s="14"/>
      <c r="I5" s="14"/>
      <c r="J5" s="14"/>
      <c r="K5" s="14"/>
      <c r="L5" s="14"/>
      <c r="M5" s="14"/>
      <c r="N5" s="14"/>
      <c r="O5" s="14"/>
      <c r="P5" s="14"/>
      <c r="Q5" s="209"/>
      <c r="R5" s="14"/>
      <c r="S5" s="14"/>
      <c r="T5" s="14"/>
      <c r="U5" s="14"/>
      <c r="V5" s="14"/>
      <c r="W5" s="14"/>
      <c r="X5" s="14"/>
      <c r="Y5" s="14"/>
      <c r="Z5" s="14"/>
      <c r="AA5" s="14"/>
      <c r="AC5" s="12"/>
    </row>
    <row r="6" spans="1:30" x14ac:dyDescent="0.2">
      <c r="AC6" s="12"/>
    </row>
    <row r="7" spans="1:30" x14ac:dyDescent="0.2">
      <c r="A7" s="10" t="s">
        <v>357</v>
      </c>
      <c r="AC7" s="12"/>
    </row>
    <row r="8" spans="1:30" x14ac:dyDescent="0.2">
      <c r="A8" s="64">
        <v>301</v>
      </c>
      <c r="B8" s="3" t="s">
        <v>359</v>
      </c>
      <c r="C8" s="3" t="s">
        <v>360</v>
      </c>
      <c r="D8" s="3" t="s">
        <v>392</v>
      </c>
      <c r="F8" s="41">
        <v>0</v>
      </c>
      <c r="H8" s="24">
        <f>IF(VLOOKUP($D8,$C$5:$AA$494,6,)=0,0,((VLOOKUP($D8,$C$5:$AA$494,6,)/VLOOKUP($D8,$C$5:$AA$494,4,))*$F8))</f>
        <v>0</v>
      </c>
      <c r="I8" s="24">
        <f>IF(VLOOKUP($D8,$C$5:$AA$494,7,)=0,0,((VLOOKUP($D8,$C$5:$AA$494,7,)/VLOOKUP($D8,$C$5:$AA$494,4,))*$F8))</f>
        <v>0</v>
      </c>
      <c r="J8" s="24"/>
      <c r="K8" s="24">
        <f>IF(VLOOKUP($D8,$C$5:$AA$494,9,)=0,0,((VLOOKUP($D8,$C$5:$AA$494,9,)/VLOOKUP($D8,$C$5:$AA$494,4,))*$F8))</f>
        <v>0</v>
      </c>
      <c r="L8" s="24"/>
      <c r="M8" s="24">
        <f>IF(VLOOKUP($D8,$C$5:$AA$494,11,)=0,0,((VLOOKUP($D8,$C$5:$AA$494,11,)/VLOOKUP($D8,$C$5:$AA$494,4,))*$F8))</f>
        <v>0</v>
      </c>
      <c r="N8" s="24"/>
      <c r="O8" s="24">
        <f>IF(VLOOKUP($D8,$C$5:$AA$494,13,)=0,0,((VLOOKUP($D8,$C$5:$AA$494,13,)/VLOOKUP($D8,$C$5:$AA$494,4,))*$F8))</f>
        <v>0</v>
      </c>
      <c r="P8" s="24">
        <f>IF(VLOOKUP($D8,$C$5:$AA$494,14,)=0,0,((VLOOKUP($D8,$C$5:$AA$494,14,)/VLOOKUP($D8,$C$5:$AA$494,4,))*$F8))</f>
        <v>0</v>
      </c>
      <c r="Q8" s="24"/>
      <c r="R8" s="24">
        <f>IF(VLOOKUP($D8,$C$5:$AA$494,16,)=0,0,((VLOOKUP($D8,$C$5:$AA$494,16,)/VLOOKUP($D8,$C$5:$AA$494,4,))*$F8))</f>
        <v>0</v>
      </c>
      <c r="S8" s="24">
        <f>IF(VLOOKUP($D8,$C$5:$AA$494,17,)=0,0,((VLOOKUP($D8,$C$5:$AA$494,17,)/VLOOKUP($D8,$C$5:$AA$494,4,))*$F8))</f>
        <v>0</v>
      </c>
      <c r="T8" s="24"/>
      <c r="U8" s="24">
        <f>IF(VLOOKUP($D8,$C$5:$AA$494,19,)=0,0,((VLOOKUP($D8,$C$5:$AA$494,19,)/VLOOKUP($D8,$C$5:$AA$494,4,))*$F8))</f>
        <v>0</v>
      </c>
      <c r="V8" s="24"/>
      <c r="W8" s="24">
        <f>IF(VLOOKUP($D8,$C$5:$AA$494,21,)=0,0,((VLOOKUP($D8,$C$5:$AA$494,21,)/VLOOKUP($D8,$C$5:$AA$494,4,))*$F8))</f>
        <v>0</v>
      </c>
      <c r="X8" s="24"/>
      <c r="Y8" s="24">
        <f>IF(VLOOKUP($D8,$C$5:$AA$494,23,)=0,0,((VLOOKUP($D8,$C$5:$AA$494,23,)/VLOOKUP($D8,$C$5:$AA$494,4,))*$F8))</f>
        <v>0</v>
      </c>
      <c r="Z8" s="24"/>
      <c r="AA8" s="24">
        <f>IF(VLOOKUP($D8,$C$5:$AA$494,25,)=0,0,((VLOOKUP($D8,$C$5:$AA$494,25,)/VLOOKUP($D8,$C$5:$AA$494,4,))*$F8))</f>
        <v>0</v>
      </c>
      <c r="AB8" s="24">
        <f>SUM(H8:AA8)</f>
        <v>0</v>
      </c>
      <c r="AC8" s="12" t="str">
        <f>IF(ABS(AB8-F8)&lt;1,"ok","err")</f>
        <v>ok</v>
      </c>
      <c r="AD8" s="15"/>
    </row>
    <row r="9" spans="1:30" x14ac:dyDescent="0.2">
      <c r="A9" s="64">
        <v>302</v>
      </c>
      <c r="B9" s="3" t="s">
        <v>800</v>
      </c>
      <c r="C9" s="3" t="s">
        <v>801</v>
      </c>
      <c r="D9" s="3" t="s">
        <v>392</v>
      </c>
      <c r="F9" s="24">
        <v>0</v>
      </c>
      <c r="H9" s="24">
        <f>IF(VLOOKUP($D9,$C$5:$AA$494,6,)=0,0,((VLOOKUP($D9,$C$5:$AA$494,6,)/VLOOKUP($D9,$C$5:$AA$494,4,))*$F9))</f>
        <v>0</v>
      </c>
      <c r="I9" s="24">
        <f>IF(VLOOKUP($D9,$C$5:$AA$494,7,)=0,0,((VLOOKUP($D9,$C$5:$AA$494,7,)/VLOOKUP($D9,$C$5:$AA$494,4,))*$F9))</f>
        <v>0</v>
      </c>
      <c r="J9" s="24"/>
      <c r="K9" s="24">
        <f>IF(VLOOKUP($D9,$C$5:$AA$494,9,)=0,0,((VLOOKUP($D9,$C$5:$AA$494,9,)/VLOOKUP($D9,$C$5:$AA$494,4,))*$F9))</f>
        <v>0</v>
      </c>
      <c r="L9" s="24"/>
      <c r="M9" s="24">
        <f>IF(VLOOKUP($D9,$C$5:$AA$494,11,)=0,0,((VLOOKUP($D9,$C$5:$AA$494,11,)/VLOOKUP($D9,$C$5:$AA$494,4,))*$F9))</f>
        <v>0</v>
      </c>
      <c r="N9" s="24"/>
      <c r="O9" s="24">
        <f>IF(VLOOKUP($D9,$C$5:$AA$494,13,)=0,0,((VLOOKUP($D9,$C$5:$AA$494,13,)/VLOOKUP($D9,$C$5:$AA$494,4,))*$F9))</f>
        <v>0</v>
      </c>
      <c r="P9" s="24">
        <f>IF(VLOOKUP($D9,$C$5:$AA$494,14,)=0,0,((VLOOKUP($D9,$C$5:$AA$494,14,)/VLOOKUP($D9,$C$5:$AA$494,4,))*$F9))</f>
        <v>0</v>
      </c>
      <c r="Q9" s="24"/>
      <c r="R9" s="24">
        <f>IF(VLOOKUP($D9,$C$5:$AA$494,16,)=0,0,((VLOOKUP($D9,$C$5:$AA$494,16,)/VLOOKUP($D9,$C$5:$AA$494,4,))*$F9))</f>
        <v>0</v>
      </c>
      <c r="S9" s="24">
        <f>IF(VLOOKUP($D9,$C$5:$AA$494,17,)=0,0,((VLOOKUP($D9,$C$5:$AA$494,17,)/VLOOKUP($D9,$C$5:$AA$494,4,))*$F9))</f>
        <v>0</v>
      </c>
      <c r="T9" s="24"/>
      <c r="U9" s="24">
        <f>IF(VLOOKUP($D9,$C$5:$AA$494,19,)=0,0,((VLOOKUP($D9,$C$5:$AA$494,19,)/VLOOKUP($D9,$C$5:$AA$494,4,))*$F9))</f>
        <v>0</v>
      </c>
      <c r="V9" s="24"/>
      <c r="W9" s="24">
        <f>IF(VLOOKUP($D9,$C$5:$AA$494,21,)=0,0,((VLOOKUP($D9,$C$5:$AA$494,21,)/VLOOKUP($D9,$C$5:$AA$494,4,))*$F9))</f>
        <v>0</v>
      </c>
      <c r="X9" s="24"/>
      <c r="Y9" s="24">
        <f>IF(VLOOKUP($D9,$C$5:$AA$494,23,)=0,0,((VLOOKUP($D9,$C$5:$AA$494,23,)/VLOOKUP($D9,$C$5:$AA$494,4,))*$F9))</f>
        <v>0</v>
      </c>
      <c r="Z9" s="24"/>
      <c r="AA9" s="24">
        <f>IF(VLOOKUP($D9,$C$5:$AA$494,25,)=0,0,((VLOOKUP($D9,$C$5:$AA$494,25,)/VLOOKUP($D9,$C$5:$AA$494,4,))*$F9))</f>
        <v>0</v>
      </c>
      <c r="AB9" s="24">
        <f>SUM(H9:AA9)</f>
        <v>0</v>
      </c>
      <c r="AC9" s="12" t="str">
        <f>IF(ABS(AB9-F9)&lt;1,"ok","err")</f>
        <v>ok</v>
      </c>
    </row>
    <row r="10" spans="1:30" x14ac:dyDescent="0.2">
      <c r="A10" s="64">
        <v>303</v>
      </c>
      <c r="B10" s="3" t="s">
        <v>702</v>
      </c>
      <c r="C10" s="3" t="s">
        <v>703</v>
      </c>
      <c r="D10" s="3" t="s">
        <v>392</v>
      </c>
      <c r="F10" s="24">
        <v>0</v>
      </c>
      <c r="H10" s="24">
        <f>IF(VLOOKUP($D10,$C$5:$AA$494,6,)=0,0,((VLOOKUP($D10,$C$5:$AA$494,6,)/VLOOKUP($D10,$C$5:$AA$494,4,))*$F10))</f>
        <v>0</v>
      </c>
      <c r="I10" s="24">
        <f>IF(VLOOKUP($D10,$C$5:$AA$494,7,)=0,0,((VLOOKUP($D10,$C$5:$AA$494,7,)/VLOOKUP($D10,$C$5:$AA$494,4,))*$F10))</f>
        <v>0</v>
      </c>
      <c r="J10" s="24"/>
      <c r="K10" s="24">
        <f>IF(VLOOKUP($D10,$C$5:$AA$494,9,)=0,0,((VLOOKUP($D10,$C$5:$AA$494,9,)/VLOOKUP($D10,$C$5:$AA$494,4,))*$F10))</f>
        <v>0</v>
      </c>
      <c r="L10" s="24"/>
      <c r="M10" s="24">
        <f>IF(VLOOKUP($D10,$C$5:$AA$494,11,)=0,0,((VLOOKUP($D10,$C$5:$AA$494,11,)/VLOOKUP($D10,$C$5:$AA$494,4,))*$F10))</f>
        <v>0</v>
      </c>
      <c r="N10" s="24"/>
      <c r="O10" s="24">
        <f>IF(VLOOKUP($D10,$C$5:$AA$494,13,)=0,0,((VLOOKUP($D10,$C$5:$AA$494,13,)/VLOOKUP($D10,$C$5:$AA$494,4,))*$F10))</f>
        <v>0</v>
      </c>
      <c r="P10" s="24">
        <f>IF(VLOOKUP($D10,$C$5:$AA$494,14,)=0,0,((VLOOKUP($D10,$C$5:$AA$494,14,)/VLOOKUP($D10,$C$5:$AA$494,4,))*$F10))</f>
        <v>0</v>
      </c>
      <c r="Q10" s="24"/>
      <c r="R10" s="24">
        <f>IF(VLOOKUP($D10,$C$5:$AA$494,16,)=0,0,((VLOOKUP($D10,$C$5:$AA$494,16,)/VLOOKUP($D10,$C$5:$AA$494,4,))*$F10))</f>
        <v>0</v>
      </c>
      <c r="S10" s="24">
        <f>IF(VLOOKUP($D10,$C$5:$AA$494,17,)=0,0,((VLOOKUP($D10,$C$5:$AA$494,17,)/VLOOKUP($D10,$C$5:$AA$494,4,))*$F10))</f>
        <v>0</v>
      </c>
      <c r="T10" s="24"/>
      <c r="U10" s="24">
        <f>IF(VLOOKUP($D10,$C$5:$AA$494,19,)=0,0,((VLOOKUP($D10,$C$5:$AA$494,19,)/VLOOKUP($D10,$C$5:$AA$494,4,))*$F10))</f>
        <v>0</v>
      </c>
      <c r="V10" s="24"/>
      <c r="W10" s="24">
        <f>IF(VLOOKUP($D10,$C$5:$AA$494,21,)=0,0,((VLOOKUP($D10,$C$5:$AA$494,21,)/VLOOKUP($D10,$C$5:$AA$494,4,))*$F10))</f>
        <v>0</v>
      </c>
      <c r="X10" s="24"/>
      <c r="Y10" s="24">
        <f>IF(VLOOKUP($D10,$C$5:$AA$494,23,)=0,0,((VLOOKUP($D10,$C$5:$AA$494,23,)/VLOOKUP($D10,$C$5:$AA$494,4,))*$F10))</f>
        <v>0</v>
      </c>
      <c r="Z10" s="24"/>
      <c r="AA10" s="24">
        <f>IF(VLOOKUP($D10,$C$5:$AA$494,25,)=0,0,((VLOOKUP($D10,$C$5:$AA$494,25,)/VLOOKUP($D10,$C$5:$AA$494,4,))*$F10))</f>
        <v>0</v>
      </c>
      <c r="AB10" s="24">
        <f>SUM(H10:AA10)</f>
        <v>0</v>
      </c>
      <c r="AC10" s="12" t="str">
        <f>IF(ABS(AB10-F10)&lt;1,"ok","err")</f>
        <v>ok</v>
      </c>
    </row>
    <row r="11" spans="1:30" x14ac:dyDescent="0.2">
      <c r="AC11" s="12"/>
    </row>
    <row r="12" spans="1:30" x14ac:dyDescent="0.2">
      <c r="B12" s="3" t="s">
        <v>19</v>
      </c>
      <c r="C12" s="3" t="s">
        <v>20</v>
      </c>
      <c r="F12" s="65">
        <f>SUM(F8:F10)</f>
        <v>0</v>
      </c>
      <c r="G12" s="65"/>
      <c r="H12" s="65">
        <f>SUM(H8:H10)</f>
        <v>0</v>
      </c>
      <c r="I12" s="65">
        <f>SUM(I8:I10)</f>
        <v>0</v>
      </c>
      <c r="J12" s="65"/>
      <c r="K12" s="65">
        <f>SUM(K8:K10)</f>
        <v>0</v>
      </c>
      <c r="L12" s="65"/>
      <c r="M12" s="65">
        <f>SUM(M8:M10)</f>
        <v>0</v>
      </c>
      <c r="N12" s="65"/>
      <c r="O12" s="65">
        <f>SUM(O8:O10)</f>
        <v>0</v>
      </c>
      <c r="P12" s="65">
        <f>SUM(P8:P10)</f>
        <v>0</v>
      </c>
      <c r="Q12" s="65"/>
      <c r="R12" s="65">
        <f>SUM(R8:R10)</f>
        <v>0</v>
      </c>
      <c r="S12" s="65">
        <f>SUM(S8:S10)</f>
        <v>0</v>
      </c>
      <c r="T12" s="65"/>
      <c r="U12" s="65">
        <f>SUM(U8:U10)</f>
        <v>0</v>
      </c>
      <c r="V12" s="65"/>
      <c r="W12" s="65">
        <f>SUM(W8:W10)</f>
        <v>0</v>
      </c>
      <c r="X12" s="65"/>
      <c r="Y12" s="65">
        <f>SUM(Y8:Y10)</f>
        <v>0</v>
      </c>
      <c r="Z12" s="65"/>
      <c r="AA12" s="65">
        <f>SUM(AA8:AA10)</f>
        <v>0</v>
      </c>
      <c r="AB12" s="24">
        <f>SUM(H12:AA12)</f>
        <v>0</v>
      </c>
      <c r="AC12" s="12" t="str">
        <f>IF(ABS(AB12-F12)&lt;1,"ok","err")</f>
        <v>ok</v>
      </c>
      <c r="AD12" s="15"/>
    </row>
    <row r="13" spans="1:30" x14ac:dyDescent="0.2">
      <c r="AC13" s="12"/>
    </row>
    <row r="14" spans="1:30" x14ac:dyDescent="0.2">
      <c r="A14" s="10" t="s">
        <v>739</v>
      </c>
      <c r="Q14" s="3"/>
      <c r="AC14" s="12"/>
    </row>
    <row r="15" spans="1:30" x14ac:dyDescent="0.2">
      <c r="A15" s="66">
        <v>310</v>
      </c>
      <c r="B15" s="3" t="s">
        <v>17</v>
      </c>
      <c r="C15" s="3" t="s">
        <v>746</v>
      </c>
      <c r="D15" s="3" t="s">
        <v>552</v>
      </c>
      <c r="F15" s="41">
        <v>0</v>
      </c>
      <c r="G15" s="41"/>
      <c r="H15" s="24">
        <f t="shared" ref="H15:H22" si="0">IF(VLOOKUP($D15,$C$5:$AA$494,6,)=0,0,((VLOOKUP($D15,$C$5:$AA$494,6,)/VLOOKUP($D15,$C$5:$AA$494,4,))*$F15))</f>
        <v>0</v>
      </c>
      <c r="I15" s="24">
        <f t="shared" ref="I15:I22" si="1">IF(VLOOKUP($D15,$C$5:$AA$494,7,)=0,0,((VLOOKUP($D15,$C$5:$AA$494,7,)/VLOOKUP($D15,$C$5:$AA$494,4,))*$F15))</f>
        <v>0</v>
      </c>
      <c r="J15" s="24"/>
      <c r="K15" s="24">
        <f t="shared" ref="K15:K22" si="2">IF(VLOOKUP($D15,$C$5:$AA$494,9,)=0,0,((VLOOKUP($D15,$C$5:$AA$494,9,)/VLOOKUP($D15,$C$5:$AA$494,4,))*$F15))</f>
        <v>0</v>
      </c>
      <c r="L15" s="24"/>
      <c r="M15" s="24">
        <f t="shared" ref="M15:M22" si="3">IF(VLOOKUP($D15,$C$5:$AA$494,11,)=0,0,((VLOOKUP($D15,$C$5:$AA$494,11,)/VLOOKUP($D15,$C$5:$AA$494,4,))*$F15))</f>
        <v>0</v>
      </c>
      <c r="N15" s="24"/>
      <c r="O15" s="24">
        <f t="shared" ref="O15:O22" si="4">IF(VLOOKUP($D15,$C$5:$AA$494,13,)=0,0,((VLOOKUP($D15,$C$5:$AA$494,13,)/VLOOKUP($D15,$C$5:$AA$494,4,))*$F15))</f>
        <v>0</v>
      </c>
      <c r="P15" s="24">
        <f t="shared" ref="P15:P22" si="5">IF(VLOOKUP($D15,$C$5:$AA$494,14,)=0,0,((VLOOKUP($D15,$C$5:$AA$494,14,)/VLOOKUP($D15,$C$5:$AA$494,4,))*$F15))</f>
        <v>0</v>
      </c>
      <c r="Q15" s="24"/>
      <c r="R15" s="24">
        <f t="shared" ref="R15:R22" si="6">IF(VLOOKUP($D15,$C$5:$AA$494,16,)=0,0,((VLOOKUP($D15,$C$5:$AA$494,16,)/VLOOKUP($D15,$C$5:$AA$494,4,))*$F15))</f>
        <v>0</v>
      </c>
      <c r="S15" s="24">
        <f t="shared" ref="S15:S22" si="7">IF(VLOOKUP($D15,$C$5:$AA$494,17,)=0,0,((VLOOKUP($D15,$C$5:$AA$494,17,)/VLOOKUP($D15,$C$5:$AA$494,4,))*$F15))</f>
        <v>0</v>
      </c>
      <c r="T15" s="24"/>
      <c r="U15" s="24">
        <f t="shared" ref="U15:U22" si="8">IF(VLOOKUP($D15,$C$5:$AA$494,19,)=0,0,((VLOOKUP($D15,$C$5:$AA$494,19,)/VLOOKUP($D15,$C$5:$AA$494,4,))*$F15))</f>
        <v>0</v>
      </c>
      <c r="V15" s="24"/>
      <c r="W15" s="24">
        <f t="shared" ref="W15:W22" si="9">IF(VLOOKUP($D15,$C$5:$AA$494,21,)=0,0,((VLOOKUP($D15,$C$5:$AA$494,21,)/VLOOKUP($D15,$C$5:$AA$494,4,))*$F15))</f>
        <v>0</v>
      </c>
      <c r="X15" s="24"/>
      <c r="Y15" s="24">
        <f t="shared" ref="Y15:Y22" si="10">IF(VLOOKUP($D15,$C$5:$AA$494,23,)=0,0,((VLOOKUP($D15,$C$5:$AA$494,23,)/VLOOKUP($D15,$C$5:$AA$494,4,))*$F15))</f>
        <v>0</v>
      </c>
      <c r="Z15" s="24"/>
      <c r="AA15" s="24">
        <f t="shared" ref="AA15:AA22" si="11">IF(VLOOKUP($D15,$C$5:$AA$494,25,)=0,0,((VLOOKUP($D15,$C$5:$AA$494,25,)/VLOOKUP($D15,$C$5:$AA$494,4,))*$F15))</f>
        <v>0</v>
      </c>
      <c r="AB15" s="24">
        <f t="shared" ref="AB15:AB22" si="12">SUM(H15:AA15)</f>
        <v>0</v>
      </c>
      <c r="AC15" s="12" t="str">
        <f t="shared" ref="AC15:AC22" si="13">IF(ABS(AB15-F15)&lt;1,"ok","err")</f>
        <v>ok</v>
      </c>
    </row>
    <row r="16" spans="1:30" x14ac:dyDescent="0.2">
      <c r="A16" s="66">
        <v>311</v>
      </c>
      <c r="B16" s="3" t="s">
        <v>53</v>
      </c>
      <c r="C16" s="3" t="s">
        <v>753</v>
      </c>
      <c r="D16" s="3" t="s">
        <v>552</v>
      </c>
      <c r="F16" s="24">
        <v>0</v>
      </c>
      <c r="G16" s="41"/>
      <c r="H16" s="24">
        <f t="shared" si="0"/>
        <v>0</v>
      </c>
      <c r="I16" s="24">
        <f t="shared" si="1"/>
        <v>0</v>
      </c>
      <c r="J16" s="24"/>
      <c r="K16" s="24">
        <f t="shared" si="2"/>
        <v>0</v>
      </c>
      <c r="L16" s="24"/>
      <c r="M16" s="24">
        <f t="shared" si="3"/>
        <v>0</v>
      </c>
      <c r="N16" s="24"/>
      <c r="O16" s="24">
        <f t="shared" si="4"/>
        <v>0</v>
      </c>
      <c r="P16" s="24">
        <f t="shared" si="5"/>
        <v>0</v>
      </c>
      <c r="Q16" s="24"/>
      <c r="R16" s="24">
        <f t="shared" si="6"/>
        <v>0</v>
      </c>
      <c r="S16" s="24">
        <f t="shared" si="7"/>
        <v>0</v>
      </c>
      <c r="T16" s="24"/>
      <c r="U16" s="24">
        <f t="shared" si="8"/>
        <v>0</v>
      </c>
      <c r="V16" s="24"/>
      <c r="W16" s="24">
        <f t="shared" si="9"/>
        <v>0</v>
      </c>
      <c r="X16" s="24"/>
      <c r="Y16" s="24">
        <f t="shared" si="10"/>
        <v>0</v>
      </c>
      <c r="Z16" s="24"/>
      <c r="AA16" s="24">
        <f t="shared" si="11"/>
        <v>0</v>
      </c>
      <c r="AB16" s="24">
        <f t="shared" si="12"/>
        <v>0</v>
      </c>
      <c r="AC16" s="12" t="str">
        <f t="shared" si="13"/>
        <v>ok</v>
      </c>
    </row>
    <row r="17" spans="1:29" x14ac:dyDescent="0.2">
      <c r="A17" s="66">
        <v>312</v>
      </c>
      <c r="B17" s="3" t="s">
        <v>740</v>
      </c>
      <c r="C17" s="3" t="s">
        <v>747</v>
      </c>
      <c r="D17" s="3" t="s">
        <v>552</v>
      </c>
      <c r="F17" s="24">
        <v>0</v>
      </c>
      <c r="H17" s="24">
        <f t="shared" si="0"/>
        <v>0</v>
      </c>
      <c r="I17" s="24">
        <f t="shared" si="1"/>
        <v>0</v>
      </c>
      <c r="J17" s="24"/>
      <c r="K17" s="24">
        <f t="shared" si="2"/>
        <v>0</v>
      </c>
      <c r="L17" s="24"/>
      <c r="M17" s="24">
        <f t="shared" si="3"/>
        <v>0</v>
      </c>
      <c r="N17" s="24"/>
      <c r="O17" s="24">
        <f t="shared" si="4"/>
        <v>0</v>
      </c>
      <c r="P17" s="24">
        <f t="shared" si="5"/>
        <v>0</v>
      </c>
      <c r="Q17" s="24"/>
      <c r="R17" s="24">
        <f t="shared" si="6"/>
        <v>0</v>
      </c>
      <c r="S17" s="24">
        <f t="shared" si="7"/>
        <v>0</v>
      </c>
      <c r="T17" s="24"/>
      <c r="U17" s="24">
        <f t="shared" si="8"/>
        <v>0</v>
      </c>
      <c r="V17" s="24"/>
      <c r="W17" s="24">
        <f t="shared" si="9"/>
        <v>0</v>
      </c>
      <c r="X17" s="24"/>
      <c r="Y17" s="24">
        <f t="shared" si="10"/>
        <v>0</v>
      </c>
      <c r="Z17" s="24"/>
      <c r="AA17" s="24">
        <f t="shared" si="11"/>
        <v>0</v>
      </c>
      <c r="AB17" s="24">
        <f t="shared" si="12"/>
        <v>0</v>
      </c>
      <c r="AC17" s="12" t="str">
        <f t="shared" si="13"/>
        <v>ok</v>
      </c>
    </row>
    <row r="18" spans="1:29" x14ac:dyDescent="0.2">
      <c r="A18" s="66">
        <v>313</v>
      </c>
      <c r="B18" s="3" t="s">
        <v>741</v>
      </c>
      <c r="C18" s="3" t="s">
        <v>748</v>
      </c>
      <c r="D18" s="3" t="s">
        <v>552</v>
      </c>
      <c r="F18" s="24">
        <v>0</v>
      </c>
      <c r="H18" s="24">
        <f t="shared" si="0"/>
        <v>0</v>
      </c>
      <c r="I18" s="24">
        <f t="shared" si="1"/>
        <v>0</v>
      </c>
      <c r="J18" s="24"/>
      <c r="K18" s="24">
        <f t="shared" si="2"/>
        <v>0</v>
      </c>
      <c r="L18" s="24"/>
      <c r="M18" s="24">
        <f t="shared" si="3"/>
        <v>0</v>
      </c>
      <c r="N18" s="24"/>
      <c r="O18" s="24">
        <f t="shared" si="4"/>
        <v>0</v>
      </c>
      <c r="P18" s="24">
        <f t="shared" si="5"/>
        <v>0</v>
      </c>
      <c r="Q18" s="24"/>
      <c r="R18" s="24">
        <f t="shared" si="6"/>
        <v>0</v>
      </c>
      <c r="S18" s="24">
        <f t="shared" si="7"/>
        <v>0</v>
      </c>
      <c r="T18" s="24"/>
      <c r="U18" s="24">
        <f t="shared" si="8"/>
        <v>0</v>
      </c>
      <c r="V18" s="24"/>
      <c r="W18" s="24">
        <f t="shared" si="9"/>
        <v>0</v>
      </c>
      <c r="X18" s="24"/>
      <c r="Y18" s="24">
        <f t="shared" si="10"/>
        <v>0</v>
      </c>
      <c r="Z18" s="24"/>
      <c r="AA18" s="24">
        <f t="shared" si="11"/>
        <v>0</v>
      </c>
      <c r="AB18" s="24">
        <f t="shared" si="12"/>
        <v>0</v>
      </c>
      <c r="AC18" s="12" t="str">
        <f t="shared" si="13"/>
        <v>ok</v>
      </c>
    </row>
    <row r="19" spans="1:29" x14ac:dyDescent="0.2">
      <c r="A19" s="66">
        <v>314</v>
      </c>
      <c r="B19" s="3" t="s">
        <v>742</v>
      </c>
      <c r="C19" s="3" t="s">
        <v>749</v>
      </c>
      <c r="D19" s="3" t="s">
        <v>552</v>
      </c>
      <c r="F19" s="24">
        <v>0</v>
      </c>
      <c r="H19" s="24">
        <f t="shared" si="0"/>
        <v>0</v>
      </c>
      <c r="I19" s="24">
        <f t="shared" si="1"/>
        <v>0</v>
      </c>
      <c r="J19" s="24"/>
      <c r="K19" s="24">
        <f t="shared" si="2"/>
        <v>0</v>
      </c>
      <c r="L19" s="24"/>
      <c r="M19" s="24">
        <f t="shared" si="3"/>
        <v>0</v>
      </c>
      <c r="N19" s="24"/>
      <c r="O19" s="24">
        <f t="shared" si="4"/>
        <v>0</v>
      </c>
      <c r="P19" s="24">
        <f t="shared" si="5"/>
        <v>0</v>
      </c>
      <c r="Q19" s="24"/>
      <c r="R19" s="24">
        <f t="shared" si="6"/>
        <v>0</v>
      </c>
      <c r="S19" s="24">
        <f t="shared" si="7"/>
        <v>0</v>
      </c>
      <c r="T19" s="24"/>
      <c r="U19" s="24">
        <f t="shared" si="8"/>
        <v>0</v>
      </c>
      <c r="V19" s="24"/>
      <c r="W19" s="24">
        <f t="shared" si="9"/>
        <v>0</v>
      </c>
      <c r="X19" s="24"/>
      <c r="Y19" s="24">
        <f t="shared" si="10"/>
        <v>0</v>
      </c>
      <c r="Z19" s="24"/>
      <c r="AA19" s="24">
        <f t="shared" si="11"/>
        <v>0</v>
      </c>
      <c r="AB19" s="24">
        <f t="shared" si="12"/>
        <v>0</v>
      </c>
      <c r="AC19" s="12" t="str">
        <f t="shared" si="13"/>
        <v>ok</v>
      </c>
    </row>
    <row r="20" spans="1:29" x14ac:dyDescent="0.2">
      <c r="A20" s="66">
        <v>315</v>
      </c>
      <c r="B20" s="3" t="s">
        <v>743</v>
      </c>
      <c r="C20" s="3" t="s">
        <v>750</v>
      </c>
      <c r="D20" s="3" t="s">
        <v>552</v>
      </c>
      <c r="F20" s="24">
        <v>0</v>
      </c>
      <c r="H20" s="24">
        <f t="shared" si="0"/>
        <v>0</v>
      </c>
      <c r="I20" s="24">
        <f t="shared" si="1"/>
        <v>0</v>
      </c>
      <c r="J20" s="24"/>
      <c r="K20" s="24">
        <f t="shared" si="2"/>
        <v>0</v>
      </c>
      <c r="L20" s="24"/>
      <c r="M20" s="24">
        <f t="shared" si="3"/>
        <v>0</v>
      </c>
      <c r="N20" s="24"/>
      <c r="O20" s="24">
        <f t="shared" si="4"/>
        <v>0</v>
      </c>
      <c r="P20" s="24">
        <f t="shared" si="5"/>
        <v>0</v>
      </c>
      <c r="Q20" s="24"/>
      <c r="R20" s="24">
        <f t="shared" si="6"/>
        <v>0</v>
      </c>
      <c r="S20" s="24">
        <f t="shared" si="7"/>
        <v>0</v>
      </c>
      <c r="T20" s="24"/>
      <c r="U20" s="24">
        <f t="shared" si="8"/>
        <v>0</v>
      </c>
      <c r="V20" s="24"/>
      <c r="W20" s="24">
        <f t="shared" si="9"/>
        <v>0</v>
      </c>
      <c r="X20" s="24"/>
      <c r="Y20" s="24">
        <f t="shared" si="10"/>
        <v>0</v>
      </c>
      <c r="Z20" s="24"/>
      <c r="AA20" s="24">
        <f t="shared" si="11"/>
        <v>0</v>
      </c>
      <c r="AB20" s="24">
        <f t="shared" si="12"/>
        <v>0</v>
      </c>
      <c r="AC20" s="12" t="str">
        <f t="shared" si="13"/>
        <v>ok</v>
      </c>
    </row>
    <row r="21" spans="1:29" x14ac:dyDescent="0.2">
      <c r="A21" s="66">
        <v>316</v>
      </c>
      <c r="B21" s="3" t="s">
        <v>745</v>
      </c>
      <c r="C21" s="3" t="s">
        <v>751</v>
      </c>
      <c r="D21" s="3" t="s">
        <v>552</v>
      </c>
      <c r="F21" s="24">
        <v>0</v>
      </c>
      <c r="H21" s="24">
        <f t="shared" si="0"/>
        <v>0</v>
      </c>
      <c r="I21" s="24">
        <f t="shared" si="1"/>
        <v>0</v>
      </c>
      <c r="J21" s="24"/>
      <c r="K21" s="24">
        <f t="shared" si="2"/>
        <v>0</v>
      </c>
      <c r="L21" s="24"/>
      <c r="M21" s="24">
        <f t="shared" si="3"/>
        <v>0</v>
      </c>
      <c r="N21" s="24"/>
      <c r="O21" s="24">
        <f t="shared" si="4"/>
        <v>0</v>
      </c>
      <c r="P21" s="24">
        <f t="shared" si="5"/>
        <v>0</v>
      </c>
      <c r="Q21" s="24"/>
      <c r="R21" s="24">
        <f t="shared" si="6"/>
        <v>0</v>
      </c>
      <c r="S21" s="24">
        <f t="shared" si="7"/>
        <v>0</v>
      </c>
      <c r="T21" s="24"/>
      <c r="U21" s="24">
        <f t="shared" si="8"/>
        <v>0</v>
      </c>
      <c r="V21" s="24"/>
      <c r="W21" s="24">
        <f t="shared" si="9"/>
        <v>0</v>
      </c>
      <c r="X21" s="24"/>
      <c r="Y21" s="24">
        <f t="shared" si="10"/>
        <v>0</v>
      </c>
      <c r="Z21" s="24"/>
      <c r="AA21" s="24">
        <f t="shared" si="11"/>
        <v>0</v>
      </c>
      <c r="AB21" s="24">
        <f>SUM(H21:AA21)</f>
        <v>0</v>
      </c>
      <c r="AC21" s="12" t="str">
        <f>IF(ABS(AB21-F21)&lt;1,"ok","err")</f>
        <v>ok</v>
      </c>
    </row>
    <row r="22" spans="1:29" x14ac:dyDescent="0.2">
      <c r="A22" s="66">
        <v>317</v>
      </c>
      <c r="B22" s="3" t="s">
        <v>744</v>
      </c>
      <c r="C22" s="3" t="s">
        <v>752</v>
      </c>
      <c r="D22" s="3" t="s">
        <v>552</v>
      </c>
      <c r="F22" s="24">
        <v>0</v>
      </c>
      <c r="H22" s="24">
        <f t="shared" si="0"/>
        <v>0</v>
      </c>
      <c r="I22" s="24">
        <f t="shared" si="1"/>
        <v>0</v>
      </c>
      <c r="J22" s="24"/>
      <c r="K22" s="24">
        <f t="shared" si="2"/>
        <v>0</v>
      </c>
      <c r="L22" s="24"/>
      <c r="M22" s="24">
        <f t="shared" si="3"/>
        <v>0</v>
      </c>
      <c r="N22" s="24"/>
      <c r="O22" s="24">
        <f t="shared" si="4"/>
        <v>0</v>
      </c>
      <c r="P22" s="24">
        <f t="shared" si="5"/>
        <v>0</v>
      </c>
      <c r="Q22" s="24"/>
      <c r="R22" s="24">
        <f t="shared" si="6"/>
        <v>0</v>
      </c>
      <c r="S22" s="24">
        <f t="shared" si="7"/>
        <v>0</v>
      </c>
      <c r="T22" s="24"/>
      <c r="U22" s="24">
        <f t="shared" si="8"/>
        <v>0</v>
      </c>
      <c r="V22" s="24"/>
      <c r="W22" s="24">
        <f t="shared" si="9"/>
        <v>0</v>
      </c>
      <c r="X22" s="24"/>
      <c r="Y22" s="24">
        <f t="shared" si="10"/>
        <v>0</v>
      </c>
      <c r="Z22" s="24"/>
      <c r="AA22" s="24">
        <f t="shared" si="11"/>
        <v>0</v>
      </c>
      <c r="AB22" s="24">
        <f t="shared" si="12"/>
        <v>0</v>
      </c>
      <c r="AC22" s="12" t="str">
        <f t="shared" si="13"/>
        <v>ok</v>
      </c>
    </row>
    <row r="23" spans="1:29" x14ac:dyDescent="0.2">
      <c r="Q23" s="3"/>
      <c r="AB23" s="24"/>
      <c r="AC23" s="12"/>
    </row>
    <row r="24" spans="1:29" x14ac:dyDescent="0.2">
      <c r="B24" s="3" t="s">
        <v>755</v>
      </c>
      <c r="C24" s="3" t="s">
        <v>754</v>
      </c>
      <c r="F24" s="65">
        <f>SUM(F15:F23)</f>
        <v>0</v>
      </c>
      <c r="G24" s="65"/>
      <c r="H24" s="65">
        <f>SUM(H15:H23)</f>
        <v>0</v>
      </c>
      <c r="I24" s="65">
        <f>SUM(I15:I23)</f>
        <v>0</v>
      </c>
      <c r="J24" s="65"/>
      <c r="K24" s="65">
        <f>SUM(K15:K23)</f>
        <v>0</v>
      </c>
      <c r="L24" s="65"/>
      <c r="M24" s="65">
        <f>SUM(M15:M23)</f>
        <v>0</v>
      </c>
      <c r="N24" s="65"/>
      <c r="O24" s="65">
        <f>SUM(O15:O23)</f>
        <v>0</v>
      </c>
      <c r="P24" s="65">
        <f>SUM(P15:P23)</f>
        <v>0</v>
      </c>
      <c r="Q24" s="65"/>
      <c r="R24" s="65">
        <f>SUM(R15:R23)</f>
        <v>0</v>
      </c>
      <c r="S24" s="65">
        <f>SUM(S15:S23)</f>
        <v>0</v>
      </c>
      <c r="T24" s="65"/>
      <c r="U24" s="65">
        <f>SUM(U15:U23)</f>
        <v>0</v>
      </c>
      <c r="V24" s="65"/>
      <c r="W24" s="65">
        <f>SUM(W15:W23)</f>
        <v>0</v>
      </c>
      <c r="X24" s="65"/>
      <c r="Y24" s="65">
        <f>SUM(Y15:Y23)</f>
        <v>0</v>
      </c>
      <c r="Z24" s="65"/>
      <c r="AA24" s="65">
        <f>SUM(AA15:AA23)</f>
        <v>0</v>
      </c>
      <c r="AB24" s="24">
        <f>SUM(H24:AA24)</f>
        <v>0</v>
      </c>
      <c r="AC24" s="12" t="str">
        <f>IF(ABS(AB24-F24)&lt;1,"ok","err")</f>
        <v>ok</v>
      </c>
    </row>
    <row r="25" spans="1:29" x14ac:dyDescent="0.2">
      <c r="Q25" s="3"/>
      <c r="AC25" s="12"/>
    </row>
    <row r="26" spans="1:29" x14ac:dyDescent="0.2">
      <c r="A26" s="10" t="s">
        <v>349</v>
      </c>
      <c r="Q26" s="3"/>
      <c r="AC26" s="12"/>
    </row>
    <row r="27" spans="1:29" x14ac:dyDescent="0.2">
      <c r="A27" s="66">
        <v>350</v>
      </c>
      <c r="B27" s="3" t="s">
        <v>17</v>
      </c>
      <c r="C27" s="3" t="s">
        <v>351</v>
      </c>
      <c r="D27" s="3" t="s">
        <v>391</v>
      </c>
      <c r="F27" s="41">
        <v>0</v>
      </c>
      <c r="G27" s="41"/>
      <c r="H27" s="24">
        <f t="shared" ref="H27:H33" si="14">IF(VLOOKUP($D27,$C$5:$AA$494,6,)=0,0,((VLOOKUP($D27,$C$5:$AA$494,6,)/VLOOKUP($D27,$C$5:$AA$494,4,))*$F27))</f>
        <v>0</v>
      </c>
      <c r="I27" s="24">
        <f t="shared" ref="I27:I33" si="15">IF(VLOOKUP($D27,$C$5:$AA$494,7,)=0,0,((VLOOKUP($D27,$C$5:$AA$494,7,)/VLOOKUP($D27,$C$5:$AA$494,4,))*$F27))</f>
        <v>0</v>
      </c>
      <c r="J27" s="24"/>
      <c r="K27" s="24">
        <f t="shared" ref="K27:K33" si="16">IF(VLOOKUP($D27,$C$5:$AA$494,9,)=0,0,((VLOOKUP($D27,$C$5:$AA$494,9,)/VLOOKUP($D27,$C$5:$AA$494,4,))*$F27))</f>
        <v>0</v>
      </c>
      <c r="L27" s="24"/>
      <c r="M27" s="24">
        <f t="shared" ref="M27:M33" si="17">IF(VLOOKUP($D27,$C$5:$AA$494,11,)=0,0,((VLOOKUP($D27,$C$5:$AA$494,11,)/VLOOKUP($D27,$C$5:$AA$494,4,))*$F27))</f>
        <v>0</v>
      </c>
      <c r="N27" s="24"/>
      <c r="O27" s="24">
        <f t="shared" ref="O27:O33" si="18">IF(VLOOKUP($D27,$C$5:$AA$494,13,)=0,0,((VLOOKUP($D27,$C$5:$AA$494,13,)/VLOOKUP($D27,$C$5:$AA$494,4,))*$F27))</f>
        <v>0</v>
      </c>
      <c r="P27" s="24">
        <f t="shared" ref="P27:P33" si="19">IF(VLOOKUP($D27,$C$5:$AA$494,14,)=0,0,((VLOOKUP($D27,$C$5:$AA$494,14,)/VLOOKUP($D27,$C$5:$AA$494,4,))*$F27))</f>
        <v>0</v>
      </c>
      <c r="Q27" s="24"/>
      <c r="R27" s="24">
        <f t="shared" ref="R27:R33" si="20">IF(VLOOKUP($D27,$C$5:$AA$494,16,)=0,0,((VLOOKUP($D27,$C$5:$AA$494,16,)/VLOOKUP($D27,$C$5:$AA$494,4,))*$F27))</f>
        <v>0</v>
      </c>
      <c r="S27" s="24">
        <f t="shared" ref="S27:S33" si="21">IF(VLOOKUP($D27,$C$5:$AA$494,17,)=0,0,((VLOOKUP($D27,$C$5:$AA$494,17,)/VLOOKUP($D27,$C$5:$AA$494,4,))*$F27))</f>
        <v>0</v>
      </c>
      <c r="T27" s="24"/>
      <c r="U27" s="24">
        <f t="shared" ref="U27:U33" si="22">IF(VLOOKUP($D27,$C$5:$AA$494,19,)=0,0,((VLOOKUP($D27,$C$5:$AA$494,19,)/VLOOKUP($D27,$C$5:$AA$494,4,))*$F27))</f>
        <v>0</v>
      </c>
      <c r="V27" s="24"/>
      <c r="W27" s="24">
        <f t="shared" ref="W27:W33" si="23">IF(VLOOKUP($D27,$C$5:$AA$494,21,)=0,0,((VLOOKUP($D27,$C$5:$AA$494,21,)/VLOOKUP($D27,$C$5:$AA$494,4,))*$F27))</f>
        <v>0</v>
      </c>
      <c r="X27" s="24"/>
      <c r="Y27" s="24">
        <f t="shared" ref="Y27:Y33" si="24">IF(VLOOKUP($D27,$C$5:$AA$494,23,)=0,0,((VLOOKUP($D27,$C$5:$AA$494,23,)/VLOOKUP($D27,$C$5:$AA$494,4,))*$F27))</f>
        <v>0</v>
      </c>
      <c r="Z27" s="24"/>
      <c r="AA27" s="24">
        <f t="shared" ref="AA27:AA33" si="25">IF(VLOOKUP($D27,$C$5:$AA$494,25,)=0,0,((VLOOKUP($D27,$C$5:$AA$494,25,)/VLOOKUP($D27,$C$5:$AA$494,4,))*$F27))</f>
        <v>0</v>
      </c>
      <c r="AB27" s="24">
        <f t="shared" ref="AB27:AB33" si="26">SUM(H27:AA27)</f>
        <v>0</v>
      </c>
      <c r="AC27" s="12" t="str">
        <f t="shared" ref="AC27:AC33" si="27">IF(ABS(AB27-F27)&lt;1,"ok","err")</f>
        <v>ok</v>
      </c>
    </row>
    <row r="28" spans="1:29" x14ac:dyDescent="0.2">
      <c r="A28" s="66">
        <v>352</v>
      </c>
      <c r="B28" s="3" t="s">
        <v>53</v>
      </c>
      <c r="C28" s="3" t="s">
        <v>418</v>
      </c>
      <c r="D28" s="3" t="s">
        <v>391</v>
      </c>
      <c r="F28" s="24">
        <v>0</v>
      </c>
      <c r="G28" s="41"/>
      <c r="H28" s="24">
        <f t="shared" si="14"/>
        <v>0</v>
      </c>
      <c r="I28" s="24">
        <f t="shared" si="15"/>
        <v>0</v>
      </c>
      <c r="J28" s="24"/>
      <c r="K28" s="24">
        <f t="shared" si="16"/>
        <v>0</v>
      </c>
      <c r="L28" s="24"/>
      <c r="M28" s="24">
        <f t="shared" si="17"/>
        <v>0</v>
      </c>
      <c r="N28" s="24"/>
      <c r="O28" s="24">
        <f t="shared" si="18"/>
        <v>0</v>
      </c>
      <c r="P28" s="24">
        <f t="shared" si="19"/>
        <v>0</v>
      </c>
      <c r="Q28" s="24"/>
      <c r="R28" s="24">
        <f t="shared" si="20"/>
        <v>0</v>
      </c>
      <c r="S28" s="24">
        <f t="shared" si="21"/>
        <v>0</v>
      </c>
      <c r="T28" s="24"/>
      <c r="U28" s="24">
        <f t="shared" si="22"/>
        <v>0</v>
      </c>
      <c r="V28" s="24"/>
      <c r="W28" s="24">
        <f t="shared" si="23"/>
        <v>0</v>
      </c>
      <c r="X28" s="24"/>
      <c r="Y28" s="24">
        <f t="shared" si="24"/>
        <v>0</v>
      </c>
      <c r="Z28" s="24"/>
      <c r="AA28" s="24">
        <f t="shared" si="25"/>
        <v>0</v>
      </c>
      <c r="AB28" s="24">
        <f t="shared" si="26"/>
        <v>0</v>
      </c>
      <c r="AC28" s="12" t="str">
        <f t="shared" si="27"/>
        <v>ok</v>
      </c>
    </row>
    <row r="29" spans="1:29" x14ac:dyDescent="0.2">
      <c r="A29" s="66">
        <v>353</v>
      </c>
      <c r="B29" s="3" t="s">
        <v>22</v>
      </c>
      <c r="C29" s="3" t="s">
        <v>352</v>
      </c>
      <c r="D29" s="3" t="s">
        <v>391</v>
      </c>
      <c r="F29" s="24">
        <v>0</v>
      </c>
      <c r="H29" s="24">
        <f t="shared" si="14"/>
        <v>0</v>
      </c>
      <c r="I29" s="24">
        <f t="shared" si="15"/>
        <v>0</v>
      </c>
      <c r="J29" s="24"/>
      <c r="K29" s="24">
        <f t="shared" si="16"/>
        <v>0</v>
      </c>
      <c r="L29" s="24"/>
      <c r="M29" s="24">
        <f t="shared" si="17"/>
        <v>0</v>
      </c>
      <c r="N29" s="24"/>
      <c r="O29" s="24">
        <f t="shared" si="18"/>
        <v>0</v>
      </c>
      <c r="P29" s="24">
        <f t="shared" si="19"/>
        <v>0</v>
      </c>
      <c r="Q29" s="24"/>
      <c r="R29" s="24">
        <f t="shared" si="20"/>
        <v>0</v>
      </c>
      <c r="S29" s="24">
        <f t="shared" si="21"/>
        <v>0</v>
      </c>
      <c r="T29" s="24"/>
      <c r="U29" s="24">
        <f t="shared" si="22"/>
        <v>0</v>
      </c>
      <c r="V29" s="24"/>
      <c r="W29" s="24">
        <f t="shared" si="23"/>
        <v>0</v>
      </c>
      <c r="X29" s="24"/>
      <c r="Y29" s="24">
        <f t="shared" si="24"/>
        <v>0</v>
      </c>
      <c r="Z29" s="24"/>
      <c r="AA29" s="24">
        <f t="shared" si="25"/>
        <v>0</v>
      </c>
      <c r="AB29" s="24">
        <f t="shared" si="26"/>
        <v>0</v>
      </c>
      <c r="AC29" s="12" t="str">
        <f t="shared" si="27"/>
        <v>ok</v>
      </c>
    </row>
    <row r="30" spans="1:29" x14ac:dyDescent="0.2">
      <c r="A30" s="66">
        <v>354</v>
      </c>
      <c r="B30" s="3" t="s">
        <v>419</v>
      </c>
      <c r="C30" s="3" t="s">
        <v>421</v>
      </c>
      <c r="D30" s="3" t="s">
        <v>391</v>
      </c>
      <c r="F30" s="24">
        <v>0</v>
      </c>
      <c r="H30" s="24">
        <f t="shared" si="14"/>
        <v>0</v>
      </c>
      <c r="I30" s="24">
        <f t="shared" si="15"/>
        <v>0</v>
      </c>
      <c r="J30" s="24"/>
      <c r="K30" s="24">
        <f t="shared" si="16"/>
        <v>0</v>
      </c>
      <c r="L30" s="24"/>
      <c r="M30" s="24">
        <f t="shared" si="17"/>
        <v>0</v>
      </c>
      <c r="N30" s="24"/>
      <c r="O30" s="24">
        <f t="shared" si="18"/>
        <v>0</v>
      </c>
      <c r="P30" s="24">
        <f t="shared" si="19"/>
        <v>0</v>
      </c>
      <c r="Q30" s="24"/>
      <c r="R30" s="24">
        <f t="shared" si="20"/>
        <v>0</v>
      </c>
      <c r="S30" s="24">
        <f t="shared" si="21"/>
        <v>0</v>
      </c>
      <c r="T30" s="24"/>
      <c r="U30" s="24">
        <f t="shared" si="22"/>
        <v>0</v>
      </c>
      <c r="V30" s="24"/>
      <c r="W30" s="24">
        <f t="shared" si="23"/>
        <v>0</v>
      </c>
      <c r="X30" s="24"/>
      <c r="Y30" s="24">
        <f t="shared" si="24"/>
        <v>0</v>
      </c>
      <c r="Z30" s="24"/>
      <c r="AA30" s="24">
        <f t="shared" si="25"/>
        <v>0</v>
      </c>
      <c r="AB30" s="24">
        <f t="shared" si="26"/>
        <v>0</v>
      </c>
      <c r="AC30" s="12" t="str">
        <f t="shared" si="27"/>
        <v>ok</v>
      </c>
    </row>
    <row r="31" spans="1:29" x14ac:dyDescent="0.2">
      <c r="A31" s="66">
        <v>355</v>
      </c>
      <c r="B31" s="3" t="s">
        <v>420</v>
      </c>
      <c r="C31" s="3" t="s">
        <v>353</v>
      </c>
      <c r="D31" s="3" t="s">
        <v>391</v>
      </c>
      <c r="F31" s="24">
        <v>0</v>
      </c>
      <c r="H31" s="24">
        <f t="shared" si="14"/>
        <v>0</v>
      </c>
      <c r="I31" s="24">
        <f t="shared" si="15"/>
        <v>0</v>
      </c>
      <c r="J31" s="24"/>
      <c r="K31" s="24">
        <f t="shared" si="16"/>
        <v>0</v>
      </c>
      <c r="L31" s="24"/>
      <c r="M31" s="24">
        <f t="shared" si="17"/>
        <v>0</v>
      </c>
      <c r="N31" s="24"/>
      <c r="O31" s="24">
        <f t="shared" si="18"/>
        <v>0</v>
      </c>
      <c r="P31" s="24">
        <f t="shared" si="19"/>
        <v>0</v>
      </c>
      <c r="Q31" s="24"/>
      <c r="R31" s="24">
        <f t="shared" si="20"/>
        <v>0</v>
      </c>
      <c r="S31" s="24">
        <f t="shared" si="21"/>
        <v>0</v>
      </c>
      <c r="T31" s="24"/>
      <c r="U31" s="24">
        <f t="shared" si="22"/>
        <v>0</v>
      </c>
      <c r="V31" s="24"/>
      <c r="W31" s="24">
        <f t="shared" si="23"/>
        <v>0</v>
      </c>
      <c r="X31" s="24"/>
      <c r="Y31" s="24">
        <f t="shared" si="24"/>
        <v>0</v>
      </c>
      <c r="Z31" s="24"/>
      <c r="AA31" s="24">
        <f t="shared" si="25"/>
        <v>0</v>
      </c>
      <c r="AB31" s="24">
        <f t="shared" si="26"/>
        <v>0</v>
      </c>
      <c r="AC31" s="12" t="str">
        <f t="shared" si="27"/>
        <v>ok</v>
      </c>
    </row>
    <row r="32" spans="1:29" x14ac:dyDescent="0.2">
      <c r="A32" s="66">
        <v>356</v>
      </c>
      <c r="B32" s="3" t="s">
        <v>350</v>
      </c>
      <c r="C32" s="3" t="s">
        <v>354</v>
      </c>
      <c r="D32" s="3" t="s">
        <v>391</v>
      </c>
      <c r="F32" s="24">
        <v>0</v>
      </c>
      <c r="H32" s="24">
        <f t="shared" si="14"/>
        <v>0</v>
      </c>
      <c r="I32" s="24">
        <f t="shared" si="15"/>
        <v>0</v>
      </c>
      <c r="J32" s="24"/>
      <c r="K32" s="24">
        <f t="shared" si="16"/>
        <v>0</v>
      </c>
      <c r="L32" s="24"/>
      <c r="M32" s="24">
        <f t="shared" si="17"/>
        <v>0</v>
      </c>
      <c r="N32" s="24"/>
      <c r="O32" s="24">
        <f t="shared" si="18"/>
        <v>0</v>
      </c>
      <c r="P32" s="24">
        <f t="shared" si="19"/>
        <v>0</v>
      </c>
      <c r="Q32" s="24"/>
      <c r="R32" s="24">
        <f t="shared" si="20"/>
        <v>0</v>
      </c>
      <c r="S32" s="24">
        <f t="shared" si="21"/>
        <v>0</v>
      </c>
      <c r="T32" s="24"/>
      <c r="U32" s="24">
        <f t="shared" si="22"/>
        <v>0</v>
      </c>
      <c r="V32" s="24"/>
      <c r="W32" s="24">
        <f t="shared" si="23"/>
        <v>0</v>
      </c>
      <c r="X32" s="24"/>
      <c r="Y32" s="24">
        <f t="shared" si="24"/>
        <v>0</v>
      </c>
      <c r="Z32" s="24"/>
      <c r="AA32" s="24">
        <f t="shared" si="25"/>
        <v>0</v>
      </c>
      <c r="AB32" s="24">
        <f t="shared" si="26"/>
        <v>0</v>
      </c>
      <c r="AC32" s="12" t="str">
        <f t="shared" si="27"/>
        <v>ok</v>
      </c>
    </row>
    <row r="33" spans="1:29" x14ac:dyDescent="0.2">
      <c r="A33" s="66">
        <v>359</v>
      </c>
      <c r="B33" s="3" t="s">
        <v>422</v>
      </c>
      <c r="C33" s="3" t="s">
        <v>423</v>
      </c>
      <c r="D33" s="3" t="s">
        <v>391</v>
      </c>
      <c r="F33" s="24">
        <v>0</v>
      </c>
      <c r="H33" s="24">
        <f t="shared" si="14"/>
        <v>0</v>
      </c>
      <c r="I33" s="24">
        <f t="shared" si="15"/>
        <v>0</v>
      </c>
      <c r="J33" s="24"/>
      <c r="K33" s="24">
        <f t="shared" si="16"/>
        <v>0</v>
      </c>
      <c r="L33" s="24"/>
      <c r="M33" s="24">
        <f t="shared" si="17"/>
        <v>0</v>
      </c>
      <c r="N33" s="24"/>
      <c r="O33" s="24">
        <f t="shared" si="18"/>
        <v>0</v>
      </c>
      <c r="P33" s="24">
        <f t="shared" si="19"/>
        <v>0</v>
      </c>
      <c r="Q33" s="24"/>
      <c r="R33" s="24">
        <f t="shared" si="20"/>
        <v>0</v>
      </c>
      <c r="S33" s="24">
        <f t="shared" si="21"/>
        <v>0</v>
      </c>
      <c r="T33" s="24"/>
      <c r="U33" s="24">
        <f t="shared" si="22"/>
        <v>0</v>
      </c>
      <c r="V33" s="24"/>
      <c r="W33" s="24">
        <f t="shared" si="23"/>
        <v>0</v>
      </c>
      <c r="X33" s="24"/>
      <c r="Y33" s="24">
        <f t="shared" si="24"/>
        <v>0</v>
      </c>
      <c r="Z33" s="24"/>
      <c r="AA33" s="24">
        <f t="shared" si="25"/>
        <v>0</v>
      </c>
      <c r="AB33" s="24">
        <f t="shared" si="26"/>
        <v>0</v>
      </c>
      <c r="AC33" s="12" t="str">
        <f t="shared" si="27"/>
        <v>ok</v>
      </c>
    </row>
    <row r="34" spans="1:29" x14ac:dyDescent="0.2">
      <c r="Q34" s="3"/>
      <c r="AB34" s="24"/>
      <c r="AC34" s="12"/>
    </row>
    <row r="35" spans="1:29" x14ac:dyDescent="0.2">
      <c r="B35" s="3" t="s">
        <v>358</v>
      </c>
      <c r="C35" s="3" t="s">
        <v>390</v>
      </c>
      <c r="F35" s="65">
        <f>SUM(F27:F34)</f>
        <v>0</v>
      </c>
      <c r="G35" s="65"/>
      <c r="H35" s="65">
        <f t="shared" ref="H35:AA35" si="28">SUM(H27:H34)</f>
        <v>0</v>
      </c>
      <c r="I35" s="65">
        <f t="shared" si="28"/>
        <v>0</v>
      </c>
      <c r="J35" s="65"/>
      <c r="K35" s="65">
        <f t="shared" si="28"/>
        <v>0</v>
      </c>
      <c r="L35" s="65"/>
      <c r="M35" s="65">
        <f t="shared" si="28"/>
        <v>0</v>
      </c>
      <c r="N35" s="65"/>
      <c r="O35" s="65">
        <f t="shared" si="28"/>
        <v>0</v>
      </c>
      <c r="P35" s="65">
        <f t="shared" si="28"/>
        <v>0</v>
      </c>
      <c r="Q35" s="65"/>
      <c r="R35" s="65">
        <f t="shared" si="28"/>
        <v>0</v>
      </c>
      <c r="S35" s="65">
        <f t="shared" si="28"/>
        <v>0</v>
      </c>
      <c r="T35" s="65"/>
      <c r="U35" s="65">
        <f t="shared" si="28"/>
        <v>0</v>
      </c>
      <c r="V35" s="65"/>
      <c r="W35" s="65">
        <f t="shared" si="28"/>
        <v>0</v>
      </c>
      <c r="X35" s="65"/>
      <c r="Y35" s="65">
        <f t="shared" si="28"/>
        <v>0</v>
      </c>
      <c r="Z35" s="65"/>
      <c r="AA35" s="65">
        <f t="shared" si="28"/>
        <v>0</v>
      </c>
      <c r="AB35" s="24">
        <f>SUM(H35:AA35)</f>
        <v>0</v>
      </c>
      <c r="AC35" s="12" t="str">
        <f>IF(ABS(AB35-F35)&lt;1,"ok","err")</f>
        <v>ok</v>
      </c>
    </row>
    <row r="36" spans="1:29" x14ac:dyDescent="0.2">
      <c r="Q36" s="3"/>
      <c r="AC36" s="12"/>
    </row>
    <row r="37" spans="1:29" x14ac:dyDescent="0.2">
      <c r="A37" s="10" t="s">
        <v>365</v>
      </c>
      <c r="Q37" s="3"/>
      <c r="AC37" s="12"/>
    </row>
    <row r="38" spans="1:29" x14ac:dyDescent="0.2">
      <c r="Q38" s="3"/>
      <c r="AC38" s="12"/>
    </row>
    <row r="39" spans="1:29" x14ac:dyDescent="0.2">
      <c r="A39" s="10" t="s">
        <v>21</v>
      </c>
      <c r="Q39" s="3"/>
      <c r="AC39" s="12"/>
    </row>
    <row r="40" spans="1:29" x14ac:dyDescent="0.2">
      <c r="A40" s="66">
        <v>360</v>
      </c>
      <c r="B40" s="3" t="s">
        <v>17</v>
      </c>
      <c r="C40" s="3" t="s">
        <v>18</v>
      </c>
      <c r="D40" s="3" t="s">
        <v>24</v>
      </c>
      <c r="F40" s="41">
        <v>0</v>
      </c>
      <c r="H40" s="24">
        <f>IF(VLOOKUP($D40,$C$5:$AA$494,6,)=0,0,((VLOOKUP($D40,$C$5:$AA$494,6,)/VLOOKUP($D40,$C$5:$AA$494,4,))*$F63))</f>
        <v>0</v>
      </c>
      <c r="I40" s="24">
        <f>IF(VLOOKUP($D40,$C$5:$AA$494,7,)=0,0,((VLOOKUP($D40,$C$5:$AA$494,7,)/VLOOKUP($D40,$C$5:$AA$494,4,))*$F63))</f>
        <v>0</v>
      </c>
      <c r="J40" s="24"/>
      <c r="K40" s="24">
        <f>IF(VLOOKUP($D40,$C$5:$AA$494,9,)=0,0,((VLOOKUP($D40,$C$5:$AA$494,9,)/VLOOKUP($D40,$C$5:$AA$494,4,))*$F63))</f>
        <v>0</v>
      </c>
      <c r="L40" s="24"/>
      <c r="M40" s="24">
        <f t="shared" ref="M40:M52" si="29">IF(VLOOKUP($D40,$C$5:$AA$494,11,)=0,0,((VLOOKUP($D40,$C$5:$AA$494,11,)/VLOOKUP($D40,$C$5:$AA$494,4,))*$F40))</f>
        <v>0</v>
      </c>
      <c r="N40" s="24"/>
      <c r="O40" s="24">
        <f>IF(VLOOKUP($D40,$C$5:$AA$494,13,)=0,0,((VLOOKUP($D40,$C$5:$AA$494,13,)/VLOOKUP($D40,$C$5:$AA$494,4,))*$F63))</f>
        <v>0</v>
      </c>
      <c r="P40" s="24">
        <f>IF(VLOOKUP($D40,$C$5:$AA$494,14,)=0,0,((VLOOKUP($D40,$C$5:$AA$494,14,)/VLOOKUP($D40,$C$5:$AA$494,4,))*$F63))</f>
        <v>0</v>
      </c>
      <c r="Q40" s="24"/>
      <c r="R40" s="24">
        <f>IF(VLOOKUP($D40,$C$5:$AA$494,16,)=0,0,((VLOOKUP($D40,$C$5:$AA$494,16,)/VLOOKUP($D40,$C$5:$AA$494,4,))*$F63))</f>
        <v>0</v>
      </c>
      <c r="S40" s="24">
        <f>IF(VLOOKUP($D40,$C$5:$AA$494,17,)=0,0,((VLOOKUP($D40,$C$5:$AA$494,17,)/VLOOKUP($D40,$C$5:$AA$494,4,))*$F63))</f>
        <v>0</v>
      </c>
      <c r="T40" s="24"/>
      <c r="U40" s="24">
        <f>IF(VLOOKUP($D40,$C$5:$AA$494,19,)=0,0,((VLOOKUP($D40,$C$5:$AA$494,19,)/VLOOKUP($D40,$C$5:$AA$494,4,))*$F63))</f>
        <v>0</v>
      </c>
      <c r="V40" s="24"/>
      <c r="W40" s="24">
        <f>IF(VLOOKUP($D40,$C$5:$AA$494,21,)=0,0,((VLOOKUP($D40,$C$5:$AA$494,21,)/VLOOKUP($D40,$C$5:$AA$494,4,))*$F63))</f>
        <v>0</v>
      </c>
      <c r="X40" s="24"/>
      <c r="Y40" s="24">
        <f>IF(VLOOKUP($D40,$C$5:$AA$494,23,)=0,0,((VLOOKUP($D40,$C$5:$AA$494,23,)/VLOOKUP($D40,$C$5:$AA$494,4,))*$F63))</f>
        <v>0</v>
      </c>
      <c r="Z40" s="24"/>
      <c r="AA40" s="24">
        <f>IF(VLOOKUP($D40,$C$5:$AA$494,25,)=0,0,((VLOOKUP($D40,$C$5:$AA$494,25,)/VLOOKUP($D40,$C$5:$AA$494,4,))*$F63))</f>
        <v>0</v>
      </c>
      <c r="AB40" s="24">
        <f t="shared" ref="AB40:AB52" si="30">SUM(H40:AA40)</f>
        <v>0</v>
      </c>
      <c r="AC40" s="12" t="str">
        <f>IF(ABS(AB40-F40)&lt;1,"ok","err")</f>
        <v>ok</v>
      </c>
    </row>
    <row r="41" spans="1:29" x14ac:dyDescent="0.2">
      <c r="A41" s="66">
        <v>361</v>
      </c>
      <c r="B41" s="3" t="s">
        <v>53</v>
      </c>
      <c r="C41" s="3" t="s">
        <v>424</v>
      </c>
      <c r="D41" s="3" t="s">
        <v>24</v>
      </c>
      <c r="F41" s="24">
        <v>0</v>
      </c>
      <c r="H41" s="24">
        <f t="shared" ref="H41:H52" si="31">IF(VLOOKUP($D41,$C$5:$AA$494,6,)=0,0,((VLOOKUP($D41,$C$5:$AA$494,6,)/VLOOKUP($D41,$C$5:$AA$494,4,))*$F41))</f>
        <v>0</v>
      </c>
      <c r="I41" s="24">
        <f t="shared" ref="I41:I52" si="32">IF(VLOOKUP($D41,$C$5:$AA$494,7,)=0,0,((VLOOKUP($D41,$C$5:$AA$494,7,)/VLOOKUP($D41,$C$5:$AA$494,4,))*$F41))</f>
        <v>0</v>
      </c>
      <c r="J41" s="24"/>
      <c r="K41" s="24">
        <f t="shared" ref="K41:K52" si="33">IF(VLOOKUP($D41,$C$5:$AA$494,9,)=0,0,((VLOOKUP($D41,$C$5:$AA$494,9,)/VLOOKUP($D41,$C$5:$AA$494,4,))*$F41))</f>
        <v>0</v>
      </c>
      <c r="L41" s="24"/>
      <c r="M41" s="24">
        <f t="shared" si="29"/>
        <v>0</v>
      </c>
      <c r="N41" s="24"/>
      <c r="O41" s="24">
        <f t="shared" ref="O41:O52" si="34">IF(VLOOKUP($D41,$C$5:$AA$494,13,)=0,0,((VLOOKUP($D41,$C$5:$AA$494,13,)/VLOOKUP($D41,$C$5:$AA$494,4,))*$F41))</f>
        <v>0</v>
      </c>
      <c r="P41" s="24">
        <f t="shared" ref="P41:P52" si="35">IF(VLOOKUP($D41,$C$5:$AA$494,14,)=0,0,((VLOOKUP($D41,$C$5:$AA$494,14,)/VLOOKUP($D41,$C$5:$AA$494,4,))*$F41))</f>
        <v>0</v>
      </c>
      <c r="Q41" s="24"/>
      <c r="R41" s="24">
        <f t="shared" ref="R41:R52" si="36">IF(VLOOKUP($D41,$C$5:$AA$494,16,)=0,0,((VLOOKUP($D41,$C$5:$AA$494,16,)/VLOOKUP($D41,$C$5:$AA$494,4,))*$F41))</f>
        <v>0</v>
      </c>
      <c r="S41" s="24">
        <f t="shared" ref="S41:S52" si="37">IF(VLOOKUP($D41,$C$5:$AA$494,17,)=0,0,((VLOOKUP($D41,$C$5:$AA$494,17,)/VLOOKUP($D41,$C$5:$AA$494,4,))*$F41))</f>
        <v>0</v>
      </c>
      <c r="T41" s="24"/>
      <c r="U41" s="24">
        <f t="shared" ref="U41:U52" si="38">IF(VLOOKUP($D41,$C$5:$AA$494,19,)=0,0,((VLOOKUP($D41,$C$5:$AA$494,19,)/VLOOKUP($D41,$C$5:$AA$494,4,))*$F41))</f>
        <v>0</v>
      </c>
      <c r="V41" s="24"/>
      <c r="W41" s="24">
        <f t="shared" ref="W41:W52" si="39">IF(VLOOKUP($D41,$C$5:$AA$494,21,)=0,0,((VLOOKUP($D41,$C$5:$AA$494,21,)/VLOOKUP($D41,$C$5:$AA$494,4,))*$F41))</f>
        <v>0</v>
      </c>
      <c r="X41" s="24"/>
      <c r="Y41" s="24">
        <f t="shared" ref="Y41:Y52" si="40">IF(VLOOKUP($D41,$C$5:$AA$494,23,)=0,0,((VLOOKUP($D41,$C$5:$AA$494,23,)/VLOOKUP($D41,$C$5:$AA$494,4,))*$F41))</f>
        <v>0</v>
      </c>
      <c r="Z41" s="24"/>
      <c r="AA41" s="24">
        <f t="shared" ref="AA41:AA52" si="41">IF(VLOOKUP($D41,$C$5:$AA$494,25,)=0,0,((VLOOKUP($D41,$C$5:$AA$494,25,)/VLOOKUP($D41,$C$5:$AA$494,4,))*$F41))</f>
        <v>0</v>
      </c>
      <c r="AB41" s="24">
        <f t="shared" si="30"/>
        <v>0</v>
      </c>
      <c r="AC41" s="12" t="str">
        <f t="shared" ref="AC41:AC52" si="42">IF(ABS(AB41-F41)&lt;1,"ok","err")</f>
        <v>ok</v>
      </c>
    </row>
    <row r="42" spans="1:29" x14ac:dyDescent="0.2">
      <c r="A42" s="66">
        <v>362</v>
      </c>
      <c r="B42" s="3" t="s">
        <v>22</v>
      </c>
      <c r="C42" s="3" t="s">
        <v>23</v>
      </c>
      <c r="D42" s="3" t="s">
        <v>24</v>
      </c>
      <c r="F42" s="24">
        <v>489306.13</v>
      </c>
      <c r="G42" s="22"/>
      <c r="H42" s="24">
        <f t="shared" si="31"/>
        <v>0</v>
      </c>
      <c r="I42" s="24">
        <f t="shared" si="32"/>
        <v>0</v>
      </c>
      <c r="J42" s="24"/>
      <c r="K42" s="24">
        <f t="shared" si="33"/>
        <v>0</v>
      </c>
      <c r="L42" s="24"/>
      <c r="M42" s="24">
        <f t="shared" si="29"/>
        <v>489306.13</v>
      </c>
      <c r="N42" s="24"/>
      <c r="O42" s="24">
        <f t="shared" si="34"/>
        <v>0</v>
      </c>
      <c r="P42" s="24">
        <f t="shared" si="35"/>
        <v>0</v>
      </c>
      <c r="Q42" s="24"/>
      <c r="R42" s="24">
        <f t="shared" si="36"/>
        <v>0</v>
      </c>
      <c r="S42" s="24">
        <f t="shared" si="37"/>
        <v>0</v>
      </c>
      <c r="T42" s="24"/>
      <c r="U42" s="24">
        <f t="shared" si="38"/>
        <v>0</v>
      </c>
      <c r="V42" s="24"/>
      <c r="W42" s="24">
        <f t="shared" si="39"/>
        <v>0</v>
      </c>
      <c r="X42" s="24"/>
      <c r="Y42" s="24">
        <f t="shared" si="40"/>
        <v>0</v>
      </c>
      <c r="Z42" s="24"/>
      <c r="AA42" s="24">
        <f t="shared" si="41"/>
        <v>0</v>
      </c>
      <c r="AB42" s="24">
        <f t="shared" si="30"/>
        <v>489306.13</v>
      </c>
      <c r="AC42" s="12" t="str">
        <f t="shared" si="42"/>
        <v>ok</v>
      </c>
    </row>
    <row r="43" spans="1:29" x14ac:dyDescent="0.2">
      <c r="A43" s="66">
        <v>364</v>
      </c>
      <c r="B43" s="3" t="s">
        <v>25</v>
      </c>
      <c r="C43" s="3" t="s">
        <v>26</v>
      </c>
      <c r="D43" s="3" t="s">
        <v>27</v>
      </c>
      <c r="F43" s="24">
        <v>18398526.02</v>
      </c>
      <c r="G43" s="22"/>
      <c r="H43" s="24">
        <f t="shared" si="31"/>
        <v>0</v>
      </c>
      <c r="I43" s="24">
        <f t="shared" si="32"/>
        <v>0</v>
      </c>
      <c r="J43" s="24"/>
      <c r="K43" s="24">
        <f t="shared" si="33"/>
        <v>0</v>
      </c>
      <c r="L43" s="24"/>
      <c r="M43" s="24">
        <f t="shared" si="29"/>
        <v>0</v>
      </c>
      <c r="N43" s="24"/>
      <c r="O43" s="24">
        <f t="shared" si="34"/>
        <v>11607894.457253771</v>
      </c>
      <c r="P43" s="24">
        <f t="shared" si="35"/>
        <v>6790631.5627462287</v>
      </c>
      <c r="Q43" s="24"/>
      <c r="R43" s="24">
        <f t="shared" si="36"/>
        <v>0</v>
      </c>
      <c r="S43" s="24">
        <f t="shared" si="37"/>
        <v>0</v>
      </c>
      <c r="T43" s="24"/>
      <c r="U43" s="24">
        <f t="shared" si="38"/>
        <v>0</v>
      </c>
      <c r="V43" s="24"/>
      <c r="W43" s="24">
        <f t="shared" si="39"/>
        <v>0</v>
      </c>
      <c r="X43" s="24"/>
      <c r="Y43" s="24">
        <f t="shared" si="40"/>
        <v>0</v>
      </c>
      <c r="Z43" s="24"/>
      <c r="AA43" s="24">
        <f t="shared" si="41"/>
        <v>0</v>
      </c>
      <c r="AB43" s="24">
        <f t="shared" si="30"/>
        <v>18398526.02</v>
      </c>
      <c r="AC43" s="12" t="str">
        <f t="shared" si="42"/>
        <v>ok</v>
      </c>
    </row>
    <row r="44" spans="1:29" x14ac:dyDescent="0.2">
      <c r="A44" s="66">
        <v>365</v>
      </c>
      <c r="B44" s="3" t="s">
        <v>28</v>
      </c>
      <c r="C44" s="3" t="s">
        <v>29</v>
      </c>
      <c r="D44" s="3" t="s">
        <v>30</v>
      </c>
      <c r="F44" s="24">
        <v>15182352.279999999</v>
      </c>
      <c r="G44" s="22"/>
      <c r="H44" s="24">
        <f t="shared" si="31"/>
        <v>0</v>
      </c>
      <c r="I44" s="24">
        <f t="shared" si="32"/>
        <v>0</v>
      </c>
      <c r="J44" s="24"/>
      <c r="K44" s="24">
        <f t="shared" si="33"/>
        <v>0</v>
      </c>
      <c r="L44" s="24"/>
      <c r="M44" s="24">
        <f t="shared" si="29"/>
        <v>0</v>
      </c>
      <c r="N44" s="24"/>
      <c r="O44" s="24">
        <f t="shared" si="34"/>
        <v>9578764.2274990324</v>
      </c>
      <c r="P44" s="24">
        <f t="shared" si="35"/>
        <v>5603588.0525009669</v>
      </c>
      <c r="Q44" s="24"/>
      <c r="R44" s="24">
        <f t="shared" si="36"/>
        <v>0</v>
      </c>
      <c r="S44" s="24">
        <f t="shared" si="37"/>
        <v>0</v>
      </c>
      <c r="T44" s="24"/>
      <c r="U44" s="24">
        <f t="shared" si="38"/>
        <v>0</v>
      </c>
      <c r="V44" s="24"/>
      <c r="W44" s="24">
        <f t="shared" si="39"/>
        <v>0</v>
      </c>
      <c r="X44" s="24"/>
      <c r="Y44" s="24">
        <f t="shared" si="40"/>
        <v>0</v>
      </c>
      <c r="Z44" s="24"/>
      <c r="AA44" s="24">
        <f t="shared" si="41"/>
        <v>0</v>
      </c>
      <c r="AB44" s="24">
        <f t="shared" si="30"/>
        <v>15182352.279999999</v>
      </c>
      <c r="AC44" s="12" t="str">
        <f t="shared" si="42"/>
        <v>ok</v>
      </c>
    </row>
    <row r="45" spans="1:29" x14ac:dyDescent="0.2">
      <c r="A45" s="66">
        <v>366</v>
      </c>
      <c r="B45" s="3" t="s">
        <v>31</v>
      </c>
      <c r="C45" s="3" t="s">
        <v>32</v>
      </c>
      <c r="D45" s="3" t="s">
        <v>33</v>
      </c>
      <c r="F45" s="24">
        <v>851048.37</v>
      </c>
      <c r="G45" s="22"/>
      <c r="H45" s="24">
        <f t="shared" si="31"/>
        <v>0</v>
      </c>
      <c r="I45" s="24">
        <f t="shared" si="32"/>
        <v>0</v>
      </c>
      <c r="J45" s="24"/>
      <c r="K45" s="24">
        <f t="shared" si="33"/>
        <v>0</v>
      </c>
      <c r="L45" s="24"/>
      <c r="M45" s="24">
        <f t="shared" si="29"/>
        <v>0</v>
      </c>
      <c r="N45" s="24"/>
      <c r="O45" s="24">
        <f t="shared" si="34"/>
        <v>40232.358514661661</v>
      </c>
      <c r="P45" s="24">
        <f t="shared" si="35"/>
        <v>810816.01148533833</v>
      </c>
      <c r="Q45" s="24"/>
      <c r="R45" s="24">
        <f t="shared" si="36"/>
        <v>0</v>
      </c>
      <c r="S45" s="24">
        <f t="shared" si="37"/>
        <v>0</v>
      </c>
      <c r="T45" s="24"/>
      <c r="U45" s="24">
        <f t="shared" si="38"/>
        <v>0</v>
      </c>
      <c r="V45" s="24"/>
      <c r="W45" s="24">
        <f t="shared" si="39"/>
        <v>0</v>
      </c>
      <c r="X45" s="24"/>
      <c r="Y45" s="24">
        <f t="shared" si="40"/>
        <v>0</v>
      </c>
      <c r="Z45" s="24"/>
      <c r="AA45" s="24">
        <f t="shared" si="41"/>
        <v>0</v>
      </c>
      <c r="AB45" s="24">
        <f t="shared" si="30"/>
        <v>851048.37</v>
      </c>
      <c r="AC45" s="12" t="str">
        <f t="shared" si="42"/>
        <v>ok</v>
      </c>
    </row>
    <row r="46" spans="1:29" x14ac:dyDescent="0.2">
      <c r="A46" s="66">
        <v>367</v>
      </c>
      <c r="B46" s="3" t="s">
        <v>34</v>
      </c>
      <c r="C46" s="3" t="s">
        <v>35</v>
      </c>
      <c r="D46" s="3" t="s">
        <v>33</v>
      </c>
      <c r="F46" s="24">
        <v>410300.43</v>
      </c>
      <c r="G46" s="22"/>
      <c r="H46" s="24">
        <f t="shared" si="31"/>
        <v>0</v>
      </c>
      <c r="I46" s="24">
        <f t="shared" si="32"/>
        <v>0</v>
      </c>
      <c r="J46" s="24"/>
      <c r="K46" s="24">
        <f t="shared" si="33"/>
        <v>0</v>
      </c>
      <c r="L46" s="24"/>
      <c r="M46" s="24">
        <f t="shared" si="29"/>
        <v>0</v>
      </c>
      <c r="N46" s="24"/>
      <c r="O46" s="24">
        <f t="shared" si="34"/>
        <v>19396.493290363556</v>
      </c>
      <c r="P46" s="24">
        <f t="shared" si="35"/>
        <v>390903.93670963641</v>
      </c>
      <c r="Q46" s="24"/>
      <c r="R46" s="24">
        <f t="shared" si="36"/>
        <v>0</v>
      </c>
      <c r="S46" s="24">
        <f t="shared" si="37"/>
        <v>0</v>
      </c>
      <c r="T46" s="24"/>
      <c r="U46" s="24">
        <f t="shared" si="38"/>
        <v>0</v>
      </c>
      <c r="V46" s="24"/>
      <c r="W46" s="24">
        <f t="shared" si="39"/>
        <v>0</v>
      </c>
      <c r="X46" s="24"/>
      <c r="Y46" s="24">
        <f t="shared" si="40"/>
        <v>0</v>
      </c>
      <c r="Z46" s="24"/>
      <c r="AA46" s="24">
        <f t="shared" si="41"/>
        <v>0</v>
      </c>
      <c r="AB46" s="24">
        <f t="shared" si="30"/>
        <v>410300.43</v>
      </c>
      <c r="AC46" s="12" t="str">
        <f t="shared" si="42"/>
        <v>ok</v>
      </c>
    </row>
    <row r="47" spans="1:29" x14ac:dyDescent="0.2">
      <c r="A47" s="66">
        <v>368</v>
      </c>
      <c r="B47" s="3" t="s">
        <v>36</v>
      </c>
      <c r="C47" s="3" t="s">
        <v>37</v>
      </c>
      <c r="D47" s="3" t="s">
        <v>38</v>
      </c>
      <c r="F47" s="24">
        <v>6985853.7999999998</v>
      </c>
      <c r="G47" s="22"/>
      <c r="H47" s="24">
        <f t="shared" si="31"/>
        <v>0</v>
      </c>
      <c r="I47" s="24">
        <f t="shared" si="32"/>
        <v>0</v>
      </c>
      <c r="J47" s="24"/>
      <c r="K47" s="24">
        <f t="shared" si="33"/>
        <v>0</v>
      </c>
      <c r="L47" s="24"/>
      <c r="M47" s="24">
        <f t="shared" si="29"/>
        <v>0</v>
      </c>
      <c r="N47" s="24"/>
      <c r="O47" s="24">
        <f t="shared" si="34"/>
        <v>3778857.8404687173</v>
      </c>
      <c r="P47" s="24">
        <f t="shared" si="35"/>
        <v>3206995.959531283</v>
      </c>
      <c r="Q47" s="24"/>
      <c r="R47" s="24">
        <f t="shared" si="36"/>
        <v>0</v>
      </c>
      <c r="S47" s="24">
        <f t="shared" si="37"/>
        <v>0</v>
      </c>
      <c r="T47" s="24"/>
      <c r="U47" s="24">
        <f t="shared" si="38"/>
        <v>0</v>
      </c>
      <c r="V47" s="24"/>
      <c r="W47" s="24">
        <f t="shared" si="39"/>
        <v>0</v>
      </c>
      <c r="X47" s="24"/>
      <c r="Y47" s="24">
        <f t="shared" si="40"/>
        <v>0</v>
      </c>
      <c r="Z47" s="24"/>
      <c r="AA47" s="24">
        <f t="shared" si="41"/>
        <v>0</v>
      </c>
      <c r="AB47" s="24">
        <f t="shared" si="30"/>
        <v>6985853.8000000007</v>
      </c>
      <c r="AC47" s="12" t="str">
        <f t="shared" si="42"/>
        <v>ok</v>
      </c>
    </row>
    <row r="48" spans="1:29" x14ac:dyDescent="0.2">
      <c r="A48" s="66">
        <v>369</v>
      </c>
      <c r="B48" s="3" t="s">
        <v>39</v>
      </c>
      <c r="C48" s="3" t="s">
        <v>40</v>
      </c>
      <c r="D48" s="3" t="s">
        <v>41</v>
      </c>
      <c r="F48" s="24">
        <v>6324724.1100000003</v>
      </c>
      <c r="G48" s="22"/>
      <c r="H48" s="24">
        <f t="shared" si="31"/>
        <v>0</v>
      </c>
      <c r="I48" s="24">
        <f t="shared" si="32"/>
        <v>0</v>
      </c>
      <c r="J48" s="24"/>
      <c r="K48" s="24">
        <f t="shared" si="33"/>
        <v>0</v>
      </c>
      <c r="L48" s="24"/>
      <c r="M48" s="24">
        <f t="shared" si="29"/>
        <v>0</v>
      </c>
      <c r="N48" s="24"/>
      <c r="O48" s="24">
        <f t="shared" si="34"/>
        <v>0</v>
      </c>
      <c r="P48" s="24">
        <f t="shared" si="35"/>
        <v>0</v>
      </c>
      <c r="Q48" s="24"/>
      <c r="R48" s="24">
        <f t="shared" si="36"/>
        <v>0</v>
      </c>
      <c r="S48" s="24">
        <f t="shared" si="37"/>
        <v>6324724.1100000003</v>
      </c>
      <c r="T48" s="24"/>
      <c r="U48" s="24">
        <f t="shared" si="38"/>
        <v>0</v>
      </c>
      <c r="V48" s="24"/>
      <c r="W48" s="24">
        <f t="shared" si="39"/>
        <v>0</v>
      </c>
      <c r="X48" s="24"/>
      <c r="Y48" s="24">
        <f t="shared" si="40"/>
        <v>0</v>
      </c>
      <c r="Z48" s="24"/>
      <c r="AA48" s="24">
        <f t="shared" si="41"/>
        <v>0</v>
      </c>
      <c r="AB48" s="24">
        <f t="shared" si="30"/>
        <v>6324724.1100000003</v>
      </c>
      <c r="AC48" s="12" t="str">
        <f t="shared" si="42"/>
        <v>ok</v>
      </c>
    </row>
    <row r="49" spans="1:30" x14ac:dyDescent="0.2">
      <c r="A49" s="66">
        <v>370</v>
      </c>
      <c r="B49" s="3" t="s">
        <v>42</v>
      </c>
      <c r="C49" s="3" t="s">
        <v>43</v>
      </c>
      <c r="D49" s="3" t="s">
        <v>44</v>
      </c>
      <c r="F49" s="24">
        <v>3817742.24</v>
      </c>
      <c r="G49" s="22"/>
      <c r="H49" s="24">
        <f t="shared" si="31"/>
        <v>0</v>
      </c>
      <c r="I49" s="24">
        <f t="shared" si="32"/>
        <v>0</v>
      </c>
      <c r="J49" s="24"/>
      <c r="K49" s="24">
        <f t="shared" si="33"/>
        <v>0</v>
      </c>
      <c r="L49" s="24"/>
      <c r="M49" s="24">
        <f t="shared" si="29"/>
        <v>0</v>
      </c>
      <c r="N49" s="24"/>
      <c r="O49" s="24">
        <f t="shared" si="34"/>
        <v>0</v>
      </c>
      <c r="P49" s="24">
        <f t="shared" si="35"/>
        <v>0</v>
      </c>
      <c r="Q49" s="24"/>
      <c r="R49" s="24">
        <f t="shared" si="36"/>
        <v>0</v>
      </c>
      <c r="S49" s="24">
        <f t="shared" si="37"/>
        <v>0</v>
      </c>
      <c r="T49" s="24"/>
      <c r="U49" s="24">
        <f t="shared" si="38"/>
        <v>3817742.24</v>
      </c>
      <c r="V49" s="24"/>
      <c r="W49" s="24">
        <f t="shared" si="39"/>
        <v>0</v>
      </c>
      <c r="X49" s="24"/>
      <c r="Y49" s="24">
        <f t="shared" si="40"/>
        <v>0</v>
      </c>
      <c r="Z49" s="24"/>
      <c r="AA49" s="24">
        <f t="shared" si="41"/>
        <v>0</v>
      </c>
      <c r="AB49" s="24">
        <f t="shared" si="30"/>
        <v>3817742.24</v>
      </c>
      <c r="AC49" s="12" t="str">
        <f t="shared" si="42"/>
        <v>ok</v>
      </c>
    </row>
    <row r="50" spans="1:30" x14ac:dyDescent="0.2">
      <c r="A50" s="66">
        <v>371</v>
      </c>
      <c r="B50" s="3" t="s">
        <v>45</v>
      </c>
      <c r="C50" s="3" t="s">
        <v>46</v>
      </c>
      <c r="D50" s="3" t="s">
        <v>546</v>
      </c>
      <c r="F50" s="24">
        <v>3828289.64</v>
      </c>
      <c r="G50" s="22"/>
      <c r="H50" s="24">
        <f t="shared" si="31"/>
        <v>0</v>
      </c>
      <c r="I50" s="24">
        <f t="shared" si="32"/>
        <v>0</v>
      </c>
      <c r="J50" s="24"/>
      <c r="K50" s="24">
        <f t="shared" si="33"/>
        <v>0</v>
      </c>
      <c r="L50" s="24"/>
      <c r="M50" s="24">
        <f t="shared" si="29"/>
        <v>0</v>
      </c>
      <c r="N50" s="24"/>
      <c r="O50" s="24">
        <f t="shared" si="34"/>
        <v>0</v>
      </c>
      <c r="P50" s="24">
        <f t="shared" si="35"/>
        <v>0</v>
      </c>
      <c r="Q50" s="24"/>
      <c r="R50" s="24">
        <f t="shared" si="36"/>
        <v>0</v>
      </c>
      <c r="S50" s="24">
        <f t="shared" si="37"/>
        <v>0</v>
      </c>
      <c r="T50" s="24"/>
      <c r="U50" s="24">
        <f t="shared" si="38"/>
        <v>0</v>
      </c>
      <c r="V50" s="24"/>
      <c r="W50" s="24">
        <f t="shared" si="39"/>
        <v>3828289.64</v>
      </c>
      <c r="X50" s="24"/>
      <c r="Y50" s="24">
        <f t="shared" si="40"/>
        <v>0</v>
      </c>
      <c r="Z50" s="24"/>
      <c r="AA50" s="24">
        <f t="shared" si="41"/>
        <v>0</v>
      </c>
      <c r="AB50" s="24">
        <f t="shared" si="30"/>
        <v>3828289.64</v>
      </c>
      <c r="AC50" s="12" t="str">
        <f t="shared" si="42"/>
        <v>ok</v>
      </c>
    </row>
    <row r="51" spans="1:30" x14ac:dyDescent="0.2">
      <c r="A51" s="66">
        <v>372</v>
      </c>
      <c r="B51" s="3" t="s">
        <v>574</v>
      </c>
      <c r="C51" s="3" t="s">
        <v>575</v>
      </c>
      <c r="D51" s="3" t="s">
        <v>546</v>
      </c>
      <c r="F51" s="24">
        <v>0</v>
      </c>
      <c r="G51" s="22"/>
      <c r="H51" s="24">
        <f t="shared" si="31"/>
        <v>0</v>
      </c>
      <c r="I51" s="24">
        <f t="shared" si="32"/>
        <v>0</v>
      </c>
      <c r="J51" s="24"/>
      <c r="K51" s="24">
        <f t="shared" si="33"/>
        <v>0</v>
      </c>
      <c r="L51" s="24"/>
      <c r="M51" s="24">
        <f t="shared" si="29"/>
        <v>0</v>
      </c>
      <c r="N51" s="24"/>
      <c r="O51" s="24">
        <f t="shared" si="34"/>
        <v>0</v>
      </c>
      <c r="P51" s="24">
        <f t="shared" si="35"/>
        <v>0</v>
      </c>
      <c r="Q51" s="24"/>
      <c r="R51" s="24">
        <f t="shared" si="36"/>
        <v>0</v>
      </c>
      <c r="S51" s="24">
        <f t="shared" si="37"/>
        <v>0</v>
      </c>
      <c r="T51" s="24"/>
      <c r="U51" s="24">
        <f t="shared" si="38"/>
        <v>0</v>
      </c>
      <c r="V51" s="24"/>
      <c r="W51" s="24">
        <f t="shared" si="39"/>
        <v>0</v>
      </c>
      <c r="X51" s="24"/>
      <c r="Y51" s="24">
        <f t="shared" si="40"/>
        <v>0</v>
      </c>
      <c r="Z51" s="24"/>
      <c r="AA51" s="24">
        <f t="shared" si="41"/>
        <v>0</v>
      </c>
      <c r="AB51" s="24">
        <f t="shared" si="30"/>
        <v>0</v>
      </c>
      <c r="AC51" s="12" t="str">
        <f t="shared" si="42"/>
        <v>ok</v>
      </c>
    </row>
    <row r="52" spans="1:30" x14ac:dyDescent="0.2">
      <c r="A52" s="66">
        <v>373</v>
      </c>
      <c r="B52" s="3" t="s">
        <v>47</v>
      </c>
      <c r="C52" s="3" t="s">
        <v>48</v>
      </c>
      <c r="D52" s="3" t="s">
        <v>49</v>
      </c>
      <c r="F52" s="24">
        <v>0</v>
      </c>
      <c r="H52" s="24">
        <f t="shared" si="31"/>
        <v>0</v>
      </c>
      <c r="I52" s="24">
        <f t="shared" si="32"/>
        <v>0</v>
      </c>
      <c r="J52" s="24"/>
      <c r="K52" s="24">
        <f t="shared" si="33"/>
        <v>0</v>
      </c>
      <c r="L52" s="24"/>
      <c r="M52" s="24">
        <f t="shared" si="29"/>
        <v>0</v>
      </c>
      <c r="N52" s="24"/>
      <c r="O52" s="24">
        <f t="shared" si="34"/>
        <v>0</v>
      </c>
      <c r="P52" s="24">
        <f t="shared" si="35"/>
        <v>0</v>
      </c>
      <c r="Q52" s="24"/>
      <c r="R52" s="24">
        <f t="shared" si="36"/>
        <v>0</v>
      </c>
      <c r="S52" s="24">
        <f t="shared" si="37"/>
        <v>0</v>
      </c>
      <c r="T52" s="24"/>
      <c r="U52" s="24">
        <f t="shared" si="38"/>
        <v>0</v>
      </c>
      <c r="V52" s="24"/>
      <c r="W52" s="24">
        <f t="shared" si="39"/>
        <v>0</v>
      </c>
      <c r="X52" s="24"/>
      <c r="Y52" s="24">
        <f t="shared" si="40"/>
        <v>0</v>
      </c>
      <c r="Z52" s="24"/>
      <c r="AA52" s="24">
        <f t="shared" si="41"/>
        <v>0</v>
      </c>
      <c r="AB52" s="24">
        <f t="shared" si="30"/>
        <v>0</v>
      </c>
      <c r="AC52" s="12" t="str">
        <f t="shared" si="42"/>
        <v>ok</v>
      </c>
    </row>
    <row r="53" spans="1:30" x14ac:dyDescent="0.2">
      <c r="A53" s="66"/>
      <c r="F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12"/>
    </row>
    <row r="54" spans="1:30" x14ac:dyDescent="0.2">
      <c r="B54" s="3" t="s">
        <v>50</v>
      </c>
      <c r="C54" s="3" t="s">
        <v>16</v>
      </c>
      <c r="F54" s="41">
        <f>SUM(F40:F53)</f>
        <v>56288143.019999996</v>
      </c>
      <c r="G54" s="15"/>
      <c r="H54" s="41">
        <f>SUM(H40:H53)</f>
        <v>0</v>
      </c>
      <c r="I54" s="41">
        <f>SUM(I40:I53)</f>
        <v>0</v>
      </c>
      <c r="J54" s="41"/>
      <c r="K54" s="41"/>
      <c r="L54" s="41"/>
      <c r="M54" s="41">
        <f>SUM(M40:M53)</f>
        <v>489306.13</v>
      </c>
      <c r="N54" s="41"/>
      <c r="O54" s="41">
        <f>SUM(O40:O53)</f>
        <v>25025145.377026547</v>
      </c>
      <c r="P54" s="41">
        <f>SUM(P40:P53)</f>
        <v>16802935.522973455</v>
      </c>
      <c r="Q54" s="41"/>
      <c r="R54" s="41">
        <f>SUM(R40:R52)</f>
        <v>0</v>
      </c>
      <c r="S54" s="41">
        <f>SUM(S40:S52)</f>
        <v>6324724.1100000003</v>
      </c>
      <c r="T54" s="41"/>
      <c r="U54" s="41">
        <f>SUM(U40:U52)</f>
        <v>3817742.24</v>
      </c>
      <c r="V54" s="41"/>
      <c r="W54" s="41">
        <f>SUM(W40:W52)</f>
        <v>3828289.64</v>
      </c>
      <c r="X54" s="41"/>
      <c r="Y54" s="41">
        <f>SUM(Y40:Y52)</f>
        <v>0</v>
      </c>
      <c r="Z54" s="41"/>
      <c r="AA54" s="41">
        <f>SUM(AA40:AA52)</f>
        <v>0</v>
      </c>
      <c r="AB54" s="24">
        <f>SUM(H54:AA54)</f>
        <v>56288143.020000003</v>
      </c>
      <c r="AC54" s="12" t="str">
        <f>IF(ABS(AB54-F54)&lt;1,"ok","err")</f>
        <v>ok</v>
      </c>
      <c r="AD54" s="15"/>
    </row>
    <row r="55" spans="1:30" x14ac:dyDescent="0.2">
      <c r="Q55" s="3"/>
      <c r="AC55" s="12"/>
      <c r="AD55" s="15"/>
    </row>
    <row r="56" spans="1:30" x14ac:dyDescent="0.2">
      <c r="B56" s="3" t="s">
        <v>723</v>
      </c>
      <c r="C56" s="3" t="s">
        <v>392</v>
      </c>
      <c r="F56" s="65">
        <f t="shared" ref="F56:M56" si="43">F35+F54</f>
        <v>56288143.019999996</v>
      </c>
      <c r="G56" s="65"/>
      <c r="H56" s="65">
        <f t="shared" si="43"/>
        <v>0</v>
      </c>
      <c r="I56" s="65">
        <f t="shared" si="43"/>
        <v>0</v>
      </c>
      <c r="J56" s="65"/>
      <c r="K56" s="65">
        <f t="shared" si="43"/>
        <v>0</v>
      </c>
      <c r="L56" s="65"/>
      <c r="M56" s="65">
        <f t="shared" si="43"/>
        <v>489306.13</v>
      </c>
      <c r="N56" s="65"/>
      <c r="O56" s="65">
        <f t="shared" ref="O56:AA56" si="44">O35+O54</f>
        <v>25025145.377026547</v>
      </c>
      <c r="P56" s="65">
        <f t="shared" si="44"/>
        <v>16802935.522973455</v>
      </c>
      <c r="Q56" s="65"/>
      <c r="R56" s="65">
        <f t="shared" si="44"/>
        <v>0</v>
      </c>
      <c r="S56" s="65">
        <f t="shared" si="44"/>
        <v>6324724.1100000003</v>
      </c>
      <c r="T56" s="65"/>
      <c r="U56" s="65">
        <f t="shared" si="44"/>
        <v>3817742.24</v>
      </c>
      <c r="V56" s="65"/>
      <c r="W56" s="65">
        <f t="shared" si="44"/>
        <v>3828289.64</v>
      </c>
      <c r="X56" s="65"/>
      <c r="Y56" s="65">
        <f t="shared" si="44"/>
        <v>0</v>
      </c>
      <c r="Z56" s="65"/>
      <c r="AA56" s="65">
        <f t="shared" si="44"/>
        <v>0</v>
      </c>
      <c r="AB56" s="24">
        <f>SUM(H56:AA56)</f>
        <v>56288143.020000003</v>
      </c>
      <c r="AC56" s="12" t="str">
        <f>IF(ABS(AB56-F56)&lt;1,"ok","err")</f>
        <v>ok</v>
      </c>
      <c r="AD56" s="15"/>
    </row>
    <row r="57" spans="1:30" x14ac:dyDescent="0.2">
      <c r="Q57" s="3"/>
      <c r="AC57" s="12"/>
    </row>
    <row r="58" spans="1:30" x14ac:dyDescent="0.2">
      <c r="B58" s="3" t="s">
        <v>756</v>
      </c>
      <c r="C58" s="3" t="s">
        <v>757</v>
      </c>
      <c r="F58" s="65">
        <f>F56+F24</f>
        <v>56288143.019999996</v>
      </c>
      <c r="H58" s="65">
        <f t="shared" ref="H58:Y58" si="45">H56+H24</f>
        <v>0</v>
      </c>
      <c r="I58" s="65">
        <f t="shared" si="45"/>
        <v>0</v>
      </c>
      <c r="J58" s="65"/>
      <c r="K58" s="65">
        <f t="shared" si="45"/>
        <v>0</v>
      </c>
      <c r="L58" s="65"/>
      <c r="M58" s="65">
        <f t="shared" si="45"/>
        <v>489306.13</v>
      </c>
      <c r="N58" s="65"/>
      <c r="O58" s="65">
        <f t="shared" si="45"/>
        <v>25025145.377026547</v>
      </c>
      <c r="P58" s="65">
        <f t="shared" si="45"/>
        <v>16802935.522973455</v>
      </c>
      <c r="Q58" s="65"/>
      <c r="R58" s="65">
        <f t="shared" si="45"/>
        <v>0</v>
      </c>
      <c r="S58" s="65">
        <f t="shared" si="45"/>
        <v>6324724.1100000003</v>
      </c>
      <c r="T58" s="65"/>
      <c r="U58" s="65">
        <f t="shared" si="45"/>
        <v>3817742.24</v>
      </c>
      <c r="V58" s="65"/>
      <c r="W58" s="65">
        <f t="shared" si="45"/>
        <v>3828289.64</v>
      </c>
      <c r="X58" s="65"/>
      <c r="Y58" s="65">
        <f t="shared" si="45"/>
        <v>0</v>
      </c>
      <c r="AA58" s="65">
        <f>AA56+AA24</f>
        <v>0</v>
      </c>
      <c r="AB58" s="24">
        <f>SUM(H58:AA58)</f>
        <v>56288143.020000003</v>
      </c>
      <c r="AC58" s="12" t="str">
        <f>IF(ABS(AB58-F58)&lt;1,"ok","err")</f>
        <v>ok</v>
      </c>
    </row>
    <row r="59" spans="1:30" x14ac:dyDescent="0.2">
      <c r="Q59" s="3"/>
      <c r="AC59" s="12"/>
    </row>
    <row r="60" spans="1:30" x14ac:dyDescent="0.2">
      <c r="A60" s="10" t="s">
        <v>365</v>
      </c>
      <c r="Q60" s="3"/>
      <c r="AC60" s="12"/>
    </row>
    <row r="61" spans="1:30" x14ac:dyDescent="0.2">
      <c r="Q61" s="3"/>
      <c r="AC61" s="12"/>
    </row>
    <row r="62" spans="1:30" x14ac:dyDescent="0.2">
      <c r="A62" s="10" t="s">
        <v>51</v>
      </c>
      <c r="Q62" s="3"/>
      <c r="AC62" s="12"/>
    </row>
    <row r="63" spans="1:30" x14ac:dyDescent="0.2">
      <c r="A63" s="66">
        <v>389</v>
      </c>
      <c r="B63" s="3" t="s">
        <v>17</v>
      </c>
      <c r="C63" s="3" t="s">
        <v>52</v>
      </c>
      <c r="D63" s="3" t="s">
        <v>392</v>
      </c>
      <c r="F63" s="41">
        <v>292419.25</v>
      </c>
      <c r="H63" s="24">
        <f t="shared" ref="H63:H73" si="46">IF(VLOOKUP($D63,$C$5:$AA$494,6,)=0,0,((VLOOKUP($D63,$C$5:$AA$494,6,)/VLOOKUP($D63,$C$5:$AA$494,4,))*$F63))</f>
        <v>0</v>
      </c>
      <c r="I63" s="24">
        <f t="shared" ref="I63:I73" si="47">IF(VLOOKUP($D63,$C$5:$AA$494,7,)=0,0,((VLOOKUP($D63,$C$5:$AA$494,7,)/VLOOKUP($D63,$C$5:$AA$494,4,))*$F63))</f>
        <v>0</v>
      </c>
      <c r="J63" s="24"/>
      <c r="K63" s="24">
        <f t="shared" ref="K63:K73" si="48">IF(VLOOKUP($D63,$C$5:$AA$494,9,)=0,0,((VLOOKUP($D63,$C$5:$AA$494,9,)/VLOOKUP($D63,$C$5:$AA$494,4,))*$F63))</f>
        <v>0</v>
      </c>
      <c r="L63" s="24"/>
      <c r="M63" s="24">
        <f t="shared" ref="M63:M73" si="49">IF(VLOOKUP($D63,$C$5:$AA$494,11,)=0,0,((VLOOKUP($D63,$C$5:$AA$494,11,)/VLOOKUP($D63,$C$5:$AA$494,4,))*$F63))</f>
        <v>2541.9657476382404</v>
      </c>
      <c r="N63" s="24"/>
      <c r="O63" s="24">
        <f t="shared" ref="O63:O73" si="50">IF(VLOOKUP($D63,$C$5:$AA$494,13,)=0,0,((VLOOKUP($D63,$C$5:$AA$494,13,)/VLOOKUP($D63,$C$5:$AA$494,4,))*$F63))</f>
        <v>130006.67369131252</v>
      </c>
      <c r="P63" s="24">
        <f t="shared" ref="P63:P73" si="51">IF(VLOOKUP($D63,$C$5:$AA$494,14,)=0,0,((VLOOKUP($D63,$C$5:$AA$494,14,)/VLOOKUP($D63,$C$5:$AA$494,4,))*$F63))</f>
        <v>87291.950663222582</v>
      </c>
      <c r="Q63" s="24"/>
      <c r="R63" s="24">
        <f t="shared" ref="R63:R73" si="52">IF(VLOOKUP($D63,$C$5:$AA$494,16,)=0,0,((VLOOKUP($D63,$C$5:$AA$494,16,)/VLOOKUP($D63,$C$5:$AA$494,4,))*$F63))</f>
        <v>0</v>
      </c>
      <c r="S63" s="24">
        <f t="shared" ref="S63:S73" si="53">IF(VLOOKUP($D63,$C$5:$AA$494,17,)=0,0,((VLOOKUP($D63,$C$5:$AA$494,17,)/VLOOKUP($D63,$C$5:$AA$494,4,))*$F63))</f>
        <v>32857.205469471141</v>
      </c>
      <c r="T63" s="24"/>
      <c r="U63" s="24">
        <f t="shared" ref="U63:U73" si="54">IF(VLOOKUP($D63,$C$5:$AA$494,19,)=0,0,((VLOOKUP($D63,$C$5:$AA$494,19,)/VLOOKUP($D63,$C$5:$AA$494,4,))*$F63))</f>
        <v>19833.330122783649</v>
      </c>
      <c r="V63" s="24"/>
      <c r="W63" s="24">
        <f t="shared" ref="W63:W73" si="55">IF(VLOOKUP($D63,$C$5:$AA$494,21,)=0,0,((VLOOKUP($D63,$C$5:$AA$494,21,)/VLOOKUP($D63,$C$5:$AA$494,4,))*$F63))</f>
        <v>19888.124305571917</v>
      </c>
      <c r="X63" s="24"/>
      <c r="Y63" s="24">
        <f t="shared" ref="Y63:Y73" si="56">IF(VLOOKUP($D63,$C$5:$AA$494,23,)=0,0,((VLOOKUP($D63,$C$5:$AA$494,23,)/VLOOKUP($D63,$C$5:$AA$494,4,))*$F63))</f>
        <v>0</v>
      </c>
      <c r="Z63" s="24"/>
      <c r="AA63" s="24">
        <f t="shared" ref="AA63:AA73" si="57">IF(VLOOKUP($D63,$C$5:$AA$494,25,)=0,0,((VLOOKUP($D63,$C$5:$AA$494,25,)/VLOOKUP($D63,$C$5:$AA$494,4,))*$F63))</f>
        <v>0</v>
      </c>
      <c r="AB63" s="24">
        <f>SUM(H63:AA63)</f>
        <v>292419.25</v>
      </c>
      <c r="AC63" s="12" t="str">
        <f>IF(ABS(AB63-F63)&lt;1,"ok","err")</f>
        <v>ok</v>
      </c>
    </row>
    <row r="64" spans="1:30" x14ac:dyDescent="0.2">
      <c r="A64" s="66">
        <v>390</v>
      </c>
      <c r="B64" s="3" t="s">
        <v>53</v>
      </c>
      <c r="C64" s="3" t="s">
        <v>54</v>
      </c>
      <c r="D64" s="3" t="s">
        <v>392</v>
      </c>
      <c r="F64" s="24">
        <v>3205150</v>
      </c>
      <c r="H64" s="24">
        <f t="shared" si="46"/>
        <v>0</v>
      </c>
      <c r="I64" s="24">
        <f t="shared" si="47"/>
        <v>0</v>
      </c>
      <c r="J64" s="24"/>
      <c r="K64" s="24">
        <f t="shared" si="48"/>
        <v>0</v>
      </c>
      <c r="L64" s="24"/>
      <c r="M64" s="24">
        <f t="shared" si="49"/>
        <v>27861.987595011975</v>
      </c>
      <c r="N64" s="24"/>
      <c r="O64" s="24">
        <f t="shared" si="50"/>
        <v>1424977.6311980498</v>
      </c>
      <c r="P64" s="24">
        <f t="shared" si="51"/>
        <v>956789.93660037033</v>
      </c>
      <c r="Q64" s="24"/>
      <c r="R64" s="24">
        <f t="shared" si="52"/>
        <v>0</v>
      </c>
      <c r="S64" s="24">
        <f t="shared" si="53"/>
        <v>360141.37957906473</v>
      </c>
      <c r="T64" s="24"/>
      <c r="U64" s="24">
        <f t="shared" si="54"/>
        <v>217389.23837278158</v>
      </c>
      <c r="V64" s="24"/>
      <c r="W64" s="24">
        <f t="shared" si="55"/>
        <v>217989.82665472201</v>
      </c>
      <c r="X64" s="24"/>
      <c r="Y64" s="24">
        <f t="shared" si="56"/>
        <v>0</v>
      </c>
      <c r="Z64" s="24"/>
      <c r="AA64" s="24">
        <f t="shared" si="57"/>
        <v>0</v>
      </c>
      <c r="AB64" s="24">
        <f t="shared" ref="AB64:AB73" si="58">SUM(H64:AA64)</f>
        <v>3205150.0000000009</v>
      </c>
      <c r="AC64" s="12" t="str">
        <f t="shared" ref="AC64:AC73" si="59">IF(ABS(AB64-F64)&lt;1,"ok","err")</f>
        <v>ok</v>
      </c>
    </row>
    <row r="65" spans="1:29" x14ac:dyDescent="0.2">
      <c r="A65" s="66">
        <v>391</v>
      </c>
      <c r="B65" s="3" t="s">
        <v>55</v>
      </c>
      <c r="C65" s="3" t="s">
        <v>56</v>
      </c>
      <c r="D65" s="3" t="s">
        <v>392</v>
      </c>
      <c r="F65" s="24">
        <v>605317.94999999995</v>
      </c>
      <c r="H65" s="24">
        <f t="shared" si="46"/>
        <v>0</v>
      </c>
      <c r="I65" s="24">
        <f t="shared" si="47"/>
        <v>0</v>
      </c>
      <c r="J65" s="24"/>
      <c r="K65" s="24">
        <f t="shared" si="48"/>
        <v>0</v>
      </c>
      <c r="L65" s="24"/>
      <c r="M65" s="24">
        <f t="shared" si="49"/>
        <v>5261.956917441642</v>
      </c>
      <c r="N65" s="24"/>
      <c r="O65" s="24">
        <f t="shared" si="50"/>
        <v>269118.30601146887</v>
      </c>
      <c r="P65" s="24">
        <f t="shared" si="51"/>
        <v>180697.35363510789</v>
      </c>
      <c r="Q65" s="24"/>
      <c r="R65" s="24">
        <f t="shared" si="52"/>
        <v>0</v>
      </c>
      <c r="S65" s="24">
        <f t="shared" si="53"/>
        <v>68015.550472511837</v>
      </c>
      <c r="T65" s="24"/>
      <c r="U65" s="24">
        <f t="shared" si="54"/>
        <v>41055.678556034341</v>
      </c>
      <c r="V65" s="24"/>
      <c r="W65" s="24">
        <f t="shared" si="55"/>
        <v>41169.104407435436</v>
      </c>
      <c r="X65" s="24"/>
      <c r="Y65" s="24">
        <f t="shared" si="56"/>
        <v>0</v>
      </c>
      <c r="Z65" s="24"/>
      <c r="AA65" s="24">
        <f t="shared" si="57"/>
        <v>0</v>
      </c>
      <c r="AB65" s="24">
        <f t="shared" si="58"/>
        <v>605317.95000000007</v>
      </c>
      <c r="AC65" s="12" t="str">
        <f t="shared" si="59"/>
        <v>ok</v>
      </c>
    </row>
    <row r="66" spans="1:29" x14ac:dyDescent="0.2">
      <c r="A66" s="66">
        <v>392</v>
      </c>
      <c r="B66" s="3" t="s">
        <v>57</v>
      </c>
      <c r="C66" s="3" t="s">
        <v>58</v>
      </c>
      <c r="D66" s="3" t="s">
        <v>392</v>
      </c>
      <c r="F66" s="24">
        <v>2315565.42</v>
      </c>
      <c r="H66" s="24">
        <f t="shared" si="46"/>
        <v>0</v>
      </c>
      <c r="I66" s="24">
        <f t="shared" si="47"/>
        <v>0</v>
      </c>
      <c r="J66" s="24"/>
      <c r="K66" s="24">
        <f t="shared" si="48"/>
        <v>0</v>
      </c>
      <c r="L66" s="24"/>
      <c r="M66" s="24">
        <f t="shared" si="49"/>
        <v>20128.934685577493</v>
      </c>
      <c r="N66" s="24"/>
      <c r="O66" s="24">
        <f t="shared" si="50"/>
        <v>1029477.2248024951</v>
      </c>
      <c r="P66" s="24">
        <f t="shared" si="51"/>
        <v>691234.32332209405</v>
      </c>
      <c r="Q66" s="24"/>
      <c r="R66" s="24">
        <f t="shared" si="52"/>
        <v>0</v>
      </c>
      <c r="S66" s="24">
        <f t="shared" si="53"/>
        <v>260184.67930186618</v>
      </c>
      <c r="T66" s="24"/>
      <c r="U66" s="24">
        <f t="shared" si="54"/>
        <v>157053.18099188808</v>
      </c>
      <c r="V66" s="24"/>
      <c r="W66" s="24">
        <f t="shared" si="55"/>
        <v>157487.07689607929</v>
      </c>
      <c r="X66" s="24"/>
      <c r="Y66" s="24">
        <f t="shared" si="56"/>
        <v>0</v>
      </c>
      <c r="Z66" s="24"/>
      <c r="AA66" s="24">
        <f t="shared" si="57"/>
        <v>0</v>
      </c>
      <c r="AB66" s="24">
        <f t="shared" si="58"/>
        <v>2315565.4200000004</v>
      </c>
      <c r="AC66" s="12" t="str">
        <f t="shared" si="59"/>
        <v>ok</v>
      </c>
    </row>
    <row r="67" spans="1:29" x14ac:dyDescent="0.2">
      <c r="A67" s="66">
        <v>393</v>
      </c>
      <c r="B67" s="3" t="s">
        <v>59</v>
      </c>
      <c r="C67" s="3" t="s">
        <v>60</v>
      </c>
      <c r="D67" s="3" t="s">
        <v>392</v>
      </c>
      <c r="F67" s="24">
        <v>0</v>
      </c>
      <c r="H67" s="24">
        <f t="shared" si="46"/>
        <v>0</v>
      </c>
      <c r="I67" s="24">
        <f t="shared" si="47"/>
        <v>0</v>
      </c>
      <c r="J67" s="24"/>
      <c r="K67" s="24">
        <f t="shared" si="48"/>
        <v>0</v>
      </c>
      <c r="L67" s="24"/>
      <c r="M67" s="24">
        <f t="shared" si="49"/>
        <v>0</v>
      </c>
      <c r="N67" s="24"/>
      <c r="O67" s="24">
        <f t="shared" si="50"/>
        <v>0</v>
      </c>
      <c r="P67" s="24">
        <f t="shared" si="51"/>
        <v>0</v>
      </c>
      <c r="Q67" s="24"/>
      <c r="R67" s="24">
        <f t="shared" si="52"/>
        <v>0</v>
      </c>
      <c r="S67" s="24">
        <f t="shared" si="53"/>
        <v>0</v>
      </c>
      <c r="T67" s="24"/>
      <c r="U67" s="24">
        <f t="shared" si="54"/>
        <v>0</v>
      </c>
      <c r="V67" s="24"/>
      <c r="W67" s="24">
        <f t="shared" si="55"/>
        <v>0</v>
      </c>
      <c r="X67" s="24"/>
      <c r="Y67" s="24">
        <f t="shared" si="56"/>
        <v>0</v>
      </c>
      <c r="Z67" s="24"/>
      <c r="AA67" s="24">
        <f t="shared" si="57"/>
        <v>0</v>
      </c>
      <c r="AB67" s="24">
        <f t="shared" si="58"/>
        <v>0</v>
      </c>
      <c r="AC67" s="12" t="str">
        <f t="shared" si="59"/>
        <v>ok</v>
      </c>
    </row>
    <row r="68" spans="1:29" x14ac:dyDescent="0.2">
      <c r="A68" s="66">
        <v>394</v>
      </c>
      <c r="B68" s="3" t="s">
        <v>61</v>
      </c>
      <c r="C68" s="3" t="s">
        <v>62</v>
      </c>
      <c r="D68" s="3" t="s">
        <v>392</v>
      </c>
      <c r="F68" s="24">
        <v>95789.72</v>
      </c>
      <c r="H68" s="24">
        <f t="shared" si="46"/>
        <v>0</v>
      </c>
      <c r="I68" s="24">
        <f t="shared" si="47"/>
        <v>0</v>
      </c>
      <c r="J68" s="24"/>
      <c r="K68" s="24">
        <f t="shared" si="48"/>
        <v>0</v>
      </c>
      <c r="L68" s="24"/>
      <c r="M68" s="24">
        <f t="shared" si="49"/>
        <v>832.68863871259396</v>
      </c>
      <c r="N68" s="24"/>
      <c r="O68" s="24">
        <f t="shared" si="50"/>
        <v>42587.151396572532</v>
      </c>
      <c r="P68" s="24">
        <f t="shared" si="51"/>
        <v>28594.805274563507</v>
      </c>
      <c r="Q68" s="24"/>
      <c r="R68" s="24">
        <f t="shared" si="52"/>
        <v>0</v>
      </c>
      <c r="S68" s="24">
        <f t="shared" si="53"/>
        <v>10763.253485887502</v>
      </c>
      <c r="T68" s="24"/>
      <c r="U68" s="24">
        <f t="shared" si="54"/>
        <v>6496.9359545550142</v>
      </c>
      <c r="V68" s="24"/>
      <c r="W68" s="24">
        <f t="shared" si="55"/>
        <v>6514.8852497088619</v>
      </c>
      <c r="X68" s="24"/>
      <c r="Y68" s="24">
        <f t="shared" si="56"/>
        <v>0</v>
      </c>
      <c r="Z68" s="24"/>
      <c r="AA68" s="24">
        <f t="shared" si="57"/>
        <v>0</v>
      </c>
      <c r="AB68" s="24">
        <f t="shared" si="58"/>
        <v>95789.72</v>
      </c>
      <c r="AC68" s="12" t="str">
        <f t="shared" si="59"/>
        <v>ok</v>
      </c>
    </row>
    <row r="69" spans="1:29" x14ac:dyDescent="0.2">
      <c r="A69" s="66">
        <v>395</v>
      </c>
      <c r="B69" s="3" t="s">
        <v>63</v>
      </c>
      <c r="C69" s="3" t="s">
        <v>64</v>
      </c>
      <c r="D69" s="3" t="s">
        <v>392</v>
      </c>
      <c r="F69" s="24">
        <v>193128.12</v>
      </c>
      <c r="H69" s="24">
        <f t="shared" si="46"/>
        <v>0</v>
      </c>
      <c r="I69" s="24">
        <f t="shared" si="47"/>
        <v>0</v>
      </c>
      <c r="J69" s="24"/>
      <c r="K69" s="24">
        <f t="shared" si="48"/>
        <v>0</v>
      </c>
      <c r="L69" s="24"/>
      <c r="M69" s="24">
        <f t="shared" si="49"/>
        <v>1678.8397684002259</v>
      </c>
      <c r="N69" s="24"/>
      <c r="O69" s="24">
        <f t="shared" si="50"/>
        <v>85862.830430816874</v>
      </c>
      <c r="P69" s="24">
        <f t="shared" si="51"/>
        <v>57651.91697441577</v>
      </c>
      <c r="Q69" s="24"/>
      <c r="R69" s="24">
        <f t="shared" si="52"/>
        <v>0</v>
      </c>
      <c r="S69" s="24">
        <f t="shared" si="53"/>
        <v>21700.521839012577</v>
      </c>
      <c r="T69" s="24"/>
      <c r="U69" s="24">
        <f t="shared" si="54"/>
        <v>13098.911100936668</v>
      </c>
      <c r="V69" s="24"/>
      <c r="W69" s="24">
        <f t="shared" si="55"/>
        <v>13135.099886417907</v>
      </c>
      <c r="X69" s="24"/>
      <c r="Y69" s="24">
        <f t="shared" si="56"/>
        <v>0</v>
      </c>
      <c r="Z69" s="24"/>
      <c r="AA69" s="24">
        <f t="shared" si="57"/>
        <v>0</v>
      </c>
      <c r="AB69" s="24">
        <f t="shared" si="58"/>
        <v>193128.12000000002</v>
      </c>
      <c r="AC69" s="12" t="str">
        <f t="shared" si="59"/>
        <v>ok</v>
      </c>
    </row>
    <row r="70" spans="1:29" x14ac:dyDescent="0.2">
      <c r="A70" s="66">
        <v>396</v>
      </c>
      <c r="B70" s="3" t="s">
        <v>65</v>
      </c>
      <c r="C70" s="3" t="s">
        <v>66</v>
      </c>
      <c r="D70" s="3" t="s">
        <v>392</v>
      </c>
      <c r="F70" s="24">
        <v>39197.32</v>
      </c>
      <c r="H70" s="24">
        <f t="shared" si="46"/>
        <v>0</v>
      </c>
      <c r="I70" s="24">
        <f t="shared" si="47"/>
        <v>0</v>
      </c>
      <c r="J70" s="24"/>
      <c r="K70" s="24">
        <f t="shared" si="48"/>
        <v>0</v>
      </c>
      <c r="L70" s="24"/>
      <c r="M70" s="24">
        <f t="shared" si="49"/>
        <v>340.73763898654192</v>
      </c>
      <c r="N70" s="24"/>
      <c r="O70" s="24">
        <f t="shared" si="50"/>
        <v>17426.73640950094</v>
      </c>
      <c r="P70" s="24">
        <f t="shared" si="51"/>
        <v>11701.044044024282</v>
      </c>
      <c r="Q70" s="24"/>
      <c r="R70" s="24">
        <f t="shared" si="52"/>
        <v>0</v>
      </c>
      <c r="S70" s="24">
        <f t="shared" si="53"/>
        <v>4404.3420434619493</v>
      </c>
      <c r="T70" s="24"/>
      <c r="U70" s="24">
        <f t="shared" si="54"/>
        <v>2658.5574906179736</v>
      </c>
      <c r="V70" s="24"/>
      <c r="W70" s="24">
        <f t="shared" si="55"/>
        <v>2665.9023734083175</v>
      </c>
      <c r="X70" s="24"/>
      <c r="Y70" s="24">
        <f t="shared" si="56"/>
        <v>0</v>
      </c>
      <c r="Z70" s="24"/>
      <c r="AA70" s="24">
        <f t="shared" si="57"/>
        <v>0</v>
      </c>
      <c r="AB70" s="24">
        <f t="shared" si="58"/>
        <v>39197.320000000007</v>
      </c>
      <c r="AC70" s="12" t="str">
        <f t="shared" si="59"/>
        <v>ok</v>
      </c>
    </row>
    <row r="71" spans="1:29" x14ac:dyDescent="0.2">
      <c r="A71" s="66">
        <v>397</v>
      </c>
      <c r="B71" s="3" t="s">
        <v>67</v>
      </c>
      <c r="C71" s="3" t="s">
        <v>68</v>
      </c>
      <c r="D71" s="3" t="s">
        <v>392</v>
      </c>
      <c r="F71" s="24">
        <v>105263.92</v>
      </c>
      <c r="H71" s="24">
        <f t="shared" si="46"/>
        <v>0</v>
      </c>
      <c r="I71" s="24">
        <f t="shared" si="47"/>
        <v>0</v>
      </c>
      <c r="J71" s="24"/>
      <c r="K71" s="24">
        <f t="shared" si="48"/>
        <v>0</v>
      </c>
      <c r="L71" s="24"/>
      <c r="M71" s="24">
        <f t="shared" si="49"/>
        <v>915.04673205382994</v>
      </c>
      <c r="N71" s="24"/>
      <c r="O71" s="24">
        <f t="shared" si="50"/>
        <v>46799.285952988474</v>
      </c>
      <c r="P71" s="24">
        <f t="shared" si="51"/>
        <v>31423.00963858367</v>
      </c>
      <c r="Q71" s="24"/>
      <c r="R71" s="24">
        <f t="shared" si="52"/>
        <v>0</v>
      </c>
      <c r="S71" s="24">
        <f t="shared" si="53"/>
        <v>11827.806301951641</v>
      </c>
      <c r="T71" s="24"/>
      <c r="U71" s="24">
        <f t="shared" si="54"/>
        <v>7139.5233910841644</v>
      </c>
      <c r="V71" s="24"/>
      <c r="W71" s="24">
        <f t="shared" si="55"/>
        <v>7159.2479833382295</v>
      </c>
      <c r="X71" s="24"/>
      <c r="Y71" s="24">
        <f t="shared" si="56"/>
        <v>0</v>
      </c>
      <c r="Z71" s="24"/>
      <c r="AA71" s="24">
        <f t="shared" si="57"/>
        <v>0</v>
      </c>
      <c r="AB71" s="24">
        <f t="shared" si="58"/>
        <v>105263.92</v>
      </c>
      <c r="AC71" s="12" t="str">
        <f t="shared" si="59"/>
        <v>ok</v>
      </c>
    </row>
    <row r="72" spans="1:29" x14ac:dyDescent="0.2">
      <c r="A72" s="66">
        <v>398</v>
      </c>
      <c r="B72" s="3" t="s">
        <v>361</v>
      </c>
      <c r="C72" s="3" t="s">
        <v>362</v>
      </c>
      <c r="D72" s="3" t="s">
        <v>392</v>
      </c>
      <c r="F72" s="24">
        <v>79182.11</v>
      </c>
      <c r="H72" s="24">
        <f t="shared" si="46"/>
        <v>0</v>
      </c>
      <c r="I72" s="24">
        <f t="shared" si="47"/>
        <v>0</v>
      </c>
      <c r="J72" s="24"/>
      <c r="K72" s="24">
        <f t="shared" si="48"/>
        <v>0</v>
      </c>
      <c r="L72" s="24"/>
      <c r="M72" s="24">
        <f t="shared" si="49"/>
        <v>688.32066098836992</v>
      </c>
      <c r="N72" s="24"/>
      <c r="O72" s="24">
        <f t="shared" si="50"/>
        <v>35203.574104507876</v>
      </c>
      <c r="P72" s="24">
        <f t="shared" si="51"/>
        <v>23637.160821422884</v>
      </c>
      <c r="Q72" s="24"/>
      <c r="R72" s="24">
        <f t="shared" si="52"/>
        <v>0</v>
      </c>
      <c r="S72" s="24">
        <f t="shared" si="53"/>
        <v>8897.1668512803644</v>
      </c>
      <c r="T72" s="24"/>
      <c r="U72" s="24">
        <f t="shared" si="54"/>
        <v>5370.525119151931</v>
      </c>
      <c r="V72" s="24"/>
      <c r="W72" s="24">
        <f t="shared" si="55"/>
        <v>5385.3624426485912</v>
      </c>
      <c r="X72" s="24"/>
      <c r="Y72" s="24">
        <f t="shared" si="56"/>
        <v>0</v>
      </c>
      <c r="Z72" s="24"/>
      <c r="AA72" s="24">
        <f t="shared" si="57"/>
        <v>0</v>
      </c>
      <c r="AB72" s="24">
        <f t="shared" si="58"/>
        <v>79182.110000000015</v>
      </c>
      <c r="AC72" s="12" t="str">
        <f t="shared" si="59"/>
        <v>ok</v>
      </c>
    </row>
    <row r="73" spans="1:29" x14ac:dyDescent="0.2">
      <c r="A73" s="66">
        <v>399</v>
      </c>
      <c r="B73" s="3" t="s">
        <v>584</v>
      </c>
      <c r="C73" s="3" t="s">
        <v>585</v>
      </c>
      <c r="D73" s="3" t="s">
        <v>392</v>
      </c>
      <c r="F73" s="24">
        <v>0</v>
      </c>
      <c r="H73" s="24">
        <f t="shared" si="46"/>
        <v>0</v>
      </c>
      <c r="I73" s="24">
        <f t="shared" si="47"/>
        <v>0</v>
      </c>
      <c r="J73" s="24"/>
      <c r="K73" s="24">
        <f t="shared" si="48"/>
        <v>0</v>
      </c>
      <c r="L73" s="24"/>
      <c r="M73" s="24">
        <f t="shared" si="49"/>
        <v>0</v>
      </c>
      <c r="N73" s="24"/>
      <c r="O73" s="24">
        <f t="shared" si="50"/>
        <v>0</v>
      </c>
      <c r="P73" s="24">
        <f t="shared" si="51"/>
        <v>0</v>
      </c>
      <c r="Q73" s="24"/>
      <c r="R73" s="24">
        <f t="shared" si="52"/>
        <v>0</v>
      </c>
      <c r="S73" s="24">
        <f t="shared" si="53"/>
        <v>0</v>
      </c>
      <c r="T73" s="24"/>
      <c r="U73" s="24">
        <f t="shared" si="54"/>
        <v>0</v>
      </c>
      <c r="V73" s="24"/>
      <c r="W73" s="24">
        <f t="shared" si="55"/>
        <v>0</v>
      </c>
      <c r="X73" s="24"/>
      <c r="Y73" s="24">
        <f t="shared" si="56"/>
        <v>0</v>
      </c>
      <c r="Z73" s="24"/>
      <c r="AA73" s="24">
        <f t="shared" si="57"/>
        <v>0</v>
      </c>
      <c r="AB73" s="24">
        <f t="shared" si="58"/>
        <v>0</v>
      </c>
      <c r="AC73" s="12" t="str">
        <f t="shared" si="59"/>
        <v>ok</v>
      </c>
    </row>
    <row r="74" spans="1:29" x14ac:dyDescent="0.2">
      <c r="Q74" s="3"/>
      <c r="AB74" s="24"/>
      <c r="AC74" s="12"/>
    </row>
    <row r="75" spans="1:29" x14ac:dyDescent="0.2">
      <c r="B75" s="3" t="s">
        <v>69</v>
      </c>
      <c r="C75" s="3" t="s">
        <v>70</v>
      </c>
      <c r="F75" s="41">
        <f>SUM(F63:F74)</f>
        <v>6931013.8100000005</v>
      </c>
      <c r="H75" s="41">
        <f t="shared" ref="H75:W75" si="60">SUM(H63:H74)</f>
        <v>0</v>
      </c>
      <c r="I75" s="41">
        <f t="shared" si="60"/>
        <v>0</v>
      </c>
      <c r="J75" s="41"/>
      <c r="K75" s="41">
        <f>SUM(K63:K74)</f>
        <v>0</v>
      </c>
      <c r="L75" s="41"/>
      <c r="M75" s="41">
        <f t="shared" si="60"/>
        <v>60250.478384810907</v>
      </c>
      <c r="N75" s="41"/>
      <c r="O75" s="41">
        <f t="shared" si="60"/>
        <v>3081459.4139977135</v>
      </c>
      <c r="P75" s="41">
        <f t="shared" si="60"/>
        <v>2069021.5009738053</v>
      </c>
      <c r="Q75" s="41"/>
      <c r="R75" s="41">
        <f t="shared" si="60"/>
        <v>0</v>
      </c>
      <c r="S75" s="41">
        <f t="shared" si="60"/>
        <v>778791.90534450801</v>
      </c>
      <c r="T75" s="41"/>
      <c r="U75" s="41">
        <f t="shared" si="60"/>
        <v>470095.88109983329</v>
      </c>
      <c r="V75" s="41"/>
      <c r="W75" s="41">
        <f t="shared" si="60"/>
        <v>471394.63019933063</v>
      </c>
      <c r="X75" s="41"/>
      <c r="Y75" s="41">
        <f>SUM(Y63:Y74)</f>
        <v>0</v>
      </c>
      <c r="Z75" s="41"/>
      <c r="AA75" s="41">
        <f>SUM(AA63:AA74)</f>
        <v>0</v>
      </c>
      <c r="AB75" s="24">
        <f>SUM(H75:AA75)</f>
        <v>6931013.8100000015</v>
      </c>
      <c r="AC75" s="12" t="str">
        <f>IF(ABS(AB75-F75)&lt;1,"ok","err")</f>
        <v>ok</v>
      </c>
    </row>
    <row r="76" spans="1:29" x14ac:dyDescent="0.2">
      <c r="Q76" s="3"/>
      <c r="AB76" s="24"/>
      <c r="AC76" s="12"/>
    </row>
    <row r="77" spans="1:29" hidden="1" x14ac:dyDescent="0.2">
      <c r="A77" s="64">
        <v>106</v>
      </c>
      <c r="B77" s="3" t="s">
        <v>363</v>
      </c>
      <c r="C77" s="3" t="s">
        <v>364</v>
      </c>
      <c r="D77" s="3" t="s">
        <v>392</v>
      </c>
      <c r="F77" s="41">
        <v>0</v>
      </c>
      <c r="H77" s="24">
        <f>IF(VLOOKUP($D77,$C$5:$AA$494,6,)=0,0,((VLOOKUP($D77,$C$5:$AA$494,6,)/VLOOKUP($D77,$C$5:$AA$494,4,))*$F77))</f>
        <v>0</v>
      </c>
      <c r="I77" s="24">
        <f>IF(VLOOKUP($D77,$C$5:$AA$494,7,)=0,0,((VLOOKUP($D77,$C$5:$AA$494,7,)/VLOOKUP($D77,$C$5:$AA$494,4,))*$F77))</f>
        <v>0</v>
      </c>
      <c r="J77" s="24"/>
      <c r="K77" s="24">
        <f>IF(VLOOKUP($D77,$C$5:$AA$494,9,)=0,0,((VLOOKUP($D77,$C$5:$AA$494,9,)/VLOOKUP($D77,$C$5:$AA$494,4,))*$F77))</f>
        <v>0</v>
      </c>
      <c r="L77" s="24"/>
      <c r="M77" s="24">
        <f>IF(VLOOKUP($D77,$C$5:$AA$494,11,)=0,0,((VLOOKUP($D77,$C$5:$AA$494,11,)/VLOOKUP($D77,$C$5:$AA$494,4,))*$F77))</f>
        <v>0</v>
      </c>
      <c r="N77" s="24"/>
      <c r="O77" s="24">
        <f>IF(VLOOKUP($D77,$C$5:$AA$494,13,)=0,0,((VLOOKUP($D77,$C$5:$AA$494,13,)/VLOOKUP($D77,$C$5:$AA$494,4,))*$F77))</f>
        <v>0</v>
      </c>
      <c r="P77" s="24">
        <f>IF(VLOOKUP($D77,$C$5:$AA$494,14,)=0,0,((VLOOKUP($D77,$C$5:$AA$494,14,)/VLOOKUP($D77,$C$5:$AA$494,4,))*$F77))</f>
        <v>0</v>
      </c>
      <c r="Q77" s="24"/>
      <c r="R77" s="24">
        <f>IF(VLOOKUP($D77,$C$5:$AA$494,16,)=0,0,((VLOOKUP($D77,$C$5:$AA$494,16,)/VLOOKUP($D77,$C$5:$AA$494,4,))*$F77))</f>
        <v>0</v>
      </c>
      <c r="S77" s="24">
        <f>IF(VLOOKUP($D77,$C$5:$AA$494,17,)=0,0,((VLOOKUP($D77,$C$5:$AA$494,17,)/VLOOKUP($D77,$C$5:$AA$494,4,))*$F77))</f>
        <v>0</v>
      </c>
      <c r="T77" s="24"/>
      <c r="U77" s="24">
        <f>IF(VLOOKUP($D77,$C$5:$AA$494,19,)=0,0,((VLOOKUP($D77,$C$5:$AA$494,19,)/VLOOKUP($D77,$C$5:$AA$494,4,))*$F77))</f>
        <v>0</v>
      </c>
      <c r="V77" s="24"/>
      <c r="W77" s="24">
        <f>IF(VLOOKUP($D77,$C$5:$AA$494,21,)=0,0,((VLOOKUP($D77,$C$5:$AA$494,21,)/VLOOKUP($D77,$C$5:$AA$494,4,))*$F77))</f>
        <v>0</v>
      </c>
      <c r="X77" s="24"/>
      <c r="Y77" s="24">
        <f>IF(VLOOKUP($D77,$C$5:$AA$494,23,)=0,0,((VLOOKUP($D77,$C$5:$AA$494,23,)/VLOOKUP($D77,$C$5:$AA$494,4,))*$F77))</f>
        <v>0</v>
      </c>
      <c r="Z77" s="24"/>
      <c r="AA77" s="24">
        <f>IF(VLOOKUP($D77,$C$5:$AA$494,25,)=0,0,((VLOOKUP($D77,$C$5:$AA$494,25,)/VLOOKUP($D77,$C$5:$AA$494,4,))*$F77))</f>
        <v>0</v>
      </c>
      <c r="AB77" s="24">
        <f>SUM(H77:AA77)</f>
        <v>0</v>
      </c>
      <c r="AC77" s="12" t="str">
        <f>IF(ABS(AB77-F77)&lt;1,"ok","err")</f>
        <v>ok</v>
      </c>
    </row>
    <row r="78" spans="1:29" hidden="1" x14ac:dyDescent="0.2">
      <c r="A78" s="64">
        <v>102</v>
      </c>
      <c r="B78" s="3" t="s">
        <v>704</v>
      </c>
      <c r="C78" s="3" t="s">
        <v>705</v>
      </c>
      <c r="D78" s="3" t="s">
        <v>16</v>
      </c>
      <c r="F78" s="41">
        <v>0</v>
      </c>
      <c r="H78" s="24">
        <f>IF(VLOOKUP($D78,$C$5:$AA$494,6,)=0,0,((VLOOKUP($D78,$C$5:$AA$494,6,)/VLOOKUP($D78,$C$5:$AA$494,4,))*$F78))</f>
        <v>0</v>
      </c>
      <c r="I78" s="24">
        <f>IF(VLOOKUP($D78,$C$5:$AA$494,7,)=0,0,((VLOOKUP($D78,$C$5:$AA$494,7,)/VLOOKUP($D78,$C$5:$AA$494,4,))*$F78))</f>
        <v>0</v>
      </c>
      <c r="J78" s="24"/>
      <c r="K78" s="24">
        <f>IF(VLOOKUP($D78,$C$5:$AA$494,9,)=0,0,((VLOOKUP($D78,$C$5:$AA$494,9,)/VLOOKUP($D78,$C$5:$AA$494,4,))*$F78))</f>
        <v>0</v>
      </c>
      <c r="L78" s="24"/>
      <c r="M78" s="24">
        <f>IF(VLOOKUP($D78,$C$5:$AA$494,11,)=0,0,((VLOOKUP($D78,$C$5:$AA$494,11,)/VLOOKUP($D78,$C$5:$AA$494,4,))*$F78))</f>
        <v>0</v>
      </c>
      <c r="N78" s="24"/>
      <c r="O78" s="24">
        <f>IF(VLOOKUP($D78,$C$5:$AA$494,13,)=0,0,((VLOOKUP($D78,$C$5:$AA$494,13,)/VLOOKUP($D78,$C$5:$AA$494,4,))*$F78))</f>
        <v>0</v>
      </c>
      <c r="P78" s="24">
        <f>IF(VLOOKUP($D78,$C$5:$AA$494,14,)=0,0,((VLOOKUP($D78,$C$5:$AA$494,14,)/VLOOKUP($D78,$C$5:$AA$494,4,))*$F78))</f>
        <v>0</v>
      </c>
      <c r="Q78" s="24"/>
      <c r="R78" s="24">
        <f>IF(VLOOKUP($D78,$C$5:$AA$494,16,)=0,0,((VLOOKUP($D78,$C$5:$AA$494,16,)/VLOOKUP($D78,$C$5:$AA$494,4,))*$F78))</f>
        <v>0</v>
      </c>
      <c r="S78" s="24">
        <f>IF(VLOOKUP($D78,$C$5:$AA$494,17,)=0,0,((VLOOKUP($D78,$C$5:$AA$494,17,)/VLOOKUP($D78,$C$5:$AA$494,4,))*$F78))</f>
        <v>0</v>
      </c>
      <c r="T78" s="24"/>
      <c r="U78" s="24">
        <f>IF(VLOOKUP($D78,$C$5:$AA$494,19,)=0,0,((VLOOKUP($D78,$C$5:$AA$494,19,)/VLOOKUP($D78,$C$5:$AA$494,4,))*$F78))</f>
        <v>0</v>
      </c>
      <c r="V78" s="24"/>
      <c r="W78" s="24">
        <f>IF(VLOOKUP($D78,$C$5:$AA$494,21,)=0,0,((VLOOKUP($D78,$C$5:$AA$494,21,)/VLOOKUP($D78,$C$5:$AA$494,4,))*$F78))</f>
        <v>0</v>
      </c>
      <c r="X78" s="24"/>
      <c r="Y78" s="24">
        <f>IF(VLOOKUP($D78,$C$5:$AA$494,23,)=0,0,((VLOOKUP($D78,$C$5:$AA$494,23,)/VLOOKUP($D78,$C$5:$AA$494,4,))*$F78))</f>
        <v>0</v>
      </c>
      <c r="Z78" s="24"/>
      <c r="AA78" s="24">
        <f>IF(VLOOKUP($D78,$C$5:$AA$494,25,)=0,0,((VLOOKUP($D78,$C$5:$AA$494,25,)/VLOOKUP($D78,$C$5:$AA$494,4,))*$F78))</f>
        <v>0</v>
      </c>
      <c r="AB78" s="24">
        <f>SUM(H78:AA78)</f>
        <v>0</v>
      </c>
      <c r="AC78" s="12" t="str">
        <f>IF(ABS(AB78-F78)&lt;1,"ok","err")</f>
        <v>ok</v>
      </c>
    </row>
    <row r="79" spans="1:29" hidden="1" x14ac:dyDescent="0.2">
      <c r="Q79" s="3"/>
      <c r="AB79" s="24"/>
      <c r="AC79" s="12"/>
    </row>
    <row r="80" spans="1:29" hidden="1" x14ac:dyDescent="0.2">
      <c r="A80" s="64">
        <v>114</v>
      </c>
      <c r="B80" s="3" t="s">
        <v>802</v>
      </c>
      <c r="D80" s="3" t="s">
        <v>754</v>
      </c>
      <c r="F80" s="41">
        <v>0</v>
      </c>
      <c r="H80" s="24">
        <f>IF(VLOOKUP($D80,$C$5:$AA$494,6,)=0,0,((VLOOKUP($D80,$C$5:$AA$494,6,)/VLOOKUP($D80,$C$5:$AA$494,4,))*$F80))</f>
        <v>0</v>
      </c>
      <c r="I80" s="24">
        <f>IF(VLOOKUP($D80,$C$5:$AA$494,7,)=0,0,((VLOOKUP($D80,$C$5:$AA$494,7,)/VLOOKUP($D80,$C$5:$AA$494,4,))*$F80))</f>
        <v>0</v>
      </c>
      <c r="J80" s="24"/>
      <c r="K80" s="24">
        <f>IF(VLOOKUP($D80,$C$5:$AA$494,9,)=0,0,((VLOOKUP($D80,$C$5:$AA$494,9,)/VLOOKUP($D80,$C$5:$AA$494,4,))*$F80))</f>
        <v>0</v>
      </c>
      <c r="L80" s="24"/>
      <c r="M80" s="24">
        <f>IF(VLOOKUP($D80,$C$5:$AA$494,11,)=0,0,((VLOOKUP($D80,$C$5:$AA$494,11,)/VLOOKUP($D80,$C$5:$AA$494,4,))*$F80))</f>
        <v>0</v>
      </c>
      <c r="N80" s="24"/>
      <c r="O80" s="24">
        <f>IF(VLOOKUP($D80,$C$5:$AA$494,13,)=0,0,((VLOOKUP($D80,$C$5:$AA$494,13,)/VLOOKUP($D80,$C$5:$AA$494,4,))*$F80))</f>
        <v>0</v>
      </c>
      <c r="P80" s="24">
        <f>IF(VLOOKUP($D80,$C$5:$AA$494,14,)=0,0,((VLOOKUP($D80,$C$5:$AA$494,14,)/VLOOKUP($D80,$C$5:$AA$494,4,))*$F80))</f>
        <v>0</v>
      </c>
      <c r="Q80" s="24"/>
      <c r="R80" s="24">
        <f>IF(VLOOKUP($D80,$C$5:$AA$494,16,)=0,0,((VLOOKUP($D80,$C$5:$AA$494,16,)/VLOOKUP($D80,$C$5:$AA$494,4,))*$F80))</f>
        <v>0</v>
      </c>
      <c r="S80" s="24">
        <f>IF(VLOOKUP($D80,$C$5:$AA$494,17,)=0,0,((VLOOKUP($D80,$C$5:$AA$494,17,)/VLOOKUP($D80,$C$5:$AA$494,4,))*$F80))</f>
        <v>0</v>
      </c>
      <c r="T80" s="24"/>
      <c r="U80" s="24">
        <f>IF(VLOOKUP($D80,$C$5:$AA$494,19,)=0,0,((VLOOKUP($D80,$C$5:$AA$494,19,)/VLOOKUP($D80,$C$5:$AA$494,4,))*$F80))</f>
        <v>0</v>
      </c>
      <c r="V80" s="24"/>
      <c r="W80" s="24">
        <f>IF(VLOOKUP($D80,$C$5:$AA$494,21,)=0,0,((VLOOKUP($D80,$C$5:$AA$494,21,)/VLOOKUP($D80,$C$5:$AA$494,4,))*$F80))</f>
        <v>0</v>
      </c>
      <c r="X80" s="24"/>
      <c r="Y80" s="24">
        <f>IF(VLOOKUP($D80,$C$5:$AA$494,23,)=0,0,((VLOOKUP($D80,$C$5:$AA$494,23,)/VLOOKUP($D80,$C$5:$AA$494,4,))*$F80))</f>
        <v>0</v>
      </c>
      <c r="Z80" s="24"/>
      <c r="AA80" s="24">
        <f>IF(VLOOKUP($D80,$C$5:$AA$494,25,)=0,0,((VLOOKUP($D80,$C$5:$AA$494,25,)/VLOOKUP($D80,$C$5:$AA$494,4,))*$F80))</f>
        <v>0</v>
      </c>
      <c r="AB80" s="24">
        <f>SUM(H80:AA80)</f>
        <v>0</v>
      </c>
      <c r="AC80" s="12" t="str">
        <f>IF(ABS(AB80-F80)&lt;1,"ok","err")</f>
        <v>ok</v>
      </c>
    </row>
    <row r="81" spans="1:29" hidden="1" x14ac:dyDescent="0.2">
      <c r="Q81" s="3"/>
      <c r="AB81" s="24"/>
      <c r="AC81" s="12"/>
    </row>
    <row r="82" spans="1:29" x14ac:dyDescent="0.2">
      <c r="B82" s="3" t="s">
        <v>71</v>
      </c>
      <c r="C82" s="3" t="s">
        <v>72</v>
      </c>
      <c r="F82" s="65">
        <f>F12+F24+F35+F54+F75+F77+F78+F80</f>
        <v>63219156.829999998</v>
      </c>
      <c r="H82" s="65">
        <f>H12+H24+H35+H54+H75+H77+H78+H80</f>
        <v>0</v>
      </c>
      <c r="I82" s="65">
        <f>I12+I24+I35+I54+I75+I77+I78+I80</f>
        <v>0</v>
      </c>
      <c r="J82" s="65"/>
      <c r="K82" s="65">
        <f>K12+K24+K35+K54+K75+K77+K78+K80</f>
        <v>0</v>
      </c>
      <c r="L82" s="65"/>
      <c r="M82" s="65">
        <f>M12+M24+M35+M54+M75+M77+M78+M80</f>
        <v>549556.60838481085</v>
      </c>
      <c r="N82" s="65"/>
      <c r="O82" s="65">
        <f>O12+O24+O35+O54+O75+O77+O78+O80</f>
        <v>28106604.79102426</v>
      </c>
      <c r="P82" s="65">
        <f>P12+P24+P35+P54+P75+P77+P78+P80</f>
        <v>18871957.023947261</v>
      </c>
      <c r="Q82" s="65"/>
      <c r="R82" s="65">
        <f>R12+R24+R35+R54+R75+R77+R78+R80</f>
        <v>0</v>
      </c>
      <c r="S82" s="65">
        <f>S12+S24+S35+S54+S75+S77+S78+S80</f>
        <v>7103516.015344508</v>
      </c>
      <c r="T82" s="65"/>
      <c r="U82" s="65">
        <f>U12+U24+U35+U54+U75+U77+U78+U80</f>
        <v>4287838.1210998334</v>
      </c>
      <c r="V82" s="65"/>
      <c r="W82" s="65">
        <f>W12+W24+W35+W54+W75+W77+W78+W80</f>
        <v>4299684.2701993305</v>
      </c>
      <c r="X82" s="65"/>
      <c r="Y82" s="65">
        <f>Y12+Y24+Y35+Y54+Y75+Y77+Y78+Y80</f>
        <v>0</v>
      </c>
      <c r="Z82" s="65"/>
      <c r="AA82" s="65">
        <f>AA12+AA24+AA35+AA54+AA75+AA77+AA78+AA80</f>
        <v>0</v>
      </c>
      <c r="AB82" s="24">
        <f>SUM(H82:AA82)</f>
        <v>63219156.829999998</v>
      </c>
      <c r="AC82" s="12" t="str">
        <f>IF(ABS(AB82-F82)&lt;1,"ok","err")</f>
        <v>ok</v>
      </c>
    </row>
    <row r="83" spans="1:29" x14ac:dyDescent="0.2">
      <c r="AC83" s="12"/>
    </row>
    <row r="84" spans="1:29" x14ac:dyDescent="0.2">
      <c r="A84" s="10" t="s">
        <v>73</v>
      </c>
      <c r="AC84" s="12"/>
    </row>
    <row r="85" spans="1:29" x14ac:dyDescent="0.2">
      <c r="B85" s="3" t="s">
        <v>759</v>
      </c>
      <c r="C85" s="3" t="s">
        <v>553</v>
      </c>
      <c r="D85" s="3" t="s">
        <v>754</v>
      </c>
      <c r="F85" s="41">
        <v>0</v>
      </c>
      <c r="H85" s="24">
        <f>IF(VLOOKUP($D85,$C$5:$AA$494,6,)=0,0,((VLOOKUP($D85,$C$5:$AA$494,6,)/VLOOKUP($D85,$C$5:$AA$494,4,))*$F85))</f>
        <v>0</v>
      </c>
      <c r="I85" s="24">
        <f>IF(VLOOKUP($D85,$C$5:$AA$494,7,)=0,0,((VLOOKUP($D85,$C$5:$AA$494,7,)/VLOOKUP($D85,$C$5:$AA$494,4,))*$F85))</f>
        <v>0</v>
      </c>
      <c r="J85" s="24"/>
      <c r="K85" s="24">
        <f>IF(VLOOKUP($D85,$C$5:$AA$494,9,)=0,0,((VLOOKUP($D85,$C$5:$AA$494,9,)/VLOOKUP($D85,$C$5:$AA$494,4,))*$F85))</f>
        <v>0</v>
      </c>
      <c r="L85" s="24"/>
      <c r="M85" s="24">
        <f>IF(VLOOKUP($D85,$C$5:$AA$494,11,)=0,0,((VLOOKUP($D85,$C$5:$AA$494,11,)/VLOOKUP($D85,$C$5:$AA$494,4,))*$F85))</f>
        <v>0</v>
      </c>
      <c r="N85" s="24"/>
      <c r="O85" s="24">
        <f>IF(VLOOKUP($D85,$C$5:$AA$494,13,)=0,0,((VLOOKUP($D85,$C$5:$AA$494,13,)/VLOOKUP($D85,$C$5:$AA$494,4,))*$F85))</f>
        <v>0</v>
      </c>
      <c r="P85" s="24">
        <f>IF(VLOOKUP($D85,$C$5:$AA$494,14,)=0,0,((VLOOKUP($D85,$C$5:$AA$494,14,)/VLOOKUP($D85,$C$5:$AA$494,4,))*$F85))</f>
        <v>0</v>
      </c>
      <c r="Q85" s="24"/>
      <c r="R85" s="24">
        <f>IF(VLOOKUP($D85,$C$5:$AA$494,16,)=0,0,((VLOOKUP($D85,$C$5:$AA$494,16,)/VLOOKUP($D85,$C$5:$AA$494,4,))*$F85))</f>
        <v>0</v>
      </c>
      <c r="S85" s="24">
        <f>IF(VLOOKUP($D85,$C$5:$AA$494,17,)=0,0,((VLOOKUP($D85,$C$5:$AA$494,17,)/VLOOKUP($D85,$C$5:$AA$494,4,))*$F85))</f>
        <v>0</v>
      </c>
      <c r="T85" s="24"/>
      <c r="U85" s="24">
        <f>IF(VLOOKUP($D85,$C$5:$AA$494,19,)=0,0,((VLOOKUP($D85,$C$5:$AA$494,19,)/VLOOKUP($D85,$C$5:$AA$494,4,))*$F85))</f>
        <v>0</v>
      </c>
      <c r="V85" s="24"/>
      <c r="W85" s="24">
        <f>IF(VLOOKUP($D85,$C$5:$AA$494,21,)=0,0,((VLOOKUP($D85,$C$5:$AA$494,21,)/VLOOKUP($D85,$C$5:$AA$494,4,))*$F85))</f>
        <v>0</v>
      </c>
      <c r="X85" s="24"/>
      <c r="Y85" s="24">
        <f>IF(VLOOKUP($D85,$C$5:$AA$494,23,)=0,0,((VLOOKUP($D85,$C$5:$AA$494,23,)/VLOOKUP($D85,$C$5:$AA$494,4,))*$F85))</f>
        <v>0</v>
      </c>
      <c r="Z85" s="24"/>
      <c r="AA85" s="24">
        <f>IF(VLOOKUP($D85,$C$5:$AA$494,25,)=0,0,((VLOOKUP($D85,$C$5:$AA$494,25,)/VLOOKUP($D85,$C$5:$AA$494,4,))*$F85))</f>
        <v>0</v>
      </c>
      <c r="AB85" s="24">
        <f>SUM(H85:AA85)</f>
        <v>0</v>
      </c>
      <c r="AC85" s="12" t="str">
        <f>IF(ABS(AB85-F85)&lt;1,"ok","err")</f>
        <v>ok</v>
      </c>
    </row>
    <row r="86" spans="1:29" x14ac:dyDescent="0.2">
      <c r="B86" s="3" t="s">
        <v>425</v>
      </c>
      <c r="C86" s="3" t="s">
        <v>554</v>
      </c>
      <c r="D86" s="3" t="s">
        <v>390</v>
      </c>
      <c r="F86" s="24">
        <v>0</v>
      </c>
      <c r="H86" s="24">
        <f>IF(VLOOKUP($D86,$C$5:$AA$494,6,)=0,0,((VLOOKUP($D86,$C$5:$AA$494,6,)/VLOOKUP($D86,$C$5:$AA$494,4,))*$F86))</f>
        <v>0</v>
      </c>
      <c r="I86" s="24">
        <f>IF(VLOOKUP($D86,$C$5:$AA$494,7,)=0,0,((VLOOKUP($D86,$C$5:$AA$494,7,)/VLOOKUP($D86,$C$5:$AA$494,4,))*$F86))</f>
        <v>0</v>
      </c>
      <c r="J86" s="24"/>
      <c r="K86" s="24">
        <f>IF(VLOOKUP($D86,$C$5:$AA$494,9,)=0,0,((VLOOKUP($D86,$C$5:$AA$494,9,)/VLOOKUP($D86,$C$5:$AA$494,4,))*$F86))</f>
        <v>0</v>
      </c>
      <c r="L86" s="24"/>
      <c r="M86" s="24">
        <f>IF(VLOOKUP($D86,$C$5:$AA$494,11,)=0,0,((VLOOKUP($D86,$C$5:$AA$494,11,)/VLOOKUP($D86,$C$5:$AA$494,4,))*$F86))</f>
        <v>0</v>
      </c>
      <c r="N86" s="24"/>
      <c r="O86" s="24">
        <f>IF(VLOOKUP($D86,$C$5:$AA$494,13,)=0,0,((VLOOKUP($D86,$C$5:$AA$494,13,)/VLOOKUP($D86,$C$5:$AA$494,4,))*$F86))</f>
        <v>0</v>
      </c>
      <c r="P86" s="24">
        <f>IF(VLOOKUP($D86,$C$5:$AA$494,14,)=0,0,((VLOOKUP($D86,$C$5:$AA$494,14,)/VLOOKUP($D86,$C$5:$AA$494,4,))*$F86))</f>
        <v>0</v>
      </c>
      <c r="Q86" s="24"/>
      <c r="R86" s="24">
        <f>IF(VLOOKUP($D86,$C$5:$AA$494,16,)=0,0,((VLOOKUP($D86,$C$5:$AA$494,16,)/VLOOKUP($D86,$C$5:$AA$494,4,))*$F86))</f>
        <v>0</v>
      </c>
      <c r="S86" s="24">
        <f>IF(VLOOKUP($D86,$C$5:$AA$494,17,)=0,0,((VLOOKUP($D86,$C$5:$AA$494,17,)/VLOOKUP($D86,$C$5:$AA$494,4,))*$F86))</f>
        <v>0</v>
      </c>
      <c r="T86" s="24"/>
      <c r="U86" s="24">
        <f>IF(VLOOKUP($D86,$C$5:$AA$494,19,)=0,0,((VLOOKUP($D86,$C$5:$AA$494,19,)/VLOOKUP($D86,$C$5:$AA$494,4,))*$F86))</f>
        <v>0</v>
      </c>
      <c r="V86" s="24"/>
      <c r="W86" s="24">
        <f>IF(VLOOKUP($D86,$C$5:$AA$494,21,)=0,0,((VLOOKUP($D86,$C$5:$AA$494,21,)/VLOOKUP($D86,$C$5:$AA$494,4,))*$F86))</f>
        <v>0</v>
      </c>
      <c r="X86" s="24"/>
      <c r="Y86" s="24">
        <f>IF(VLOOKUP($D86,$C$5:$AA$494,23,)=0,0,((VLOOKUP($D86,$C$5:$AA$494,23,)/VLOOKUP($D86,$C$5:$AA$494,4,))*$F86))</f>
        <v>0</v>
      </c>
      <c r="Z86" s="24"/>
      <c r="AA86" s="24">
        <f>IF(VLOOKUP($D86,$C$5:$AA$494,25,)=0,0,((VLOOKUP($D86,$C$5:$AA$494,25,)/VLOOKUP($D86,$C$5:$AA$494,4,))*$F86))</f>
        <v>0</v>
      </c>
      <c r="AB86" s="24">
        <f>SUM(H86:AA86)</f>
        <v>0</v>
      </c>
      <c r="AC86" s="12" t="str">
        <f>IF(ABS(AB86-F86)&lt;1,"ok","err")</f>
        <v>ok</v>
      </c>
    </row>
    <row r="87" spans="1:29" x14ac:dyDescent="0.2">
      <c r="B87" s="3" t="s">
        <v>811</v>
      </c>
      <c r="C87" s="3" t="s">
        <v>555</v>
      </c>
      <c r="D87" s="3" t="s">
        <v>16</v>
      </c>
      <c r="F87" s="41">
        <v>0</v>
      </c>
      <c r="H87" s="24">
        <f>IF(VLOOKUP($D87,$C$5:$AA$494,6,)=0,0,((VLOOKUP($D87,$C$5:$AA$494,6,)/VLOOKUP($D87,$C$5:$AA$494,4,))*$F87))</f>
        <v>0</v>
      </c>
      <c r="I87" s="24">
        <f>IF(VLOOKUP($D87,$C$5:$AA$494,7,)=0,0,((VLOOKUP($D87,$C$5:$AA$494,7,)/VLOOKUP($D87,$C$5:$AA$494,4,))*$F87))</f>
        <v>0</v>
      </c>
      <c r="J87" s="24"/>
      <c r="K87" s="24">
        <f>IF(VLOOKUP($D87,$C$5:$AA$494,9,)=0,0,((VLOOKUP($D87,$C$5:$AA$494,9,)/VLOOKUP($D87,$C$5:$AA$494,4,))*$F87))</f>
        <v>0</v>
      </c>
      <c r="L87" s="24"/>
      <c r="M87" s="24">
        <f>IF(VLOOKUP($D87,$C$5:$AA$494,11,)=0,0,((VLOOKUP($D87,$C$5:$AA$494,11,)/VLOOKUP($D87,$C$5:$AA$494,4,))*$F87))</f>
        <v>0</v>
      </c>
      <c r="N87" s="24"/>
      <c r="O87" s="24">
        <f>IF(VLOOKUP($D87,$C$5:$AA$494,13,)=0,0,((VLOOKUP($D87,$C$5:$AA$494,13,)/VLOOKUP($D87,$C$5:$AA$494,4,))*$F87))</f>
        <v>0</v>
      </c>
      <c r="P87" s="24">
        <f>IF(VLOOKUP($D87,$C$5:$AA$494,14,)=0,0,((VLOOKUP($D87,$C$5:$AA$494,14,)/VLOOKUP($D87,$C$5:$AA$494,4,))*$F87))</f>
        <v>0</v>
      </c>
      <c r="Q87" s="24"/>
      <c r="R87" s="24">
        <f>IF(VLOOKUP($D87,$C$5:$AA$494,16,)=0,0,((VLOOKUP($D87,$C$5:$AA$494,16,)/VLOOKUP($D87,$C$5:$AA$494,4,))*$F87))</f>
        <v>0</v>
      </c>
      <c r="S87" s="24">
        <f>IF(VLOOKUP($D87,$C$5:$AA$494,17,)=0,0,((VLOOKUP($D87,$C$5:$AA$494,17,)/VLOOKUP($D87,$C$5:$AA$494,4,))*$F87))</f>
        <v>0</v>
      </c>
      <c r="T87" s="24"/>
      <c r="U87" s="24">
        <f>IF(VLOOKUP($D87,$C$5:$AA$494,19,)=0,0,((VLOOKUP($D87,$C$5:$AA$494,19,)/VLOOKUP($D87,$C$5:$AA$494,4,))*$F87))</f>
        <v>0</v>
      </c>
      <c r="V87" s="24"/>
      <c r="W87" s="24">
        <f>IF(VLOOKUP($D87,$C$5:$AA$494,21,)=0,0,((VLOOKUP($D87,$C$5:$AA$494,21,)/VLOOKUP($D87,$C$5:$AA$494,4,))*$F87))</f>
        <v>0</v>
      </c>
      <c r="X87" s="24"/>
      <c r="Y87" s="24">
        <f>IF(VLOOKUP($D87,$C$5:$AA$494,23,)=0,0,((VLOOKUP($D87,$C$5:$AA$494,23,)/VLOOKUP($D87,$C$5:$AA$494,4,))*$F87))</f>
        <v>0</v>
      </c>
      <c r="Z87" s="24"/>
      <c r="AA87" s="24">
        <f>IF(VLOOKUP($D87,$C$5:$AA$494,25,)=0,0,((VLOOKUP($D87,$C$5:$AA$494,25,)/VLOOKUP($D87,$C$5:$AA$494,4,))*$F87))</f>
        <v>0</v>
      </c>
      <c r="AB87" s="24">
        <f>SUM(H87:AA87)</f>
        <v>0</v>
      </c>
      <c r="AC87" s="12" t="str">
        <f>IF(ABS(AB87-F87)&lt;1,"ok","err")</f>
        <v>ok</v>
      </c>
    </row>
    <row r="88" spans="1:29" x14ac:dyDescent="0.2">
      <c r="B88" s="3" t="s">
        <v>449</v>
      </c>
      <c r="C88" s="3" t="s">
        <v>556</v>
      </c>
      <c r="D88" s="3" t="s">
        <v>70</v>
      </c>
      <c r="F88" s="24">
        <v>0</v>
      </c>
      <c r="H88" s="24">
        <f>IF(VLOOKUP($D88,$C$5:$AA$494,6,)=0,0,((VLOOKUP($D88,$C$5:$AA$494,6,)/VLOOKUP($D88,$C$5:$AA$494,4,))*$F88))</f>
        <v>0</v>
      </c>
      <c r="I88" s="24">
        <f>IF(VLOOKUP($D88,$C$5:$AA$494,7,)=0,0,((VLOOKUP($D88,$C$5:$AA$494,7,)/VLOOKUP($D88,$C$5:$AA$494,4,))*$F88))</f>
        <v>0</v>
      </c>
      <c r="J88" s="24"/>
      <c r="K88" s="24">
        <f>IF(VLOOKUP($D88,$C$5:$AA$494,9,)=0,0,((VLOOKUP($D88,$C$5:$AA$494,9,)/VLOOKUP($D88,$C$5:$AA$494,4,))*$F88))</f>
        <v>0</v>
      </c>
      <c r="L88" s="24"/>
      <c r="M88" s="24">
        <f>IF(VLOOKUP($D88,$C$5:$AA$494,11,)=0,0,((VLOOKUP($D88,$C$5:$AA$494,11,)/VLOOKUP($D88,$C$5:$AA$494,4,))*$F88))</f>
        <v>0</v>
      </c>
      <c r="N88" s="24"/>
      <c r="O88" s="24">
        <f>IF(VLOOKUP($D88,$C$5:$AA$494,13,)=0,0,((VLOOKUP($D88,$C$5:$AA$494,13,)/VLOOKUP($D88,$C$5:$AA$494,4,))*$F88))</f>
        <v>0</v>
      </c>
      <c r="P88" s="24">
        <f>IF(VLOOKUP($D88,$C$5:$AA$494,14,)=0,0,((VLOOKUP($D88,$C$5:$AA$494,14,)/VLOOKUP($D88,$C$5:$AA$494,4,))*$F88))</f>
        <v>0</v>
      </c>
      <c r="Q88" s="24"/>
      <c r="R88" s="24">
        <f>IF(VLOOKUP($D88,$C$5:$AA$494,16,)=0,0,((VLOOKUP($D88,$C$5:$AA$494,16,)/VLOOKUP($D88,$C$5:$AA$494,4,))*$F88))</f>
        <v>0</v>
      </c>
      <c r="S88" s="24">
        <f>IF(VLOOKUP($D88,$C$5:$AA$494,17,)=0,0,((VLOOKUP($D88,$C$5:$AA$494,17,)/VLOOKUP($D88,$C$5:$AA$494,4,))*$F88))</f>
        <v>0</v>
      </c>
      <c r="T88" s="24"/>
      <c r="U88" s="24">
        <f>IF(VLOOKUP($D88,$C$5:$AA$494,19,)=0,0,((VLOOKUP($D88,$C$5:$AA$494,19,)/VLOOKUP($D88,$C$5:$AA$494,4,))*$F88))</f>
        <v>0</v>
      </c>
      <c r="V88" s="24"/>
      <c r="W88" s="24">
        <f>IF(VLOOKUP($D88,$C$5:$AA$494,21,)=0,0,((VLOOKUP($D88,$C$5:$AA$494,21,)/VLOOKUP($D88,$C$5:$AA$494,4,))*$F88))</f>
        <v>0</v>
      </c>
      <c r="X88" s="24"/>
      <c r="Y88" s="24">
        <f>IF(VLOOKUP($D88,$C$5:$AA$494,23,)=0,0,((VLOOKUP($D88,$C$5:$AA$494,23,)/VLOOKUP($D88,$C$5:$AA$494,4,))*$F88))</f>
        <v>0</v>
      </c>
      <c r="Z88" s="24"/>
      <c r="AA88" s="24">
        <f>IF(VLOOKUP($D88,$C$5:$AA$494,25,)=0,0,((VLOOKUP($D88,$C$5:$AA$494,25,)/VLOOKUP($D88,$C$5:$AA$494,4,))*$F88))</f>
        <v>0</v>
      </c>
      <c r="AB88" s="24">
        <f>SUM(H88:AA88)</f>
        <v>0</v>
      </c>
      <c r="AC88" s="12" t="str">
        <f>IF(ABS(AB88-F88)&lt;1,"ok","err")</f>
        <v>ok</v>
      </c>
    </row>
    <row r="89" spans="1:29" x14ac:dyDescent="0.2">
      <c r="B89" s="3" t="s">
        <v>907</v>
      </c>
      <c r="C89" s="3" t="s">
        <v>557</v>
      </c>
      <c r="D89" s="3" t="s">
        <v>16</v>
      </c>
      <c r="F89" s="24">
        <v>643915.69999999995</v>
      </c>
      <c r="H89" s="24">
        <f>IF(VLOOKUP($D89,$C$5:$AA$494,6,)=0,0,((VLOOKUP($D89,$C$5:$AA$494,6,)/VLOOKUP($D89,$C$5:$AA$494,4,))*$F89))</f>
        <v>0</v>
      </c>
      <c r="I89" s="24">
        <f>IF(VLOOKUP($D89,$C$5:$AA$494,7,)=0,0,((VLOOKUP($D89,$C$5:$AA$494,7,)/VLOOKUP($D89,$C$5:$AA$494,4,))*$F89))</f>
        <v>0</v>
      </c>
      <c r="J89" s="24"/>
      <c r="K89" s="24">
        <f>IF(VLOOKUP($D89,$C$5:$AA$494,9,)=0,0,((VLOOKUP($D89,$C$5:$AA$494,9,)/VLOOKUP($D89,$C$5:$AA$494,4,))*$F89))</f>
        <v>0</v>
      </c>
      <c r="L89" s="24"/>
      <c r="M89" s="24">
        <f>IF(VLOOKUP($D89,$C$5:$AA$494,11,)=0,0,((VLOOKUP($D89,$C$5:$AA$494,11,)/VLOOKUP($D89,$C$5:$AA$494,4,))*$F89))</f>
        <v>5597.4825657561896</v>
      </c>
      <c r="N89" s="24"/>
      <c r="O89" s="24">
        <f>IF(VLOOKUP($D89,$C$5:$AA$494,13,)=0,0,((VLOOKUP($D89,$C$5:$AA$494,13,)/VLOOKUP($D89,$C$5:$AA$494,4,))*$F89))</f>
        <v>286278.47959603573</v>
      </c>
      <c r="P89" s="24">
        <f>IF(VLOOKUP($D89,$C$5:$AA$494,14,)=0,0,((VLOOKUP($D89,$C$5:$AA$494,14,)/VLOOKUP($D89,$C$5:$AA$494,4,))*$F89))</f>
        <v>192219.41618301265</v>
      </c>
      <c r="Q89" s="24"/>
      <c r="R89" s="24">
        <f>IF(VLOOKUP($D89,$C$5:$AA$494,16,)=0,0,((VLOOKUP($D89,$C$5:$AA$494,16,)/VLOOKUP($D89,$C$5:$AA$494,4,))*$F89))</f>
        <v>0</v>
      </c>
      <c r="S89" s="24">
        <f>IF(VLOOKUP($D89,$C$5:$AA$494,17,)=0,0,((VLOOKUP($D89,$C$5:$AA$494,17,)/VLOOKUP($D89,$C$5:$AA$494,4,))*$F89))</f>
        <v>72352.52282439798</v>
      </c>
      <c r="T89" s="24"/>
      <c r="U89" s="24">
        <f>IF(VLOOKUP($D89,$C$5:$AA$494,19,)=0,0,((VLOOKUP($D89,$C$5:$AA$494,19,)/VLOOKUP($D89,$C$5:$AA$494,4,))*$F89))</f>
        <v>43673.570222696755</v>
      </c>
      <c r="V89" s="24"/>
      <c r="W89" s="24">
        <f>IF(VLOOKUP($D89,$C$5:$AA$494,21,)=0,0,((VLOOKUP($D89,$C$5:$AA$494,21,)/VLOOKUP($D89,$C$5:$AA$494,4,))*$F89))</f>
        <v>43794.228608100704</v>
      </c>
      <c r="X89" s="24"/>
      <c r="Y89" s="24">
        <f>IF(VLOOKUP($D89,$C$5:$AA$494,23,)=0,0,((VLOOKUP($D89,$C$5:$AA$494,23,)/VLOOKUP($D89,$C$5:$AA$494,4,))*$F89))</f>
        <v>0</v>
      </c>
      <c r="Z89" s="24"/>
      <c r="AA89" s="24">
        <f>IF(VLOOKUP($D89,$C$5:$AA$494,25,)=0,0,((VLOOKUP($D89,$C$5:$AA$494,25,)/VLOOKUP($D89,$C$5:$AA$494,4,))*$F89))</f>
        <v>0</v>
      </c>
      <c r="AB89" s="24">
        <f>SUM(H89:AA89)</f>
        <v>643915.69999999995</v>
      </c>
      <c r="AC89" s="12" t="str">
        <f>IF(ABS(AB89-F89)&lt;1,"ok","err")</f>
        <v>ok</v>
      </c>
    </row>
    <row r="90" spans="1:29" x14ac:dyDescent="0.2">
      <c r="D90" s="24"/>
      <c r="F90" s="24"/>
      <c r="AB90" s="24"/>
      <c r="AC90" s="12"/>
    </row>
    <row r="91" spans="1:29" x14ac:dyDescent="0.2">
      <c r="A91" s="67" t="s">
        <v>74</v>
      </c>
      <c r="C91" s="3" t="s">
        <v>75</v>
      </c>
      <c r="F91" s="41">
        <f>SUM(F85:F89)</f>
        <v>643915.69999999995</v>
      </c>
      <c r="H91" s="41">
        <f>SUM(H85:H89)</f>
        <v>0</v>
      </c>
      <c r="I91" s="41">
        <f>SUM(I85:I89)</f>
        <v>0</v>
      </c>
      <c r="J91" s="41"/>
      <c r="K91" s="41">
        <f>SUM(K85:K89)</f>
        <v>0</v>
      </c>
      <c r="L91" s="41"/>
      <c r="M91" s="41">
        <f>SUM(M85:M89)</f>
        <v>5597.4825657561896</v>
      </c>
      <c r="N91" s="41"/>
      <c r="O91" s="41">
        <f>SUM(O85:O89)</f>
        <v>286278.47959603573</v>
      </c>
      <c r="P91" s="41">
        <f>SUM(P85:P89)</f>
        <v>192219.41618301265</v>
      </c>
      <c r="Q91" s="41"/>
      <c r="R91" s="41">
        <f>SUM(R85:R89)</f>
        <v>0</v>
      </c>
      <c r="S91" s="41">
        <f>SUM(S85:S89)</f>
        <v>72352.52282439798</v>
      </c>
      <c r="T91" s="41"/>
      <c r="U91" s="41">
        <f>SUM(U85:U89)</f>
        <v>43673.570222696755</v>
      </c>
      <c r="V91" s="41"/>
      <c r="W91" s="41">
        <f>SUM(W85:W89)</f>
        <v>43794.228608100704</v>
      </c>
      <c r="X91" s="41"/>
      <c r="Y91" s="41">
        <f>SUM(Y85:Y89)</f>
        <v>0</v>
      </c>
      <c r="Z91" s="41"/>
      <c r="AA91" s="41">
        <f>SUM(AA85:AA89)</f>
        <v>0</v>
      </c>
      <c r="AB91" s="24">
        <f>SUM(H91:AA91)</f>
        <v>643915.69999999995</v>
      </c>
      <c r="AC91" s="12" t="str">
        <f>IF(ABS(AB91-F91)&lt;1,"ok","err")</f>
        <v>ok</v>
      </c>
    </row>
    <row r="92" spans="1:29" x14ac:dyDescent="0.2">
      <c r="A92" s="67"/>
      <c r="F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24"/>
      <c r="AC92" s="12"/>
    </row>
    <row r="93" spans="1:29" x14ac:dyDescent="0.2">
      <c r="A93" s="2" t="s">
        <v>366</v>
      </c>
      <c r="D93" s="24"/>
      <c r="F93" s="41">
        <f>F82+F91</f>
        <v>63863072.530000001</v>
      </c>
      <c r="H93" s="41">
        <f>H82+H91</f>
        <v>0</v>
      </c>
      <c r="I93" s="41">
        <f>I82+I91</f>
        <v>0</v>
      </c>
      <c r="J93" s="41"/>
      <c r="K93" s="41">
        <f>K82+K91</f>
        <v>0</v>
      </c>
      <c r="L93" s="41"/>
      <c r="M93" s="41">
        <f>M82+M91</f>
        <v>555154.09095056704</v>
      </c>
      <c r="N93" s="41"/>
      <c r="O93" s="41">
        <f>O82+O91</f>
        <v>28392883.270620298</v>
      </c>
      <c r="P93" s="41">
        <f>P82+P91</f>
        <v>19064176.440130275</v>
      </c>
      <c r="Q93" s="41"/>
      <c r="R93" s="41">
        <f>R82+R91</f>
        <v>0</v>
      </c>
      <c r="S93" s="41">
        <f>S82+S91</f>
        <v>7175868.5381689062</v>
      </c>
      <c r="T93" s="41"/>
      <c r="U93" s="41">
        <f>U82+U91</f>
        <v>4331511.6913225297</v>
      </c>
      <c r="V93" s="41"/>
      <c r="W93" s="41">
        <f>W82+W91</f>
        <v>4343478.4988074312</v>
      </c>
      <c r="X93" s="41"/>
      <c r="Y93" s="41">
        <f>Y82+Y91</f>
        <v>0</v>
      </c>
      <c r="Z93" s="41"/>
      <c r="AA93" s="41">
        <f>AA82+AA91</f>
        <v>0</v>
      </c>
      <c r="AB93" s="24">
        <f>SUM(H93:AA93)</f>
        <v>63863072.530000009</v>
      </c>
      <c r="AC93" s="12" t="str">
        <f>IF(ABS(AB93-F93)&lt;1,"ok","err")</f>
        <v>ok</v>
      </c>
    </row>
    <row r="94" spans="1:29" x14ac:dyDescent="0.2">
      <c r="AC94" s="12"/>
    </row>
    <row r="95" spans="1:29" x14ac:dyDescent="0.2">
      <c r="A95" s="10" t="s">
        <v>76</v>
      </c>
      <c r="AC95" s="12"/>
    </row>
    <row r="96" spans="1:29" x14ac:dyDescent="0.2">
      <c r="AC96" s="12"/>
    </row>
    <row r="97" spans="1:29" x14ac:dyDescent="0.2">
      <c r="A97" s="10" t="s">
        <v>77</v>
      </c>
      <c r="AC97" s="12"/>
    </row>
    <row r="98" spans="1:29" x14ac:dyDescent="0.2">
      <c r="A98" s="3" t="s">
        <v>15</v>
      </c>
      <c r="F98" s="65">
        <f>F82</f>
        <v>63219156.829999998</v>
      </c>
      <c r="H98" s="65">
        <f>H82</f>
        <v>0</v>
      </c>
      <c r="I98" s="65">
        <f>I82</f>
        <v>0</v>
      </c>
      <c r="J98" s="65"/>
      <c r="K98" s="65">
        <f>K82</f>
        <v>0</v>
      </c>
      <c r="L98" s="65"/>
      <c r="M98" s="65">
        <f>M82</f>
        <v>549556.60838481085</v>
      </c>
      <c r="N98" s="65"/>
      <c r="O98" s="65">
        <f>O82</f>
        <v>28106604.79102426</v>
      </c>
      <c r="P98" s="65">
        <f>P82</f>
        <v>18871957.023947261</v>
      </c>
      <c r="Q98" s="65"/>
      <c r="R98" s="65">
        <f>R82</f>
        <v>0</v>
      </c>
      <c r="S98" s="65">
        <f>S82</f>
        <v>7103516.015344508</v>
      </c>
      <c r="T98" s="65"/>
      <c r="U98" s="65">
        <f>U82</f>
        <v>4287838.1210998334</v>
      </c>
      <c r="V98" s="65"/>
      <c r="W98" s="65">
        <f>W82</f>
        <v>4299684.2701993305</v>
      </c>
      <c r="X98" s="65"/>
      <c r="Y98" s="65">
        <f>Y82</f>
        <v>0</v>
      </c>
      <c r="Z98" s="65"/>
      <c r="AA98" s="65">
        <f>AA82</f>
        <v>0</v>
      </c>
      <c r="AB98" s="24">
        <f>SUM(H98:AA98)</f>
        <v>63219156.829999998</v>
      </c>
      <c r="AC98" s="12" t="str">
        <f>IF(ABS(AB98-F98)&lt;1,"ok","err")</f>
        <v>ok</v>
      </c>
    </row>
    <row r="99" spans="1:29" x14ac:dyDescent="0.2">
      <c r="A99" s="3" t="s">
        <v>73</v>
      </c>
      <c r="F99" s="24">
        <f>F91</f>
        <v>643915.69999999995</v>
      </c>
      <c r="G99" s="22"/>
      <c r="H99" s="22">
        <f>H91</f>
        <v>0</v>
      </c>
      <c r="I99" s="22">
        <f>I91</f>
        <v>0</v>
      </c>
      <c r="J99" s="22"/>
      <c r="K99" s="22">
        <f>K91</f>
        <v>0</v>
      </c>
      <c r="L99" s="22"/>
      <c r="M99" s="22">
        <f>M91</f>
        <v>5597.4825657561896</v>
      </c>
      <c r="N99" s="22"/>
      <c r="O99" s="22">
        <f>O91</f>
        <v>286278.47959603573</v>
      </c>
      <c r="P99" s="22">
        <f>P91</f>
        <v>192219.41618301265</v>
      </c>
      <c r="Q99" s="22"/>
      <c r="R99" s="22">
        <f>R91</f>
        <v>0</v>
      </c>
      <c r="S99" s="22">
        <f>S91</f>
        <v>72352.52282439798</v>
      </c>
      <c r="T99" s="22"/>
      <c r="U99" s="22">
        <f>U91</f>
        <v>43673.570222696755</v>
      </c>
      <c r="V99" s="22"/>
      <c r="W99" s="22">
        <f>W91</f>
        <v>43794.228608100704</v>
      </c>
      <c r="X99" s="22"/>
      <c r="Y99" s="22">
        <f>Y91</f>
        <v>0</v>
      </c>
      <c r="Z99" s="22"/>
      <c r="AA99" s="24">
        <f>AA91</f>
        <v>0</v>
      </c>
      <c r="AB99" s="24">
        <f>SUM(H99:AA99)</f>
        <v>643915.69999999995</v>
      </c>
      <c r="AC99" s="12" t="str">
        <f>IF(ABS(AB99-F99)&lt;1,"ok","err")</f>
        <v>ok</v>
      </c>
    </row>
    <row r="100" spans="1:29" x14ac:dyDescent="0.2">
      <c r="Q100" s="3"/>
      <c r="AB100" s="24"/>
      <c r="AC100" s="12"/>
    </row>
    <row r="101" spans="1:29" x14ac:dyDescent="0.2">
      <c r="A101" s="67" t="s">
        <v>78</v>
      </c>
      <c r="C101" s="3" t="s">
        <v>79</v>
      </c>
      <c r="F101" s="65">
        <f>F98+F99</f>
        <v>63863072.530000001</v>
      </c>
      <c r="G101" s="65"/>
      <c r="H101" s="65">
        <f t="shared" ref="H101:AA101" si="61">H98+H99</f>
        <v>0</v>
      </c>
      <c r="I101" s="65">
        <f t="shared" si="61"/>
        <v>0</v>
      </c>
      <c r="J101" s="65"/>
      <c r="K101" s="65">
        <f t="shared" si="61"/>
        <v>0</v>
      </c>
      <c r="L101" s="65"/>
      <c r="M101" s="65">
        <f t="shared" si="61"/>
        <v>555154.09095056704</v>
      </c>
      <c r="N101" s="65"/>
      <c r="O101" s="65">
        <f t="shared" si="61"/>
        <v>28392883.270620298</v>
      </c>
      <c r="P101" s="65">
        <f t="shared" si="61"/>
        <v>19064176.440130275</v>
      </c>
      <c r="Q101" s="65"/>
      <c r="R101" s="65">
        <f t="shared" si="61"/>
        <v>0</v>
      </c>
      <c r="S101" s="65">
        <f t="shared" si="61"/>
        <v>7175868.5381689062</v>
      </c>
      <c r="T101" s="65"/>
      <c r="U101" s="65">
        <f t="shared" si="61"/>
        <v>4331511.6913225297</v>
      </c>
      <c r="V101" s="65"/>
      <c r="W101" s="65">
        <f t="shared" si="61"/>
        <v>4343478.4988074312</v>
      </c>
      <c r="X101" s="65"/>
      <c r="Y101" s="65">
        <f t="shared" si="61"/>
        <v>0</v>
      </c>
      <c r="Z101" s="65"/>
      <c r="AA101" s="65">
        <f t="shared" si="61"/>
        <v>0</v>
      </c>
      <c r="AB101" s="24">
        <f>SUM(H101:AA101)</f>
        <v>63863072.530000009</v>
      </c>
      <c r="AC101" s="12" t="str">
        <f>IF(ABS(AB101-F101)&lt;1,"ok","err")</f>
        <v>ok</v>
      </c>
    </row>
    <row r="102" spans="1:29" x14ac:dyDescent="0.2">
      <c r="Q102" s="3"/>
      <c r="AC102" s="12"/>
    </row>
    <row r="103" spans="1:29" x14ac:dyDescent="0.2">
      <c r="A103" s="10" t="s">
        <v>80</v>
      </c>
      <c r="Q103" s="3"/>
      <c r="AC103" s="12"/>
    </row>
    <row r="104" spans="1:29" x14ac:dyDescent="0.2">
      <c r="A104" s="3" t="s">
        <v>368</v>
      </c>
      <c r="C104" s="3" t="s">
        <v>393</v>
      </c>
      <c r="D104" s="3" t="s">
        <v>79</v>
      </c>
      <c r="F104" s="41"/>
      <c r="H104" s="24">
        <f t="shared" ref="H104:H122" si="62">IF(VLOOKUP($D104,$C$5:$AA$494,6,)=0,0,((VLOOKUP($D104,$C$5:$AA$494,6,)/VLOOKUP($D104,$C$5:$AA$494,4,))*$F104))</f>
        <v>0</v>
      </c>
      <c r="I104" s="24">
        <f t="shared" ref="I104:I122" si="63">IF(VLOOKUP($D104,$C$5:$AA$494,7,)=0,0,((VLOOKUP($D104,$C$5:$AA$494,7,)/VLOOKUP($D104,$C$5:$AA$494,4,))*$F104))</f>
        <v>0</v>
      </c>
      <c r="J104" s="24"/>
      <c r="K104" s="24">
        <f t="shared" ref="K104:K122" si="64">IF(VLOOKUP($D104,$C$5:$AA$494,9,)=0,0,((VLOOKUP($D104,$C$5:$AA$494,9,)/VLOOKUP($D104,$C$5:$AA$494,4,))*$F104))</f>
        <v>0</v>
      </c>
      <c r="L104" s="24"/>
      <c r="M104" s="24">
        <f t="shared" ref="M104:M122" si="65">IF(VLOOKUP($D104,$C$5:$AA$494,11,)=0,0,((VLOOKUP($D104,$C$5:$AA$494,11,)/VLOOKUP($D104,$C$5:$AA$494,4,))*$F104))</f>
        <v>0</v>
      </c>
      <c r="N104" s="24"/>
      <c r="O104" s="24">
        <f t="shared" ref="O104:O122" si="66">IF(VLOOKUP($D104,$C$5:$AA$494,13,)=0,0,((VLOOKUP($D104,$C$5:$AA$494,13,)/VLOOKUP($D104,$C$5:$AA$494,4,))*$F104))</f>
        <v>0</v>
      </c>
      <c r="P104" s="24">
        <f t="shared" ref="P104:P122" si="67">IF(VLOOKUP($D104,$C$5:$AA$494,14,)=0,0,((VLOOKUP($D104,$C$5:$AA$494,14,)/VLOOKUP($D104,$C$5:$AA$494,4,))*$F104))</f>
        <v>0</v>
      </c>
      <c r="Q104" s="24"/>
      <c r="R104" s="24">
        <f t="shared" ref="R104:R122" si="68">IF(VLOOKUP($D104,$C$5:$AA$494,16,)=0,0,((VLOOKUP($D104,$C$5:$AA$494,16,)/VLOOKUP($D104,$C$5:$AA$494,4,))*$F104))</f>
        <v>0</v>
      </c>
      <c r="S104" s="24">
        <f t="shared" ref="S104:S122" si="69">IF(VLOOKUP($D104,$C$5:$AA$494,17,)=0,0,((VLOOKUP($D104,$C$5:$AA$494,17,)/VLOOKUP($D104,$C$5:$AA$494,4,))*$F104))</f>
        <v>0</v>
      </c>
      <c r="T104" s="24"/>
      <c r="U104" s="24">
        <f t="shared" ref="U104:U122" si="70">IF(VLOOKUP($D104,$C$5:$AA$494,19,)=0,0,((VLOOKUP($D104,$C$5:$AA$494,19,)/VLOOKUP($D104,$C$5:$AA$494,4,))*$F104))</f>
        <v>0</v>
      </c>
      <c r="V104" s="24"/>
      <c r="W104" s="24">
        <f t="shared" ref="W104:W122" si="71">IF(VLOOKUP($D104,$C$5:$AA$494,21,)=0,0,((VLOOKUP($D104,$C$5:$AA$494,21,)/VLOOKUP($D104,$C$5:$AA$494,4,))*$F104))</f>
        <v>0</v>
      </c>
      <c r="X104" s="24"/>
      <c r="Y104" s="24">
        <f t="shared" ref="Y104:Y122" si="72">IF(VLOOKUP($D104,$C$5:$AA$494,23,)=0,0,((VLOOKUP($D104,$C$5:$AA$494,23,)/VLOOKUP($D104,$C$5:$AA$494,4,))*$F104))</f>
        <v>0</v>
      </c>
      <c r="Z104" s="24"/>
      <c r="AA104" s="24">
        <f t="shared" ref="AA104:AA122" si="73">IF(VLOOKUP($D104,$C$5:$AA$494,25,)=0,0,((VLOOKUP($D104,$C$5:$AA$494,25,)/VLOOKUP($D104,$C$5:$AA$494,4,))*$F104))</f>
        <v>0</v>
      </c>
      <c r="AB104" s="24">
        <f t="shared" ref="AB104:AB122" si="74">SUM(H104:AA104)</f>
        <v>0</v>
      </c>
      <c r="AC104" s="12" t="str">
        <f t="shared" ref="AC104:AC110" si="75">IF(ABS(AB104-F104)&lt;1,"ok","err")</f>
        <v>ok</v>
      </c>
    </row>
    <row r="105" spans="1:29" x14ac:dyDescent="0.2">
      <c r="A105" s="3" t="s">
        <v>369</v>
      </c>
      <c r="C105" s="3" t="s">
        <v>394</v>
      </c>
      <c r="D105" s="3" t="s">
        <v>16</v>
      </c>
      <c r="F105" s="24">
        <v>-90189.02</v>
      </c>
      <c r="H105" s="24">
        <f t="shared" si="62"/>
        <v>0</v>
      </c>
      <c r="I105" s="24">
        <f t="shared" si="63"/>
        <v>0</v>
      </c>
      <c r="J105" s="24"/>
      <c r="K105" s="24">
        <f t="shared" si="64"/>
        <v>0</v>
      </c>
      <c r="L105" s="24"/>
      <c r="M105" s="24">
        <f t="shared" si="65"/>
        <v>-784.00241999478567</v>
      </c>
      <c r="N105" s="24"/>
      <c r="O105" s="24">
        <f t="shared" si="66"/>
        <v>-40097.136196332009</v>
      </c>
      <c r="P105" s="24">
        <f t="shared" si="67"/>
        <v>-26922.904303339794</v>
      </c>
      <c r="Q105" s="24"/>
      <c r="R105" s="24">
        <f t="shared" si="68"/>
        <v>0</v>
      </c>
      <c r="S105" s="24">
        <f t="shared" si="69"/>
        <v>-10133.94009194074</v>
      </c>
      <c r="T105" s="24"/>
      <c r="U105" s="24">
        <f t="shared" si="70"/>
        <v>-6117.0685825585588</v>
      </c>
      <c r="V105" s="24"/>
      <c r="W105" s="24">
        <f t="shared" si="71"/>
        <v>-6133.968405834129</v>
      </c>
      <c r="X105" s="24"/>
      <c r="Y105" s="24">
        <f t="shared" si="72"/>
        <v>0</v>
      </c>
      <c r="Z105" s="24"/>
      <c r="AA105" s="24">
        <f t="shared" si="73"/>
        <v>0</v>
      </c>
      <c r="AB105" s="24">
        <f t="shared" si="74"/>
        <v>-90189.02</v>
      </c>
      <c r="AC105" s="12" t="str">
        <f t="shared" si="75"/>
        <v>ok</v>
      </c>
    </row>
    <row r="106" spans="1:29" x14ac:dyDescent="0.2">
      <c r="A106" s="3" t="s">
        <v>805</v>
      </c>
      <c r="C106" s="3" t="s">
        <v>810</v>
      </c>
      <c r="D106" s="3" t="s">
        <v>754</v>
      </c>
      <c r="F106" s="24">
        <v>0</v>
      </c>
      <c r="H106" s="24">
        <f t="shared" si="62"/>
        <v>0</v>
      </c>
      <c r="I106" s="24">
        <f t="shared" si="63"/>
        <v>0</v>
      </c>
      <c r="J106" s="24"/>
      <c r="K106" s="24">
        <f t="shared" si="64"/>
        <v>0</v>
      </c>
      <c r="L106" s="24"/>
      <c r="M106" s="24">
        <f t="shared" si="65"/>
        <v>0</v>
      </c>
      <c r="N106" s="24"/>
      <c r="O106" s="24">
        <f t="shared" si="66"/>
        <v>0</v>
      </c>
      <c r="P106" s="24">
        <f t="shared" si="67"/>
        <v>0</v>
      </c>
      <c r="Q106" s="24"/>
      <c r="R106" s="24">
        <f t="shared" si="68"/>
        <v>0</v>
      </c>
      <c r="S106" s="24">
        <f t="shared" si="69"/>
        <v>0</v>
      </c>
      <c r="T106" s="24"/>
      <c r="U106" s="24">
        <f t="shared" si="70"/>
        <v>0</v>
      </c>
      <c r="V106" s="24"/>
      <c r="W106" s="24">
        <f t="shared" si="71"/>
        <v>0</v>
      </c>
      <c r="X106" s="24"/>
      <c r="Y106" s="24">
        <f t="shared" si="72"/>
        <v>0</v>
      </c>
      <c r="Z106" s="24"/>
      <c r="AA106" s="24">
        <f t="shared" si="73"/>
        <v>0</v>
      </c>
      <c r="AB106" s="24">
        <f t="shared" si="74"/>
        <v>0</v>
      </c>
      <c r="AC106" s="12" t="str">
        <f t="shared" si="75"/>
        <v>ok</v>
      </c>
    </row>
    <row r="107" spans="1:29" x14ac:dyDescent="0.2">
      <c r="A107" s="3" t="s">
        <v>367</v>
      </c>
      <c r="C107" s="3" t="s">
        <v>395</v>
      </c>
      <c r="D107" s="3" t="s">
        <v>390</v>
      </c>
      <c r="F107" s="24">
        <v>0</v>
      </c>
      <c r="H107" s="24">
        <f t="shared" si="62"/>
        <v>0</v>
      </c>
      <c r="I107" s="24">
        <f t="shared" si="63"/>
        <v>0</v>
      </c>
      <c r="J107" s="24"/>
      <c r="K107" s="24">
        <f t="shared" si="64"/>
        <v>0</v>
      </c>
      <c r="L107" s="24"/>
      <c r="M107" s="24">
        <f t="shared" si="65"/>
        <v>0</v>
      </c>
      <c r="N107" s="24"/>
      <c r="O107" s="24">
        <f t="shared" si="66"/>
        <v>0</v>
      </c>
      <c r="P107" s="24">
        <f t="shared" si="67"/>
        <v>0</v>
      </c>
      <c r="Q107" s="24"/>
      <c r="R107" s="24">
        <f t="shared" si="68"/>
        <v>0</v>
      </c>
      <c r="S107" s="24">
        <f t="shared" si="69"/>
        <v>0</v>
      </c>
      <c r="T107" s="24"/>
      <c r="U107" s="24">
        <f t="shared" si="70"/>
        <v>0</v>
      </c>
      <c r="V107" s="24"/>
      <c r="W107" s="24">
        <f t="shared" si="71"/>
        <v>0</v>
      </c>
      <c r="X107" s="24"/>
      <c r="Y107" s="24">
        <f t="shared" si="72"/>
        <v>0</v>
      </c>
      <c r="Z107" s="24"/>
      <c r="AA107" s="24">
        <f t="shared" si="73"/>
        <v>0</v>
      </c>
      <c r="AB107" s="24">
        <f t="shared" si="74"/>
        <v>0</v>
      </c>
      <c r="AC107" s="12" t="str">
        <f t="shared" si="75"/>
        <v>ok</v>
      </c>
    </row>
    <row r="108" spans="1:29" x14ac:dyDescent="0.2">
      <c r="A108" s="3" t="s">
        <v>579</v>
      </c>
      <c r="C108" s="3" t="s">
        <v>448</v>
      </c>
      <c r="D108" s="3" t="s">
        <v>16</v>
      </c>
      <c r="F108" s="24">
        <f>25391924.48+3893559.72</f>
        <v>29285484.199999999</v>
      </c>
      <c r="H108" s="24">
        <f t="shared" si="62"/>
        <v>0</v>
      </c>
      <c r="I108" s="24">
        <f t="shared" si="63"/>
        <v>0</v>
      </c>
      <c r="J108" s="24"/>
      <c r="K108" s="24">
        <f t="shared" si="64"/>
        <v>0</v>
      </c>
      <c r="L108" s="24"/>
      <c r="M108" s="24">
        <f t="shared" si="65"/>
        <v>254575.22970666559</v>
      </c>
      <c r="N108" s="24"/>
      <c r="O108" s="24">
        <f t="shared" si="66"/>
        <v>13020033.353760015</v>
      </c>
      <c r="P108" s="24">
        <f t="shared" si="67"/>
        <v>8742198.2032133117</v>
      </c>
      <c r="Q108" s="24"/>
      <c r="R108" s="24">
        <f t="shared" si="68"/>
        <v>0</v>
      </c>
      <c r="S108" s="24">
        <f t="shared" si="69"/>
        <v>3290615.0044237878</v>
      </c>
      <c r="T108" s="24"/>
      <c r="U108" s="24">
        <f t="shared" si="70"/>
        <v>1986287.4141978156</v>
      </c>
      <c r="V108" s="24"/>
      <c r="W108" s="24">
        <f t="shared" si="71"/>
        <v>1991774.9946984074</v>
      </c>
      <c r="X108" s="24"/>
      <c r="Y108" s="24">
        <f t="shared" si="72"/>
        <v>0</v>
      </c>
      <c r="Z108" s="24"/>
      <c r="AA108" s="24">
        <f t="shared" si="73"/>
        <v>0</v>
      </c>
      <c r="AB108" s="24">
        <f t="shared" si="74"/>
        <v>29285484.200000007</v>
      </c>
      <c r="AC108" s="12" t="str">
        <f t="shared" si="75"/>
        <v>ok</v>
      </c>
    </row>
    <row r="109" spans="1:29" x14ac:dyDescent="0.2">
      <c r="A109" s="3" t="s">
        <v>426</v>
      </c>
      <c r="C109" s="3" t="s">
        <v>436</v>
      </c>
      <c r="D109" s="3" t="s">
        <v>424</v>
      </c>
      <c r="F109" s="24">
        <v>0</v>
      </c>
      <c r="H109" s="24">
        <f t="shared" si="62"/>
        <v>0</v>
      </c>
      <c r="I109" s="24">
        <f t="shared" si="63"/>
        <v>0</v>
      </c>
      <c r="J109" s="24"/>
      <c r="K109" s="24">
        <f t="shared" si="64"/>
        <v>0</v>
      </c>
      <c r="L109" s="24"/>
      <c r="M109" s="24">
        <f t="shared" si="65"/>
        <v>0</v>
      </c>
      <c r="N109" s="24"/>
      <c r="O109" s="24">
        <f t="shared" si="66"/>
        <v>0</v>
      </c>
      <c r="P109" s="24">
        <f t="shared" si="67"/>
        <v>0</v>
      </c>
      <c r="Q109" s="24"/>
      <c r="R109" s="24">
        <f t="shared" si="68"/>
        <v>0</v>
      </c>
      <c r="S109" s="24">
        <f t="shared" si="69"/>
        <v>0</v>
      </c>
      <c r="T109" s="24"/>
      <c r="U109" s="24">
        <f t="shared" si="70"/>
        <v>0</v>
      </c>
      <c r="V109" s="24"/>
      <c r="W109" s="24">
        <f t="shared" si="71"/>
        <v>0</v>
      </c>
      <c r="X109" s="24"/>
      <c r="Y109" s="24">
        <f t="shared" si="72"/>
        <v>0</v>
      </c>
      <c r="Z109" s="24"/>
      <c r="AA109" s="24">
        <f t="shared" si="73"/>
        <v>0</v>
      </c>
      <c r="AB109" s="24">
        <f t="shared" si="74"/>
        <v>0</v>
      </c>
      <c r="AC109" s="12" t="str">
        <f t="shared" si="75"/>
        <v>ok</v>
      </c>
    </row>
    <row r="110" spans="1:29" x14ac:dyDescent="0.2">
      <c r="A110" s="3" t="s">
        <v>427</v>
      </c>
      <c r="C110" s="3" t="s">
        <v>437</v>
      </c>
      <c r="D110" s="3" t="s">
        <v>23</v>
      </c>
      <c r="F110" s="24">
        <v>0</v>
      </c>
      <c r="H110" s="24">
        <f t="shared" si="62"/>
        <v>0</v>
      </c>
      <c r="I110" s="24">
        <f t="shared" si="63"/>
        <v>0</v>
      </c>
      <c r="J110" s="24"/>
      <c r="K110" s="24">
        <f t="shared" si="64"/>
        <v>0</v>
      </c>
      <c r="L110" s="24"/>
      <c r="M110" s="24">
        <f t="shared" si="65"/>
        <v>0</v>
      </c>
      <c r="N110" s="24"/>
      <c r="O110" s="24">
        <f t="shared" si="66"/>
        <v>0</v>
      </c>
      <c r="P110" s="24">
        <f t="shared" si="67"/>
        <v>0</v>
      </c>
      <c r="Q110" s="24"/>
      <c r="R110" s="24">
        <f t="shared" si="68"/>
        <v>0</v>
      </c>
      <c r="S110" s="24">
        <f t="shared" si="69"/>
        <v>0</v>
      </c>
      <c r="T110" s="24"/>
      <c r="U110" s="24">
        <f t="shared" si="70"/>
        <v>0</v>
      </c>
      <c r="V110" s="24"/>
      <c r="W110" s="24">
        <f t="shared" si="71"/>
        <v>0</v>
      </c>
      <c r="X110" s="24"/>
      <c r="Y110" s="24">
        <f t="shared" si="72"/>
        <v>0</v>
      </c>
      <c r="Z110" s="24"/>
      <c r="AA110" s="24">
        <f t="shared" si="73"/>
        <v>0</v>
      </c>
      <c r="AB110" s="24">
        <f t="shared" si="74"/>
        <v>0</v>
      </c>
      <c r="AC110" s="12" t="str">
        <f t="shared" si="75"/>
        <v>ok</v>
      </c>
    </row>
    <row r="111" spans="1:29" x14ac:dyDescent="0.2">
      <c r="A111" s="3" t="s">
        <v>428</v>
      </c>
      <c r="C111" s="3" t="s">
        <v>438</v>
      </c>
      <c r="D111" s="3" t="s">
        <v>26</v>
      </c>
      <c r="F111" s="24">
        <v>0</v>
      </c>
      <c r="H111" s="24">
        <f t="shared" si="62"/>
        <v>0</v>
      </c>
      <c r="I111" s="24">
        <f t="shared" si="63"/>
        <v>0</v>
      </c>
      <c r="J111" s="24"/>
      <c r="K111" s="24">
        <f t="shared" si="64"/>
        <v>0</v>
      </c>
      <c r="L111" s="24"/>
      <c r="M111" s="24">
        <f t="shared" si="65"/>
        <v>0</v>
      </c>
      <c r="N111" s="24"/>
      <c r="O111" s="24">
        <f t="shared" si="66"/>
        <v>0</v>
      </c>
      <c r="P111" s="24">
        <f t="shared" si="67"/>
        <v>0</v>
      </c>
      <c r="Q111" s="24"/>
      <c r="R111" s="24">
        <f t="shared" si="68"/>
        <v>0</v>
      </c>
      <c r="S111" s="24">
        <f t="shared" si="69"/>
        <v>0</v>
      </c>
      <c r="T111" s="24"/>
      <c r="U111" s="24">
        <f t="shared" si="70"/>
        <v>0</v>
      </c>
      <c r="V111" s="24"/>
      <c r="W111" s="24">
        <f t="shared" si="71"/>
        <v>0</v>
      </c>
      <c r="X111" s="24"/>
      <c r="Y111" s="24">
        <f t="shared" si="72"/>
        <v>0</v>
      </c>
      <c r="Z111" s="24"/>
      <c r="AA111" s="24">
        <f t="shared" si="73"/>
        <v>0</v>
      </c>
      <c r="AB111" s="24">
        <f t="shared" si="74"/>
        <v>0</v>
      </c>
      <c r="AC111" s="12" t="str">
        <f t="shared" ref="AC111:AC119" si="76">IF(ABS(AB111-F111)&lt;1,"ok","err")</f>
        <v>ok</v>
      </c>
    </row>
    <row r="112" spans="1:29" x14ac:dyDescent="0.2">
      <c r="A112" s="3" t="s">
        <v>429</v>
      </c>
      <c r="C112" s="3" t="s">
        <v>439</v>
      </c>
      <c r="D112" s="3" t="s">
        <v>29</v>
      </c>
      <c r="F112" s="24">
        <v>0</v>
      </c>
      <c r="H112" s="24">
        <f t="shared" si="62"/>
        <v>0</v>
      </c>
      <c r="I112" s="24">
        <f t="shared" si="63"/>
        <v>0</v>
      </c>
      <c r="J112" s="24"/>
      <c r="K112" s="24">
        <f t="shared" si="64"/>
        <v>0</v>
      </c>
      <c r="L112" s="24"/>
      <c r="M112" s="24">
        <f t="shared" si="65"/>
        <v>0</v>
      </c>
      <c r="N112" s="24"/>
      <c r="O112" s="24">
        <f t="shared" si="66"/>
        <v>0</v>
      </c>
      <c r="P112" s="24">
        <f t="shared" si="67"/>
        <v>0</v>
      </c>
      <c r="Q112" s="24"/>
      <c r="R112" s="24">
        <f t="shared" si="68"/>
        <v>0</v>
      </c>
      <c r="S112" s="24">
        <f t="shared" si="69"/>
        <v>0</v>
      </c>
      <c r="T112" s="24"/>
      <c r="U112" s="24">
        <f t="shared" si="70"/>
        <v>0</v>
      </c>
      <c r="V112" s="24"/>
      <c r="W112" s="24">
        <f t="shared" si="71"/>
        <v>0</v>
      </c>
      <c r="X112" s="24"/>
      <c r="Y112" s="24">
        <f t="shared" si="72"/>
        <v>0</v>
      </c>
      <c r="Z112" s="24"/>
      <c r="AA112" s="24">
        <f t="shared" si="73"/>
        <v>0</v>
      </c>
      <c r="AB112" s="24">
        <f t="shared" si="74"/>
        <v>0</v>
      </c>
      <c r="AC112" s="12" t="str">
        <f t="shared" si="76"/>
        <v>ok</v>
      </c>
    </row>
    <row r="113" spans="1:29" x14ac:dyDescent="0.2">
      <c r="A113" s="3" t="s">
        <v>447</v>
      </c>
      <c r="C113" s="3" t="s">
        <v>440</v>
      </c>
      <c r="D113" s="3" t="s">
        <v>32</v>
      </c>
      <c r="F113" s="24">
        <v>0</v>
      </c>
      <c r="H113" s="24">
        <f t="shared" si="62"/>
        <v>0</v>
      </c>
      <c r="I113" s="24">
        <f t="shared" si="63"/>
        <v>0</v>
      </c>
      <c r="J113" s="24"/>
      <c r="K113" s="24">
        <f t="shared" si="64"/>
        <v>0</v>
      </c>
      <c r="L113" s="24"/>
      <c r="M113" s="24">
        <f t="shared" si="65"/>
        <v>0</v>
      </c>
      <c r="N113" s="24"/>
      <c r="O113" s="24">
        <f t="shared" si="66"/>
        <v>0</v>
      </c>
      <c r="P113" s="24">
        <f t="shared" si="67"/>
        <v>0</v>
      </c>
      <c r="Q113" s="24"/>
      <c r="R113" s="24">
        <f t="shared" si="68"/>
        <v>0</v>
      </c>
      <c r="S113" s="24">
        <f t="shared" si="69"/>
        <v>0</v>
      </c>
      <c r="T113" s="24"/>
      <c r="U113" s="24">
        <f t="shared" si="70"/>
        <v>0</v>
      </c>
      <c r="V113" s="24"/>
      <c r="W113" s="24">
        <f t="shared" si="71"/>
        <v>0</v>
      </c>
      <c r="X113" s="24"/>
      <c r="Y113" s="24">
        <f t="shared" si="72"/>
        <v>0</v>
      </c>
      <c r="Z113" s="24"/>
      <c r="AA113" s="24">
        <f t="shared" si="73"/>
        <v>0</v>
      </c>
      <c r="AB113" s="24">
        <f t="shared" si="74"/>
        <v>0</v>
      </c>
      <c r="AC113" s="12" t="str">
        <f t="shared" si="76"/>
        <v>ok</v>
      </c>
    </row>
    <row r="114" spans="1:29" x14ac:dyDescent="0.2">
      <c r="A114" s="3" t="s">
        <v>430</v>
      </c>
      <c r="C114" s="3" t="s">
        <v>441</v>
      </c>
      <c r="D114" s="3" t="s">
        <v>35</v>
      </c>
      <c r="F114" s="24">
        <v>0</v>
      </c>
      <c r="H114" s="24">
        <f t="shared" si="62"/>
        <v>0</v>
      </c>
      <c r="I114" s="24">
        <f t="shared" si="63"/>
        <v>0</v>
      </c>
      <c r="J114" s="24"/>
      <c r="K114" s="24">
        <f t="shared" si="64"/>
        <v>0</v>
      </c>
      <c r="L114" s="24"/>
      <c r="M114" s="24">
        <f t="shared" si="65"/>
        <v>0</v>
      </c>
      <c r="N114" s="24"/>
      <c r="O114" s="24">
        <f t="shared" si="66"/>
        <v>0</v>
      </c>
      <c r="P114" s="24">
        <f t="shared" si="67"/>
        <v>0</v>
      </c>
      <c r="Q114" s="24"/>
      <c r="R114" s="24">
        <f t="shared" si="68"/>
        <v>0</v>
      </c>
      <c r="S114" s="24">
        <f t="shared" si="69"/>
        <v>0</v>
      </c>
      <c r="T114" s="24"/>
      <c r="U114" s="24">
        <f t="shared" si="70"/>
        <v>0</v>
      </c>
      <c r="V114" s="24"/>
      <c r="W114" s="24">
        <f t="shared" si="71"/>
        <v>0</v>
      </c>
      <c r="X114" s="24"/>
      <c r="Y114" s="24">
        <f t="shared" si="72"/>
        <v>0</v>
      </c>
      <c r="Z114" s="24"/>
      <c r="AA114" s="24">
        <f t="shared" si="73"/>
        <v>0</v>
      </c>
      <c r="AB114" s="24">
        <f t="shared" si="74"/>
        <v>0</v>
      </c>
      <c r="AC114" s="12" t="str">
        <f t="shared" si="76"/>
        <v>ok</v>
      </c>
    </row>
    <row r="115" spans="1:29" x14ac:dyDescent="0.2">
      <c r="A115" s="3" t="s">
        <v>431</v>
      </c>
      <c r="C115" s="3" t="s">
        <v>442</v>
      </c>
      <c r="D115" s="3" t="s">
        <v>37</v>
      </c>
      <c r="F115" s="24">
        <v>0</v>
      </c>
      <c r="H115" s="24">
        <f t="shared" si="62"/>
        <v>0</v>
      </c>
      <c r="I115" s="24">
        <f t="shared" si="63"/>
        <v>0</v>
      </c>
      <c r="J115" s="24"/>
      <c r="K115" s="24">
        <f t="shared" si="64"/>
        <v>0</v>
      </c>
      <c r="L115" s="24"/>
      <c r="M115" s="24">
        <f t="shared" si="65"/>
        <v>0</v>
      </c>
      <c r="N115" s="24"/>
      <c r="O115" s="24">
        <f t="shared" si="66"/>
        <v>0</v>
      </c>
      <c r="P115" s="24">
        <f t="shared" si="67"/>
        <v>0</v>
      </c>
      <c r="Q115" s="24"/>
      <c r="R115" s="24">
        <f t="shared" si="68"/>
        <v>0</v>
      </c>
      <c r="S115" s="24">
        <f t="shared" si="69"/>
        <v>0</v>
      </c>
      <c r="T115" s="24"/>
      <c r="U115" s="24">
        <f t="shared" si="70"/>
        <v>0</v>
      </c>
      <c r="V115" s="24"/>
      <c r="W115" s="24">
        <f t="shared" si="71"/>
        <v>0</v>
      </c>
      <c r="X115" s="24"/>
      <c r="Y115" s="24">
        <f t="shared" si="72"/>
        <v>0</v>
      </c>
      <c r="Z115" s="24"/>
      <c r="AA115" s="24">
        <f t="shared" si="73"/>
        <v>0</v>
      </c>
      <c r="AB115" s="24">
        <f t="shared" si="74"/>
        <v>0</v>
      </c>
      <c r="AC115" s="12" t="str">
        <f>IF(ABS(AB115-F115)&lt;1,"ok","err")</f>
        <v>ok</v>
      </c>
    </row>
    <row r="116" spans="1:29" x14ac:dyDescent="0.2">
      <c r="A116" s="3" t="s">
        <v>432</v>
      </c>
      <c r="C116" s="3" t="s">
        <v>443</v>
      </c>
      <c r="D116" s="3" t="s">
        <v>40</v>
      </c>
      <c r="F116" s="24">
        <v>0</v>
      </c>
      <c r="H116" s="24">
        <f t="shared" si="62"/>
        <v>0</v>
      </c>
      <c r="I116" s="24">
        <f t="shared" si="63"/>
        <v>0</v>
      </c>
      <c r="J116" s="24"/>
      <c r="K116" s="24">
        <f t="shared" si="64"/>
        <v>0</v>
      </c>
      <c r="L116" s="24"/>
      <c r="M116" s="24">
        <f t="shared" si="65"/>
        <v>0</v>
      </c>
      <c r="N116" s="24"/>
      <c r="O116" s="24">
        <f t="shared" si="66"/>
        <v>0</v>
      </c>
      <c r="P116" s="24">
        <f t="shared" si="67"/>
        <v>0</v>
      </c>
      <c r="Q116" s="24"/>
      <c r="R116" s="24">
        <f t="shared" si="68"/>
        <v>0</v>
      </c>
      <c r="S116" s="24">
        <f t="shared" si="69"/>
        <v>0</v>
      </c>
      <c r="T116" s="24"/>
      <c r="U116" s="24">
        <f t="shared" si="70"/>
        <v>0</v>
      </c>
      <c r="V116" s="24"/>
      <c r="W116" s="24">
        <f t="shared" si="71"/>
        <v>0</v>
      </c>
      <c r="X116" s="24"/>
      <c r="Y116" s="24">
        <f t="shared" si="72"/>
        <v>0</v>
      </c>
      <c r="Z116" s="24"/>
      <c r="AA116" s="24">
        <f t="shared" si="73"/>
        <v>0</v>
      </c>
      <c r="AB116" s="24">
        <f t="shared" si="74"/>
        <v>0</v>
      </c>
      <c r="AC116" s="12" t="str">
        <f t="shared" si="76"/>
        <v>ok</v>
      </c>
    </row>
    <row r="117" spans="1:29" x14ac:dyDescent="0.2">
      <c r="A117" s="3" t="s">
        <v>433</v>
      </c>
      <c r="C117" s="3" t="s">
        <v>444</v>
      </c>
      <c r="D117" s="3" t="s">
        <v>43</v>
      </c>
      <c r="F117" s="24">
        <v>0</v>
      </c>
      <c r="H117" s="24">
        <f t="shared" si="62"/>
        <v>0</v>
      </c>
      <c r="I117" s="24">
        <f t="shared" si="63"/>
        <v>0</v>
      </c>
      <c r="J117" s="24"/>
      <c r="K117" s="24">
        <f t="shared" si="64"/>
        <v>0</v>
      </c>
      <c r="L117" s="24"/>
      <c r="M117" s="24">
        <f t="shared" si="65"/>
        <v>0</v>
      </c>
      <c r="N117" s="24"/>
      <c r="O117" s="24">
        <f t="shared" si="66"/>
        <v>0</v>
      </c>
      <c r="P117" s="24">
        <f t="shared" si="67"/>
        <v>0</v>
      </c>
      <c r="Q117" s="24"/>
      <c r="R117" s="24">
        <f t="shared" si="68"/>
        <v>0</v>
      </c>
      <c r="S117" s="24">
        <f t="shared" si="69"/>
        <v>0</v>
      </c>
      <c r="T117" s="24"/>
      <c r="U117" s="24">
        <f t="shared" si="70"/>
        <v>0</v>
      </c>
      <c r="V117" s="24"/>
      <c r="W117" s="24">
        <f t="shared" si="71"/>
        <v>0</v>
      </c>
      <c r="X117" s="24"/>
      <c r="Y117" s="24">
        <f t="shared" si="72"/>
        <v>0</v>
      </c>
      <c r="Z117" s="24"/>
      <c r="AA117" s="24">
        <f t="shared" si="73"/>
        <v>0</v>
      </c>
      <c r="AB117" s="24">
        <f t="shared" si="74"/>
        <v>0</v>
      </c>
      <c r="AC117" s="12" t="str">
        <f t="shared" si="76"/>
        <v>ok</v>
      </c>
    </row>
    <row r="118" spans="1:29" x14ac:dyDescent="0.2">
      <c r="A118" s="3" t="s">
        <v>434</v>
      </c>
      <c r="C118" s="3" t="s">
        <v>445</v>
      </c>
      <c r="D118" s="3" t="s">
        <v>46</v>
      </c>
      <c r="F118" s="24">
        <v>0</v>
      </c>
      <c r="H118" s="24">
        <f t="shared" si="62"/>
        <v>0</v>
      </c>
      <c r="I118" s="24">
        <f t="shared" si="63"/>
        <v>0</v>
      </c>
      <c r="J118" s="24"/>
      <c r="K118" s="24">
        <f t="shared" si="64"/>
        <v>0</v>
      </c>
      <c r="L118" s="24"/>
      <c r="M118" s="24">
        <f t="shared" si="65"/>
        <v>0</v>
      </c>
      <c r="N118" s="24"/>
      <c r="O118" s="24">
        <f t="shared" si="66"/>
        <v>0</v>
      </c>
      <c r="P118" s="24">
        <f t="shared" si="67"/>
        <v>0</v>
      </c>
      <c r="Q118" s="24"/>
      <c r="R118" s="24">
        <f t="shared" si="68"/>
        <v>0</v>
      </c>
      <c r="S118" s="24">
        <f t="shared" si="69"/>
        <v>0</v>
      </c>
      <c r="T118" s="24"/>
      <c r="U118" s="24">
        <f t="shared" si="70"/>
        <v>0</v>
      </c>
      <c r="V118" s="24"/>
      <c r="W118" s="24">
        <f t="shared" si="71"/>
        <v>0</v>
      </c>
      <c r="X118" s="24"/>
      <c r="Y118" s="24">
        <f t="shared" si="72"/>
        <v>0</v>
      </c>
      <c r="Z118" s="24"/>
      <c r="AA118" s="24">
        <f t="shared" si="73"/>
        <v>0</v>
      </c>
      <c r="AB118" s="24">
        <f t="shared" si="74"/>
        <v>0</v>
      </c>
      <c r="AC118" s="12" t="str">
        <f t="shared" si="76"/>
        <v>ok</v>
      </c>
    </row>
    <row r="119" spans="1:29" x14ac:dyDescent="0.2">
      <c r="A119" s="3" t="s">
        <v>435</v>
      </c>
      <c r="C119" s="3" t="s">
        <v>446</v>
      </c>
      <c r="D119" s="3" t="s">
        <v>48</v>
      </c>
      <c r="F119" s="24">
        <v>0</v>
      </c>
      <c r="H119" s="24">
        <f t="shared" si="62"/>
        <v>0</v>
      </c>
      <c r="I119" s="24">
        <f t="shared" si="63"/>
        <v>0</v>
      </c>
      <c r="J119" s="24"/>
      <c r="K119" s="24">
        <f t="shared" si="64"/>
        <v>0</v>
      </c>
      <c r="L119" s="24"/>
      <c r="M119" s="24">
        <f t="shared" si="65"/>
        <v>0</v>
      </c>
      <c r="N119" s="24"/>
      <c r="O119" s="24">
        <f t="shared" si="66"/>
        <v>0</v>
      </c>
      <c r="P119" s="24">
        <f t="shared" si="67"/>
        <v>0</v>
      </c>
      <c r="Q119" s="24"/>
      <c r="R119" s="24">
        <f t="shared" si="68"/>
        <v>0</v>
      </c>
      <c r="S119" s="24">
        <f t="shared" si="69"/>
        <v>0</v>
      </c>
      <c r="T119" s="24"/>
      <c r="U119" s="24">
        <f t="shared" si="70"/>
        <v>0</v>
      </c>
      <c r="V119" s="24"/>
      <c r="W119" s="24">
        <f t="shared" si="71"/>
        <v>0</v>
      </c>
      <c r="X119" s="24"/>
      <c r="Y119" s="24">
        <f t="shared" si="72"/>
        <v>0</v>
      </c>
      <c r="Z119" s="24"/>
      <c r="AA119" s="24">
        <f t="shared" si="73"/>
        <v>0</v>
      </c>
      <c r="AB119" s="24">
        <f t="shared" si="74"/>
        <v>0</v>
      </c>
      <c r="AC119" s="12" t="str">
        <f t="shared" si="76"/>
        <v>ok</v>
      </c>
    </row>
    <row r="120" spans="1:29" x14ac:dyDescent="0.2">
      <c r="A120" s="3" t="s">
        <v>807</v>
      </c>
      <c r="D120" s="3" t="s">
        <v>70</v>
      </c>
      <c r="F120" s="24">
        <v>0</v>
      </c>
      <c r="H120" s="24">
        <f t="shared" si="62"/>
        <v>0</v>
      </c>
      <c r="I120" s="24">
        <f t="shared" si="63"/>
        <v>0</v>
      </c>
      <c r="J120" s="24"/>
      <c r="K120" s="24">
        <f t="shared" si="64"/>
        <v>0</v>
      </c>
      <c r="L120" s="24"/>
      <c r="M120" s="24">
        <f t="shared" si="65"/>
        <v>0</v>
      </c>
      <c r="N120" s="24"/>
      <c r="O120" s="24">
        <f t="shared" si="66"/>
        <v>0</v>
      </c>
      <c r="P120" s="24">
        <f t="shared" si="67"/>
        <v>0</v>
      </c>
      <c r="Q120" s="24"/>
      <c r="R120" s="24">
        <f t="shared" si="68"/>
        <v>0</v>
      </c>
      <c r="S120" s="24">
        <f t="shared" si="69"/>
        <v>0</v>
      </c>
      <c r="T120" s="24"/>
      <c r="U120" s="24">
        <f t="shared" si="70"/>
        <v>0</v>
      </c>
      <c r="V120" s="24"/>
      <c r="W120" s="24">
        <f t="shared" si="71"/>
        <v>0</v>
      </c>
      <c r="X120" s="24"/>
      <c r="Y120" s="24">
        <f t="shared" si="72"/>
        <v>0</v>
      </c>
      <c r="Z120" s="24"/>
      <c r="AA120" s="24">
        <f t="shared" si="73"/>
        <v>0</v>
      </c>
      <c r="AB120" s="24">
        <f t="shared" si="74"/>
        <v>0</v>
      </c>
      <c r="AC120" s="12" t="str">
        <f>IF(ABS(AB120-F120)&lt;1,"ok","err")</f>
        <v>ok</v>
      </c>
    </row>
    <row r="121" spans="1:29" x14ac:dyDescent="0.2">
      <c r="A121" s="185" t="s">
        <v>808</v>
      </c>
      <c r="D121" s="3" t="s">
        <v>70</v>
      </c>
      <c r="F121" s="24">
        <v>0</v>
      </c>
      <c r="H121" s="24">
        <f t="shared" si="62"/>
        <v>0</v>
      </c>
      <c r="I121" s="24">
        <f t="shared" si="63"/>
        <v>0</v>
      </c>
      <c r="J121" s="24"/>
      <c r="K121" s="24">
        <f t="shared" si="64"/>
        <v>0</v>
      </c>
      <c r="L121" s="24"/>
      <c r="M121" s="24">
        <f t="shared" si="65"/>
        <v>0</v>
      </c>
      <c r="N121" s="24"/>
      <c r="O121" s="24">
        <f t="shared" si="66"/>
        <v>0</v>
      </c>
      <c r="P121" s="24">
        <f t="shared" si="67"/>
        <v>0</v>
      </c>
      <c r="Q121" s="24"/>
      <c r="R121" s="24">
        <f t="shared" si="68"/>
        <v>0</v>
      </c>
      <c r="S121" s="24">
        <f t="shared" si="69"/>
        <v>0</v>
      </c>
      <c r="T121" s="24"/>
      <c r="U121" s="24">
        <f t="shared" si="70"/>
        <v>0</v>
      </c>
      <c r="V121" s="24"/>
      <c r="W121" s="24">
        <f t="shared" si="71"/>
        <v>0</v>
      </c>
      <c r="X121" s="24"/>
      <c r="Y121" s="24">
        <f t="shared" si="72"/>
        <v>0</v>
      </c>
      <c r="Z121" s="24"/>
      <c r="AA121" s="24">
        <f t="shared" si="73"/>
        <v>0</v>
      </c>
      <c r="AB121" s="24">
        <f t="shared" si="74"/>
        <v>0</v>
      </c>
      <c r="AC121" s="12" t="str">
        <f>IF(ABS(AB121-F121)&lt;1,"ok","err")</f>
        <v>ok</v>
      </c>
    </row>
    <row r="122" spans="1:29" x14ac:dyDescent="0.2">
      <c r="A122" s="3" t="s">
        <v>809</v>
      </c>
      <c r="D122" s="3" t="s">
        <v>70</v>
      </c>
      <c r="F122" s="24">
        <v>0</v>
      </c>
      <c r="H122" s="24">
        <f t="shared" si="62"/>
        <v>0</v>
      </c>
      <c r="I122" s="24">
        <f t="shared" si="63"/>
        <v>0</v>
      </c>
      <c r="J122" s="24"/>
      <c r="K122" s="24">
        <f t="shared" si="64"/>
        <v>0</v>
      </c>
      <c r="L122" s="24"/>
      <c r="M122" s="24">
        <f t="shared" si="65"/>
        <v>0</v>
      </c>
      <c r="N122" s="24"/>
      <c r="O122" s="24">
        <f t="shared" si="66"/>
        <v>0</v>
      </c>
      <c r="P122" s="24">
        <f t="shared" si="67"/>
        <v>0</v>
      </c>
      <c r="Q122" s="24"/>
      <c r="R122" s="24">
        <f t="shared" si="68"/>
        <v>0</v>
      </c>
      <c r="S122" s="24">
        <f t="shared" si="69"/>
        <v>0</v>
      </c>
      <c r="T122" s="24"/>
      <c r="U122" s="24">
        <f t="shared" si="70"/>
        <v>0</v>
      </c>
      <c r="V122" s="24"/>
      <c r="W122" s="24">
        <f t="shared" si="71"/>
        <v>0</v>
      </c>
      <c r="X122" s="24"/>
      <c r="Y122" s="24">
        <f t="shared" si="72"/>
        <v>0</v>
      </c>
      <c r="Z122" s="24"/>
      <c r="AA122" s="24">
        <f t="shared" si="73"/>
        <v>0</v>
      </c>
      <c r="AB122" s="24">
        <f t="shared" si="74"/>
        <v>0</v>
      </c>
      <c r="AC122" s="12" t="str">
        <f>IF(ABS(AB122-F122)&lt;1,"ok","err")</f>
        <v>ok</v>
      </c>
    </row>
    <row r="123" spans="1:29" x14ac:dyDescent="0.2">
      <c r="Q123" s="3"/>
      <c r="AB123" s="24"/>
      <c r="AC123" s="12"/>
    </row>
    <row r="124" spans="1:29" x14ac:dyDescent="0.2">
      <c r="A124" s="3" t="s">
        <v>806</v>
      </c>
      <c r="C124" s="3" t="s">
        <v>82</v>
      </c>
      <c r="F124" s="65">
        <f>SUM(F104:F122)</f>
        <v>29195295.18</v>
      </c>
      <c r="G124" s="65"/>
      <c r="H124" s="65">
        <f>SUM(H104:H122)</f>
        <v>0</v>
      </c>
      <c r="I124" s="65">
        <f>SUM(I104:I122)</f>
        <v>0</v>
      </c>
      <c r="J124" s="65"/>
      <c r="K124" s="65">
        <f>SUM(K104:K122)</f>
        <v>0</v>
      </c>
      <c r="L124" s="65"/>
      <c r="M124" s="65">
        <f>SUM(M104:M122)</f>
        <v>253791.22728667079</v>
      </c>
      <c r="N124" s="65"/>
      <c r="O124" s="65">
        <f>SUM(O104:O122)</f>
        <v>12979936.217563683</v>
      </c>
      <c r="P124" s="65">
        <f>SUM(P104:P122)</f>
        <v>8715275.2989099715</v>
      </c>
      <c r="Q124" s="65"/>
      <c r="R124" s="65">
        <f>SUM(R104:R122)</f>
        <v>0</v>
      </c>
      <c r="S124" s="65">
        <f>SUM(S104:S122)</f>
        <v>3280481.0643318472</v>
      </c>
      <c r="T124" s="65"/>
      <c r="U124" s="65">
        <f>SUM(U104:U122)</f>
        <v>1980170.345615257</v>
      </c>
      <c r="V124" s="65"/>
      <c r="W124" s="65">
        <f>SUM(W104:W122)</f>
        <v>1985641.0262925732</v>
      </c>
      <c r="X124" s="65"/>
      <c r="Y124" s="65">
        <f>SUM(Y104:Y122)</f>
        <v>0</v>
      </c>
      <c r="Z124" s="65"/>
      <c r="AA124" s="65">
        <f>SUM(AA104:AA122)</f>
        <v>0</v>
      </c>
      <c r="AB124" s="24">
        <f>SUM(H124:AA124)</f>
        <v>29195295.180000003</v>
      </c>
      <c r="AC124" s="12" t="str">
        <f>IF(ABS(AB124-F124)&lt;1,"ok","err")</f>
        <v>ok</v>
      </c>
    </row>
    <row r="125" spans="1:29" x14ac:dyDescent="0.2">
      <c r="D125" s="206"/>
      <c r="F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24"/>
      <c r="AC125" s="12"/>
    </row>
    <row r="126" spans="1:29" x14ac:dyDescent="0.2">
      <c r="A126" s="10" t="s">
        <v>83</v>
      </c>
      <c r="C126" s="3" t="s">
        <v>84</v>
      </c>
      <c r="F126" s="65">
        <f>F101-F124</f>
        <v>34667777.350000001</v>
      </c>
      <c r="G126" s="65"/>
      <c r="H126" s="65">
        <f>H101-H124</f>
        <v>0</v>
      </c>
      <c r="I126" s="65">
        <f>I101-I124</f>
        <v>0</v>
      </c>
      <c r="J126" s="65"/>
      <c r="K126" s="65">
        <f>K101-K124</f>
        <v>0</v>
      </c>
      <c r="L126" s="65"/>
      <c r="M126" s="65">
        <f>M101-M124</f>
        <v>301362.86366389622</v>
      </c>
      <c r="N126" s="65"/>
      <c r="O126" s="65">
        <f>O101-O124</f>
        <v>15412947.053056614</v>
      </c>
      <c r="P126" s="65">
        <f>P101-P124</f>
        <v>10348901.141220303</v>
      </c>
      <c r="Q126" s="65"/>
      <c r="R126" s="65">
        <f>R101-R124</f>
        <v>0</v>
      </c>
      <c r="S126" s="65">
        <f>S101-S124</f>
        <v>3895387.473837059</v>
      </c>
      <c r="T126" s="65"/>
      <c r="U126" s="65">
        <f>U101-U124</f>
        <v>2351341.3457072726</v>
      </c>
      <c r="V126" s="65"/>
      <c r="W126" s="65">
        <f>W101-W124</f>
        <v>2357837.472514858</v>
      </c>
      <c r="X126" s="65"/>
      <c r="Y126" s="65">
        <f>Y101-Y124</f>
        <v>0</v>
      </c>
      <c r="Z126" s="65"/>
      <c r="AA126" s="65">
        <f>AA101-AA124</f>
        <v>0</v>
      </c>
      <c r="AB126" s="24">
        <f>SUM(H126:AA126)</f>
        <v>34667777.350000001</v>
      </c>
      <c r="AC126" s="12" t="str">
        <f>IF(ABS(AB126-F126)&lt;1,"ok","err")</f>
        <v>ok</v>
      </c>
    </row>
    <row r="127" spans="1:29" x14ac:dyDescent="0.2">
      <c r="D127" s="206"/>
      <c r="F127" s="65"/>
      <c r="Q127" s="3"/>
      <c r="AC127" s="12"/>
    </row>
    <row r="128" spans="1:29" x14ac:dyDescent="0.2">
      <c r="A128" s="10" t="s">
        <v>85</v>
      </c>
      <c r="Q128" s="3"/>
      <c r="AC128" s="12"/>
    </row>
    <row r="129" spans="1:29" x14ac:dyDescent="0.2">
      <c r="A129" s="3" t="s">
        <v>413</v>
      </c>
      <c r="C129" s="3" t="s">
        <v>87</v>
      </c>
      <c r="D129" s="3" t="s">
        <v>88</v>
      </c>
      <c r="F129" s="41">
        <f>0.125*(F285-F180)</f>
        <v>830843.88624999998</v>
      </c>
      <c r="G129" s="41"/>
      <c r="H129" s="41">
        <f>0.125*(H285-H180)</f>
        <v>0</v>
      </c>
      <c r="I129" s="41">
        <f>0.125*(I285-I180)</f>
        <v>0</v>
      </c>
      <c r="J129" s="41"/>
      <c r="K129" s="41">
        <f>0.125*(K285-K180)</f>
        <v>0</v>
      </c>
      <c r="L129" s="41"/>
      <c r="M129" s="41">
        <f>0.125*(M285-M180)</f>
        <v>1131.4520347861771</v>
      </c>
      <c r="N129" s="41"/>
      <c r="O129" s="41">
        <f>0.125*(O285-O180)</f>
        <v>284482.1045264022</v>
      </c>
      <c r="P129" s="41">
        <f>0.125*(P285-P180)</f>
        <v>172364.23367936979</v>
      </c>
      <c r="Q129" s="41"/>
      <c r="R129" s="41">
        <f>0.125*(R285-R180)</f>
        <v>0</v>
      </c>
      <c r="S129" s="41">
        <f>0.125*(S285-S180)</f>
        <v>15830.546996253874</v>
      </c>
      <c r="T129" s="41"/>
      <c r="U129" s="41">
        <f>0.125*(U285-U180)</f>
        <v>144054.76986414095</v>
      </c>
      <c r="V129" s="41"/>
      <c r="W129" s="41">
        <f>0.125*(W285-W180)</f>
        <v>8852.3847083805049</v>
      </c>
      <c r="X129" s="41"/>
      <c r="Y129" s="41">
        <f>0.125*(Y285-Y180)</f>
        <v>204122.41530844869</v>
      </c>
      <c r="Z129" s="41"/>
      <c r="AA129" s="41">
        <f>0.125*(AA285-AA180)</f>
        <v>5.9791322177653221</v>
      </c>
      <c r="AB129" s="24">
        <f>SUM(H129:AA129)</f>
        <v>830843.8862500001</v>
      </c>
      <c r="AC129" s="12" t="str">
        <f>IF(ABS(AB129-F129)&lt;1,"ok","err")</f>
        <v>ok</v>
      </c>
    </row>
    <row r="130" spans="1:29" x14ac:dyDescent="0.2">
      <c r="A130" s="3" t="s">
        <v>927</v>
      </c>
      <c r="C130" s="3" t="s">
        <v>396</v>
      </c>
      <c r="D130" s="3" t="s">
        <v>72</v>
      </c>
      <c r="F130" s="24">
        <v>590872.84846153844</v>
      </c>
      <c r="G130" s="24"/>
      <c r="H130" s="24">
        <f>IF(VLOOKUP($D130,$C$5:$AA$494,6,)=0,0,((VLOOKUP($D130,$C$5:$AA$494,6,)/VLOOKUP($D130,$C$5:$AA$494,4,))*$F130))</f>
        <v>0</v>
      </c>
      <c r="I130" s="24">
        <f>IF(VLOOKUP($D130,$C$5:$AA$494,7,)=0,0,((VLOOKUP($D130,$C$5:$AA$494,7,)/VLOOKUP($D130,$C$5:$AA$494,4,))*$F130))</f>
        <v>0</v>
      </c>
      <c r="J130" s="24"/>
      <c r="K130" s="24">
        <f>IF(VLOOKUP($D130,$C$5:$AA$494,9,)=0,0,((VLOOKUP($D130,$C$5:$AA$494,9,)/VLOOKUP($D130,$C$5:$AA$494,4,))*$F130))</f>
        <v>0</v>
      </c>
      <c r="L130" s="24"/>
      <c r="M130" s="24">
        <f>IF(VLOOKUP($D130,$C$5:$AA$494,11,)=0,0,((VLOOKUP($D130,$C$5:$AA$494,11,)/VLOOKUP($D130,$C$5:$AA$494,4,))*$F130))</f>
        <v>5136.3873684741047</v>
      </c>
      <c r="N130" s="24"/>
      <c r="O130" s="24">
        <f>IF(VLOOKUP($D130,$C$5:$AA$494,13,)=0,0,((VLOOKUP($D130,$C$5:$AA$494,13,)/VLOOKUP($D130,$C$5:$AA$494,4,))*$F130))</f>
        <v>262696.15835139301</v>
      </c>
      <c r="P130" s="24">
        <f>IF(VLOOKUP($D130,$C$5:$AA$494,14,)=0,0,((VLOOKUP($D130,$C$5:$AA$494,14,)/VLOOKUP($D130,$C$5:$AA$494,4,))*$F130))</f>
        <v>176385.25348841571</v>
      </c>
      <c r="Q130" s="24"/>
      <c r="R130" s="24">
        <f>IF(VLOOKUP($D130,$C$5:$AA$494,16,)=0,0,((VLOOKUP($D130,$C$5:$AA$494,16,)/VLOOKUP($D130,$C$5:$AA$494,4,))*$F130))</f>
        <v>0</v>
      </c>
      <c r="S130" s="24">
        <f>IF(VLOOKUP($D130,$C$5:$AA$494,17,)=0,0,((VLOOKUP($D130,$C$5:$AA$494,17,)/VLOOKUP($D130,$C$5:$AA$494,4,))*$F130))</f>
        <v>66392.450525170454</v>
      </c>
      <c r="T130" s="24"/>
      <c r="U130" s="24">
        <f>IF(VLOOKUP($D130,$C$5:$AA$494,19,)=0,0,((VLOOKUP($D130,$C$5:$AA$494,19,)/VLOOKUP($D130,$C$5:$AA$494,4,))*$F130))</f>
        <v>40075.939816298713</v>
      </c>
      <c r="V130" s="24"/>
      <c r="W130" s="24">
        <f>IF(VLOOKUP($D130,$C$5:$AA$494,21,)=0,0,((VLOOKUP($D130,$C$5:$AA$494,21,)/VLOOKUP($D130,$C$5:$AA$494,4,))*$F130))</f>
        <v>40186.658911786522</v>
      </c>
      <c r="X130" s="24"/>
      <c r="Y130" s="24">
        <f>IF(VLOOKUP($D130,$C$5:$AA$494,23,)=0,0,((VLOOKUP($D130,$C$5:$AA$494,23,)/VLOOKUP($D130,$C$5:$AA$494,4,))*$F130))</f>
        <v>0</v>
      </c>
      <c r="Z130" s="24"/>
      <c r="AA130" s="24">
        <f>IF(VLOOKUP($D130,$C$5:$AA$494,25,)=0,0,((VLOOKUP($D130,$C$5:$AA$494,25,)/VLOOKUP($D130,$C$5:$AA$494,4,))*$F130))</f>
        <v>0</v>
      </c>
      <c r="AB130" s="24">
        <f>SUM(H130:AA130)</f>
        <v>590872.84846153844</v>
      </c>
      <c r="AC130" s="12" t="str">
        <f>IF(ABS(AB130-F130)&lt;1,"ok","err")</f>
        <v>ok</v>
      </c>
    </row>
    <row r="131" spans="1:29" x14ac:dyDescent="0.2">
      <c r="A131" s="3" t="s">
        <v>928</v>
      </c>
      <c r="C131" s="3" t="s">
        <v>89</v>
      </c>
      <c r="D131" s="3" t="s">
        <v>72</v>
      </c>
      <c r="F131" s="24">
        <v>56557.047692307686</v>
      </c>
      <c r="H131" s="24">
        <f>IF(VLOOKUP($D131,$C$5:$AA$494,6,)=0,0,((VLOOKUP($D131,$C$5:$AA$494,6,)/VLOOKUP($D131,$C$5:$AA$494,4,))*$F131))</f>
        <v>0</v>
      </c>
      <c r="I131" s="24">
        <f>IF(VLOOKUP($D131,$C$5:$AA$494,7,)=0,0,((VLOOKUP($D131,$C$5:$AA$494,7,)/VLOOKUP($D131,$C$5:$AA$494,4,))*$F131))</f>
        <v>0</v>
      </c>
      <c r="J131" s="24"/>
      <c r="K131" s="24">
        <f>IF(VLOOKUP($D131,$C$5:$AA$494,9,)=0,0,((VLOOKUP($D131,$C$5:$AA$494,9,)/VLOOKUP($D131,$C$5:$AA$494,4,))*$F131))</f>
        <v>0</v>
      </c>
      <c r="L131" s="24"/>
      <c r="M131" s="24">
        <f>IF(VLOOKUP($D131,$C$5:$AA$494,11,)=0,0,((VLOOKUP($D131,$C$5:$AA$494,11,)/VLOOKUP($D131,$C$5:$AA$494,4,))*$F131))</f>
        <v>491.64368632156919</v>
      </c>
      <c r="N131" s="24"/>
      <c r="O131" s="24">
        <f>IF(VLOOKUP($D131,$C$5:$AA$494,13,)=0,0,((VLOOKUP($D131,$C$5:$AA$494,13,)/VLOOKUP($D131,$C$5:$AA$494,4,))*$F131))</f>
        <v>25144.697704675204</v>
      </c>
      <c r="P131" s="24">
        <f>IF(VLOOKUP($D131,$C$5:$AA$494,14,)=0,0,((VLOOKUP($D131,$C$5:$AA$494,14,)/VLOOKUP($D131,$C$5:$AA$494,4,))*$F131))</f>
        <v>16883.207985843779</v>
      </c>
      <c r="Q131" s="24"/>
      <c r="R131" s="24">
        <f>IF(VLOOKUP($D131,$C$5:$AA$494,16,)=0,0,((VLOOKUP($D131,$C$5:$AA$494,16,)/VLOOKUP($D131,$C$5:$AA$494,4,))*$F131))</f>
        <v>0</v>
      </c>
      <c r="S131" s="24">
        <f>IF(VLOOKUP($D131,$C$5:$AA$494,17,)=0,0,((VLOOKUP($D131,$C$5:$AA$494,17,)/VLOOKUP($D131,$C$5:$AA$494,4,))*$F131))</f>
        <v>6354.9391388317699</v>
      </c>
      <c r="T131" s="24"/>
      <c r="U131" s="24">
        <f>IF(VLOOKUP($D131,$C$5:$AA$494,19,)=0,0,((VLOOKUP($D131,$C$5:$AA$494,19,)/VLOOKUP($D131,$C$5:$AA$494,4,))*$F131))</f>
        <v>3835.9806943337603</v>
      </c>
      <c r="V131" s="24"/>
      <c r="W131" s="24">
        <f>IF(VLOOKUP($D131,$C$5:$AA$494,21,)=0,0,((VLOOKUP($D131,$C$5:$AA$494,21,)/VLOOKUP($D131,$C$5:$AA$494,4,))*$F131))</f>
        <v>3846.578482301607</v>
      </c>
      <c r="X131" s="24"/>
      <c r="Y131" s="24">
        <f>IF(VLOOKUP($D131,$C$5:$AA$494,23,)=0,0,((VLOOKUP($D131,$C$5:$AA$494,23,)/VLOOKUP($D131,$C$5:$AA$494,4,))*$F131))</f>
        <v>0</v>
      </c>
      <c r="Z131" s="24"/>
      <c r="AA131" s="24">
        <f>IF(VLOOKUP($D131,$C$5:$AA$494,25,)=0,0,((VLOOKUP($D131,$C$5:$AA$494,25,)/VLOOKUP($D131,$C$5:$AA$494,4,))*$F131))</f>
        <v>0</v>
      </c>
      <c r="AB131" s="24">
        <f>SUM(H131:AA131)</f>
        <v>56557.047692307686</v>
      </c>
      <c r="AC131" s="12" t="str">
        <f>IF(ABS(AB131-F131)&lt;1,"ok","err")</f>
        <v>ok</v>
      </c>
    </row>
    <row r="132" spans="1:29" x14ac:dyDescent="0.2">
      <c r="Q132" s="3"/>
      <c r="AB132" s="24"/>
      <c r="AC132" s="12"/>
    </row>
    <row r="133" spans="1:29" x14ac:dyDescent="0.2">
      <c r="A133" s="68" t="s">
        <v>90</v>
      </c>
      <c r="C133" s="3" t="s">
        <v>91</v>
      </c>
      <c r="F133" s="65">
        <f>SUM(F129:F132)</f>
        <v>1478273.7824038463</v>
      </c>
      <c r="G133" s="65"/>
      <c r="H133" s="65">
        <f t="shared" ref="H133:W133" si="77">SUM(H129:H132)</f>
        <v>0</v>
      </c>
      <c r="I133" s="65">
        <f t="shared" si="77"/>
        <v>0</v>
      </c>
      <c r="J133" s="65"/>
      <c r="K133" s="65">
        <f t="shared" si="77"/>
        <v>0</v>
      </c>
      <c r="L133" s="65"/>
      <c r="M133" s="65">
        <f t="shared" si="77"/>
        <v>6759.4830895818513</v>
      </c>
      <c r="N133" s="65"/>
      <c r="O133" s="65">
        <f t="shared" si="77"/>
        <v>572322.9605824704</v>
      </c>
      <c r="P133" s="65">
        <f t="shared" si="77"/>
        <v>365632.69515362929</v>
      </c>
      <c r="Q133" s="65"/>
      <c r="R133" s="65">
        <f t="shared" si="77"/>
        <v>0</v>
      </c>
      <c r="S133" s="65">
        <f t="shared" si="77"/>
        <v>88577.936660256106</v>
      </c>
      <c r="T133" s="65"/>
      <c r="U133" s="65">
        <f t="shared" si="77"/>
        <v>187966.69037477343</v>
      </c>
      <c r="V133" s="65"/>
      <c r="W133" s="65">
        <f t="shared" si="77"/>
        <v>52885.622102468631</v>
      </c>
      <c r="X133" s="65"/>
      <c r="Y133" s="65">
        <f>SUM(Y129:Y132)</f>
        <v>204122.41530844869</v>
      </c>
      <c r="Z133" s="65"/>
      <c r="AA133" s="65">
        <f>SUM(AA129:AA132)</f>
        <v>5.9791322177653221</v>
      </c>
      <c r="AB133" s="24">
        <f>SUM(H133:AA133)</f>
        <v>1478273.7824038463</v>
      </c>
      <c r="AC133" s="12" t="str">
        <f>IF(ABS(AB133-F133)&lt;1,"ok","err")</f>
        <v>ok</v>
      </c>
    </row>
    <row r="134" spans="1:29" x14ac:dyDescent="0.2">
      <c r="Q134" s="3"/>
      <c r="AC134" s="12"/>
    </row>
    <row r="135" spans="1:29" hidden="1" x14ac:dyDescent="0.2">
      <c r="A135" s="10" t="s">
        <v>908</v>
      </c>
      <c r="Q135" s="3"/>
      <c r="AC135" s="12"/>
    </row>
    <row r="136" spans="1:29" hidden="1" x14ac:dyDescent="0.2">
      <c r="A136" s="13">
        <v>1</v>
      </c>
      <c r="C136" s="3" t="s">
        <v>909</v>
      </c>
      <c r="D136" s="3" t="s">
        <v>16</v>
      </c>
      <c r="F136" s="41">
        <v>0</v>
      </c>
      <c r="H136" s="24">
        <f>IF(VLOOKUP($D136,$C$5:$AA$494,6,)=0,0,((VLOOKUP($D136,$C$5:$AA$494,6,)/VLOOKUP($D136,$C$5:$AA$494,4,))*$F136))</f>
        <v>0</v>
      </c>
      <c r="I136" s="24">
        <f>IF(VLOOKUP($D136,$C$5:$AA$494,7,)=0,0,((VLOOKUP($D136,$C$5:$AA$494,7,)/VLOOKUP($D136,$C$5:$AA$494,4,))*$F136))</f>
        <v>0</v>
      </c>
      <c r="J136" s="24"/>
      <c r="K136" s="24">
        <f>IF(VLOOKUP($D136,$C$5:$AA$494,9,)=0,0,((VLOOKUP($D136,$C$5:$AA$494,9,)/VLOOKUP($D136,$C$5:$AA$494,4,))*$F136))</f>
        <v>0</v>
      </c>
      <c r="L136" s="24"/>
      <c r="M136" s="24">
        <f>IF(VLOOKUP($D136,$C$5:$AA$494,11,)=0,0,((VLOOKUP($D136,$C$5:$AA$494,11,)/VLOOKUP($D136,$C$5:$AA$494,4,))*$F136))</f>
        <v>0</v>
      </c>
      <c r="N136" s="24"/>
      <c r="O136" s="24">
        <f>IF(VLOOKUP($D136,$C$5:$AA$494,13,)=0,0,((VLOOKUP($D136,$C$5:$AA$494,13,)/VLOOKUP($D136,$C$5:$AA$494,4,))*$F136))</f>
        <v>0</v>
      </c>
      <c r="P136" s="24">
        <f>IF(VLOOKUP($D136,$C$5:$AA$494,14,)=0,0,((VLOOKUP($D136,$C$5:$AA$494,14,)/VLOOKUP($D136,$C$5:$AA$494,4,))*$F136))</f>
        <v>0</v>
      </c>
      <c r="Q136" s="24"/>
      <c r="R136" s="24">
        <f>IF(VLOOKUP($D136,$C$5:$AA$494,16,)=0,0,((VLOOKUP($D136,$C$5:$AA$494,16,)/VLOOKUP($D136,$C$5:$AA$494,4,))*$F136))</f>
        <v>0</v>
      </c>
      <c r="S136" s="24">
        <f>IF(VLOOKUP($D136,$C$5:$AA$494,17,)=0,0,((VLOOKUP($D136,$C$5:$AA$494,17,)/VLOOKUP($D136,$C$5:$AA$494,4,))*$F136))</f>
        <v>0</v>
      </c>
      <c r="T136" s="24"/>
      <c r="U136" s="24">
        <f>IF(VLOOKUP($D136,$C$5:$AA$494,19,)=0,0,((VLOOKUP($D136,$C$5:$AA$494,19,)/VLOOKUP($D136,$C$5:$AA$494,4,))*$F136))</f>
        <v>0</v>
      </c>
      <c r="V136" s="24"/>
      <c r="W136" s="24">
        <f>IF(VLOOKUP($D136,$C$5:$AA$494,21,)=0,0,((VLOOKUP($D136,$C$5:$AA$494,21,)/VLOOKUP($D136,$C$5:$AA$494,4,))*$F136))</f>
        <v>0</v>
      </c>
      <c r="X136" s="24"/>
      <c r="Y136" s="24">
        <f>IF(VLOOKUP($D136,$C$5:$AA$494,23,)=0,0,((VLOOKUP($D136,$C$5:$AA$494,23,)/VLOOKUP($D136,$C$5:$AA$494,4,))*$F136))</f>
        <v>0</v>
      </c>
      <c r="Z136" s="24"/>
      <c r="AA136" s="24">
        <f>IF(VLOOKUP($D136,$C$5:$AA$494,25,)=0,0,((VLOOKUP($D136,$C$5:$AA$494,25,)/VLOOKUP($D136,$C$5:$AA$494,4,))*$F136))</f>
        <v>0</v>
      </c>
      <c r="AB136" s="24">
        <f>SUM(H136:AA136)</f>
        <v>0</v>
      </c>
      <c r="AC136" s="12" t="str">
        <f>IF(ABS(AB136-F136)&lt;1,"ok","err")</f>
        <v>ok</v>
      </c>
    </row>
    <row r="137" spans="1:29" hidden="1" x14ac:dyDescent="0.2">
      <c r="A137" s="13">
        <v>2</v>
      </c>
      <c r="C137" s="3" t="s">
        <v>910</v>
      </c>
      <c r="D137" s="3" t="s">
        <v>16</v>
      </c>
      <c r="F137" s="41">
        <v>0</v>
      </c>
      <c r="H137" s="24">
        <f>IF(VLOOKUP($D137,$C$5:$AA$494,6,)=0,0,((VLOOKUP($D137,$C$5:$AA$494,6,)/VLOOKUP($D137,$C$5:$AA$494,4,))*$F137))</f>
        <v>0</v>
      </c>
      <c r="I137" s="24">
        <f>IF(VLOOKUP($D137,$C$5:$AA$494,7,)=0,0,((VLOOKUP($D137,$C$5:$AA$494,7,)/VLOOKUP($D137,$C$5:$AA$494,4,))*$F137))</f>
        <v>0</v>
      </c>
      <c r="J137" s="24"/>
      <c r="K137" s="24">
        <f>IF(VLOOKUP($D137,$C$5:$AA$494,9,)=0,0,((VLOOKUP($D137,$C$5:$AA$494,9,)/VLOOKUP($D137,$C$5:$AA$494,4,))*$F137))</f>
        <v>0</v>
      </c>
      <c r="L137" s="24"/>
      <c r="M137" s="24">
        <f>IF(VLOOKUP($D137,$C$5:$AA$494,11,)=0,0,((VLOOKUP($D137,$C$5:$AA$494,11,)/VLOOKUP($D137,$C$5:$AA$494,4,))*$F137))</f>
        <v>0</v>
      </c>
      <c r="N137" s="24"/>
      <c r="O137" s="24">
        <f>IF(VLOOKUP($D137,$C$5:$AA$494,13,)=0,0,((VLOOKUP($D137,$C$5:$AA$494,13,)/VLOOKUP($D137,$C$5:$AA$494,4,))*$F137))</f>
        <v>0</v>
      </c>
      <c r="P137" s="24">
        <f>IF(VLOOKUP($D137,$C$5:$AA$494,14,)=0,0,((VLOOKUP($D137,$C$5:$AA$494,14,)/VLOOKUP($D137,$C$5:$AA$494,4,))*$F137))</f>
        <v>0</v>
      </c>
      <c r="Q137" s="24"/>
      <c r="R137" s="24">
        <f>IF(VLOOKUP($D137,$C$5:$AA$494,16,)=0,0,((VLOOKUP($D137,$C$5:$AA$494,16,)/VLOOKUP($D137,$C$5:$AA$494,4,))*$F137))</f>
        <v>0</v>
      </c>
      <c r="S137" s="24">
        <f>IF(VLOOKUP($D137,$C$5:$AA$494,17,)=0,0,((VLOOKUP($D137,$C$5:$AA$494,17,)/VLOOKUP($D137,$C$5:$AA$494,4,))*$F137))</f>
        <v>0</v>
      </c>
      <c r="T137" s="24"/>
      <c r="U137" s="24">
        <f>IF(VLOOKUP($D137,$C$5:$AA$494,19,)=0,0,((VLOOKUP($D137,$C$5:$AA$494,19,)/VLOOKUP($D137,$C$5:$AA$494,4,))*$F137))</f>
        <v>0</v>
      </c>
      <c r="V137" s="24"/>
      <c r="W137" s="24">
        <f>IF(VLOOKUP($D137,$C$5:$AA$494,21,)=0,0,((VLOOKUP($D137,$C$5:$AA$494,21,)/VLOOKUP($D137,$C$5:$AA$494,4,))*$F137))</f>
        <v>0</v>
      </c>
      <c r="X137" s="24"/>
      <c r="Y137" s="24">
        <f>IF(VLOOKUP($D137,$C$5:$AA$494,23,)=0,0,((VLOOKUP($D137,$C$5:$AA$494,23,)/VLOOKUP($D137,$C$5:$AA$494,4,))*$F137))</f>
        <v>0</v>
      </c>
      <c r="Z137" s="24"/>
      <c r="AA137" s="24">
        <f>IF(VLOOKUP($D137,$C$5:$AA$494,25,)=0,0,((VLOOKUP($D137,$C$5:$AA$494,25,)/VLOOKUP($D137,$C$5:$AA$494,4,))*$F137))</f>
        <v>0</v>
      </c>
      <c r="AB137" s="24">
        <f>SUM(H137:AA137)</f>
        <v>0</v>
      </c>
      <c r="AC137" s="12" t="str">
        <f>IF(ABS(AB137-F137)&lt;1,"ok","err")</f>
        <v>ok</v>
      </c>
    </row>
    <row r="138" spans="1:29" hidden="1" x14ac:dyDescent="0.2">
      <c r="A138" s="13">
        <v>3</v>
      </c>
      <c r="C138" s="3" t="s">
        <v>911</v>
      </c>
      <c r="D138" s="3" t="s">
        <v>16</v>
      </c>
      <c r="F138" s="41">
        <v>0</v>
      </c>
      <c r="H138" s="24">
        <f>IF(VLOOKUP($D138,$C$5:$AA$494,6,)=0,0,((VLOOKUP($D138,$C$5:$AA$494,6,)/VLOOKUP($D138,$C$5:$AA$494,4,))*$F138))</f>
        <v>0</v>
      </c>
      <c r="I138" s="24">
        <f>IF(VLOOKUP($D138,$C$5:$AA$494,7,)=0,0,((VLOOKUP($D138,$C$5:$AA$494,7,)/VLOOKUP($D138,$C$5:$AA$494,4,))*$F138))</f>
        <v>0</v>
      </c>
      <c r="J138" s="24"/>
      <c r="K138" s="24">
        <f>IF(VLOOKUP($D138,$C$5:$AA$494,9,)=0,0,((VLOOKUP($D138,$C$5:$AA$494,9,)/VLOOKUP($D138,$C$5:$AA$494,4,))*$F138))</f>
        <v>0</v>
      </c>
      <c r="L138" s="24"/>
      <c r="M138" s="24">
        <f>IF(VLOOKUP($D138,$C$5:$AA$494,11,)=0,0,((VLOOKUP($D138,$C$5:$AA$494,11,)/VLOOKUP($D138,$C$5:$AA$494,4,))*$F138))</f>
        <v>0</v>
      </c>
      <c r="N138" s="24"/>
      <c r="O138" s="24">
        <f>IF(VLOOKUP($D138,$C$5:$AA$494,13,)=0,0,((VLOOKUP($D138,$C$5:$AA$494,13,)/VLOOKUP($D138,$C$5:$AA$494,4,))*$F138))</f>
        <v>0</v>
      </c>
      <c r="P138" s="24">
        <f>IF(VLOOKUP($D138,$C$5:$AA$494,14,)=0,0,((VLOOKUP($D138,$C$5:$AA$494,14,)/VLOOKUP($D138,$C$5:$AA$494,4,))*$F138))</f>
        <v>0</v>
      </c>
      <c r="Q138" s="24"/>
      <c r="R138" s="24">
        <f>IF(VLOOKUP($D138,$C$5:$AA$494,16,)=0,0,((VLOOKUP($D138,$C$5:$AA$494,16,)/VLOOKUP($D138,$C$5:$AA$494,4,))*$F138))</f>
        <v>0</v>
      </c>
      <c r="S138" s="24">
        <f>IF(VLOOKUP($D138,$C$5:$AA$494,17,)=0,0,((VLOOKUP($D138,$C$5:$AA$494,17,)/VLOOKUP($D138,$C$5:$AA$494,4,))*$F138))</f>
        <v>0</v>
      </c>
      <c r="T138" s="24"/>
      <c r="U138" s="24">
        <f>IF(VLOOKUP($D138,$C$5:$AA$494,19,)=0,0,((VLOOKUP($D138,$C$5:$AA$494,19,)/VLOOKUP($D138,$C$5:$AA$494,4,))*$F138))</f>
        <v>0</v>
      </c>
      <c r="V138" s="24"/>
      <c r="W138" s="24">
        <f>IF(VLOOKUP($D138,$C$5:$AA$494,21,)=0,0,((VLOOKUP($D138,$C$5:$AA$494,21,)/VLOOKUP($D138,$C$5:$AA$494,4,))*$F138))</f>
        <v>0</v>
      </c>
      <c r="X138" s="24"/>
      <c r="Y138" s="24">
        <f>IF(VLOOKUP($D138,$C$5:$AA$494,23,)=0,0,((VLOOKUP($D138,$C$5:$AA$494,23,)/VLOOKUP($D138,$C$5:$AA$494,4,))*$F138))</f>
        <v>0</v>
      </c>
      <c r="Z138" s="24"/>
      <c r="AA138" s="24">
        <f>IF(VLOOKUP($D138,$C$5:$AA$494,25,)=0,0,((VLOOKUP($D138,$C$5:$AA$494,25,)/VLOOKUP($D138,$C$5:$AA$494,4,))*$F138))</f>
        <v>0</v>
      </c>
      <c r="AB138" s="24">
        <f>SUM(H138:AA138)</f>
        <v>0</v>
      </c>
      <c r="AC138" s="12" t="str">
        <f>IF(ABS(AB138-F138)&lt;1,"ok","err")</f>
        <v>ok</v>
      </c>
    </row>
    <row r="139" spans="1:29" hidden="1" x14ac:dyDescent="0.2">
      <c r="A139" s="13">
        <v>4</v>
      </c>
      <c r="C139" s="3" t="s">
        <v>912</v>
      </c>
      <c r="D139" s="3" t="s">
        <v>16</v>
      </c>
      <c r="F139" s="41">
        <v>0</v>
      </c>
      <c r="H139" s="24">
        <f>IF(VLOOKUP($D139,$C$5:$AA$494,6,)=0,0,((VLOOKUP($D139,$C$5:$AA$494,6,)/VLOOKUP($D139,$C$5:$AA$494,4,))*$F139))</f>
        <v>0</v>
      </c>
      <c r="I139" s="24">
        <f>IF(VLOOKUP($D139,$C$5:$AA$494,7,)=0,0,((VLOOKUP($D139,$C$5:$AA$494,7,)/VLOOKUP($D139,$C$5:$AA$494,4,))*$F139))</f>
        <v>0</v>
      </c>
      <c r="J139" s="24"/>
      <c r="K139" s="24">
        <f>IF(VLOOKUP($D139,$C$5:$AA$494,9,)=0,0,((VLOOKUP($D139,$C$5:$AA$494,9,)/VLOOKUP($D139,$C$5:$AA$494,4,))*$F139))</f>
        <v>0</v>
      </c>
      <c r="L139" s="24"/>
      <c r="M139" s="24">
        <f>IF(VLOOKUP($D139,$C$5:$AA$494,11,)=0,0,((VLOOKUP($D139,$C$5:$AA$494,11,)/VLOOKUP($D139,$C$5:$AA$494,4,))*$F139))</f>
        <v>0</v>
      </c>
      <c r="N139" s="24"/>
      <c r="O139" s="24">
        <f>IF(VLOOKUP($D139,$C$5:$AA$494,13,)=0,0,((VLOOKUP($D139,$C$5:$AA$494,13,)/VLOOKUP($D139,$C$5:$AA$494,4,))*$F139))</f>
        <v>0</v>
      </c>
      <c r="P139" s="24">
        <f>IF(VLOOKUP($D139,$C$5:$AA$494,14,)=0,0,((VLOOKUP($D139,$C$5:$AA$494,14,)/VLOOKUP($D139,$C$5:$AA$494,4,))*$F139))</f>
        <v>0</v>
      </c>
      <c r="Q139" s="24"/>
      <c r="R139" s="24">
        <f>IF(VLOOKUP($D139,$C$5:$AA$494,16,)=0,0,((VLOOKUP($D139,$C$5:$AA$494,16,)/VLOOKUP($D139,$C$5:$AA$494,4,))*$F139))</f>
        <v>0</v>
      </c>
      <c r="S139" s="24">
        <f>IF(VLOOKUP($D139,$C$5:$AA$494,17,)=0,0,((VLOOKUP($D139,$C$5:$AA$494,17,)/VLOOKUP($D139,$C$5:$AA$494,4,))*$F139))</f>
        <v>0</v>
      </c>
      <c r="T139" s="24"/>
      <c r="U139" s="24">
        <f>IF(VLOOKUP($D139,$C$5:$AA$494,19,)=0,0,((VLOOKUP($D139,$C$5:$AA$494,19,)/VLOOKUP($D139,$C$5:$AA$494,4,))*$F139))</f>
        <v>0</v>
      </c>
      <c r="V139" s="24"/>
      <c r="W139" s="24">
        <f>IF(VLOOKUP($D139,$C$5:$AA$494,21,)=0,0,((VLOOKUP($D139,$C$5:$AA$494,21,)/VLOOKUP($D139,$C$5:$AA$494,4,))*$F139))</f>
        <v>0</v>
      </c>
      <c r="X139" s="24"/>
      <c r="Y139" s="24">
        <f>IF(VLOOKUP($D139,$C$5:$AA$494,23,)=0,0,((VLOOKUP($D139,$C$5:$AA$494,23,)/VLOOKUP($D139,$C$5:$AA$494,4,))*$F139))</f>
        <v>0</v>
      </c>
      <c r="Z139" s="24"/>
      <c r="AA139" s="24">
        <f>IF(VLOOKUP($D139,$C$5:$AA$494,25,)=0,0,((VLOOKUP($D139,$C$5:$AA$494,25,)/VLOOKUP($D139,$C$5:$AA$494,4,))*$F139))</f>
        <v>0</v>
      </c>
      <c r="AB139" s="24">
        <f>SUM(H139:AA139)</f>
        <v>0</v>
      </c>
      <c r="AC139" s="12" t="str">
        <f>IF(ABS(AB139-F139)&lt;1,"ok","err")</f>
        <v>ok</v>
      </c>
    </row>
    <row r="140" spans="1:29" hidden="1" x14ac:dyDescent="0.2">
      <c r="F140" s="41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12"/>
    </row>
    <row r="141" spans="1:29" hidden="1" x14ac:dyDescent="0.2">
      <c r="A141" s="3" t="s">
        <v>913</v>
      </c>
      <c r="F141" s="65">
        <v>0</v>
      </c>
      <c r="G141" s="65"/>
      <c r="H141" s="65">
        <f>SUM(H136:H139)</f>
        <v>0</v>
      </c>
      <c r="I141" s="65">
        <f>SUM(I136:I139)</f>
        <v>0</v>
      </c>
      <c r="J141" s="65"/>
      <c r="K141" s="65">
        <f>SUM(K136:K139)</f>
        <v>0</v>
      </c>
      <c r="L141" s="65"/>
      <c r="M141" s="65">
        <f>SUM(M136:M139)</f>
        <v>0</v>
      </c>
      <c r="N141" s="65"/>
      <c r="O141" s="65">
        <f>SUM(O136:O139)</f>
        <v>0</v>
      </c>
      <c r="P141" s="65">
        <f>SUM(P136:P139)</f>
        <v>0</v>
      </c>
      <c r="Q141" s="65"/>
      <c r="R141" s="65">
        <f>SUM(R136:R139)</f>
        <v>0</v>
      </c>
      <c r="S141" s="65">
        <f>SUM(S136:S139)</f>
        <v>0</v>
      </c>
      <c r="T141" s="65"/>
      <c r="U141" s="65">
        <f>SUM(U136:U139)</f>
        <v>0</v>
      </c>
      <c r="V141" s="65"/>
      <c r="W141" s="65">
        <f>SUM(W136:W139)</f>
        <v>0</v>
      </c>
      <c r="X141" s="65"/>
      <c r="Y141" s="65">
        <f>SUM(Y136:Y139)</f>
        <v>0</v>
      </c>
      <c r="Z141" s="65"/>
      <c r="AA141" s="65">
        <f>SUM(AA136:AA139)</f>
        <v>0</v>
      </c>
      <c r="AB141" s="24">
        <f>SUM(H141:AA141)</f>
        <v>0</v>
      </c>
      <c r="AC141" s="12" t="str">
        <f>IF(ABS(AB141-F141)&lt;1,"ok","err")</f>
        <v>ok</v>
      </c>
    </row>
    <row r="142" spans="1:29" x14ac:dyDescent="0.2">
      <c r="A142" s="3" t="s">
        <v>1000</v>
      </c>
      <c r="C142" s="3" t="s">
        <v>92</v>
      </c>
      <c r="D142" s="3" t="s">
        <v>72</v>
      </c>
      <c r="F142" s="41">
        <v>748805</v>
      </c>
      <c r="H142" s="24">
        <f>IF(VLOOKUP($D142,$C$5:$AA$494,6,)=0,0,((VLOOKUP($D142,$C$5:$AA$494,6,)/VLOOKUP($D142,$C$5:$AA$494,4,))*$F142))</f>
        <v>0</v>
      </c>
      <c r="I142" s="24">
        <f>IF(VLOOKUP($D142,$C$5:$AA$494,7,)=0,0,((VLOOKUP($D142,$C$5:$AA$494,7,)/VLOOKUP($D142,$C$5:$AA$494,4,))*$F142))</f>
        <v>0</v>
      </c>
      <c r="J142" s="24"/>
      <c r="K142" s="24">
        <f>IF(VLOOKUP($D142,$C$5:$AA$494,9,)=0,0,((VLOOKUP($D142,$C$5:$AA$494,9,)/VLOOKUP($D142,$C$5:$AA$494,4,))*$F142))</f>
        <v>0</v>
      </c>
      <c r="L142" s="24"/>
      <c r="M142" s="24">
        <f>IF(VLOOKUP($D142,$C$5:$AA$494,11,)=0,0,((VLOOKUP($D142,$C$5:$AA$494,11,)/VLOOKUP($D142,$C$5:$AA$494,4,))*$F142))</f>
        <v>6509.272770723037</v>
      </c>
      <c r="N142" s="24"/>
      <c r="O142" s="24">
        <f>IF(VLOOKUP($D142,$C$5:$AA$494,13,)=0,0,((VLOOKUP($D142,$C$5:$AA$494,13,)/VLOOKUP($D142,$C$5:$AA$494,4,))*$F142))</f>
        <v>332911.21324407769</v>
      </c>
      <c r="P142" s="24">
        <f>IF(VLOOKUP($D142,$C$5:$AA$494,14,)=0,0,((VLOOKUP($D142,$C$5:$AA$494,14,)/VLOOKUP($D142,$C$5:$AA$494,4,))*$F142))</f>
        <v>223530.59559647451</v>
      </c>
      <c r="Q142" s="24"/>
      <c r="R142" s="24">
        <f>IF(VLOOKUP($D142,$C$5:$AA$494,16,)=0,0,((VLOOKUP($D142,$C$5:$AA$494,16,)/VLOOKUP($D142,$C$5:$AA$494,4,))*$F142))</f>
        <v>0</v>
      </c>
      <c r="S142" s="24">
        <f>IF(VLOOKUP($D142,$C$5:$AA$494,17,)=0,0,((VLOOKUP($D142,$C$5:$AA$494,17,)/VLOOKUP($D142,$C$5:$AA$494,4,))*$F142))</f>
        <v>84138.235569537006</v>
      </c>
      <c r="T142" s="24"/>
      <c r="U142" s="24">
        <f>IF(VLOOKUP($D142,$C$5:$AA$494,19,)=0,0,((VLOOKUP($D142,$C$5:$AA$494,19,)/VLOOKUP($D142,$C$5:$AA$494,4,))*$F142))</f>
        <v>50787.685019337849</v>
      </c>
      <c r="V142" s="24"/>
      <c r="W142" s="24">
        <f>IF(VLOOKUP($D142,$C$5:$AA$494,21,)=0,0,((VLOOKUP($D142,$C$5:$AA$494,21,)/VLOOKUP($D142,$C$5:$AA$494,4,))*$F142))</f>
        <v>50927.99779984996</v>
      </c>
      <c r="X142" s="24"/>
      <c r="Y142" s="24">
        <f>IF(VLOOKUP($D142,$C$5:$AA$494,23,)=0,0,((VLOOKUP($D142,$C$5:$AA$494,23,)/VLOOKUP($D142,$C$5:$AA$494,4,))*$F142))</f>
        <v>0</v>
      </c>
      <c r="Z142" s="24"/>
      <c r="AA142" s="24">
        <f>IF(VLOOKUP($D142,$C$5:$AA$494,25,)=0,0,((VLOOKUP($D142,$C$5:$AA$494,25,)/VLOOKUP($D142,$C$5:$AA$494,4,))*$F142))</f>
        <v>0</v>
      </c>
      <c r="AB142" s="24">
        <f>SUM(H142:AA142)</f>
        <v>748805</v>
      </c>
      <c r="AC142" s="12" t="str">
        <f>IF(ABS(AB142-F142)&lt;1,"ok","err")</f>
        <v>ok</v>
      </c>
    </row>
    <row r="143" spans="1:29" x14ac:dyDescent="0.2">
      <c r="F143" s="41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12"/>
    </row>
    <row r="144" spans="1:29" x14ac:dyDescent="0.2">
      <c r="A144" s="2" t="s">
        <v>93</v>
      </c>
      <c r="C144" s="3" t="s">
        <v>94</v>
      </c>
      <c r="F144" s="65">
        <f>F126+F133-F142</f>
        <v>35397246.132403851</v>
      </c>
      <c r="G144" s="65"/>
      <c r="H144" s="65">
        <f>H126+H133-H142</f>
        <v>0</v>
      </c>
      <c r="I144" s="65">
        <f>I126+I133-I142</f>
        <v>0</v>
      </c>
      <c r="J144" s="65"/>
      <c r="K144" s="65">
        <f>K126+K133-K142</f>
        <v>0</v>
      </c>
      <c r="L144" s="65"/>
      <c r="M144" s="65">
        <f>M126+M133-M142</f>
        <v>301613.07398275501</v>
      </c>
      <c r="N144" s="65"/>
      <c r="O144" s="65">
        <f>O126+O133-O142</f>
        <v>15652358.800395008</v>
      </c>
      <c r="P144" s="65">
        <f>P126+P133-P142</f>
        <v>10491003.240777459</v>
      </c>
      <c r="Q144" s="65"/>
      <c r="R144" s="65">
        <f>R126+R133-R142</f>
        <v>0</v>
      </c>
      <c r="S144" s="65">
        <f>S126+S133-S142</f>
        <v>3899827.1749277781</v>
      </c>
      <c r="T144" s="65"/>
      <c r="U144" s="65">
        <f>U126+U133-U142</f>
        <v>2488520.3510627081</v>
      </c>
      <c r="V144" s="65"/>
      <c r="W144" s="65">
        <f>W126+W133-W142</f>
        <v>2359795.0968174767</v>
      </c>
      <c r="X144" s="65"/>
      <c r="Y144" s="65">
        <f>Y126+Y133-Y142</f>
        <v>204122.41530844869</v>
      </c>
      <c r="Z144" s="65"/>
      <c r="AA144" s="65">
        <f>AA126+AA133-AA142</f>
        <v>5.9791322177653221</v>
      </c>
      <c r="AB144" s="24">
        <f>SUM(H144:AA144)</f>
        <v>35397246.132403851</v>
      </c>
      <c r="AC144" s="12" t="str">
        <f>IF(ABS(AB144-F144)&lt;1,"ok","err")</f>
        <v>ok</v>
      </c>
    </row>
    <row r="145" spans="1:29" x14ac:dyDescent="0.2">
      <c r="Q145" s="3"/>
      <c r="AC145" s="12"/>
    </row>
    <row r="146" spans="1:29" x14ac:dyDescent="0.2">
      <c r="A146" s="10" t="s">
        <v>86</v>
      </c>
      <c r="Q146" s="3"/>
      <c r="AC146" s="12"/>
    </row>
    <row r="147" spans="1:29" x14ac:dyDescent="0.2">
      <c r="A147" s="10"/>
      <c r="Q147" s="3"/>
      <c r="AC147" s="12"/>
    </row>
    <row r="148" spans="1:29" x14ac:dyDescent="0.2">
      <c r="A148" s="2" t="s">
        <v>760</v>
      </c>
      <c r="Q148" s="3"/>
      <c r="AC148" s="12"/>
    </row>
    <row r="149" spans="1:29" x14ac:dyDescent="0.2">
      <c r="A149" s="3">
        <v>500</v>
      </c>
      <c r="B149" s="3" t="s">
        <v>765</v>
      </c>
      <c r="C149" s="3" t="s">
        <v>778</v>
      </c>
      <c r="D149" s="3" t="s">
        <v>754</v>
      </c>
      <c r="F149" s="41">
        <v>0</v>
      </c>
      <c r="H149" s="24">
        <f t="shared" ref="H149:H157" si="78">IF(VLOOKUP($D149,$C$5:$AA$494,6,)=0,0,((VLOOKUP($D149,$C$5:$AA$494,6,)/VLOOKUP($D149,$C$5:$AA$494,4,))*$F149))</f>
        <v>0</v>
      </c>
      <c r="I149" s="24">
        <f t="shared" ref="I149:I157" si="79">IF(VLOOKUP($D149,$C$5:$AA$494,7,)=0,0,((VLOOKUP($D149,$C$5:$AA$494,7,)/VLOOKUP($D149,$C$5:$AA$494,4,))*$F149))</f>
        <v>0</v>
      </c>
      <c r="J149" s="24"/>
      <c r="K149" s="24">
        <f t="shared" ref="K149:K157" si="80">IF(VLOOKUP($D149,$C$5:$AA$494,9,)=0,0,((VLOOKUP($D149,$C$5:$AA$494,9,)/VLOOKUP($D149,$C$5:$AA$494,4,))*$F149))</f>
        <v>0</v>
      </c>
      <c r="L149" s="24"/>
      <c r="M149" s="24">
        <f t="shared" ref="M149:M157" si="81">IF(VLOOKUP($D149,$C$5:$AA$494,11,)=0,0,((VLOOKUP($D149,$C$5:$AA$494,11,)/VLOOKUP($D149,$C$5:$AA$494,4,))*$F149))</f>
        <v>0</v>
      </c>
      <c r="N149" s="24"/>
      <c r="O149" s="24">
        <f t="shared" ref="O149:O157" si="82">IF(VLOOKUP($D149,$C$5:$AA$494,13,)=0,0,((VLOOKUP($D149,$C$5:$AA$494,13,)/VLOOKUP($D149,$C$5:$AA$494,4,))*$F149))</f>
        <v>0</v>
      </c>
      <c r="P149" s="24">
        <f t="shared" ref="P149:P157" si="83">IF(VLOOKUP($D149,$C$5:$AA$494,14,)=0,0,((VLOOKUP($D149,$C$5:$AA$494,14,)/VLOOKUP($D149,$C$5:$AA$494,4,))*$F149))</f>
        <v>0</v>
      </c>
      <c r="Q149" s="24"/>
      <c r="R149" s="24">
        <f t="shared" ref="R149:R157" si="84">IF(VLOOKUP($D149,$C$5:$AA$494,16,)=0,0,((VLOOKUP($D149,$C$5:$AA$494,16,)/VLOOKUP($D149,$C$5:$AA$494,4,))*$F149))</f>
        <v>0</v>
      </c>
      <c r="S149" s="24">
        <f t="shared" ref="S149:S157" si="85">IF(VLOOKUP($D149,$C$5:$AA$494,17,)=0,0,((VLOOKUP($D149,$C$5:$AA$494,17,)/VLOOKUP($D149,$C$5:$AA$494,4,))*$F149))</f>
        <v>0</v>
      </c>
      <c r="T149" s="24"/>
      <c r="U149" s="24">
        <f t="shared" ref="U149:U157" si="86">IF(VLOOKUP($D149,$C$5:$AA$494,19,)=0,0,((VLOOKUP($D149,$C$5:$AA$494,19,)/VLOOKUP($D149,$C$5:$AA$494,4,))*$F149))</f>
        <v>0</v>
      </c>
      <c r="V149" s="24"/>
      <c r="W149" s="24">
        <f t="shared" ref="W149:W157" si="87">IF(VLOOKUP($D149,$C$5:$AA$494,21,)=0,0,((VLOOKUP($D149,$C$5:$AA$494,21,)/VLOOKUP($D149,$C$5:$AA$494,4,))*$F149))</f>
        <v>0</v>
      </c>
      <c r="X149" s="24"/>
      <c r="Y149" s="24">
        <f t="shared" ref="Y149:Y157" si="88">IF(VLOOKUP($D149,$C$5:$AA$494,23,)=0,0,((VLOOKUP($D149,$C$5:$AA$494,23,)/VLOOKUP($D149,$C$5:$AA$494,4,))*$F149))</f>
        <v>0</v>
      </c>
      <c r="Z149" s="24"/>
      <c r="AA149" s="24">
        <f t="shared" ref="AA149:AA157" si="89">IF(VLOOKUP($D149,$C$5:$AA$494,25,)=0,0,((VLOOKUP($D149,$C$5:$AA$494,25,)/VLOOKUP($D149,$C$5:$AA$494,4,))*$F149))</f>
        <v>0</v>
      </c>
      <c r="AB149" s="24">
        <f t="shared" ref="AB149:AB157" si="90">SUM(H149:AA149)</f>
        <v>0</v>
      </c>
      <c r="AC149" s="12" t="str">
        <f t="shared" ref="AC149:AC157" si="91">IF(ABS(AB149-F149)&lt;1,"ok","err")</f>
        <v>ok</v>
      </c>
    </row>
    <row r="150" spans="1:29" x14ac:dyDescent="0.2">
      <c r="A150" s="3">
        <v>501</v>
      </c>
      <c r="B150" s="3" t="s">
        <v>766</v>
      </c>
      <c r="C150" s="3" t="s">
        <v>779</v>
      </c>
      <c r="D150" s="3" t="s">
        <v>758</v>
      </c>
      <c r="F150" s="24">
        <v>0</v>
      </c>
      <c r="H150" s="24">
        <f t="shared" si="78"/>
        <v>0</v>
      </c>
      <c r="I150" s="24">
        <f t="shared" si="79"/>
        <v>0</v>
      </c>
      <c r="J150" s="24"/>
      <c r="K150" s="24">
        <f t="shared" si="80"/>
        <v>0</v>
      </c>
      <c r="L150" s="24"/>
      <c r="M150" s="24">
        <f t="shared" si="81"/>
        <v>0</v>
      </c>
      <c r="N150" s="24"/>
      <c r="O150" s="24">
        <f t="shared" si="82"/>
        <v>0</v>
      </c>
      <c r="P150" s="24">
        <f t="shared" si="83"/>
        <v>0</v>
      </c>
      <c r="Q150" s="24"/>
      <c r="R150" s="24">
        <f t="shared" si="84"/>
        <v>0</v>
      </c>
      <c r="S150" s="24">
        <f t="shared" si="85"/>
        <v>0</v>
      </c>
      <c r="T150" s="24"/>
      <c r="U150" s="24">
        <f t="shared" si="86"/>
        <v>0</v>
      </c>
      <c r="V150" s="24"/>
      <c r="W150" s="24">
        <f t="shared" si="87"/>
        <v>0</v>
      </c>
      <c r="X150" s="24"/>
      <c r="Y150" s="24">
        <f t="shared" si="88"/>
        <v>0</v>
      </c>
      <c r="Z150" s="24"/>
      <c r="AA150" s="24">
        <f t="shared" si="89"/>
        <v>0</v>
      </c>
      <c r="AB150" s="24">
        <f t="shared" si="90"/>
        <v>0</v>
      </c>
      <c r="AC150" s="12" t="str">
        <f t="shared" si="91"/>
        <v>ok</v>
      </c>
    </row>
    <row r="151" spans="1:29" x14ac:dyDescent="0.2">
      <c r="A151" s="3">
        <v>502</v>
      </c>
      <c r="B151" s="3" t="s">
        <v>767</v>
      </c>
      <c r="C151" s="3" t="s">
        <v>780</v>
      </c>
      <c r="D151" s="3" t="s">
        <v>552</v>
      </c>
      <c r="F151" s="24">
        <v>0</v>
      </c>
      <c r="H151" s="24">
        <f t="shared" si="78"/>
        <v>0</v>
      </c>
      <c r="I151" s="24">
        <f t="shared" si="79"/>
        <v>0</v>
      </c>
      <c r="J151" s="24"/>
      <c r="K151" s="24">
        <f t="shared" si="80"/>
        <v>0</v>
      </c>
      <c r="L151" s="24"/>
      <c r="M151" s="24">
        <f t="shared" si="81"/>
        <v>0</v>
      </c>
      <c r="N151" s="24"/>
      <c r="O151" s="24">
        <f t="shared" si="82"/>
        <v>0</v>
      </c>
      <c r="P151" s="24">
        <f t="shared" si="83"/>
        <v>0</v>
      </c>
      <c r="Q151" s="24"/>
      <c r="R151" s="24">
        <f t="shared" si="84"/>
        <v>0</v>
      </c>
      <c r="S151" s="24">
        <f t="shared" si="85"/>
        <v>0</v>
      </c>
      <c r="T151" s="24"/>
      <c r="U151" s="24">
        <f t="shared" si="86"/>
        <v>0</v>
      </c>
      <c r="V151" s="24"/>
      <c r="W151" s="24">
        <f t="shared" si="87"/>
        <v>0</v>
      </c>
      <c r="X151" s="24"/>
      <c r="Y151" s="24">
        <f t="shared" si="88"/>
        <v>0</v>
      </c>
      <c r="Z151" s="24"/>
      <c r="AA151" s="24">
        <f t="shared" si="89"/>
        <v>0</v>
      </c>
      <c r="AB151" s="24">
        <f t="shared" si="90"/>
        <v>0</v>
      </c>
      <c r="AC151" s="12" t="str">
        <f t="shared" si="91"/>
        <v>ok</v>
      </c>
    </row>
    <row r="152" spans="1:29" x14ac:dyDescent="0.2">
      <c r="A152" s="3">
        <v>503</v>
      </c>
      <c r="B152" s="3" t="s">
        <v>768</v>
      </c>
      <c r="C152" s="3" t="s">
        <v>781</v>
      </c>
      <c r="D152" s="3" t="s">
        <v>552</v>
      </c>
      <c r="F152" s="24">
        <v>0</v>
      </c>
      <c r="H152" s="24">
        <f t="shared" si="78"/>
        <v>0</v>
      </c>
      <c r="I152" s="24">
        <f t="shared" si="79"/>
        <v>0</v>
      </c>
      <c r="J152" s="24"/>
      <c r="K152" s="24">
        <f t="shared" si="80"/>
        <v>0</v>
      </c>
      <c r="L152" s="24"/>
      <c r="M152" s="24">
        <f t="shared" si="81"/>
        <v>0</v>
      </c>
      <c r="N152" s="24"/>
      <c r="O152" s="24">
        <f t="shared" si="82"/>
        <v>0</v>
      </c>
      <c r="P152" s="24">
        <f t="shared" si="83"/>
        <v>0</v>
      </c>
      <c r="Q152" s="24"/>
      <c r="R152" s="24">
        <f t="shared" si="84"/>
        <v>0</v>
      </c>
      <c r="S152" s="24">
        <f t="shared" si="85"/>
        <v>0</v>
      </c>
      <c r="T152" s="24"/>
      <c r="U152" s="24">
        <f t="shared" si="86"/>
        <v>0</v>
      </c>
      <c r="V152" s="24"/>
      <c r="W152" s="24">
        <f t="shared" si="87"/>
        <v>0</v>
      </c>
      <c r="X152" s="24"/>
      <c r="Y152" s="24">
        <f t="shared" si="88"/>
        <v>0</v>
      </c>
      <c r="Z152" s="24"/>
      <c r="AA152" s="24">
        <f t="shared" si="89"/>
        <v>0</v>
      </c>
      <c r="AB152" s="24">
        <f t="shared" si="90"/>
        <v>0</v>
      </c>
      <c r="AC152" s="12" t="str">
        <f t="shared" si="91"/>
        <v>ok</v>
      </c>
    </row>
    <row r="153" spans="1:29" x14ac:dyDescent="0.2">
      <c r="A153" s="3">
        <v>504</v>
      </c>
      <c r="B153" s="3" t="s">
        <v>769</v>
      </c>
      <c r="C153" s="3" t="s">
        <v>782</v>
      </c>
      <c r="D153" s="3" t="s">
        <v>552</v>
      </c>
      <c r="F153" s="24">
        <v>0</v>
      </c>
      <c r="H153" s="24">
        <f t="shared" si="78"/>
        <v>0</v>
      </c>
      <c r="I153" s="24">
        <f t="shared" si="79"/>
        <v>0</v>
      </c>
      <c r="J153" s="24"/>
      <c r="K153" s="24">
        <f t="shared" si="80"/>
        <v>0</v>
      </c>
      <c r="L153" s="24"/>
      <c r="M153" s="24">
        <f t="shared" si="81"/>
        <v>0</v>
      </c>
      <c r="N153" s="24"/>
      <c r="O153" s="24">
        <f t="shared" si="82"/>
        <v>0</v>
      </c>
      <c r="P153" s="24">
        <f t="shared" si="83"/>
        <v>0</v>
      </c>
      <c r="Q153" s="24"/>
      <c r="R153" s="24">
        <f t="shared" si="84"/>
        <v>0</v>
      </c>
      <c r="S153" s="24">
        <f t="shared" si="85"/>
        <v>0</v>
      </c>
      <c r="T153" s="24"/>
      <c r="U153" s="24">
        <f t="shared" si="86"/>
        <v>0</v>
      </c>
      <c r="V153" s="24"/>
      <c r="W153" s="24">
        <f t="shared" si="87"/>
        <v>0</v>
      </c>
      <c r="X153" s="24"/>
      <c r="Y153" s="24">
        <f t="shared" si="88"/>
        <v>0</v>
      </c>
      <c r="Z153" s="24"/>
      <c r="AA153" s="24">
        <f t="shared" si="89"/>
        <v>0</v>
      </c>
      <c r="AB153" s="24">
        <f t="shared" si="90"/>
        <v>0</v>
      </c>
      <c r="AC153" s="12" t="str">
        <f t="shared" si="91"/>
        <v>ok</v>
      </c>
    </row>
    <row r="154" spans="1:29" x14ac:dyDescent="0.2">
      <c r="A154" s="3">
        <v>505</v>
      </c>
      <c r="B154" s="3" t="s">
        <v>770</v>
      </c>
      <c r="C154" s="3" t="s">
        <v>783</v>
      </c>
      <c r="D154" s="3" t="s">
        <v>552</v>
      </c>
      <c r="F154" s="24">
        <v>0</v>
      </c>
      <c r="H154" s="24">
        <f t="shared" si="78"/>
        <v>0</v>
      </c>
      <c r="I154" s="24">
        <f t="shared" si="79"/>
        <v>0</v>
      </c>
      <c r="J154" s="24"/>
      <c r="K154" s="24">
        <f t="shared" si="80"/>
        <v>0</v>
      </c>
      <c r="L154" s="24"/>
      <c r="M154" s="24">
        <f t="shared" si="81"/>
        <v>0</v>
      </c>
      <c r="N154" s="24"/>
      <c r="O154" s="24">
        <f t="shared" si="82"/>
        <v>0</v>
      </c>
      <c r="P154" s="24">
        <f t="shared" si="83"/>
        <v>0</v>
      </c>
      <c r="Q154" s="24"/>
      <c r="R154" s="24">
        <f t="shared" si="84"/>
        <v>0</v>
      </c>
      <c r="S154" s="24">
        <f t="shared" si="85"/>
        <v>0</v>
      </c>
      <c r="T154" s="24"/>
      <c r="U154" s="24">
        <f t="shared" si="86"/>
        <v>0</v>
      </c>
      <c r="V154" s="24"/>
      <c r="W154" s="24">
        <f t="shared" si="87"/>
        <v>0</v>
      </c>
      <c r="X154" s="24"/>
      <c r="Y154" s="24">
        <f t="shared" si="88"/>
        <v>0</v>
      </c>
      <c r="Z154" s="24"/>
      <c r="AA154" s="24">
        <f t="shared" si="89"/>
        <v>0</v>
      </c>
      <c r="AB154" s="24">
        <f t="shared" si="90"/>
        <v>0</v>
      </c>
      <c r="AC154" s="12" t="str">
        <f t="shared" si="91"/>
        <v>ok</v>
      </c>
    </row>
    <row r="155" spans="1:29" x14ac:dyDescent="0.2">
      <c r="A155" s="3">
        <v>506</v>
      </c>
      <c r="B155" s="3" t="s">
        <v>771</v>
      </c>
      <c r="C155" s="3" t="s">
        <v>784</v>
      </c>
      <c r="D155" s="3" t="s">
        <v>552</v>
      </c>
      <c r="F155" s="24">
        <v>0</v>
      </c>
      <c r="H155" s="24">
        <f t="shared" si="78"/>
        <v>0</v>
      </c>
      <c r="I155" s="24">
        <f t="shared" si="79"/>
        <v>0</v>
      </c>
      <c r="J155" s="24"/>
      <c r="K155" s="24">
        <f t="shared" si="80"/>
        <v>0</v>
      </c>
      <c r="L155" s="24"/>
      <c r="M155" s="24">
        <f t="shared" si="81"/>
        <v>0</v>
      </c>
      <c r="N155" s="24"/>
      <c r="O155" s="24">
        <f t="shared" si="82"/>
        <v>0</v>
      </c>
      <c r="P155" s="24">
        <f t="shared" si="83"/>
        <v>0</v>
      </c>
      <c r="Q155" s="24"/>
      <c r="R155" s="24">
        <f t="shared" si="84"/>
        <v>0</v>
      </c>
      <c r="S155" s="24">
        <f t="shared" si="85"/>
        <v>0</v>
      </c>
      <c r="T155" s="24"/>
      <c r="U155" s="24">
        <f t="shared" si="86"/>
        <v>0</v>
      </c>
      <c r="V155" s="24"/>
      <c r="W155" s="24">
        <f t="shared" si="87"/>
        <v>0</v>
      </c>
      <c r="X155" s="24"/>
      <c r="Y155" s="24">
        <f t="shared" si="88"/>
        <v>0</v>
      </c>
      <c r="Z155" s="24"/>
      <c r="AA155" s="24">
        <f t="shared" si="89"/>
        <v>0</v>
      </c>
      <c r="AB155" s="24">
        <f t="shared" si="90"/>
        <v>0</v>
      </c>
      <c r="AC155" s="12" t="str">
        <f t="shared" si="91"/>
        <v>ok</v>
      </c>
    </row>
    <row r="156" spans="1:29" x14ac:dyDescent="0.2">
      <c r="A156" s="3">
        <v>507</v>
      </c>
      <c r="B156" s="3" t="s">
        <v>114</v>
      </c>
      <c r="C156" s="3" t="s">
        <v>785</v>
      </c>
      <c r="D156" s="3" t="s">
        <v>552</v>
      </c>
      <c r="F156" s="24">
        <v>0</v>
      </c>
      <c r="H156" s="24">
        <f t="shared" si="78"/>
        <v>0</v>
      </c>
      <c r="I156" s="24">
        <f t="shared" si="79"/>
        <v>0</v>
      </c>
      <c r="J156" s="24"/>
      <c r="K156" s="24">
        <f t="shared" si="80"/>
        <v>0</v>
      </c>
      <c r="L156" s="24"/>
      <c r="M156" s="24">
        <f t="shared" si="81"/>
        <v>0</v>
      </c>
      <c r="N156" s="24"/>
      <c r="O156" s="24">
        <f t="shared" si="82"/>
        <v>0</v>
      </c>
      <c r="P156" s="24">
        <f t="shared" si="83"/>
        <v>0</v>
      </c>
      <c r="Q156" s="24"/>
      <c r="R156" s="24">
        <f t="shared" si="84"/>
        <v>0</v>
      </c>
      <c r="S156" s="24">
        <f t="shared" si="85"/>
        <v>0</v>
      </c>
      <c r="T156" s="24"/>
      <c r="U156" s="24">
        <f t="shared" si="86"/>
        <v>0</v>
      </c>
      <c r="V156" s="24"/>
      <c r="W156" s="24">
        <f t="shared" si="87"/>
        <v>0</v>
      </c>
      <c r="X156" s="24"/>
      <c r="Y156" s="24">
        <f t="shared" si="88"/>
        <v>0</v>
      </c>
      <c r="Z156" s="24"/>
      <c r="AA156" s="24">
        <f t="shared" si="89"/>
        <v>0</v>
      </c>
      <c r="AB156" s="24">
        <f t="shared" si="90"/>
        <v>0</v>
      </c>
      <c r="AC156" s="12" t="str">
        <f t="shared" si="91"/>
        <v>ok</v>
      </c>
    </row>
    <row r="157" spans="1:29" x14ac:dyDescent="0.2">
      <c r="A157" s="3">
        <v>509</v>
      </c>
      <c r="B157" s="3" t="s">
        <v>772</v>
      </c>
      <c r="C157" s="3" t="s">
        <v>786</v>
      </c>
      <c r="D157" s="3" t="s">
        <v>758</v>
      </c>
      <c r="F157" s="24">
        <v>0</v>
      </c>
      <c r="H157" s="24">
        <f t="shared" si="78"/>
        <v>0</v>
      </c>
      <c r="I157" s="24">
        <f t="shared" si="79"/>
        <v>0</v>
      </c>
      <c r="J157" s="24"/>
      <c r="K157" s="24">
        <f t="shared" si="80"/>
        <v>0</v>
      </c>
      <c r="L157" s="24"/>
      <c r="M157" s="24">
        <f t="shared" si="81"/>
        <v>0</v>
      </c>
      <c r="N157" s="24"/>
      <c r="O157" s="24">
        <f t="shared" si="82"/>
        <v>0</v>
      </c>
      <c r="P157" s="24">
        <f t="shared" si="83"/>
        <v>0</v>
      </c>
      <c r="Q157" s="24"/>
      <c r="R157" s="24">
        <f t="shared" si="84"/>
        <v>0</v>
      </c>
      <c r="S157" s="24">
        <f t="shared" si="85"/>
        <v>0</v>
      </c>
      <c r="T157" s="24"/>
      <c r="U157" s="24">
        <f t="shared" si="86"/>
        <v>0</v>
      </c>
      <c r="V157" s="24"/>
      <c r="W157" s="24">
        <f t="shared" si="87"/>
        <v>0</v>
      </c>
      <c r="X157" s="24"/>
      <c r="Y157" s="24">
        <f t="shared" si="88"/>
        <v>0</v>
      </c>
      <c r="Z157" s="24"/>
      <c r="AA157" s="24">
        <f t="shared" si="89"/>
        <v>0</v>
      </c>
      <c r="AB157" s="24">
        <f t="shared" si="90"/>
        <v>0</v>
      </c>
      <c r="AC157" s="12" t="str">
        <f t="shared" si="91"/>
        <v>ok</v>
      </c>
    </row>
    <row r="158" spans="1:29" x14ac:dyDescent="0.2">
      <c r="F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C158" s="12"/>
    </row>
    <row r="159" spans="1:29" x14ac:dyDescent="0.2">
      <c r="A159" s="3" t="s">
        <v>764</v>
      </c>
      <c r="C159" s="3" t="s">
        <v>787</v>
      </c>
      <c r="F159" s="41">
        <f>SUM(F149:F158)</f>
        <v>0</v>
      </c>
      <c r="H159" s="41">
        <f>SUM(H149:H158)</f>
        <v>0</v>
      </c>
      <c r="I159" s="41">
        <f>SUM(I149:I158)</f>
        <v>0</v>
      </c>
      <c r="J159" s="41"/>
      <c r="K159" s="41">
        <f>SUM(K149:K158)</f>
        <v>0</v>
      </c>
      <c r="L159" s="41"/>
      <c r="M159" s="41">
        <f>SUM(M149:M158)</f>
        <v>0</v>
      </c>
      <c r="N159" s="41"/>
      <c r="O159" s="41">
        <f>SUM(O149:O158)</f>
        <v>0</v>
      </c>
      <c r="P159" s="41">
        <f>SUM(P149:P158)</f>
        <v>0</v>
      </c>
      <c r="Q159" s="41"/>
      <c r="R159" s="41">
        <f>SUM(R149:R158)</f>
        <v>0</v>
      </c>
      <c r="S159" s="41">
        <f>SUM(S149:S158)</f>
        <v>0</v>
      </c>
      <c r="T159" s="41"/>
      <c r="U159" s="41">
        <f>SUM(U149:U158)</f>
        <v>0</v>
      </c>
      <c r="V159" s="41"/>
      <c r="W159" s="41">
        <f>SUM(W149:W158)</f>
        <v>0</v>
      </c>
      <c r="X159" s="41"/>
      <c r="Y159" s="41">
        <f>SUM(Y149:Y158)</f>
        <v>0</v>
      </c>
      <c r="Z159" s="41"/>
      <c r="AA159" s="41">
        <f>SUM(AA149:AA158)</f>
        <v>0</v>
      </c>
      <c r="AB159" s="24">
        <f>SUM(H159:AA159)</f>
        <v>0</v>
      </c>
      <c r="AC159" s="12" t="str">
        <f>IF(ABS(AB159-F159)&lt;1,"ok","err")</f>
        <v>ok</v>
      </c>
    </row>
    <row r="160" spans="1:29" x14ac:dyDescent="0.2">
      <c r="A160" s="2"/>
      <c r="F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C160" s="12"/>
    </row>
    <row r="161" spans="1:29" x14ac:dyDescent="0.2">
      <c r="A161" s="2" t="s">
        <v>761</v>
      </c>
      <c r="F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C161" s="12"/>
    </row>
    <row r="162" spans="1:29" x14ac:dyDescent="0.2">
      <c r="A162" s="3">
        <v>510</v>
      </c>
      <c r="B162" s="3" t="s">
        <v>773</v>
      </c>
      <c r="C162" s="3" t="s">
        <v>789</v>
      </c>
      <c r="D162" s="3" t="s">
        <v>758</v>
      </c>
      <c r="F162" s="41">
        <v>0</v>
      </c>
      <c r="H162" s="24">
        <f>IF(VLOOKUP($D162,$C$5:$AA$494,6,)=0,0,((VLOOKUP($D162,$C$5:$AA$494,6,)/VLOOKUP($D162,$C$5:$AA$494,4,))*$F162))</f>
        <v>0</v>
      </c>
      <c r="I162" s="24">
        <f>IF(VLOOKUP($D162,$C$5:$AA$494,7,)=0,0,((VLOOKUP($D162,$C$5:$AA$494,7,)/VLOOKUP($D162,$C$5:$AA$494,4,))*$F162))</f>
        <v>0</v>
      </c>
      <c r="J162" s="24"/>
      <c r="K162" s="24">
        <f>IF(VLOOKUP($D162,$C$5:$AA$494,9,)=0,0,((VLOOKUP($D162,$C$5:$AA$494,9,)/VLOOKUP($D162,$C$5:$AA$494,4,))*$F162))</f>
        <v>0</v>
      </c>
      <c r="L162" s="24"/>
      <c r="M162" s="24">
        <f>IF(VLOOKUP($D162,$C$5:$AA$494,11,)=0,0,((VLOOKUP($D162,$C$5:$AA$494,11,)/VLOOKUP($D162,$C$5:$AA$494,4,))*$F162))</f>
        <v>0</v>
      </c>
      <c r="N162" s="24"/>
      <c r="O162" s="24">
        <f>IF(VLOOKUP($D162,$C$5:$AA$494,13,)=0,0,((VLOOKUP($D162,$C$5:$AA$494,13,)/VLOOKUP($D162,$C$5:$AA$494,4,))*$F162))</f>
        <v>0</v>
      </c>
      <c r="P162" s="24">
        <f>IF(VLOOKUP($D162,$C$5:$AA$494,14,)=0,0,((VLOOKUP($D162,$C$5:$AA$494,14,)/VLOOKUP($D162,$C$5:$AA$494,4,))*$F162))</f>
        <v>0</v>
      </c>
      <c r="Q162" s="24"/>
      <c r="R162" s="24">
        <f>IF(VLOOKUP($D162,$C$5:$AA$494,16,)=0,0,((VLOOKUP($D162,$C$5:$AA$494,16,)/VLOOKUP($D162,$C$5:$AA$494,4,))*$F162))</f>
        <v>0</v>
      </c>
      <c r="S162" s="24">
        <f>IF(VLOOKUP($D162,$C$5:$AA$494,17,)=0,0,((VLOOKUP($D162,$C$5:$AA$494,17,)/VLOOKUP($D162,$C$5:$AA$494,4,))*$F162))</f>
        <v>0</v>
      </c>
      <c r="T162" s="24"/>
      <c r="U162" s="24">
        <f>IF(VLOOKUP($D162,$C$5:$AA$494,19,)=0,0,((VLOOKUP($D162,$C$5:$AA$494,19,)/VLOOKUP($D162,$C$5:$AA$494,4,))*$F162))</f>
        <v>0</v>
      </c>
      <c r="V162" s="24"/>
      <c r="W162" s="24">
        <f>IF(VLOOKUP($D162,$C$5:$AA$494,21,)=0,0,((VLOOKUP($D162,$C$5:$AA$494,21,)/VLOOKUP($D162,$C$5:$AA$494,4,))*$F162))</f>
        <v>0</v>
      </c>
      <c r="X162" s="24"/>
      <c r="Y162" s="24">
        <f>IF(VLOOKUP($D162,$C$5:$AA$494,23,)=0,0,((VLOOKUP($D162,$C$5:$AA$494,23,)/VLOOKUP($D162,$C$5:$AA$494,4,))*$F162))</f>
        <v>0</v>
      </c>
      <c r="Z162" s="24"/>
      <c r="AA162" s="24">
        <f>IF(VLOOKUP($D162,$C$5:$AA$494,25,)=0,0,((VLOOKUP($D162,$C$5:$AA$494,25,)/VLOOKUP($D162,$C$5:$AA$494,4,))*$F162))</f>
        <v>0</v>
      </c>
      <c r="AB162" s="24">
        <f>SUM(H162:AA162)</f>
        <v>0</v>
      </c>
      <c r="AC162" s="12" t="str">
        <f>IF(ABS(AB162-F162)&lt;1,"ok","err")</f>
        <v>ok</v>
      </c>
    </row>
    <row r="163" spans="1:29" x14ac:dyDescent="0.2">
      <c r="A163" s="3">
        <v>511</v>
      </c>
      <c r="B163" s="3" t="s">
        <v>774</v>
      </c>
      <c r="C163" s="3" t="s">
        <v>790</v>
      </c>
      <c r="D163" s="3" t="s">
        <v>552</v>
      </c>
      <c r="F163" s="24">
        <v>0</v>
      </c>
      <c r="H163" s="24">
        <f>IF(VLOOKUP($D163,$C$5:$AA$494,6,)=0,0,((VLOOKUP($D163,$C$5:$AA$494,6,)/VLOOKUP($D163,$C$5:$AA$494,4,))*$F163))</f>
        <v>0</v>
      </c>
      <c r="I163" s="24">
        <f>IF(VLOOKUP($D163,$C$5:$AA$494,7,)=0,0,((VLOOKUP($D163,$C$5:$AA$494,7,)/VLOOKUP($D163,$C$5:$AA$494,4,))*$F163))</f>
        <v>0</v>
      </c>
      <c r="J163" s="24"/>
      <c r="K163" s="24">
        <f>IF(VLOOKUP($D163,$C$5:$AA$494,9,)=0,0,((VLOOKUP($D163,$C$5:$AA$494,9,)/VLOOKUP($D163,$C$5:$AA$494,4,))*$F163))</f>
        <v>0</v>
      </c>
      <c r="L163" s="24"/>
      <c r="M163" s="24">
        <f>IF(VLOOKUP($D163,$C$5:$AA$494,11,)=0,0,((VLOOKUP($D163,$C$5:$AA$494,11,)/VLOOKUP($D163,$C$5:$AA$494,4,))*$F163))</f>
        <v>0</v>
      </c>
      <c r="N163" s="24"/>
      <c r="O163" s="24">
        <f>IF(VLOOKUP($D163,$C$5:$AA$494,13,)=0,0,((VLOOKUP($D163,$C$5:$AA$494,13,)/VLOOKUP($D163,$C$5:$AA$494,4,))*$F163))</f>
        <v>0</v>
      </c>
      <c r="P163" s="24">
        <f>IF(VLOOKUP($D163,$C$5:$AA$494,14,)=0,0,((VLOOKUP($D163,$C$5:$AA$494,14,)/VLOOKUP($D163,$C$5:$AA$494,4,))*$F163))</f>
        <v>0</v>
      </c>
      <c r="Q163" s="24"/>
      <c r="R163" s="24">
        <f>IF(VLOOKUP($D163,$C$5:$AA$494,16,)=0,0,((VLOOKUP($D163,$C$5:$AA$494,16,)/VLOOKUP($D163,$C$5:$AA$494,4,))*$F163))</f>
        <v>0</v>
      </c>
      <c r="S163" s="24">
        <f>IF(VLOOKUP($D163,$C$5:$AA$494,17,)=0,0,((VLOOKUP($D163,$C$5:$AA$494,17,)/VLOOKUP($D163,$C$5:$AA$494,4,))*$F163))</f>
        <v>0</v>
      </c>
      <c r="T163" s="24"/>
      <c r="U163" s="24">
        <f>IF(VLOOKUP($D163,$C$5:$AA$494,19,)=0,0,((VLOOKUP($D163,$C$5:$AA$494,19,)/VLOOKUP($D163,$C$5:$AA$494,4,))*$F163))</f>
        <v>0</v>
      </c>
      <c r="V163" s="24"/>
      <c r="W163" s="24">
        <f>IF(VLOOKUP($D163,$C$5:$AA$494,21,)=0,0,((VLOOKUP($D163,$C$5:$AA$494,21,)/VLOOKUP($D163,$C$5:$AA$494,4,))*$F163))</f>
        <v>0</v>
      </c>
      <c r="X163" s="24"/>
      <c r="Y163" s="24">
        <f>IF(VLOOKUP($D163,$C$5:$AA$494,23,)=0,0,((VLOOKUP($D163,$C$5:$AA$494,23,)/VLOOKUP($D163,$C$5:$AA$494,4,))*$F163))</f>
        <v>0</v>
      </c>
      <c r="Z163" s="24"/>
      <c r="AA163" s="24">
        <f>IF(VLOOKUP($D163,$C$5:$AA$494,25,)=0,0,((VLOOKUP($D163,$C$5:$AA$494,25,)/VLOOKUP($D163,$C$5:$AA$494,4,))*$F163))</f>
        <v>0</v>
      </c>
      <c r="AB163" s="24">
        <f>SUM(H163:AA163)</f>
        <v>0</v>
      </c>
      <c r="AC163" s="12" t="str">
        <f>IF(ABS(AB163-F163)&lt;1,"ok","err")</f>
        <v>ok</v>
      </c>
    </row>
    <row r="164" spans="1:29" x14ac:dyDescent="0.2">
      <c r="A164" s="3">
        <v>512</v>
      </c>
      <c r="B164" s="3" t="s">
        <v>775</v>
      </c>
      <c r="C164" s="3" t="s">
        <v>791</v>
      </c>
      <c r="D164" s="3" t="s">
        <v>758</v>
      </c>
      <c r="F164" s="24">
        <v>0</v>
      </c>
      <c r="H164" s="24">
        <f>IF(VLOOKUP($D164,$C$5:$AA$494,6,)=0,0,((VLOOKUP($D164,$C$5:$AA$494,6,)/VLOOKUP($D164,$C$5:$AA$494,4,))*$F164))</f>
        <v>0</v>
      </c>
      <c r="I164" s="24">
        <f>IF(VLOOKUP($D164,$C$5:$AA$494,7,)=0,0,((VLOOKUP($D164,$C$5:$AA$494,7,)/VLOOKUP($D164,$C$5:$AA$494,4,))*$F164))</f>
        <v>0</v>
      </c>
      <c r="J164" s="24"/>
      <c r="K164" s="24">
        <f>IF(VLOOKUP($D164,$C$5:$AA$494,9,)=0,0,((VLOOKUP($D164,$C$5:$AA$494,9,)/VLOOKUP($D164,$C$5:$AA$494,4,))*$F164))</f>
        <v>0</v>
      </c>
      <c r="L164" s="24"/>
      <c r="M164" s="24">
        <f>IF(VLOOKUP($D164,$C$5:$AA$494,11,)=0,0,((VLOOKUP($D164,$C$5:$AA$494,11,)/VLOOKUP($D164,$C$5:$AA$494,4,))*$F164))</f>
        <v>0</v>
      </c>
      <c r="N164" s="24"/>
      <c r="O164" s="24">
        <f>IF(VLOOKUP($D164,$C$5:$AA$494,13,)=0,0,((VLOOKUP($D164,$C$5:$AA$494,13,)/VLOOKUP($D164,$C$5:$AA$494,4,))*$F164))</f>
        <v>0</v>
      </c>
      <c r="P164" s="24">
        <f>IF(VLOOKUP($D164,$C$5:$AA$494,14,)=0,0,((VLOOKUP($D164,$C$5:$AA$494,14,)/VLOOKUP($D164,$C$5:$AA$494,4,))*$F164))</f>
        <v>0</v>
      </c>
      <c r="Q164" s="24"/>
      <c r="R164" s="24">
        <f>IF(VLOOKUP($D164,$C$5:$AA$494,16,)=0,0,((VLOOKUP($D164,$C$5:$AA$494,16,)/VLOOKUP($D164,$C$5:$AA$494,4,))*$F164))</f>
        <v>0</v>
      </c>
      <c r="S164" s="24">
        <f>IF(VLOOKUP($D164,$C$5:$AA$494,17,)=0,0,((VLOOKUP($D164,$C$5:$AA$494,17,)/VLOOKUP($D164,$C$5:$AA$494,4,))*$F164))</f>
        <v>0</v>
      </c>
      <c r="T164" s="24"/>
      <c r="U164" s="24">
        <f>IF(VLOOKUP($D164,$C$5:$AA$494,19,)=0,0,((VLOOKUP($D164,$C$5:$AA$494,19,)/VLOOKUP($D164,$C$5:$AA$494,4,))*$F164))</f>
        <v>0</v>
      </c>
      <c r="V164" s="24"/>
      <c r="W164" s="24">
        <f>IF(VLOOKUP($D164,$C$5:$AA$494,21,)=0,0,((VLOOKUP($D164,$C$5:$AA$494,21,)/VLOOKUP($D164,$C$5:$AA$494,4,))*$F164))</f>
        <v>0</v>
      </c>
      <c r="X164" s="24"/>
      <c r="Y164" s="24">
        <f>IF(VLOOKUP($D164,$C$5:$AA$494,23,)=0,0,((VLOOKUP($D164,$C$5:$AA$494,23,)/VLOOKUP($D164,$C$5:$AA$494,4,))*$F164))</f>
        <v>0</v>
      </c>
      <c r="Z164" s="24"/>
      <c r="AA164" s="24">
        <f>IF(VLOOKUP($D164,$C$5:$AA$494,25,)=0,0,((VLOOKUP($D164,$C$5:$AA$494,25,)/VLOOKUP($D164,$C$5:$AA$494,4,))*$F164))</f>
        <v>0</v>
      </c>
      <c r="AB164" s="24">
        <f>SUM(H164:AA164)</f>
        <v>0</v>
      </c>
      <c r="AC164" s="12" t="str">
        <f>IF(ABS(AB164-F164)&lt;1,"ok","err")</f>
        <v>ok</v>
      </c>
    </row>
    <row r="165" spans="1:29" x14ac:dyDescent="0.2">
      <c r="A165" s="3">
        <v>513</v>
      </c>
      <c r="B165" s="3" t="s">
        <v>776</v>
      </c>
      <c r="C165" s="3" t="s">
        <v>792</v>
      </c>
      <c r="D165" s="3" t="s">
        <v>758</v>
      </c>
      <c r="F165" s="24">
        <v>0</v>
      </c>
      <c r="H165" s="24">
        <f>IF(VLOOKUP($D165,$C$5:$AA$494,6,)=0,0,((VLOOKUP($D165,$C$5:$AA$494,6,)/VLOOKUP($D165,$C$5:$AA$494,4,))*$F165))</f>
        <v>0</v>
      </c>
      <c r="I165" s="24">
        <f>IF(VLOOKUP($D165,$C$5:$AA$494,7,)=0,0,((VLOOKUP($D165,$C$5:$AA$494,7,)/VLOOKUP($D165,$C$5:$AA$494,4,))*$F165))</f>
        <v>0</v>
      </c>
      <c r="J165" s="24"/>
      <c r="K165" s="24">
        <f>IF(VLOOKUP($D165,$C$5:$AA$494,9,)=0,0,((VLOOKUP($D165,$C$5:$AA$494,9,)/VLOOKUP($D165,$C$5:$AA$494,4,))*$F165))</f>
        <v>0</v>
      </c>
      <c r="L165" s="24"/>
      <c r="M165" s="24">
        <f>IF(VLOOKUP($D165,$C$5:$AA$494,11,)=0,0,((VLOOKUP($D165,$C$5:$AA$494,11,)/VLOOKUP($D165,$C$5:$AA$494,4,))*$F165))</f>
        <v>0</v>
      </c>
      <c r="N165" s="24"/>
      <c r="O165" s="24">
        <f>IF(VLOOKUP($D165,$C$5:$AA$494,13,)=0,0,((VLOOKUP($D165,$C$5:$AA$494,13,)/VLOOKUP($D165,$C$5:$AA$494,4,))*$F165))</f>
        <v>0</v>
      </c>
      <c r="P165" s="24">
        <f>IF(VLOOKUP($D165,$C$5:$AA$494,14,)=0,0,((VLOOKUP($D165,$C$5:$AA$494,14,)/VLOOKUP($D165,$C$5:$AA$494,4,))*$F165))</f>
        <v>0</v>
      </c>
      <c r="Q165" s="24"/>
      <c r="R165" s="24">
        <f>IF(VLOOKUP($D165,$C$5:$AA$494,16,)=0,0,((VLOOKUP($D165,$C$5:$AA$494,16,)/VLOOKUP($D165,$C$5:$AA$494,4,))*$F165))</f>
        <v>0</v>
      </c>
      <c r="S165" s="24">
        <f>IF(VLOOKUP($D165,$C$5:$AA$494,17,)=0,0,((VLOOKUP($D165,$C$5:$AA$494,17,)/VLOOKUP($D165,$C$5:$AA$494,4,))*$F165))</f>
        <v>0</v>
      </c>
      <c r="T165" s="24"/>
      <c r="U165" s="24">
        <f>IF(VLOOKUP($D165,$C$5:$AA$494,19,)=0,0,((VLOOKUP($D165,$C$5:$AA$494,19,)/VLOOKUP($D165,$C$5:$AA$494,4,))*$F165))</f>
        <v>0</v>
      </c>
      <c r="V165" s="24"/>
      <c r="W165" s="24">
        <f>IF(VLOOKUP($D165,$C$5:$AA$494,21,)=0,0,((VLOOKUP($D165,$C$5:$AA$494,21,)/VLOOKUP($D165,$C$5:$AA$494,4,))*$F165))</f>
        <v>0</v>
      </c>
      <c r="X165" s="24"/>
      <c r="Y165" s="24">
        <f>IF(VLOOKUP($D165,$C$5:$AA$494,23,)=0,0,((VLOOKUP($D165,$C$5:$AA$494,23,)/VLOOKUP($D165,$C$5:$AA$494,4,))*$F165))</f>
        <v>0</v>
      </c>
      <c r="Z165" s="24"/>
      <c r="AA165" s="24">
        <f>IF(VLOOKUP($D165,$C$5:$AA$494,25,)=0,0,((VLOOKUP($D165,$C$5:$AA$494,25,)/VLOOKUP($D165,$C$5:$AA$494,4,))*$F165))</f>
        <v>0</v>
      </c>
      <c r="AB165" s="24">
        <f>SUM(H165:AA165)</f>
        <v>0</v>
      </c>
      <c r="AC165" s="12" t="str">
        <f>IF(ABS(AB165-F165)&lt;1,"ok","err")</f>
        <v>ok</v>
      </c>
    </row>
    <row r="166" spans="1:29" x14ac:dyDescent="0.2">
      <c r="A166" s="3">
        <v>514</v>
      </c>
      <c r="B166" s="3" t="s">
        <v>777</v>
      </c>
      <c r="C166" s="3" t="s">
        <v>793</v>
      </c>
      <c r="D166" s="3" t="s">
        <v>552</v>
      </c>
      <c r="F166" s="24">
        <v>0</v>
      </c>
      <c r="H166" s="24">
        <f>IF(VLOOKUP($D166,$C$5:$AA$494,6,)=0,0,((VLOOKUP($D166,$C$5:$AA$494,6,)/VLOOKUP($D166,$C$5:$AA$494,4,))*$F166))</f>
        <v>0</v>
      </c>
      <c r="I166" s="24">
        <f>IF(VLOOKUP($D166,$C$5:$AA$494,7,)=0,0,((VLOOKUP($D166,$C$5:$AA$494,7,)/VLOOKUP($D166,$C$5:$AA$494,4,))*$F166))</f>
        <v>0</v>
      </c>
      <c r="J166" s="24"/>
      <c r="K166" s="24">
        <f>IF(VLOOKUP($D166,$C$5:$AA$494,9,)=0,0,((VLOOKUP($D166,$C$5:$AA$494,9,)/VLOOKUP($D166,$C$5:$AA$494,4,))*$F166))</f>
        <v>0</v>
      </c>
      <c r="L166" s="24"/>
      <c r="M166" s="24">
        <f>IF(VLOOKUP($D166,$C$5:$AA$494,11,)=0,0,((VLOOKUP($D166,$C$5:$AA$494,11,)/VLOOKUP($D166,$C$5:$AA$494,4,))*$F166))</f>
        <v>0</v>
      </c>
      <c r="N166" s="24"/>
      <c r="O166" s="24">
        <f>IF(VLOOKUP($D166,$C$5:$AA$494,13,)=0,0,((VLOOKUP($D166,$C$5:$AA$494,13,)/VLOOKUP($D166,$C$5:$AA$494,4,))*$F166))</f>
        <v>0</v>
      </c>
      <c r="P166" s="24">
        <f>IF(VLOOKUP($D166,$C$5:$AA$494,14,)=0,0,((VLOOKUP($D166,$C$5:$AA$494,14,)/VLOOKUP($D166,$C$5:$AA$494,4,))*$F166))</f>
        <v>0</v>
      </c>
      <c r="Q166" s="24"/>
      <c r="R166" s="24">
        <f>IF(VLOOKUP($D166,$C$5:$AA$494,16,)=0,0,((VLOOKUP($D166,$C$5:$AA$494,16,)/VLOOKUP($D166,$C$5:$AA$494,4,))*$F166))</f>
        <v>0</v>
      </c>
      <c r="S166" s="24">
        <f>IF(VLOOKUP($D166,$C$5:$AA$494,17,)=0,0,((VLOOKUP($D166,$C$5:$AA$494,17,)/VLOOKUP($D166,$C$5:$AA$494,4,))*$F166))</f>
        <v>0</v>
      </c>
      <c r="T166" s="24"/>
      <c r="U166" s="24">
        <f>IF(VLOOKUP($D166,$C$5:$AA$494,19,)=0,0,((VLOOKUP($D166,$C$5:$AA$494,19,)/VLOOKUP($D166,$C$5:$AA$494,4,))*$F166))</f>
        <v>0</v>
      </c>
      <c r="V166" s="24"/>
      <c r="W166" s="24">
        <f>IF(VLOOKUP($D166,$C$5:$AA$494,21,)=0,0,((VLOOKUP($D166,$C$5:$AA$494,21,)/VLOOKUP($D166,$C$5:$AA$494,4,))*$F166))</f>
        <v>0</v>
      </c>
      <c r="X166" s="24"/>
      <c r="Y166" s="24">
        <f>IF(VLOOKUP($D166,$C$5:$AA$494,23,)=0,0,((VLOOKUP($D166,$C$5:$AA$494,23,)/VLOOKUP($D166,$C$5:$AA$494,4,))*$F166))</f>
        <v>0</v>
      </c>
      <c r="Z166" s="24"/>
      <c r="AA166" s="24">
        <f>IF(VLOOKUP($D166,$C$5:$AA$494,25,)=0,0,((VLOOKUP($D166,$C$5:$AA$494,25,)/VLOOKUP($D166,$C$5:$AA$494,4,))*$F166))</f>
        <v>0</v>
      </c>
      <c r="AB166" s="24">
        <f>SUM(H166:AA166)</f>
        <v>0</v>
      </c>
      <c r="AC166" s="12" t="str">
        <f>IF(ABS(AB166-F166)&lt;1,"ok","err")</f>
        <v>ok</v>
      </c>
    </row>
    <row r="167" spans="1:29" x14ac:dyDescent="0.2">
      <c r="F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12"/>
    </row>
    <row r="168" spans="1:29" x14ac:dyDescent="0.2">
      <c r="A168" s="3" t="s">
        <v>762</v>
      </c>
      <c r="C168" s="3" t="s">
        <v>788</v>
      </c>
      <c r="F168" s="41">
        <f>SUM(F162:F167)</f>
        <v>0</v>
      </c>
      <c r="H168" s="41">
        <f>SUM(H162:H167)</f>
        <v>0</v>
      </c>
      <c r="I168" s="41">
        <f>SUM(I162:I167)</f>
        <v>0</v>
      </c>
      <c r="J168" s="41"/>
      <c r="K168" s="41">
        <f>SUM(K162:K167)</f>
        <v>0</v>
      </c>
      <c r="L168" s="41"/>
      <c r="M168" s="41">
        <f>SUM(M162:M167)</f>
        <v>0</v>
      </c>
      <c r="N168" s="41"/>
      <c r="O168" s="41">
        <f>SUM(O162:O167)</f>
        <v>0</v>
      </c>
      <c r="P168" s="41">
        <f>SUM(P162:P167)</f>
        <v>0</v>
      </c>
      <c r="Q168" s="41"/>
      <c r="R168" s="41">
        <f>SUM(R162:R167)</f>
        <v>0</v>
      </c>
      <c r="S168" s="41">
        <f>SUM(S162:S167)</f>
        <v>0</v>
      </c>
      <c r="T168" s="41"/>
      <c r="U168" s="41">
        <f>SUM(U162:U167)</f>
        <v>0</v>
      </c>
      <c r="V168" s="41"/>
      <c r="W168" s="41">
        <f>SUM(W162:W167)</f>
        <v>0</v>
      </c>
      <c r="X168" s="41"/>
      <c r="Y168" s="41">
        <f>SUM(Y162:Y167)</f>
        <v>0</v>
      </c>
      <c r="Z168" s="41"/>
      <c r="AA168" s="41">
        <f>SUM(AA162:AA167)</f>
        <v>0</v>
      </c>
      <c r="AB168" s="24">
        <f>SUM(H168:AA168)</f>
        <v>0</v>
      </c>
      <c r="AC168" s="12" t="str">
        <f>IF(ABS(AB168-F168)&lt;1,"ok","err")</f>
        <v>ok</v>
      </c>
    </row>
    <row r="169" spans="1:29" x14ac:dyDescent="0.2">
      <c r="F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C169" s="12"/>
    </row>
    <row r="170" spans="1:29" x14ac:dyDescent="0.2">
      <c r="A170" s="3" t="s">
        <v>763</v>
      </c>
      <c r="C170" s="3" t="s">
        <v>796</v>
      </c>
      <c r="F170" s="24">
        <f>F159+F168</f>
        <v>0</v>
      </c>
      <c r="H170" s="24">
        <f>H159+H168</f>
        <v>0</v>
      </c>
      <c r="I170" s="24">
        <f>I159+I168</f>
        <v>0</v>
      </c>
      <c r="J170" s="24"/>
      <c r="K170" s="24">
        <f>K159+K168</f>
        <v>0</v>
      </c>
      <c r="L170" s="24"/>
      <c r="M170" s="24">
        <f>M159+M168</f>
        <v>0</v>
      </c>
      <c r="N170" s="24"/>
      <c r="O170" s="24">
        <f>O159+O168</f>
        <v>0</v>
      </c>
      <c r="P170" s="24">
        <f>P159+P168</f>
        <v>0</v>
      </c>
      <c r="Q170" s="24"/>
      <c r="R170" s="24">
        <f>R159+R168</f>
        <v>0</v>
      </c>
      <c r="S170" s="24">
        <f>S159+S168</f>
        <v>0</v>
      </c>
      <c r="T170" s="24"/>
      <c r="U170" s="24">
        <f>U159+U168</f>
        <v>0</v>
      </c>
      <c r="V170" s="24"/>
      <c r="W170" s="24">
        <f>W159+W168</f>
        <v>0</v>
      </c>
      <c r="X170" s="24"/>
      <c r="Y170" s="24">
        <f>Y159+Y168</f>
        <v>0</v>
      </c>
      <c r="Z170" s="24"/>
      <c r="AA170" s="24">
        <f>AA159+AA168</f>
        <v>0</v>
      </c>
      <c r="AB170" s="24">
        <f>SUM(H170:AA170)</f>
        <v>0</v>
      </c>
      <c r="AC170" s="12" t="str">
        <f>IF(ABS(AB170-F170)&lt;1,"ok","err")</f>
        <v>ok</v>
      </c>
    </row>
    <row r="171" spans="1:29" x14ac:dyDescent="0.2">
      <c r="F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C171" s="12"/>
    </row>
    <row r="172" spans="1:29" x14ac:dyDescent="0.2">
      <c r="A172" s="10" t="s">
        <v>135</v>
      </c>
      <c r="F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C172" s="12"/>
    </row>
    <row r="173" spans="1:29" x14ac:dyDescent="0.2">
      <c r="F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C173" s="12"/>
    </row>
    <row r="174" spans="1:29" x14ac:dyDescent="0.2">
      <c r="A174" s="2" t="s">
        <v>95</v>
      </c>
      <c r="H174" s="41"/>
      <c r="I174" s="41"/>
      <c r="Q174" s="3"/>
      <c r="AC174" s="12"/>
    </row>
    <row r="175" spans="1:29" x14ac:dyDescent="0.2">
      <c r="A175" s="3">
        <v>555</v>
      </c>
      <c r="B175" s="3" t="s">
        <v>378</v>
      </c>
      <c r="C175" s="3" t="s">
        <v>397</v>
      </c>
      <c r="D175" s="3" t="s">
        <v>96</v>
      </c>
      <c r="F175" s="41">
        <v>17827633</v>
      </c>
      <c r="G175" s="41"/>
      <c r="H175" s="41">
        <f>IF(VLOOKUP($D175,$C$5:$AA$494,6,)=0,0,((VLOOKUP($D175,$C$5:$AA$494,6,)/VLOOKUP($D175,$C$5:$AA$494,4,))*$F175))</f>
        <v>5014334.2</v>
      </c>
      <c r="I175" s="41">
        <f>IF(VLOOKUP($D175,$C$5:$AA$494,7,)=0,0,((VLOOKUP($D175,$C$5:$AA$494,7,)/VLOOKUP($D175,$C$5:$AA$494,4,))*$F175))</f>
        <v>12813298.799999999</v>
      </c>
      <c r="J175" s="24"/>
      <c r="K175" s="24">
        <f>IF(VLOOKUP($D175,$C$5:$AA$494,9,)=0,0,((VLOOKUP($D175,$C$5:$AA$494,9,)/VLOOKUP($D175,$C$5:$AA$494,4,))*$F175))</f>
        <v>0</v>
      </c>
      <c r="L175" s="24"/>
      <c r="M175" s="24">
        <f>IF(VLOOKUP($D175,$C$5:$AA$494,11,)=0,0,((VLOOKUP($D175,$C$5:$AA$494,11,)/VLOOKUP($D175,$C$5:$AA$494,4,))*$F175))</f>
        <v>0</v>
      </c>
      <c r="N175" s="24"/>
      <c r="O175" s="24">
        <f>IF(VLOOKUP($D175,$C$5:$AA$494,13,)=0,0,((VLOOKUP($D175,$C$5:$AA$494,13,)/VLOOKUP($D175,$C$5:$AA$494,4,))*$F175))</f>
        <v>0</v>
      </c>
      <c r="P175" s="24">
        <f>IF(VLOOKUP($D175,$C$5:$AA$494,14,)=0,0,((VLOOKUP($D175,$C$5:$AA$494,14,)/VLOOKUP($D175,$C$5:$AA$494,4,))*$F175))</f>
        <v>0</v>
      </c>
      <c r="Q175" s="24"/>
      <c r="R175" s="24">
        <f>IF(VLOOKUP($D175,$C$5:$AA$494,16,)=0,0,((VLOOKUP($D175,$C$5:$AA$494,16,)/VLOOKUP($D175,$C$5:$AA$494,4,))*$F175))</f>
        <v>0</v>
      </c>
      <c r="S175" s="24">
        <f>IF(VLOOKUP($D175,$C$5:$AA$494,17,)=0,0,((VLOOKUP($D175,$C$5:$AA$494,17,)/VLOOKUP($D175,$C$5:$AA$494,4,))*$F175))</f>
        <v>0</v>
      </c>
      <c r="T175" s="24"/>
      <c r="U175" s="24">
        <f>IF(VLOOKUP($D175,$C$5:$AA$494,19,)=0,0,((VLOOKUP($D175,$C$5:$AA$494,19,)/VLOOKUP($D175,$C$5:$AA$494,4,))*$F175))</f>
        <v>0</v>
      </c>
      <c r="V175" s="24"/>
      <c r="W175" s="24">
        <f>IF(VLOOKUP($D175,$C$5:$AA$494,21,)=0,0,((VLOOKUP($D175,$C$5:$AA$494,21,)/VLOOKUP($D175,$C$5:$AA$494,4,))*$F175))</f>
        <v>0</v>
      </c>
      <c r="X175" s="24"/>
      <c r="Y175" s="24">
        <f>IF(VLOOKUP($D175,$C$5:$AA$494,23,)=0,0,((VLOOKUP($D175,$C$5:$AA$494,23,)/VLOOKUP($D175,$C$5:$AA$494,4,))*$F175))</f>
        <v>0</v>
      </c>
      <c r="Z175" s="24"/>
      <c r="AA175" s="24">
        <f>IF(VLOOKUP($D175,$C$5:$AA$494,25,)=0,0,((VLOOKUP($D175,$C$5:$AA$494,25,)/VLOOKUP($D175,$C$5:$AA$494,4,))*$F175))</f>
        <v>0</v>
      </c>
      <c r="AB175" s="24">
        <f>SUM(H175:AA175)</f>
        <v>17827633</v>
      </c>
      <c r="AC175" s="12" t="str">
        <f>IF(ABS(AB175-F175)&lt;1,"ok","err")</f>
        <v>ok</v>
      </c>
    </row>
    <row r="176" spans="1:29" x14ac:dyDescent="0.2">
      <c r="A176" s="3">
        <v>556</v>
      </c>
      <c r="B176" s="3" t="s">
        <v>879</v>
      </c>
      <c r="C176" s="3" t="s">
        <v>880</v>
      </c>
      <c r="D176" s="3" t="s">
        <v>96</v>
      </c>
      <c r="F176" s="24">
        <v>0</v>
      </c>
      <c r="G176" s="41"/>
      <c r="H176" s="24">
        <f>IF(VLOOKUP($D176,$C$5:$AA$494,6,)=0,0,((VLOOKUP($D176,$C$5:$AA$494,6,)/VLOOKUP($D176,$C$5:$AA$494,4,))*$F176))</f>
        <v>0</v>
      </c>
      <c r="I176" s="24">
        <f>IF(VLOOKUP($D176,$C$5:$AA$494,7,)=0,0,((VLOOKUP($D176,$C$5:$AA$494,7,)/VLOOKUP($D176,$C$5:$AA$494,4,))*$F176))</f>
        <v>0</v>
      </c>
      <c r="J176" s="24"/>
      <c r="K176" s="24">
        <f>IF(VLOOKUP($D176,$C$5:$AA$494,9,)=0,0,((VLOOKUP($D176,$C$5:$AA$494,9,)/VLOOKUP($D176,$C$5:$AA$494,4,))*$F176))</f>
        <v>0</v>
      </c>
      <c r="L176" s="24"/>
      <c r="M176" s="24">
        <f>IF(VLOOKUP($D176,$C$5:$AA$494,11,)=0,0,((VLOOKUP($D176,$C$5:$AA$494,11,)/VLOOKUP($D176,$C$5:$AA$494,4,))*$F176))</f>
        <v>0</v>
      </c>
      <c r="N176" s="24"/>
      <c r="O176" s="24">
        <f>IF(VLOOKUP($D176,$C$5:$AA$494,13,)=0,0,((VLOOKUP($D176,$C$5:$AA$494,13,)/VLOOKUP($D176,$C$5:$AA$494,4,))*$F176))</f>
        <v>0</v>
      </c>
      <c r="P176" s="24">
        <f>IF(VLOOKUP($D176,$C$5:$AA$494,14,)=0,0,((VLOOKUP($D176,$C$5:$AA$494,14,)/VLOOKUP($D176,$C$5:$AA$494,4,))*$F176))</f>
        <v>0</v>
      </c>
      <c r="Q176" s="24"/>
      <c r="R176" s="24">
        <f>IF(VLOOKUP($D176,$C$5:$AA$494,16,)=0,0,((VLOOKUP($D176,$C$5:$AA$494,16,)/VLOOKUP($D176,$C$5:$AA$494,4,))*$F176))</f>
        <v>0</v>
      </c>
      <c r="S176" s="24">
        <f>IF(VLOOKUP($D176,$C$5:$AA$494,17,)=0,0,((VLOOKUP($D176,$C$5:$AA$494,17,)/VLOOKUP($D176,$C$5:$AA$494,4,))*$F176))</f>
        <v>0</v>
      </c>
      <c r="T176" s="24"/>
      <c r="U176" s="24">
        <f>IF(VLOOKUP($D176,$C$5:$AA$494,19,)=0,0,((VLOOKUP($D176,$C$5:$AA$494,19,)/VLOOKUP($D176,$C$5:$AA$494,4,))*$F176))</f>
        <v>0</v>
      </c>
      <c r="V176" s="24"/>
      <c r="W176" s="24">
        <f>IF(VLOOKUP($D176,$C$5:$AA$494,21,)=0,0,((VLOOKUP($D176,$C$5:$AA$494,21,)/VLOOKUP($D176,$C$5:$AA$494,4,))*$F176))</f>
        <v>0</v>
      </c>
      <c r="X176" s="24"/>
      <c r="Y176" s="24">
        <f>IF(VLOOKUP($D176,$C$5:$AA$494,23,)=0,0,((VLOOKUP($D176,$C$5:$AA$494,23,)/VLOOKUP($D176,$C$5:$AA$494,4,))*$F176))</f>
        <v>0</v>
      </c>
      <c r="Z176" s="24"/>
      <c r="AA176" s="24">
        <f>IF(VLOOKUP($D176,$C$5:$AA$494,25,)=0,0,((VLOOKUP($D176,$C$5:$AA$494,25,)/VLOOKUP($D176,$C$5:$AA$494,4,))*$F176))</f>
        <v>0</v>
      </c>
      <c r="AB176" s="24">
        <f>SUM(H176:AA176)</f>
        <v>0</v>
      </c>
      <c r="AC176" s="12" t="str">
        <f>IF(ABS(AB176-F176)&lt;1,"ok","err")</f>
        <v>ok</v>
      </c>
    </row>
    <row r="177" spans="1:29" x14ac:dyDescent="0.2">
      <c r="A177" s="3">
        <v>557</v>
      </c>
      <c r="B177" s="3" t="s">
        <v>398</v>
      </c>
      <c r="C177" s="3" t="s">
        <v>400</v>
      </c>
      <c r="D177" s="3" t="s">
        <v>96</v>
      </c>
      <c r="F177" s="24">
        <v>0</v>
      </c>
      <c r="G177" s="41"/>
      <c r="H177" s="24">
        <f>IF(VLOOKUP($D177,$C$5:$AA$494,6,)=0,0,((VLOOKUP($D177,$C$5:$AA$494,6,)/VLOOKUP($D177,$C$5:$AA$494,4,))*$F177))</f>
        <v>0</v>
      </c>
      <c r="I177" s="24">
        <f>IF(VLOOKUP($D177,$C$5:$AA$494,7,)=0,0,((VLOOKUP($D177,$C$5:$AA$494,7,)/VLOOKUP($D177,$C$5:$AA$494,4,))*$F177))</f>
        <v>0</v>
      </c>
      <c r="J177" s="24"/>
      <c r="K177" s="24">
        <f>IF(VLOOKUP($D177,$C$5:$AA$494,9,)=0,0,((VLOOKUP($D177,$C$5:$AA$494,9,)/VLOOKUP($D177,$C$5:$AA$494,4,))*$F177))</f>
        <v>0</v>
      </c>
      <c r="L177" s="24"/>
      <c r="M177" s="24">
        <f>IF(VLOOKUP($D177,$C$5:$AA$494,11,)=0,0,((VLOOKUP($D177,$C$5:$AA$494,11,)/VLOOKUP($D177,$C$5:$AA$494,4,))*$F177))</f>
        <v>0</v>
      </c>
      <c r="N177" s="24"/>
      <c r="O177" s="24">
        <f>IF(VLOOKUP($D177,$C$5:$AA$494,13,)=0,0,((VLOOKUP($D177,$C$5:$AA$494,13,)/VLOOKUP($D177,$C$5:$AA$494,4,))*$F177))</f>
        <v>0</v>
      </c>
      <c r="P177" s="24">
        <f>IF(VLOOKUP($D177,$C$5:$AA$494,14,)=0,0,((VLOOKUP($D177,$C$5:$AA$494,14,)/VLOOKUP($D177,$C$5:$AA$494,4,))*$F177))</f>
        <v>0</v>
      </c>
      <c r="Q177" s="24"/>
      <c r="R177" s="24">
        <f>IF(VLOOKUP($D177,$C$5:$AA$494,16,)=0,0,((VLOOKUP($D177,$C$5:$AA$494,16,)/VLOOKUP($D177,$C$5:$AA$494,4,))*$F177))</f>
        <v>0</v>
      </c>
      <c r="S177" s="24">
        <f>IF(VLOOKUP($D177,$C$5:$AA$494,17,)=0,0,((VLOOKUP($D177,$C$5:$AA$494,17,)/VLOOKUP($D177,$C$5:$AA$494,4,))*$F177))</f>
        <v>0</v>
      </c>
      <c r="T177" s="24"/>
      <c r="U177" s="24">
        <f>IF(VLOOKUP($D177,$C$5:$AA$494,19,)=0,0,((VLOOKUP($D177,$C$5:$AA$494,19,)/VLOOKUP($D177,$C$5:$AA$494,4,))*$F177))</f>
        <v>0</v>
      </c>
      <c r="V177" s="24"/>
      <c r="W177" s="24">
        <f>IF(VLOOKUP($D177,$C$5:$AA$494,21,)=0,0,((VLOOKUP($D177,$C$5:$AA$494,21,)/VLOOKUP($D177,$C$5:$AA$494,4,))*$F177))</f>
        <v>0</v>
      </c>
      <c r="X177" s="24"/>
      <c r="Y177" s="24">
        <f>IF(VLOOKUP($D177,$C$5:$AA$494,23,)=0,0,((VLOOKUP($D177,$C$5:$AA$494,23,)/VLOOKUP($D177,$C$5:$AA$494,4,))*$F177))</f>
        <v>0</v>
      </c>
      <c r="Z177" s="24"/>
      <c r="AA177" s="24">
        <f>IF(VLOOKUP($D177,$C$5:$AA$494,25,)=0,0,((VLOOKUP($D177,$C$5:$AA$494,25,)/VLOOKUP($D177,$C$5:$AA$494,4,))*$F177))</f>
        <v>0</v>
      </c>
      <c r="AB177" s="24">
        <f>SUM(H177:AA177)</f>
        <v>0</v>
      </c>
      <c r="AC177" s="12" t="str">
        <f>IF(ABS(AB177-F177)&lt;1,"ok","err")</f>
        <v>ok</v>
      </c>
    </row>
    <row r="178" spans="1:29" x14ac:dyDescent="0.2">
      <c r="A178" s="3">
        <v>559</v>
      </c>
      <c r="B178" s="3" t="s">
        <v>803</v>
      </c>
      <c r="C178" s="3" t="s">
        <v>804</v>
      </c>
      <c r="D178" s="3" t="s">
        <v>96</v>
      </c>
      <c r="F178" s="24">
        <v>0</v>
      </c>
      <c r="G178" s="41"/>
      <c r="H178" s="24">
        <f>IF(VLOOKUP($D178,$C$5:$AA$494,6,)=0,0,((VLOOKUP($D178,$C$5:$AA$494,6,)/VLOOKUP($D178,$C$5:$AA$494,4,))*$F178))</f>
        <v>0</v>
      </c>
      <c r="I178" s="24">
        <f>IF(VLOOKUP($D178,$C$5:$AA$494,7,)=0,0,((VLOOKUP($D178,$C$5:$AA$494,7,)/VLOOKUP($D178,$C$5:$AA$494,4,))*$F178))</f>
        <v>0</v>
      </c>
      <c r="J178" s="24"/>
      <c r="K178" s="24">
        <f>IF(VLOOKUP($D178,$C$5:$AA$494,9,)=0,0,((VLOOKUP($D178,$C$5:$AA$494,9,)/VLOOKUP($D178,$C$5:$AA$494,4,))*$F178))</f>
        <v>0</v>
      </c>
      <c r="L178" s="24"/>
      <c r="M178" s="24">
        <f>IF(VLOOKUP($D178,$C$5:$AA$494,11,)=0,0,((VLOOKUP($D178,$C$5:$AA$494,11,)/VLOOKUP($D178,$C$5:$AA$494,4,))*$F178))</f>
        <v>0</v>
      </c>
      <c r="N178" s="24"/>
      <c r="O178" s="24">
        <f>IF(VLOOKUP($D178,$C$5:$AA$494,13,)=0,0,((VLOOKUP($D178,$C$5:$AA$494,13,)/VLOOKUP($D178,$C$5:$AA$494,4,))*$F178))</f>
        <v>0</v>
      </c>
      <c r="P178" s="24">
        <f>IF(VLOOKUP($D178,$C$5:$AA$494,14,)=0,0,((VLOOKUP($D178,$C$5:$AA$494,14,)/VLOOKUP($D178,$C$5:$AA$494,4,))*$F178))</f>
        <v>0</v>
      </c>
      <c r="Q178" s="24"/>
      <c r="R178" s="24">
        <f>IF(VLOOKUP($D178,$C$5:$AA$494,16,)=0,0,((VLOOKUP($D178,$C$5:$AA$494,16,)/VLOOKUP($D178,$C$5:$AA$494,4,))*$F178))</f>
        <v>0</v>
      </c>
      <c r="S178" s="24">
        <f>IF(VLOOKUP($D178,$C$5:$AA$494,17,)=0,0,((VLOOKUP($D178,$C$5:$AA$494,17,)/VLOOKUP($D178,$C$5:$AA$494,4,))*$F178))</f>
        <v>0</v>
      </c>
      <c r="T178" s="24"/>
      <c r="U178" s="24">
        <f>IF(VLOOKUP($D178,$C$5:$AA$494,19,)=0,0,((VLOOKUP($D178,$C$5:$AA$494,19,)/VLOOKUP($D178,$C$5:$AA$494,4,))*$F178))</f>
        <v>0</v>
      </c>
      <c r="V178" s="24"/>
      <c r="W178" s="24">
        <f>IF(VLOOKUP($D178,$C$5:$AA$494,21,)=0,0,((VLOOKUP($D178,$C$5:$AA$494,21,)/VLOOKUP($D178,$C$5:$AA$494,4,))*$F178))</f>
        <v>0</v>
      </c>
      <c r="X178" s="24"/>
      <c r="Y178" s="24">
        <f>IF(VLOOKUP($D178,$C$5:$AA$494,23,)=0,0,((VLOOKUP($D178,$C$5:$AA$494,23,)/VLOOKUP($D178,$C$5:$AA$494,4,))*$F178))</f>
        <v>0</v>
      </c>
      <c r="Z178" s="24"/>
      <c r="AA178" s="24">
        <f>IF(VLOOKUP($D178,$C$5:$AA$494,25,)=0,0,((VLOOKUP($D178,$C$5:$AA$494,25,)/VLOOKUP($D178,$C$5:$AA$494,4,))*$F178))</f>
        <v>0</v>
      </c>
      <c r="AB178" s="24">
        <f>SUM(H178:AA178)</f>
        <v>0</v>
      </c>
      <c r="AC178" s="12" t="str">
        <f>IF(ABS(AB178-F178)&lt;1,"ok","err")</f>
        <v>ok</v>
      </c>
    </row>
    <row r="179" spans="1:29" x14ac:dyDescent="0.2"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24"/>
      <c r="AC179" s="12"/>
    </row>
    <row r="180" spans="1:29" x14ac:dyDescent="0.2">
      <c r="A180" s="3" t="s">
        <v>399</v>
      </c>
      <c r="C180" s="3" t="s">
        <v>401</v>
      </c>
      <c r="F180" s="41">
        <f>SUM(F175:F179)</f>
        <v>17827633</v>
      </c>
      <c r="G180" s="41"/>
      <c r="H180" s="41">
        <f>SUM(H175:H179)</f>
        <v>5014334.2</v>
      </c>
      <c r="I180" s="41">
        <f t="shared" ref="I180:AA180" si="92">SUM(I175:I179)</f>
        <v>12813298.799999999</v>
      </c>
      <c r="J180" s="41"/>
      <c r="K180" s="41">
        <f t="shared" si="92"/>
        <v>0</v>
      </c>
      <c r="L180" s="41"/>
      <c r="M180" s="41">
        <f t="shared" si="92"/>
        <v>0</v>
      </c>
      <c r="N180" s="41"/>
      <c r="O180" s="41">
        <f t="shared" si="92"/>
        <v>0</v>
      </c>
      <c r="P180" s="41">
        <f t="shared" si="92"/>
        <v>0</v>
      </c>
      <c r="Q180" s="41"/>
      <c r="R180" s="41">
        <f t="shared" si="92"/>
        <v>0</v>
      </c>
      <c r="S180" s="41">
        <f t="shared" si="92"/>
        <v>0</v>
      </c>
      <c r="T180" s="41"/>
      <c r="U180" s="41">
        <f t="shared" si="92"/>
        <v>0</v>
      </c>
      <c r="V180" s="41"/>
      <c r="W180" s="41">
        <f t="shared" si="92"/>
        <v>0</v>
      </c>
      <c r="X180" s="41"/>
      <c r="Y180" s="41">
        <f t="shared" si="92"/>
        <v>0</v>
      </c>
      <c r="Z180" s="41"/>
      <c r="AA180" s="41">
        <f t="shared" si="92"/>
        <v>0</v>
      </c>
      <c r="AB180" s="24">
        <f>SUM(H180:AA180)</f>
        <v>17827633</v>
      </c>
      <c r="AC180" s="12" t="str">
        <f>IF(ABS(AB180-F180)&lt;1,"ok","err")</f>
        <v>ok</v>
      </c>
    </row>
    <row r="181" spans="1:29" x14ac:dyDescent="0.2"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24"/>
      <c r="AC181" s="12"/>
    </row>
    <row r="182" spans="1:29" x14ac:dyDescent="0.2">
      <c r="A182" s="2" t="s">
        <v>370</v>
      </c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24"/>
      <c r="AC182" s="12"/>
    </row>
    <row r="183" spans="1:29" x14ac:dyDescent="0.2">
      <c r="A183" s="3">
        <v>560</v>
      </c>
      <c r="B183" s="3" t="s">
        <v>373</v>
      </c>
      <c r="C183" s="3" t="s">
        <v>403</v>
      </c>
      <c r="D183" s="3" t="s">
        <v>390</v>
      </c>
      <c r="F183" s="41">
        <v>0</v>
      </c>
      <c r="G183" s="41"/>
      <c r="H183" s="24">
        <f t="shared" ref="H183:H197" si="93">IF((VLOOKUP($D183,$C$5:$AA$494,6,)=0),0,((VLOOKUP($D183,$C$5:$AA$494,6,)/VLOOKUP($D183,$C$5:$AA$494,4,))*$F183))</f>
        <v>0</v>
      </c>
      <c r="I183" s="24">
        <f t="shared" ref="I183:I197" si="94">IF((VLOOKUP($D183,$C$5:$AA$494,7,)=0),0,((VLOOKUP($D183,$C$5:$AA$494,7,)/VLOOKUP($D183,$C$5:$AA$494,4,))*$F183))</f>
        <v>0</v>
      </c>
      <c r="J183" s="24"/>
      <c r="K183" s="24">
        <f t="shared" ref="K183:K197" si="95">IF((VLOOKUP($D183,$C$5:$AA$494,9,)=0),0,((VLOOKUP($D183,$C$5:$AA$494,9,)/VLOOKUP($D183,$C$5:$AA$494,4,))*$F183))</f>
        <v>0</v>
      </c>
      <c r="L183" s="24"/>
      <c r="M183" s="24">
        <f t="shared" ref="M183:M197" si="96">IF((VLOOKUP($D183,$C$5:$AA$494,11,)=0),0,((VLOOKUP($D183,$C$5:$AA$494,11,)/VLOOKUP($D183,$C$5:$AA$494,4,))*$F183))</f>
        <v>0</v>
      </c>
      <c r="N183" s="24"/>
      <c r="O183" s="24">
        <f t="shared" ref="O183:O197" si="97">IF((VLOOKUP($D183,$C$5:$AA$494,13,)=0),0,((VLOOKUP($D183,$C$5:$AA$494,13,)/VLOOKUP($D183,$C$5:$AA$494,4,))*$F183))</f>
        <v>0</v>
      </c>
      <c r="P183" s="24">
        <f t="shared" ref="P183:P197" si="98">IF((VLOOKUP($D183,$C$5:$AA$494,14,)=0),0,((VLOOKUP($D183,$C$5:$AA$494,14,)/VLOOKUP($D183,$C$5:$AA$494,4,))*$F183))</f>
        <v>0</v>
      </c>
      <c r="Q183" s="24"/>
      <c r="R183" s="24">
        <f t="shared" ref="R183:R197" si="99">IF((VLOOKUP($D183,$C$5:$AA$494,16,)=0),0,((VLOOKUP($D183,$C$5:$AA$494,16,)/VLOOKUP($D183,$C$5:$AA$494,4,))*$F183))</f>
        <v>0</v>
      </c>
      <c r="S183" s="24">
        <f t="shared" ref="S183:S197" si="100">IF((VLOOKUP($D183,$C$5:$AA$494,17,)=0),0,((VLOOKUP($D183,$C$5:$AA$494,17,)/VLOOKUP($D183,$C$5:$AA$494,4,))*$F183))</f>
        <v>0</v>
      </c>
      <c r="T183" s="24"/>
      <c r="U183" s="24">
        <f t="shared" ref="U183:U197" si="101">IF((VLOOKUP($D183,$C$5:$AA$494,19,)=0),0,((VLOOKUP($D183,$C$5:$AA$494,19,)/VLOOKUP($D183,$C$5:$AA$494,4,))*$F183))</f>
        <v>0</v>
      </c>
      <c r="V183" s="24"/>
      <c r="W183" s="24">
        <f t="shared" ref="W183:W197" si="102">IF((VLOOKUP($D183,$C$5:$AA$494,21,)=0),0,((VLOOKUP($D183,$C$5:$AA$494,21,)/VLOOKUP($D183,$C$5:$AA$494,4,))*$F183))</f>
        <v>0</v>
      </c>
      <c r="X183" s="24"/>
      <c r="Y183" s="24">
        <f t="shared" ref="Y183:Y197" si="103">IF((VLOOKUP($D183,$C$5:$AA$494,23,)=0),0,((VLOOKUP($D183,$C$5:$AA$494,23,)/VLOOKUP($D183,$C$5:$AA$494,4,))*$F183))</f>
        <v>0</v>
      </c>
      <c r="Z183" s="24"/>
      <c r="AA183" s="24">
        <f t="shared" ref="AA183:AA197" si="104">IF((VLOOKUP($D183,$C$5:$AA$494,25,)=0),0,((VLOOKUP($D183,$C$5:$AA$494,25,)/VLOOKUP($D183,$C$5:$AA$494,4,))*$F183))</f>
        <v>0</v>
      </c>
      <c r="AB183" s="24">
        <f t="shared" ref="AB183:AB197" si="105">SUM(H183:AA183)</f>
        <v>0</v>
      </c>
      <c r="AC183" s="12" t="str">
        <f t="shared" ref="AC183:AC197" si="106">IF(ABS(AB183-F183)&lt;1,"ok","err")</f>
        <v>ok</v>
      </c>
    </row>
    <row r="184" spans="1:29" x14ac:dyDescent="0.2">
      <c r="A184" s="3">
        <v>561</v>
      </c>
      <c r="B184" s="3" t="s">
        <v>100</v>
      </c>
      <c r="C184" s="3" t="s">
        <v>404</v>
      </c>
      <c r="D184" s="3" t="s">
        <v>390</v>
      </c>
      <c r="F184" s="24">
        <v>0</v>
      </c>
      <c r="G184" s="41"/>
      <c r="H184" s="24">
        <f t="shared" si="93"/>
        <v>0</v>
      </c>
      <c r="I184" s="24">
        <f t="shared" si="94"/>
        <v>0</v>
      </c>
      <c r="J184" s="24"/>
      <c r="K184" s="24">
        <f t="shared" si="95"/>
        <v>0</v>
      </c>
      <c r="L184" s="24"/>
      <c r="M184" s="24">
        <f t="shared" si="96"/>
        <v>0</v>
      </c>
      <c r="N184" s="24"/>
      <c r="O184" s="24">
        <f t="shared" si="97"/>
        <v>0</v>
      </c>
      <c r="P184" s="24">
        <f t="shared" si="98"/>
        <v>0</v>
      </c>
      <c r="Q184" s="24"/>
      <c r="R184" s="24">
        <f t="shared" si="99"/>
        <v>0</v>
      </c>
      <c r="S184" s="24">
        <f t="shared" si="100"/>
        <v>0</v>
      </c>
      <c r="T184" s="24"/>
      <c r="U184" s="24">
        <f t="shared" si="101"/>
        <v>0</v>
      </c>
      <c r="V184" s="24"/>
      <c r="W184" s="24">
        <f t="shared" si="102"/>
        <v>0</v>
      </c>
      <c r="X184" s="24"/>
      <c r="Y184" s="24">
        <f t="shared" si="103"/>
        <v>0</v>
      </c>
      <c r="Z184" s="24"/>
      <c r="AA184" s="24">
        <f t="shared" si="104"/>
        <v>0</v>
      </c>
      <c r="AB184" s="24">
        <f t="shared" si="105"/>
        <v>0</v>
      </c>
      <c r="AC184" s="12" t="str">
        <f t="shared" si="106"/>
        <v>ok</v>
      </c>
    </row>
    <row r="185" spans="1:29" x14ac:dyDescent="0.2">
      <c r="A185" s="3">
        <v>562</v>
      </c>
      <c r="B185" s="3" t="s">
        <v>371</v>
      </c>
      <c r="C185" s="3" t="s">
        <v>405</v>
      </c>
      <c r="D185" s="3" t="s">
        <v>390</v>
      </c>
      <c r="F185" s="24">
        <v>0</v>
      </c>
      <c r="G185" s="41"/>
      <c r="H185" s="24">
        <f t="shared" si="93"/>
        <v>0</v>
      </c>
      <c r="I185" s="24">
        <f t="shared" si="94"/>
        <v>0</v>
      </c>
      <c r="J185" s="24"/>
      <c r="K185" s="24">
        <f t="shared" si="95"/>
        <v>0</v>
      </c>
      <c r="L185" s="24"/>
      <c r="M185" s="24">
        <f t="shared" si="96"/>
        <v>0</v>
      </c>
      <c r="N185" s="24"/>
      <c r="O185" s="24">
        <f t="shared" si="97"/>
        <v>0</v>
      </c>
      <c r="P185" s="24">
        <f t="shared" si="98"/>
        <v>0</v>
      </c>
      <c r="Q185" s="24"/>
      <c r="R185" s="24">
        <f t="shared" si="99"/>
        <v>0</v>
      </c>
      <c r="S185" s="24">
        <f t="shared" si="100"/>
        <v>0</v>
      </c>
      <c r="T185" s="24"/>
      <c r="U185" s="24">
        <f t="shared" si="101"/>
        <v>0</v>
      </c>
      <c r="V185" s="24"/>
      <c r="W185" s="24">
        <f t="shared" si="102"/>
        <v>0</v>
      </c>
      <c r="X185" s="24"/>
      <c r="Y185" s="24">
        <f t="shared" si="103"/>
        <v>0</v>
      </c>
      <c r="Z185" s="24"/>
      <c r="AA185" s="24">
        <f t="shared" si="104"/>
        <v>0</v>
      </c>
      <c r="AB185" s="24">
        <f t="shared" si="105"/>
        <v>0</v>
      </c>
      <c r="AC185" s="12" t="str">
        <f t="shared" si="106"/>
        <v>ok</v>
      </c>
    </row>
    <row r="186" spans="1:29" x14ac:dyDescent="0.2">
      <c r="A186" s="3">
        <v>563</v>
      </c>
      <c r="B186" s="3" t="s">
        <v>102</v>
      </c>
      <c r="C186" s="3" t="s">
        <v>406</v>
      </c>
      <c r="D186" s="3" t="s">
        <v>390</v>
      </c>
      <c r="F186" s="24">
        <v>0</v>
      </c>
      <c r="G186" s="41"/>
      <c r="H186" s="24">
        <f t="shared" si="93"/>
        <v>0</v>
      </c>
      <c r="I186" s="24">
        <f t="shared" si="94"/>
        <v>0</v>
      </c>
      <c r="J186" s="24"/>
      <c r="K186" s="24">
        <f t="shared" si="95"/>
        <v>0</v>
      </c>
      <c r="L186" s="24"/>
      <c r="M186" s="24">
        <f t="shared" si="96"/>
        <v>0</v>
      </c>
      <c r="N186" s="24"/>
      <c r="O186" s="24">
        <f t="shared" si="97"/>
        <v>0</v>
      </c>
      <c r="P186" s="24">
        <f t="shared" si="98"/>
        <v>0</v>
      </c>
      <c r="Q186" s="24"/>
      <c r="R186" s="24">
        <f t="shared" si="99"/>
        <v>0</v>
      </c>
      <c r="S186" s="24">
        <f t="shared" si="100"/>
        <v>0</v>
      </c>
      <c r="T186" s="24"/>
      <c r="U186" s="24">
        <f t="shared" si="101"/>
        <v>0</v>
      </c>
      <c r="V186" s="24"/>
      <c r="W186" s="24">
        <f t="shared" si="102"/>
        <v>0</v>
      </c>
      <c r="X186" s="24"/>
      <c r="Y186" s="24">
        <f t="shared" si="103"/>
        <v>0</v>
      </c>
      <c r="Z186" s="24"/>
      <c r="AA186" s="24">
        <f t="shared" si="104"/>
        <v>0</v>
      </c>
      <c r="AB186" s="24">
        <f t="shared" si="105"/>
        <v>0</v>
      </c>
      <c r="AC186" s="12" t="str">
        <f t="shared" si="106"/>
        <v>ok</v>
      </c>
    </row>
    <row r="187" spans="1:29" x14ac:dyDescent="0.2">
      <c r="A187" s="3">
        <v>564</v>
      </c>
      <c r="B187" s="3" t="s">
        <v>104</v>
      </c>
      <c r="C187" s="3" t="s">
        <v>882</v>
      </c>
      <c r="D187" s="3" t="s">
        <v>390</v>
      </c>
      <c r="F187" s="24">
        <v>0</v>
      </c>
      <c r="G187" s="41"/>
      <c r="H187" s="24">
        <f t="shared" si="93"/>
        <v>0</v>
      </c>
      <c r="I187" s="24">
        <f t="shared" si="94"/>
        <v>0</v>
      </c>
      <c r="J187" s="24"/>
      <c r="K187" s="24">
        <f t="shared" si="95"/>
        <v>0</v>
      </c>
      <c r="L187" s="24"/>
      <c r="M187" s="24">
        <f t="shared" si="96"/>
        <v>0</v>
      </c>
      <c r="N187" s="24"/>
      <c r="O187" s="24">
        <f t="shared" si="97"/>
        <v>0</v>
      </c>
      <c r="P187" s="24">
        <f t="shared" si="98"/>
        <v>0</v>
      </c>
      <c r="Q187" s="24"/>
      <c r="R187" s="24">
        <f t="shared" si="99"/>
        <v>0</v>
      </c>
      <c r="S187" s="24">
        <f t="shared" si="100"/>
        <v>0</v>
      </c>
      <c r="T187" s="24"/>
      <c r="U187" s="24">
        <f t="shared" si="101"/>
        <v>0</v>
      </c>
      <c r="V187" s="24"/>
      <c r="W187" s="24">
        <f t="shared" si="102"/>
        <v>0</v>
      </c>
      <c r="X187" s="24"/>
      <c r="Y187" s="24">
        <f t="shared" si="103"/>
        <v>0</v>
      </c>
      <c r="Z187" s="24"/>
      <c r="AA187" s="24">
        <f t="shared" si="104"/>
        <v>0</v>
      </c>
      <c r="AB187" s="24">
        <f>SUM(H187:AA187)</f>
        <v>0</v>
      </c>
      <c r="AC187" s="12" t="str">
        <f>IF(ABS(AB187-F187)&lt;1,"ok","err")</f>
        <v>ok</v>
      </c>
    </row>
    <row r="188" spans="1:29" x14ac:dyDescent="0.2">
      <c r="A188" s="3">
        <v>565</v>
      </c>
      <c r="B188" s="3" t="s">
        <v>881</v>
      </c>
      <c r="C188" s="3" t="s">
        <v>883</v>
      </c>
      <c r="D188" s="3" t="s">
        <v>390</v>
      </c>
      <c r="F188" s="24">
        <v>0</v>
      </c>
      <c r="G188" s="41"/>
      <c r="H188" s="24">
        <f t="shared" si="93"/>
        <v>0</v>
      </c>
      <c r="I188" s="24">
        <f t="shared" si="94"/>
        <v>0</v>
      </c>
      <c r="J188" s="24"/>
      <c r="K188" s="24">
        <f t="shared" si="95"/>
        <v>0</v>
      </c>
      <c r="L188" s="24"/>
      <c r="M188" s="24">
        <f t="shared" si="96"/>
        <v>0</v>
      </c>
      <c r="N188" s="24"/>
      <c r="O188" s="24">
        <f t="shared" si="97"/>
        <v>0</v>
      </c>
      <c r="P188" s="24">
        <f t="shared" si="98"/>
        <v>0</v>
      </c>
      <c r="Q188" s="24"/>
      <c r="R188" s="24">
        <f t="shared" si="99"/>
        <v>0</v>
      </c>
      <c r="S188" s="24">
        <f t="shared" si="100"/>
        <v>0</v>
      </c>
      <c r="T188" s="24"/>
      <c r="U188" s="24">
        <f t="shared" si="101"/>
        <v>0</v>
      </c>
      <c r="V188" s="24"/>
      <c r="W188" s="24">
        <f t="shared" si="102"/>
        <v>0</v>
      </c>
      <c r="X188" s="24"/>
      <c r="Y188" s="24">
        <f t="shared" si="103"/>
        <v>0</v>
      </c>
      <c r="Z188" s="24"/>
      <c r="AA188" s="24">
        <f t="shared" si="104"/>
        <v>0</v>
      </c>
      <c r="AB188" s="24">
        <f>SUM(H188:AA188)</f>
        <v>0</v>
      </c>
      <c r="AC188" s="12" t="str">
        <f>IF(ABS(AB188-F188)&lt;1,"ok","err")</f>
        <v>ok</v>
      </c>
    </row>
    <row r="189" spans="1:29" x14ac:dyDescent="0.2">
      <c r="A189" s="3">
        <v>566</v>
      </c>
      <c r="B189" s="3" t="s">
        <v>586</v>
      </c>
      <c r="C189" s="3" t="s">
        <v>587</v>
      </c>
      <c r="D189" s="3" t="s">
        <v>390</v>
      </c>
      <c r="F189" s="24">
        <v>0</v>
      </c>
      <c r="G189" s="41"/>
      <c r="H189" s="24">
        <f t="shared" si="93"/>
        <v>0</v>
      </c>
      <c r="I189" s="24">
        <f t="shared" si="94"/>
        <v>0</v>
      </c>
      <c r="J189" s="24"/>
      <c r="K189" s="24">
        <f t="shared" si="95"/>
        <v>0</v>
      </c>
      <c r="L189" s="24"/>
      <c r="M189" s="24">
        <f t="shared" si="96"/>
        <v>0</v>
      </c>
      <c r="N189" s="24"/>
      <c r="O189" s="24">
        <f t="shared" si="97"/>
        <v>0</v>
      </c>
      <c r="P189" s="24">
        <f t="shared" si="98"/>
        <v>0</v>
      </c>
      <c r="Q189" s="24"/>
      <c r="R189" s="24">
        <f t="shared" si="99"/>
        <v>0</v>
      </c>
      <c r="S189" s="24">
        <f t="shared" si="100"/>
        <v>0</v>
      </c>
      <c r="T189" s="24"/>
      <c r="U189" s="24">
        <f t="shared" si="101"/>
        <v>0</v>
      </c>
      <c r="V189" s="24"/>
      <c r="W189" s="24">
        <f t="shared" si="102"/>
        <v>0</v>
      </c>
      <c r="X189" s="24"/>
      <c r="Y189" s="24">
        <f t="shared" si="103"/>
        <v>0</v>
      </c>
      <c r="Z189" s="24"/>
      <c r="AA189" s="24">
        <f t="shared" si="104"/>
        <v>0</v>
      </c>
      <c r="AB189" s="24">
        <f>SUM(H189:AA189)</f>
        <v>0</v>
      </c>
      <c r="AC189" s="12" t="str">
        <f>IF(ABS(AB189-F189)&lt;1,"ok","err")</f>
        <v>ok</v>
      </c>
    </row>
    <row r="190" spans="1:29" x14ac:dyDescent="0.2">
      <c r="A190" s="3">
        <v>567</v>
      </c>
      <c r="B190" s="3" t="s">
        <v>114</v>
      </c>
      <c r="C190" s="3" t="s">
        <v>884</v>
      </c>
      <c r="D190" s="3" t="s">
        <v>390</v>
      </c>
      <c r="F190" s="24">
        <v>0</v>
      </c>
      <c r="G190" s="41"/>
      <c r="H190" s="24">
        <f t="shared" si="93"/>
        <v>0</v>
      </c>
      <c r="I190" s="24">
        <f t="shared" si="94"/>
        <v>0</v>
      </c>
      <c r="J190" s="24"/>
      <c r="K190" s="24">
        <f t="shared" si="95"/>
        <v>0</v>
      </c>
      <c r="L190" s="24"/>
      <c r="M190" s="24">
        <f t="shared" si="96"/>
        <v>0</v>
      </c>
      <c r="N190" s="24"/>
      <c r="O190" s="24">
        <f t="shared" si="97"/>
        <v>0</v>
      </c>
      <c r="P190" s="24">
        <f t="shared" si="98"/>
        <v>0</v>
      </c>
      <c r="Q190" s="24"/>
      <c r="R190" s="24">
        <f t="shared" si="99"/>
        <v>0</v>
      </c>
      <c r="S190" s="24">
        <f t="shared" si="100"/>
        <v>0</v>
      </c>
      <c r="T190" s="24"/>
      <c r="U190" s="24">
        <f t="shared" si="101"/>
        <v>0</v>
      </c>
      <c r="V190" s="24"/>
      <c r="W190" s="24">
        <f t="shared" si="102"/>
        <v>0</v>
      </c>
      <c r="X190" s="24"/>
      <c r="Y190" s="24">
        <f t="shared" si="103"/>
        <v>0</v>
      </c>
      <c r="Z190" s="24"/>
      <c r="AA190" s="24">
        <f t="shared" si="104"/>
        <v>0</v>
      </c>
      <c r="AB190" s="24">
        <f>SUM(H190:AA190)</f>
        <v>0</v>
      </c>
      <c r="AC190" s="12" t="str">
        <f>IF(ABS(AB190-F190)&lt;1,"ok","err")</f>
        <v>ok</v>
      </c>
    </row>
    <row r="191" spans="1:29" x14ac:dyDescent="0.2">
      <c r="A191" s="3">
        <v>568</v>
      </c>
      <c r="B191" s="3" t="s">
        <v>885</v>
      </c>
      <c r="C191" s="3" t="s">
        <v>407</v>
      </c>
      <c r="D191" s="3" t="s">
        <v>390</v>
      </c>
      <c r="F191" s="24">
        <v>0</v>
      </c>
      <c r="G191" s="41"/>
      <c r="H191" s="24">
        <f t="shared" si="93"/>
        <v>0</v>
      </c>
      <c r="I191" s="24">
        <f t="shared" si="94"/>
        <v>0</v>
      </c>
      <c r="J191" s="24"/>
      <c r="K191" s="24">
        <f t="shared" si="95"/>
        <v>0</v>
      </c>
      <c r="L191" s="24"/>
      <c r="M191" s="24">
        <f t="shared" si="96"/>
        <v>0</v>
      </c>
      <c r="N191" s="24"/>
      <c r="O191" s="24">
        <f t="shared" si="97"/>
        <v>0</v>
      </c>
      <c r="P191" s="24">
        <f t="shared" si="98"/>
        <v>0</v>
      </c>
      <c r="Q191" s="24"/>
      <c r="R191" s="24">
        <f t="shared" si="99"/>
        <v>0</v>
      </c>
      <c r="S191" s="24">
        <f t="shared" si="100"/>
        <v>0</v>
      </c>
      <c r="T191" s="24"/>
      <c r="U191" s="24">
        <f t="shared" si="101"/>
        <v>0</v>
      </c>
      <c r="V191" s="24"/>
      <c r="W191" s="24">
        <f t="shared" si="102"/>
        <v>0</v>
      </c>
      <c r="X191" s="24"/>
      <c r="Y191" s="24">
        <f t="shared" si="103"/>
        <v>0</v>
      </c>
      <c r="Z191" s="24"/>
      <c r="AA191" s="24">
        <f t="shared" si="104"/>
        <v>0</v>
      </c>
      <c r="AB191" s="24">
        <f>SUM(H191:AA191)</f>
        <v>0</v>
      </c>
      <c r="AC191" s="12" t="str">
        <f>IF(ABS(AB191-F191)&lt;1,"ok","err")</f>
        <v>ok</v>
      </c>
    </row>
    <row r="192" spans="1:29" x14ac:dyDescent="0.2">
      <c r="A192" s="3">
        <v>569</v>
      </c>
      <c r="B192" s="3" t="s">
        <v>774</v>
      </c>
      <c r="C192" s="3" t="s">
        <v>886</v>
      </c>
      <c r="D192" s="3" t="s">
        <v>390</v>
      </c>
      <c r="F192" s="24">
        <v>0</v>
      </c>
      <c r="G192" s="41"/>
      <c r="H192" s="24">
        <f t="shared" si="93"/>
        <v>0</v>
      </c>
      <c r="I192" s="24">
        <f t="shared" si="94"/>
        <v>0</v>
      </c>
      <c r="J192" s="24"/>
      <c r="K192" s="24">
        <f t="shared" si="95"/>
        <v>0</v>
      </c>
      <c r="L192" s="24"/>
      <c r="M192" s="24">
        <f t="shared" si="96"/>
        <v>0</v>
      </c>
      <c r="N192" s="24"/>
      <c r="O192" s="24">
        <f t="shared" si="97"/>
        <v>0</v>
      </c>
      <c r="P192" s="24">
        <f t="shared" si="98"/>
        <v>0</v>
      </c>
      <c r="Q192" s="24"/>
      <c r="R192" s="24">
        <f t="shared" si="99"/>
        <v>0</v>
      </c>
      <c r="S192" s="24">
        <f t="shared" si="100"/>
        <v>0</v>
      </c>
      <c r="T192" s="24"/>
      <c r="U192" s="24">
        <f t="shared" si="101"/>
        <v>0</v>
      </c>
      <c r="V192" s="24"/>
      <c r="W192" s="24">
        <f t="shared" si="102"/>
        <v>0</v>
      </c>
      <c r="X192" s="24"/>
      <c r="Y192" s="24">
        <f t="shared" si="103"/>
        <v>0</v>
      </c>
      <c r="Z192" s="24"/>
      <c r="AA192" s="24">
        <f t="shared" si="104"/>
        <v>0</v>
      </c>
      <c r="AB192" s="24">
        <f t="shared" si="105"/>
        <v>0</v>
      </c>
      <c r="AC192" s="12" t="str">
        <f t="shared" si="106"/>
        <v>ok</v>
      </c>
    </row>
    <row r="193" spans="1:29" x14ac:dyDescent="0.2">
      <c r="A193" s="3">
        <v>570</v>
      </c>
      <c r="B193" s="3" t="s">
        <v>374</v>
      </c>
      <c r="C193" s="3" t="s">
        <v>408</v>
      </c>
      <c r="D193" s="3" t="s">
        <v>390</v>
      </c>
      <c r="F193" s="24">
        <v>0</v>
      </c>
      <c r="G193" s="41"/>
      <c r="H193" s="24">
        <f t="shared" si="93"/>
        <v>0</v>
      </c>
      <c r="I193" s="24">
        <f t="shared" si="94"/>
        <v>0</v>
      </c>
      <c r="J193" s="24"/>
      <c r="K193" s="24">
        <f t="shared" si="95"/>
        <v>0</v>
      </c>
      <c r="L193" s="24"/>
      <c r="M193" s="24">
        <f t="shared" si="96"/>
        <v>0</v>
      </c>
      <c r="N193" s="24"/>
      <c r="O193" s="24">
        <f t="shared" si="97"/>
        <v>0</v>
      </c>
      <c r="P193" s="24">
        <f t="shared" si="98"/>
        <v>0</v>
      </c>
      <c r="Q193" s="24"/>
      <c r="R193" s="24">
        <f t="shared" si="99"/>
        <v>0</v>
      </c>
      <c r="S193" s="24">
        <f t="shared" si="100"/>
        <v>0</v>
      </c>
      <c r="T193" s="24"/>
      <c r="U193" s="24">
        <f t="shared" si="101"/>
        <v>0</v>
      </c>
      <c r="V193" s="24"/>
      <c r="W193" s="24">
        <f t="shared" si="102"/>
        <v>0</v>
      </c>
      <c r="X193" s="24"/>
      <c r="Y193" s="24">
        <f t="shared" si="103"/>
        <v>0</v>
      </c>
      <c r="Z193" s="24"/>
      <c r="AA193" s="24">
        <f t="shared" si="104"/>
        <v>0</v>
      </c>
      <c r="AB193" s="24">
        <f t="shared" si="105"/>
        <v>0</v>
      </c>
      <c r="AC193" s="12" t="str">
        <f t="shared" si="106"/>
        <v>ok</v>
      </c>
    </row>
    <row r="194" spans="1:29" x14ac:dyDescent="0.2">
      <c r="A194" s="3">
        <v>571</v>
      </c>
      <c r="B194" s="3" t="s">
        <v>375</v>
      </c>
      <c r="C194" s="3" t="s">
        <v>409</v>
      </c>
      <c r="D194" s="3" t="s">
        <v>390</v>
      </c>
      <c r="F194" s="24">
        <v>0</v>
      </c>
      <c r="G194" s="41"/>
      <c r="H194" s="24">
        <f t="shared" si="93"/>
        <v>0</v>
      </c>
      <c r="I194" s="24">
        <f t="shared" si="94"/>
        <v>0</v>
      </c>
      <c r="J194" s="24"/>
      <c r="K194" s="24">
        <f t="shared" si="95"/>
        <v>0</v>
      </c>
      <c r="L194" s="24"/>
      <c r="M194" s="24">
        <f t="shared" si="96"/>
        <v>0</v>
      </c>
      <c r="N194" s="24"/>
      <c r="O194" s="24">
        <f t="shared" si="97"/>
        <v>0</v>
      </c>
      <c r="P194" s="24">
        <f t="shared" si="98"/>
        <v>0</v>
      </c>
      <c r="Q194" s="24"/>
      <c r="R194" s="24">
        <f t="shared" si="99"/>
        <v>0</v>
      </c>
      <c r="S194" s="24">
        <f t="shared" si="100"/>
        <v>0</v>
      </c>
      <c r="T194" s="24"/>
      <c r="U194" s="24">
        <f t="shared" si="101"/>
        <v>0</v>
      </c>
      <c r="V194" s="24"/>
      <c r="W194" s="24">
        <f t="shared" si="102"/>
        <v>0</v>
      </c>
      <c r="X194" s="24"/>
      <c r="Y194" s="24">
        <f t="shared" si="103"/>
        <v>0</v>
      </c>
      <c r="Z194" s="24"/>
      <c r="AA194" s="24">
        <f t="shared" si="104"/>
        <v>0</v>
      </c>
      <c r="AB194" s="24">
        <f t="shared" si="105"/>
        <v>0</v>
      </c>
      <c r="AC194" s="12" t="str">
        <f t="shared" si="106"/>
        <v>ok</v>
      </c>
    </row>
    <row r="195" spans="1:29" x14ac:dyDescent="0.2">
      <c r="A195" s="3">
        <v>572</v>
      </c>
      <c r="B195" s="3" t="s">
        <v>892</v>
      </c>
      <c r="C195" s="3" t="s">
        <v>889</v>
      </c>
      <c r="D195" s="3" t="s">
        <v>390</v>
      </c>
      <c r="F195" s="24">
        <v>0</v>
      </c>
      <c r="G195" s="41"/>
      <c r="H195" s="24">
        <f t="shared" si="93"/>
        <v>0</v>
      </c>
      <c r="I195" s="24">
        <f t="shared" si="94"/>
        <v>0</v>
      </c>
      <c r="J195" s="24"/>
      <c r="K195" s="24">
        <f t="shared" si="95"/>
        <v>0</v>
      </c>
      <c r="L195" s="24"/>
      <c r="M195" s="24">
        <f t="shared" si="96"/>
        <v>0</v>
      </c>
      <c r="N195" s="24"/>
      <c r="O195" s="24">
        <f t="shared" si="97"/>
        <v>0</v>
      </c>
      <c r="P195" s="24">
        <f t="shared" si="98"/>
        <v>0</v>
      </c>
      <c r="Q195" s="24"/>
      <c r="R195" s="24">
        <f t="shared" si="99"/>
        <v>0</v>
      </c>
      <c r="S195" s="24">
        <f t="shared" si="100"/>
        <v>0</v>
      </c>
      <c r="T195" s="24"/>
      <c r="U195" s="24">
        <f t="shared" si="101"/>
        <v>0</v>
      </c>
      <c r="V195" s="24"/>
      <c r="W195" s="24">
        <f t="shared" si="102"/>
        <v>0</v>
      </c>
      <c r="X195" s="24"/>
      <c r="Y195" s="24">
        <f t="shared" si="103"/>
        <v>0</v>
      </c>
      <c r="Z195" s="24"/>
      <c r="AA195" s="24">
        <f t="shared" si="104"/>
        <v>0</v>
      </c>
      <c r="AB195" s="24">
        <f>SUM(H195:AA195)</f>
        <v>0</v>
      </c>
      <c r="AC195" s="12" t="str">
        <f>IF(ABS(AB195-F195)&lt;1,"ok","err")</f>
        <v>ok</v>
      </c>
    </row>
    <row r="196" spans="1:29" x14ac:dyDescent="0.2">
      <c r="A196" s="3">
        <v>573</v>
      </c>
      <c r="B196" s="3" t="s">
        <v>887</v>
      </c>
      <c r="C196" s="3" t="s">
        <v>890</v>
      </c>
      <c r="D196" s="3" t="s">
        <v>390</v>
      </c>
      <c r="F196" s="24">
        <v>0</v>
      </c>
      <c r="G196" s="41"/>
      <c r="H196" s="24">
        <f t="shared" si="93"/>
        <v>0</v>
      </c>
      <c r="I196" s="24">
        <f t="shared" si="94"/>
        <v>0</v>
      </c>
      <c r="J196" s="24"/>
      <c r="K196" s="24">
        <f t="shared" si="95"/>
        <v>0</v>
      </c>
      <c r="L196" s="24"/>
      <c r="M196" s="24">
        <f t="shared" si="96"/>
        <v>0</v>
      </c>
      <c r="N196" s="24"/>
      <c r="O196" s="24">
        <f t="shared" si="97"/>
        <v>0</v>
      </c>
      <c r="P196" s="24">
        <f t="shared" si="98"/>
        <v>0</v>
      </c>
      <c r="Q196" s="24"/>
      <c r="R196" s="24">
        <f t="shared" si="99"/>
        <v>0</v>
      </c>
      <c r="S196" s="24">
        <f t="shared" si="100"/>
        <v>0</v>
      </c>
      <c r="T196" s="24"/>
      <c r="U196" s="24">
        <f t="shared" si="101"/>
        <v>0</v>
      </c>
      <c r="V196" s="24"/>
      <c r="W196" s="24">
        <f t="shared" si="102"/>
        <v>0</v>
      </c>
      <c r="X196" s="24"/>
      <c r="Y196" s="24">
        <f t="shared" si="103"/>
        <v>0</v>
      </c>
      <c r="Z196" s="24"/>
      <c r="AA196" s="24">
        <f t="shared" si="104"/>
        <v>0</v>
      </c>
      <c r="AB196" s="24">
        <f>SUM(H196:AA196)</f>
        <v>0</v>
      </c>
      <c r="AC196" s="12" t="str">
        <f>IF(ABS(AB196-F196)&lt;1,"ok","err")</f>
        <v>ok</v>
      </c>
    </row>
    <row r="197" spans="1:29" x14ac:dyDescent="0.2">
      <c r="A197" s="3">
        <v>574</v>
      </c>
      <c r="B197" s="3" t="s">
        <v>888</v>
      </c>
      <c r="C197" s="3" t="s">
        <v>891</v>
      </c>
      <c r="D197" s="3" t="s">
        <v>390</v>
      </c>
      <c r="F197" s="24">
        <v>0</v>
      </c>
      <c r="G197" s="41"/>
      <c r="H197" s="24">
        <f t="shared" si="93"/>
        <v>0</v>
      </c>
      <c r="I197" s="24">
        <f t="shared" si="94"/>
        <v>0</v>
      </c>
      <c r="J197" s="24"/>
      <c r="K197" s="24">
        <f t="shared" si="95"/>
        <v>0</v>
      </c>
      <c r="L197" s="24"/>
      <c r="M197" s="24">
        <f t="shared" si="96"/>
        <v>0</v>
      </c>
      <c r="N197" s="24"/>
      <c r="O197" s="24">
        <f t="shared" si="97"/>
        <v>0</v>
      </c>
      <c r="P197" s="24">
        <f t="shared" si="98"/>
        <v>0</v>
      </c>
      <c r="Q197" s="24"/>
      <c r="R197" s="24">
        <f t="shared" si="99"/>
        <v>0</v>
      </c>
      <c r="S197" s="24">
        <f t="shared" si="100"/>
        <v>0</v>
      </c>
      <c r="T197" s="24"/>
      <c r="U197" s="24">
        <f t="shared" si="101"/>
        <v>0</v>
      </c>
      <c r="V197" s="24"/>
      <c r="W197" s="24">
        <f t="shared" si="102"/>
        <v>0</v>
      </c>
      <c r="X197" s="24"/>
      <c r="Y197" s="24">
        <f t="shared" si="103"/>
        <v>0</v>
      </c>
      <c r="Z197" s="24"/>
      <c r="AA197" s="24">
        <f t="shared" si="104"/>
        <v>0</v>
      </c>
      <c r="AB197" s="24">
        <f t="shared" si="105"/>
        <v>0</v>
      </c>
      <c r="AC197" s="12" t="str">
        <f t="shared" si="106"/>
        <v>ok</v>
      </c>
    </row>
    <row r="198" spans="1:29" x14ac:dyDescent="0.2"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24"/>
      <c r="AC198" s="12"/>
    </row>
    <row r="199" spans="1:29" x14ac:dyDescent="0.2">
      <c r="A199" s="3" t="s">
        <v>376</v>
      </c>
      <c r="F199" s="65">
        <f>SUM(F183:F197)</f>
        <v>0</v>
      </c>
      <c r="G199" s="65"/>
      <c r="H199" s="65">
        <f t="shared" ref="H199:AA199" si="107">SUM(H183:H197)</f>
        <v>0</v>
      </c>
      <c r="I199" s="65">
        <f t="shared" si="107"/>
        <v>0</v>
      </c>
      <c r="J199" s="65"/>
      <c r="K199" s="65">
        <f t="shared" si="107"/>
        <v>0</v>
      </c>
      <c r="L199" s="65"/>
      <c r="M199" s="65">
        <f t="shared" si="107"/>
        <v>0</v>
      </c>
      <c r="N199" s="65"/>
      <c r="O199" s="65">
        <f t="shared" si="107"/>
        <v>0</v>
      </c>
      <c r="P199" s="65">
        <f t="shared" si="107"/>
        <v>0</v>
      </c>
      <c r="Q199" s="65"/>
      <c r="R199" s="65">
        <f t="shared" si="107"/>
        <v>0</v>
      </c>
      <c r="S199" s="65">
        <f t="shared" si="107"/>
        <v>0</v>
      </c>
      <c r="T199" s="65"/>
      <c r="U199" s="65">
        <f t="shared" si="107"/>
        <v>0</v>
      </c>
      <c r="V199" s="65"/>
      <c r="W199" s="65">
        <f t="shared" si="107"/>
        <v>0</v>
      </c>
      <c r="X199" s="65"/>
      <c r="Y199" s="65">
        <f t="shared" si="107"/>
        <v>0</v>
      </c>
      <c r="Z199" s="65"/>
      <c r="AA199" s="65">
        <f t="shared" si="107"/>
        <v>0</v>
      </c>
      <c r="AB199" s="41">
        <f>SUM(H199:AA199)</f>
        <v>0</v>
      </c>
      <c r="AC199" s="12" t="str">
        <f>IF(ABS(AB199-F199)&lt;1,"ok","err")</f>
        <v>ok</v>
      </c>
    </row>
    <row r="200" spans="1:29" x14ac:dyDescent="0.2">
      <c r="B200" s="65"/>
      <c r="Q200" s="3"/>
      <c r="AC200" s="12"/>
    </row>
    <row r="201" spans="1:29" x14ac:dyDescent="0.2">
      <c r="A201" s="2" t="s">
        <v>97</v>
      </c>
      <c r="Q201" s="3"/>
      <c r="AC201" s="12"/>
    </row>
    <row r="202" spans="1:29" x14ac:dyDescent="0.2">
      <c r="A202" s="3">
        <v>580</v>
      </c>
      <c r="B202" s="3" t="s">
        <v>98</v>
      </c>
      <c r="C202" s="3" t="s">
        <v>99</v>
      </c>
      <c r="D202" s="3" t="s">
        <v>16</v>
      </c>
      <c r="F202" s="41">
        <v>232036.45</v>
      </c>
      <c r="H202" s="24">
        <f t="shared" ref="H202:H213" si="108">IF(VLOOKUP($D202,$C$5:$AA$494,6,)=0,0,((VLOOKUP($D202,$C$5:$AA$494,6,)/VLOOKUP($D202,$C$5:$AA$494,4,))*$F202))</f>
        <v>0</v>
      </c>
      <c r="I202" s="24">
        <f t="shared" ref="I202:I213" si="109">IF(VLOOKUP($D202,$C$5:$AA$494,7,)=0,0,((VLOOKUP($D202,$C$5:$AA$494,7,)/VLOOKUP($D202,$C$5:$AA$494,4,))*$F202))</f>
        <v>0</v>
      </c>
      <c r="J202" s="24"/>
      <c r="K202" s="24">
        <f t="shared" ref="K202:K213" si="110">IF(VLOOKUP($D202,$C$5:$AA$494,9,)=0,0,((VLOOKUP($D202,$C$5:$AA$494,9,)/VLOOKUP($D202,$C$5:$AA$494,4,))*$F202))</f>
        <v>0</v>
      </c>
      <c r="L202" s="24"/>
      <c r="M202" s="24">
        <f t="shared" ref="M202:M213" si="111">IF(VLOOKUP($D202,$C$5:$AA$494,11,)=0,0,((VLOOKUP($D202,$C$5:$AA$494,11,)/VLOOKUP($D202,$C$5:$AA$494,4,))*$F202))</f>
        <v>2017.0652517013609</v>
      </c>
      <c r="N202" s="24"/>
      <c r="O202" s="24">
        <f t="shared" ref="O202:O213" si="112">IF(VLOOKUP($D202,$C$5:$AA$494,13,)=0,0,((VLOOKUP($D202,$C$5:$AA$494,13,)/VLOOKUP($D202,$C$5:$AA$494,4,))*$F202))</f>
        <v>103161.08477687619</v>
      </c>
      <c r="P202" s="24">
        <f t="shared" ref="P202:P213" si="113">IF(VLOOKUP($D202,$C$5:$AA$494,14,)=0,0,((VLOOKUP($D202,$C$5:$AA$494,14,)/VLOOKUP($D202,$C$5:$AA$494,4,))*$F202))</f>
        <v>69266.692755245473</v>
      </c>
      <c r="Q202" s="24"/>
      <c r="R202" s="24">
        <f t="shared" ref="R202:R213" si="114">IF(VLOOKUP($D202,$C$5:$AA$494,16,)=0,0,((VLOOKUP($D202,$C$5:$AA$494,16,)/VLOOKUP($D202,$C$5:$AA$494,4,))*$F202))</f>
        <v>0</v>
      </c>
      <c r="S202" s="24">
        <f t="shared" ref="S202:S213" si="115">IF(VLOOKUP($D202,$C$5:$AA$494,17,)=0,0,((VLOOKUP($D202,$C$5:$AA$494,17,)/VLOOKUP($D202,$C$5:$AA$494,4,))*$F202))</f>
        <v>26072.391999010557</v>
      </c>
      <c r="T202" s="24"/>
      <c r="U202" s="24">
        <f t="shared" ref="U202:U213" si="116">IF(VLOOKUP($D202,$C$5:$AA$494,19,)=0,0,((VLOOKUP($D202,$C$5:$AA$494,19,)/VLOOKUP($D202,$C$5:$AA$494,4,))*$F202))</f>
        <v>15737.867850248511</v>
      </c>
      <c r="V202" s="24"/>
      <c r="W202" s="24">
        <f t="shared" ref="W202:W213" si="117">IF(VLOOKUP($D202,$C$5:$AA$494,21,)=0,0,((VLOOKUP($D202,$C$5:$AA$494,21,)/VLOOKUP($D202,$C$5:$AA$494,4,))*$F202))</f>
        <v>15781.347366917953</v>
      </c>
      <c r="X202" s="24"/>
      <c r="Y202" s="24">
        <f t="shared" ref="Y202:Y213" si="118">IF(VLOOKUP($D202,$C$5:$AA$494,23,)=0,0,((VLOOKUP($D202,$C$5:$AA$494,23,)/VLOOKUP($D202,$C$5:$AA$494,4,))*$F202))</f>
        <v>0</v>
      </c>
      <c r="Z202" s="24"/>
      <c r="AA202" s="24">
        <f t="shared" ref="AA202:AA213" si="119">IF(VLOOKUP($D202,$C$5:$AA$494,25,)=0,0,((VLOOKUP($D202,$C$5:$AA$494,25,)/VLOOKUP($D202,$C$5:$AA$494,4,))*$F202))</f>
        <v>0</v>
      </c>
      <c r="AB202" s="24">
        <f t="shared" ref="AB202:AB213" si="120">SUM(H202:AA202)</f>
        <v>232036.45000000004</v>
      </c>
      <c r="AC202" s="12" t="str">
        <f t="shared" ref="AC202:AC213" si="121">IF(ABS(AB202-F202)&lt;1,"ok","err")</f>
        <v>ok</v>
      </c>
    </row>
    <row r="203" spans="1:29" x14ac:dyDescent="0.2">
      <c r="A203" s="3">
        <v>581</v>
      </c>
      <c r="B203" s="3" t="s">
        <v>100</v>
      </c>
      <c r="C203" s="3" t="s">
        <v>101</v>
      </c>
      <c r="D203" s="3" t="s">
        <v>23</v>
      </c>
      <c r="F203" s="24">
        <v>0</v>
      </c>
      <c r="H203" s="24">
        <f t="shared" si="108"/>
        <v>0</v>
      </c>
      <c r="I203" s="24">
        <f t="shared" si="109"/>
        <v>0</v>
      </c>
      <c r="J203" s="24"/>
      <c r="K203" s="24">
        <f t="shared" si="110"/>
        <v>0</v>
      </c>
      <c r="L203" s="24"/>
      <c r="M203" s="24">
        <f t="shared" si="111"/>
        <v>0</v>
      </c>
      <c r="N203" s="24"/>
      <c r="O203" s="24">
        <f t="shared" si="112"/>
        <v>0</v>
      </c>
      <c r="P203" s="24">
        <f t="shared" si="113"/>
        <v>0</v>
      </c>
      <c r="Q203" s="24"/>
      <c r="R203" s="24">
        <f t="shared" si="114"/>
        <v>0</v>
      </c>
      <c r="S203" s="24">
        <f t="shared" si="115"/>
        <v>0</v>
      </c>
      <c r="T203" s="24"/>
      <c r="U203" s="24">
        <f t="shared" si="116"/>
        <v>0</v>
      </c>
      <c r="V203" s="24"/>
      <c r="W203" s="24">
        <f t="shared" si="117"/>
        <v>0</v>
      </c>
      <c r="X203" s="24"/>
      <c r="Y203" s="24">
        <f t="shared" si="118"/>
        <v>0</v>
      </c>
      <c r="Z203" s="24"/>
      <c r="AA203" s="24">
        <f t="shared" si="119"/>
        <v>0</v>
      </c>
      <c r="AB203" s="24">
        <f t="shared" si="120"/>
        <v>0</v>
      </c>
      <c r="AC203" s="12" t="str">
        <f t="shared" si="121"/>
        <v>ok</v>
      </c>
    </row>
    <row r="204" spans="1:29" x14ac:dyDescent="0.2">
      <c r="A204" s="3">
        <v>582</v>
      </c>
      <c r="B204" s="3" t="s">
        <v>371</v>
      </c>
      <c r="C204" s="3" t="s">
        <v>377</v>
      </c>
      <c r="D204" s="3" t="s">
        <v>23</v>
      </c>
      <c r="F204" s="24">
        <v>0</v>
      </c>
      <c r="H204" s="24">
        <f t="shared" si="108"/>
        <v>0</v>
      </c>
      <c r="I204" s="24">
        <f t="shared" si="109"/>
        <v>0</v>
      </c>
      <c r="J204" s="24"/>
      <c r="K204" s="24">
        <f t="shared" si="110"/>
        <v>0</v>
      </c>
      <c r="L204" s="24"/>
      <c r="M204" s="24">
        <f t="shared" si="111"/>
        <v>0</v>
      </c>
      <c r="N204" s="24"/>
      <c r="O204" s="24">
        <f t="shared" si="112"/>
        <v>0</v>
      </c>
      <c r="P204" s="24">
        <f t="shared" si="113"/>
        <v>0</v>
      </c>
      <c r="Q204" s="24"/>
      <c r="R204" s="24">
        <f t="shared" si="114"/>
        <v>0</v>
      </c>
      <c r="S204" s="24">
        <f t="shared" si="115"/>
        <v>0</v>
      </c>
      <c r="T204" s="24"/>
      <c r="U204" s="24">
        <f t="shared" si="116"/>
        <v>0</v>
      </c>
      <c r="V204" s="24"/>
      <c r="W204" s="24">
        <f t="shared" si="117"/>
        <v>0</v>
      </c>
      <c r="X204" s="24"/>
      <c r="Y204" s="24">
        <f t="shared" si="118"/>
        <v>0</v>
      </c>
      <c r="Z204" s="24"/>
      <c r="AA204" s="24">
        <f t="shared" si="119"/>
        <v>0</v>
      </c>
      <c r="AB204" s="24">
        <f t="shared" si="120"/>
        <v>0</v>
      </c>
      <c r="AC204" s="12" t="str">
        <f t="shared" si="121"/>
        <v>ok</v>
      </c>
    </row>
    <row r="205" spans="1:29" x14ac:dyDescent="0.2">
      <c r="A205" s="3">
        <v>583</v>
      </c>
      <c r="B205" s="3" t="s">
        <v>102</v>
      </c>
      <c r="C205" s="3" t="s">
        <v>103</v>
      </c>
      <c r="D205" s="3" t="s">
        <v>29</v>
      </c>
      <c r="F205" s="24">
        <v>100364.21</v>
      </c>
      <c r="H205" s="24">
        <f t="shared" si="108"/>
        <v>0</v>
      </c>
      <c r="I205" s="24">
        <f t="shared" si="109"/>
        <v>0</v>
      </c>
      <c r="J205" s="24"/>
      <c r="K205" s="24">
        <f t="shared" si="110"/>
        <v>0</v>
      </c>
      <c r="L205" s="24"/>
      <c r="M205" s="24">
        <f t="shared" si="111"/>
        <v>0</v>
      </c>
      <c r="N205" s="24"/>
      <c r="O205" s="24">
        <f t="shared" si="112"/>
        <v>63321.22234679175</v>
      </c>
      <c r="P205" s="24">
        <f t="shared" si="113"/>
        <v>37042.987653208249</v>
      </c>
      <c r="Q205" s="24"/>
      <c r="R205" s="24">
        <f t="shared" si="114"/>
        <v>0</v>
      </c>
      <c r="S205" s="24">
        <f t="shared" si="115"/>
        <v>0</v>
      </c>
      <c r="T205" s="24"/>
      <c r="U205" s="24">
        <f t="shared" si="116"/>
        <v>0</v>
      </c>
      <c r="V205" s="24"/>
      <c r="W205" s="24">
        <f t="shared" si="117"/>
        <v>0</v>
      </c>
      <c r="X205" s="24"/>
      <c r="Y205" s="24">
        <f t="shared" si="118"/>
        <v>0</v>
      </c>
      <c r="Z205" s="24"/>
      <c r="AA205" s="24">
        <f t="shared" si="119"/>
        <v>0</v>
      </c>
      <c r="AB205" s="24">
        <f t="shared" si="120"/>
        <v>100364.20999999999</v>
      </c>
      <c r="AC205" s="12" t="str">
        <f t="shared" si="121"/>
        <v>ok</v>
      </c>
    </row>
    <row r="206" spans="1:29" x14ac:dyDescent="0.2">
      <c r="A206" s="3">
        <v>584</v>
      </c>
      <c r="B206" s="3" t="s">
        <v>104</v>
      </c>
      <c r="C206" s="3" t="s">
        <v>105</v>
      </c>
      <c r="D206" s="3" t="s">
        <v>35</v>
      </c>
      <c r="F206" s="24">
        <v>0</v>
      </c>
      <c r="H206" s="24">
        <f t="shared" si="108"/>
        <v>0</v>
      </c>
      <c r="I206" s="24">
        <f t="shared" si="109"/>
        <v>0</v>
      </c>
      <c r="J206" s="24"/>
      <c r="K206" s="24">
        <f t="shared" si="110"/>
        <v>0</v>
      </c>
      <c r="L206" s="24"/>
      <c r="M206" s="24">
        <f t="shared" si="111"/>
        <v>0</v>
      </c>
      <c r="N206" s="24"/>
      <c r="O206" s="24">
        <f t="shared" si="112"/>
        <v>0</v>
      </c>
      <c r="P206" s="24">
        <f t="shared" si="113"/>
        <v>0</v>
      </c>
      <c r="Q206" s="24"/>
      <c r="R206" s="24">
        <f t="shared" si="114"/>
        <v>0</v>
      </c>
      <c r="S206" s="24">
        <f t="shared" si="115"/>
        <v>0</v>
      </c>
      <c r="T206" s="24"/>
      <c r="U206" s="24">
        <f t="shared" si="116"/>
        <v>0</v>
      </c>
      <c r="V206" s="24"/>
      <c r="W206" s="24">
        <f t="shared" si="117"/>
        <v>0</v>
      </c>
      <c r="X206" s="24"/>
      <c r="Y206" s="24">
        <f t="shared" si="118"/>
        <v>0</v>
      </c>
      <c r="Z206" s="24"/>
      <c r="AA206" s="24">
        <f t="shared" si="119"/>
        <v>0</v>
      </c>
      <c r="AB206" s="24">
        <f t="shared" si="120"/>
        <v>0</v>
      </c>
      <c r="AC206" s="12" t="str">
        <f t="shared" si="121"/>
        <v>ok</v>
      </c>
    </row>
    <row r="207" spans="1:29" x14ac:dyDescent="0.2">
      <c r="A207" s="3">
        <v>585</v>
      </c>
      <c r="B207" s="3" t="s">
        <v>106</v>
      </c>
      <c r="C207" s="3" t="s">
        <v>107</v>
      </c>
      <c r="D207" s="3" t="s">
        <v>46</v>
      </c>
      <c r="F207" s="24">
        <v>0</v>
      </c>
      <c r="H207" s="24">
        <f t="shared" si="108"/>
        <v>0</v>
      </c>
      <c r="I207" s="24">
        <f t="shared" si="109"/>
        <v>0</v>
      </c>
      <c r="J207" s="24"/>
      <c r="K207" s="24">
        <f t="shared" si="110"/>
        <v>0</v>
      </c>
      <c r="L207" s="24"/>
      <c r="M207" s="24">
        <f t="shared" si="111"/>
        <v>0</v>
      </c>
      <c r="N207" s="24"/>
      <c r="O207" s="24">
        <f t="shared" si="112"/>
        <v>0</v>
      </c>
      <c r="P207" s="24">
        <f t="shared" si="113"/>
        <v>0</v>
      </c>
      <c r="Q207" s="24"/>
      <c r="R207" s="24">
        <f t="shared" si="114"/>
        <v>0</v>
      </c>
      <c r="S207" s="24">
        <f t="shared" si="115"/>
        <v>0</v>
      </c>
      <c r="T207" s="24"/>
      <c r="U207" s="24">
        <f t="shared" si="116"/>
        <v>0</v>
      </c>
      <c r="V207" s="24"/>
      <c r="W207" s="24">
        <f t="shared" si="117"/>
        <v>0</v>
      </c>
      <c r="X207" s="24"/>
      <c r="Y207" s="24">
        <f t="shared" si="118"/>
        <v>0</v>
      </c>
      <c r="Z207" s="24"/>
      <c r="AA207" s="24">
        <f t="shared" si="119"/>
        <v>0</v>
      </c>
      <c r="AB207" s="24">
        <f t="shared" si="120"/>
        <v>0</v>
      </c>
      <c r="AC207" s="12" t="str">
        <f t="shared" si="121"/>
        <v>ok</v>
      </c>
    </row>
    <row r="208" spans="1:29" x14ac:dyDescent="0.2">
      <c r="A208" s="3">
        <v>586</v>
      </c>
      <c r="B208" s="3" t="s">
        <v>108</v>
      </c>
      <c r="C208" s="3" t="s">
        <v>109</v>
      </c>
      <c r="D208" s="3" t="s">
        <v>43</v>
      </c>
      <c r="F208" s="24">
        <f>793902.53+29142.88</f>
        <v>823045.41</v>
      </c>
      <c r="H208" s="24">
        <f t="shared" si="108"/>
        <v>0</v>
      </c>
      <c r="I208" s="24">
        <f t="shared" si="109"/>
        <v>0</v>
      </c>
      <c r="J208" s="24"/>
      <c r="K208" s="24">
        <f t="shared" si="110"/>
        <v>0</v>
      </c>
      <c r="L208" s="24"/>
      <c r="M208" s="24">
        <f t="shared" si="111"/>
        <v>0</v>
      </c>
      <c r="N208" s="24"/>
      <c r="O208" s="24">
        <f t="shared" si="112"/>
        <v>0</v>
      </c>
      <c r="P208" s="24">
        <f t="shared" si="113"/>
        <v>0</v>
      </c>
      <c r="Q208" s="24"/>
      <c r="R208" s="24">
        <f t="shared" si="114"/>
        <v>0</v>
      </c>
      <c r="S208" s="24">
        <f t="shared" si="115"/>
        <v>0</v>
      </c>
      <c r="T208" s="24"/>
      <c r="U208" s="24">
        <f t="shared" si="116"/>
        <v>823045.41</v>
      </c>
      <c r="V208" s="24"/>
      <c r="W208" s="24">
        <f t="shared" si="117"/>
        <v>0</v>
      </c>
      <c r="X208" s="24"/>
      <c r="Y208" s="24">
        <f t="shared" si="118"/>
        <v>0</v>
      </c>
      <c r="Z208" s="24"/>
      <c r="AA208" s="24">
        <f t="shared" si="119"/>
        <v>0</v>
      </c>
      <c r="AB208" s="24">
        <f t="shared" si="120"/>
        <v>823045.41</v>
      </c>
      <c r="AC208" s="12" t="str">
        <f t="shared" si="121"/>
        <v>ok</v>
      </c>
    </row>
    <row r="209" spans="1:29" x14ac:dyDescent="0.2">
      <c r="A209" s="3">
        <v>586</v>
      </c>
      <c r="B209" s="3" t="s">
        <v>450</v>
      </c>
      <c r="C209" s="3" t="s">
        <v>451</v>
      </c>
      <c r="D209" s="3" t="s">
        <v>471</v>
      </c>
      <c r="F209" s="24">
        <v>0</v>
      </c>
      <c r="H209" s="24">
        <f t="shared" si="108"/>
        <v>0</v>
      </c>
      <c r="I209" s="24">
        <f t="shared" si="109"/>
        <v>0</v>
      </c>
      <c r="J209" s="24"/>
      <c r="K209" s="24">
        <f t="shared" si="110"/>
        <v>0</v>
      </c>
      <c r="L209" s="24"/>
      <c r="M209" s="24">
        <f t="shared" si="111"/>
        <v>0</v>
      </c>
      <c r="N209" s="24"/>
      <c r="O209" s="24">
        <f t="shared" si="112"/>
        <v>0</v>
      </c>
      <c r="P209" s="24">
        <f t="shared" si="113"/>
        <v>0</v>
      </c>
      <c r="Q209" s="24"/>
      <c r="R209" s="24">
        <f t="shared" si="114"/>
        <v>0</v>
      </c>
      <c r="S209" s="24">
        <f t="shared" si="115"/>
        <v>0</v>
      </c>
      <c r="T209" s="24"/>
      <c r="U209" s="24">
        <f t="shared" si="116"/>
        <v>0</v>
      </c>
      <c r="V209" s="24"/>
      <c r="W209" s="24">
        <f t="shared" si="117"/>
        <v>0</v>
      </c>
      <c r="X209" s="24"/>
      <c r="Y209" s="24">
        <f t="shared" si="118"/>
        <v>0</v>
      </c>
      <c r="Z209" s="24"/>
      <c r="AA209" s="24">
        <f t="shared" si="119"/>
        <v>0</v>
      </c>
      <c r="AB209" s="24">
        <f t="shared" si="120"/>
        <v>0</v>
      </c>
      <c r="AC209" s="12" t="str">
        <f t="shared" si="121"/>
        <v>ok</v>
      </c>
    </row>
    <row r="210" spans="1:29" x14ac:dyDescent="0.2">
      <c r="A210" s="3">
        <v>587</v>
      </c>
      <c r="B210" s="3" t="s">
        <v>110</v>
      </c>
      <c r="C210" s="3" t="s">
        <v>111</v>
      </c>
      <c r="D210" s="3" t="s">
        <v>40</v>
      </c>
      <c r="F210" s="24">
        <v>7863.14</v>
      </c>
      <c r="H210" s="24">
        <f t="shared" si="108"/>
        <v>0</v>
      </c>
      <c r="I210" s="24">
        <f t="shared" si="109"/>
        <v>0</v>
      </c>
      <c r="J210" s="24"/>
      <c r="K210" s="24">
        <f t="shared" si="110"/>
        <v>0</v>
      </c>
      <c r="L210" s="24"/>
      <c r="M210" s="24">
        <f t="shared" si="111"/>
        <v>0</v>
      </c>
      <c r="N210" s="24"/>
      <c r="O210" s="24">
        <f t="shared" si="112"/>
        <v>0</v>
      </c>
      <c r="P210" s="24">
        <f t="shared" si="113"/>
        <v>0</v>
      </c>
      <c r="Q210" s="24"/>
      <c r="R210" s="24">
        <f t="shared" si="114"/>
        <v>0</v>
      </c>
      <c r="S210" s="24">
        <f t="shared" si="115"/>
        <v>7863.14</v>
      </c>
      <c r="T210" s="24"/>
      <c r="U210" s="24">
        <f t="shared" si="116"/>
        <v>0</v>
      </c>
      <c r="V210" s="24"/>
      <c r="W210" s="24">
        <f t="shared" si="117"/>
        <v>0</v>
      </c>
      <c r="X210" s="24"/>
      <c r="Y210" s="24">
        <f t="shared" si="118"/>
        <v>0</v>
      </c>
      <c r="Z210" s="24"/>
      <c r="AA210" s="24">
        <f t="shared" si="119"/>
        <v>0</v>
      </c>
      <c r="AB210" s="24">
        <f t="shared" si="120"/>
        <v>7863.14</v>
      </c>
      <c r="AC210" s="12" t="str">
        <f t="shared" si="121"/>
        <v>ok</v>
      </c>
    </row>
    <row r="211" spans="1:29" x14ac:dyDescent="0.2">
      <c r="A211" s="3">
        <v>588</v>
      </c>
      <c r="B211" s="3" t="s">
        <v>112</v>
      </c>
      <c r="C211" s="3" t="s">
        <v>113</v>
      </c>
      <c r="D211" s="3" t="s">
        <v>16</v>
      </c>
      <c r="F211" s="24">
        <f>98143.3+110212.64</f>
        <v>208355.94</v>
      </c>
      <c r="H211" s="24">
        <f t="shared" si="108"/>
        <v>0</v>
      </c>
      <c r="I211" s="24">
        <f t="shared" si="109"/>
        <v>0</v>
      </c>
      <c r="J211" s="24"/>
      <c r="K211" s="24">
        <f t="shared" si="110"/>
        <v>0</v>
      </c>
      <c r="L211" s="24"/>
      <c r="M211" s="24">
        <f t="shared" si="111"/>
        <v>1811.2133958245511</v>
      </c>
      <c r="N211" s="24"/>
      <c r="O211" s="24">
        <f t="shared" si="112"/>
        <v>92632.966889924966</v>
      </c>
      <c r="P211" s="24">
        <f t="shared" si="113"/>
        <v>62197.671442182291</v>
      </c>
      <c r="Q211" s="24"/>
      <c r="R211" s="24">
        <f t="shared" si="114"/>
        <v>0</v>
      </c>
      <c r="S211" s="24">
        <f t="shared" si="115"/>
        <v>23411.570651948532</v>
      </c>
      <c r="T211" s="24"/>
      <c r="U211" s="24">
        <f t="shared" si="116"/>
        <v>14131.737705581634</v>
      </c>
      <c r="V211" s="24"/>
      <c r="W211" s="24">
        <f t="shared" si="117"/>
        <v>14170.77991453806</v>
      </c>
      <c r="X211" s="24"/>
      <c r="Y211" s="24">
        <f t="shared" si="118"/>
        <v>0</v>
      </c>
      <c r="Z211" s="24"/>
      <c r="AA211" s="24">
        <f t="shared" si="119"/>
        <v>0</v>
      </c>
      <c r="AB211" s="24">
        <f t="shared" si="120"/>
        <v>208355.94000000006</v>
      </c>
      <c r="AC211" s="12" t="str">
        <f t="shared" si="121"/>
        <v>ok</v>
      </c>
    </row>
    <row r="212" spans="1:29" x14ac:dyDescent="0.2">
      <c r="A212" s="3">
        <v>588</v>
      </c>
      <c r="B212" s="3" t="s">
        <v>707</v>
      </c>
      <c r="C212" s="3" t="s">
        <v>550</v>
      </c>
      <c r="D212" s="3" t="s">
        <v>551</v>
      </c>
      <c r="F212" s="24">
        <v>0</v>
      </c>
      <c r="H212" s="24">
        <f t="shared" si="108"/>
        <v>0</v>
      </c>
      <c r="I212" s="24">
        <f t="shared" si="109"/>
        <v>0</v>
      </c>
      <c r="J212" s="24"/>
      <c r="K212" s="24">
        <f t="shared" si="110"/>
        <v>0</v>
      </c>
      <c r="L212" s="24"/>
      <c r="M212" s="24">
        <f t="shared" si="111"/>
        <v>0</v>
      </c>
      <c r="N212" s="24"/>
      <c r="O212" s="24">
        <f t="shared" si="112"/>
        <v>0</v>
      </c>
      <c r="P212" s="24">
        <f t="shared" si="113"/>
        <v>0</v>
      </c>
      <c r="Q212" s="24"/>
      <c r="R212" s="24">
        <f t="shared" si="114"/>
        <v>0</v>
      </c>
      <c r="S212" s="24">
        <f t="shared" si="115"/>
        <v>0</v>
      </c>
      <c r="T212" s="24"/>
      <c r="U212" s="24">
        <f t="shared" si="116"/>
        <v>0</v>
      </c>
      <c r="V212" s="24"/>
      <c r="W212" s="24">
        <f t="shared" si="117"/>
        <v>0</v>
      </c>
      <c r="X212" s="24"/>
      <c r="Y212" s="24">
        <f t="shared" si="118"/>
        <v>0</v>
      </c>
      <c r="Z212" s="24"/>
      <c r="AA212" s="24">
        <f t="shared" si="119"/>
        <v>0</v>
      </c>
      <c r="AB212" s="24">
        <f t="shared" si="120"/>
        <v>0</v>
      </c>
      <c r="AC212" s="12" t="str">
        <f t="shared" si="121"/>
        <v>ok</v>
      </c>
    </row>
    <row r="213" spans="1:29" x14ac:dyDescent="0.2">
      <c r="A213" s="3">
        <v>589</v>
      </c>
      <c r="B213" s="3" t="s">
        <v>114</v>
      </c>
      <c r="C213" s="3" t="s">
        <v>115</v>
      </c>
      <c r="D213" s="3" t="s">
        <v>16</v>
      </c>
      <c r="F213" s="24">
        <v>0</v>
      </c>
      <c r="H213" s="24">
        <f t="shared" si="108"/>
        <v>0</v>
      </c>
      <c r="I213" s="24">
        <f t="shared" si="109"/>
        <v>0</v>
      </c>
      <c r="J213" s="24"/>
      <c r="K213" s="24">
        <f t="shared" si="110"/>
        <v>0</v>
      </c>
      <c r="L213" s="24"/>
      <c r="M213" s="24">
        <f t="shared" si="111"/>
        <v>0</v>
      </c>
      <c r="N213" s="24"/>
      <c r="O213" s="24">
        <f t="shared" si="112"/>
        <v>0</v>
      </c>
      <c r="P213" s="24">
        <f t="shared" si="113"/>
        <v>0</v>
      </c>
      <c r="Q213" s="24"/>
      <c r="R213" s="24">
        <f t="shared" si="114"/>
        <v>0</v>
      </c>
      <c r="S213" s="24">
        <f t="shared" si="115"/>
        <v>0</v>
      </c>
      <c r="T213" s="24"/>
      <c r="U213" s="24">
        <f t="shared" si="116"/>
        <v>0</v>
      </c>
      <c r="V213" s="24"/>
      <c r="W213" s="24">
        <f t="shared" si="117"/>
        <v>0</v>
      </c>
      <c r="X213" s="24"/>
      <c r="Y213" s="24">
        <f t="shared" si="118"/>
        <v>0</v>
      </c>
      <c r="Z213" s="24"/>
      <c r="AA213" s="24">
        <f t="shared" si="119"/>
        <v>0</v>
      </c>
      <c r="AB213" s="24">
        <f t="shared" si="120"/>
        <v>0</v>
      </c>
      <c r="AC213" s="12" t="str">
        <f t="shared" si="121"/>
        <v>ok</v>
      </c>
    </row>
    <row r="214" spans="1:29" x14ac:dyDescent="0.2">
      <c r="F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C214" s="12"/>
    </row>
    <row r="215" spans="1:29" x14ac:dyDescent="0.2">
      <c r="A215" s="3" t="s">
        <v>116</v>
      </c>
      <c r="C215" s="3" t="s">
        <v>117</v>
      </c>
      <c r="F215" s="41">
        <f>SUM(F202:F214)</f>
        <v>1371665.15</v>
      </c>
      <c r="G215" s="41"/>
      <c r="H215" s="41">
        <f t="shared" ref="H215:AA215" si="122">SUM(H202:H214)</f>
        <v>0</v>
      </c>
      <c r="I215" s="41">
        <f t="shared" si="122"/>
        <v>0</v>
      </c>
      <c r="J215" s="41"/>
      <c r="K215" s="41">
        <f t="shared" si="122"/>
        <v>0</v>
      </c>
      <c r="L215" s="41"/>
      <c r="M215" s="41">
        <f t="shared" si="122"/>
        <v>3828.2786475259118</v>
      </c>
      <c r="N215" s="41"/>
      <c r="O215" s="41">
        <f t="shared" si="122"/>
        <v>259115.27401359292</v>
      </c>
      <c r="P215" s="41">
        <f t="shared" si="122"/>
        <v>168507.35185063601</v>
      </c>
      <c r="Q215" s="41"/>
      <c r="R215" s="41">
        <f t="shared" si="122"/>
        <v>0</v>
      </c>
      <c r="S215" s="41">
        <f t="shared" si="122"/>
        <v>57347.102650959088</v>
      </c>
      <c r="T215" s="41"/>
      <c r="U215" s="41">
        <f t="shared" si="122"/>
        <v>852915.01555583009</v>
      </c>
      <c r="V215" s="41"/>
      <c r="W215" s="41">
        <f t="shared" si="122"/>
        <v>29952.127281456014</v>
      </c>
      <c r="X215" s="41"/>
      <c r="Y215" s="41">
        <f t="shared" si="122"/>
        <v>0</v>
      </c>
      <c r="Z215" s="41"/>
      <c r="AA215" s="41">
        <f t="shared" si="122"/>
        <v>0</v>
      </c>
      <c r="AB215" s="24">
        <f>SUM(H215:AA215)</f>
        <v>1371665.1500000001</v>
      </c>
      <c r="AC215" s="12" t="str">
        <f>IF(ABS(AB215-F215)&lt;1,"ok","err")</f>
        <v>ok</v>
      </c>
    </row>
    <row r="216" spans="1:29" x14ac:dyDescent="0.2"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24"/>
      <c r="AC216" s="12"/>
    </row>
    <row r="217" spans="1:29" x14ac:dyDescent="0.2">
      <c r="A217" s="10" t="s">
        <v>135</v>
      </c>
      <c r="F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C217" s="12"/>
    </row>
    <row r="218" spans="1:29" x14ac:dyDescent="0.2">
      <c r="F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C218" s="12"/>
    </row>
    <row r="219" spans="1:29" x14ac:dyDescent="0.2">
      <c r="A219" s="2" t="s">
        <v>118</v>
      </c>
      <c r="F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C219" s="12"/>
    </row>
    <row r="220" spans="1:29" x14ac:dyDescent="0.2">
      <c r="A220" s="3">
        <v>590</v>
      </c>
      <c r="B220" s="3" t="s">
        <v>119</v>
      </c>
      <c r="C220" s="3" t="s">
        <v>120</v>
      </c>
      <c r="D220" s="3" t="s">
        <v>16</v>
      </c>
      <c r="F220" s="41">
        <v>232337.8</v>
      </c>
      <c r="H220" s="24">
        <f t="shared" ref="H220:H227" si="123">IF(VLOOKUP($D220,$C$5:$AA$494,6,)=0,0,((VLOOKUP($D220,$C$5:$AA$494,6,)/VLOOKUP($D220,$C$5:$AA$494,4,))*$F220))</f>
        <v>0</v>
      </c>
      <c r="I220" s="24">
        <f t="shared" ref="I220:I227" si="124">IF(VLOOKUP($D220,$C$5:$AA$494,7,)=0,0,((VLOOKUP($D220,$C$5:$AA$494,7,)/VLOOKUP($D220,$C$5:$AA$494,4,))*$F220))</f>
        <v>0</v>
      </c>
      <c r="J220" s="24"/>
      <c r="K220" s="24">
        <f t="shared" ref="K220:K227" si="125">IF(VLOOKUP($D220,$C$5:$AA$494,9,)=0,0,((VLOOKUP($D220,$C$5:$AA$494,9,)/VLOOKUP($D220,$C$5:$AA$494,4,))*$F220))</f>
        <v>0</v>
      </c>
      <c r="L220" s="24"/>
      <c r="M220" s="24">
        <f t="shared" ref="M220:M227" si="126">IF(VLOOKUP($D220,$C$5:$AA$494,11,)=0,0,((VLOOKUP($D220,$C$5:$AA$494,11,)/VLOOKUP($D220,$C$5:$AA$494,4,))*$F220))</f>
        <v>2019.6848513961511</v>
      </c>
      <c r="N220" s="24"/>
      <c r="O220" s="24">
        <f t="shared" ref="O220:O227" si="127">IF(VLOOKUP($D220,$C$5:$AA$494,13,)=0,0,((VLOOKUP($D220,$C$5:$AA$494,13,)/VLOOKUP($D220,$C$5:$AA$494,4,))*$F220))</f>
        <v>103295.06197268965</v>
      </c>
      <c r="P220" s="24">
        <f t="shared" ref="P220:P227" si="128">IF(VLOOKUP($D220,$C$5:$AA$494,14,)=0,0,((VLOOKUP($D220,$C$5:$AA$494,14,)/VLOOKUP($D220,$C$5:$AA$494,4,))*$F220))</f>
        <v>69356.650681518659</v>
      </c>
      <c r="Q220" s="24"/>
      <c r="R220" s="24">
        <f t="shared" ref="R220:R227" si="129">IF(VLOOKUP($D220,$C$5:$AA$494,16,)=0,0,((VLOOKUP($D220,$C$5:$AA$494,16,)/VLOOKUP($D220,$C$5:$AA$494,4,))*$F220))</f>
        <v>0</v>
      </c>
      <c r="S220" s="24">
        <f t="shared" ref="S220:S227" si="130">IF(VLOOKUP($D220,$C$5:$AA$494,17,)=0,0,((VLOOKUP($D220,$C$5:$AA$494,17,)/VLOOKUP($D220,$C$5:$AA$494,4,))*$F220))</f>
        <v>26106.252693435508</v>
      </c>
      <c r="T220" s="24"/>
      <c r="U220" s="24">
        <f t="shared" ref="U220:U227" si="131">IF(VLOOKUP($D220,$C$5:$AA$494,19,)=0,0,((VLOOKUP($D220,$C$5:$AA$494,19,)/VLOOKUP($D220,$C$5:$AA$494,4,))*$F220))</f>
        <v>15758.306908321809</v>
      </c>
      <c r="V220" s="24"/>
      <c r="W220" s="24">
        <f t="shared" ref="W220:W227" si="132">IF(VLOOKUP($D220,$C$5:$AA$494,21,)=0,0,((VLOOKUP($D220,$C$5:$AA$494,21,)/VLOOKUP($D220,$C$5:$AA$494,4,))*$F220))</f>
        <v>15801.842892638246</v>
      </c>
      <c r="X220" s="24"/>
      <c r="Y220" s="24">
        <f t="shared" ref="Y220:Y227" si="133">IF(VLOOKUP($D220,$C$5:$AA$494,23,)=0,0,((VLOOKUP($D220,$C$5:$AA$494,23,)/VLOOKUP($D220,$C$5:$AA$494,4,))*$F220))</f>
        <v>0</v>
      </c>
      <c r="Z220" s="24"/>
      <c r="AA220" s="24">
        <f t="shared" ref="AA220:AA227" si="134">IF(VLOOKUP($D220,$C$5:$AA$494,25,)=0,0,((VLOOKUP($D220,$C$5:$AA$494,25,)/VLOOKUP($D220,$C$5:$AA$494,4,))*$F220))</f>
        <v>0</v>
      </c>
      <c r="AB220" s="24">
        <f t="shared" ref="AB220:AB227" si="135">SUM(H220:AA220)</f>
        <v>232337.8</v>
      </c>
      <c r="AC220" s="12" t="str">
        <f t="shared" ref="AC220:AC227" si="136">IF(ABS(AB220-F220)&lt;1,"ok","err")</f>
        <v>ok</v>
      </c>
    </row>
    <row r="221" spans="1:29" x14ac:dyDescent="0.2">
      <c r="A221" s="3">
        <v>592</v>
      </c>
      <c r="B221" s="3" t="s">
        <v>121</v>
      </c>
      <c r="C221" s="3" t="s">
        <v>122</v>
      </c>
      <c r="D221" s="3" t="s">
        <v>23</v>
      </c>
      <c r="F221" s="24">
        <v>0</v>
      </c>
      <c r="H221" s="24">
        <f t="shared" si="123"/>
        <v>0</v>
      </c>
      <c r="I221" s="24">
        <f t="shared" si="124"/>
        <v>0</v>
      </c>
      <c r="J221" s="24"/>
      <c r="K221" s="24">
        <f t="shared" si="125"/>
        <v>0</v>
      </c>
      <c r="L221" s="24"/>
      <c r="M221" s="24">
        <f t="shared" si="126"/>
        <v>0</v>
      </c>
      <c r="N221" s="24"/>
      <c r="O221" s="24">
        <f t="shared" si="127"/>
        <v>0</v>
      </c>
      <c r="P221" s="24">
        <f t="shared" si="128"/>
        <v>0</v>
      </c>
      <c r="Q221" s="24"/>
      <c r="R221" s="24">
        <f t="shared" si="129"/>
        <v>0</v>
      </c>
      <c r="S221" s="24">
        <f t="shared" si="130"/>
        <v>0</v>
      </c>
      <c r="T221" s="24"/>
      <c r="U221" s="24">
        <f t="shared" si="131"/>
        <v>0</v>
      </c>
      <c r="V221" s="24"/>
      <c r="W221" s="24">
        <f t="shared" si="132"/>
        <v>0</v>
      </c>
      <c r="X221" s="24"/>
      <c r="Y221" s="24">
        <f t="shared" si="133"/>
        <v>0</v>
      </c>
      <c r="Z221" s="24"/>
      <c r="AA221" s="24">
        <f t="shared" si="134"/>
        <v>0</v>
      </c>
      <c r="AB221" s="24">
        <f t="shared" si="135"/>
        <v>0</v>
      </c>
      <c r="AC221" s="12" t="str">
        <f t="shared" si="136"/>
        <v>ok</v>
      </c>
    </row>
    <row r="222" spans="1:29" x14ac:dyDescent="0.2">
      <c r="A222" s="3">
        <v>593</v>
      </c>
      <c r="B222" s="3" t="s">
        <v>123</v>
      </c>
      <c r="C222" s="3" t="s">
        <v>124</v>
      </c>
      <c r="D222" s="3" t="s">
        <v>29</v>
      </c>
      <c r="F222" s="24">
        <f>747525.31+178384.53+3.17+739503.12+63241.25+141983.48+185777.73+26028+21293.02+6040.81+1092.98</f>
        <v>2110873.4</v>
      </c>
      <c r="H222" s="24">
        <f t="shared" si="123"/>
        <v>0</v>
      </c>
      <c r="I222" s="24">
        <f t="shared" si="124"/>
        <v>0</v>
      </c>
      <c r="J222" s="24"/>
      <c r="K222" s="24">
        <f t="shared" si="125"/>
        <v>0</v>
      </c>
      <c r="L222" s="24"/>
      <c r="M222" s="24">
        <f t="shared" si="126"/>
        <v>0</v>
      </c>
      <c r="N222" s="24"/>
      <c r="O222" s="24">
        <f t="shared" si="127"/>
        <v>1331780.3618175071</v>
      </c>
      <c r="P222" s="24">
        <f t="shared" si="128"/>
        <v>779093.0381824926</v>
      </c>
      <c r="Q222" s="24"/>
      <c r="R222" s="24">
        <f t="shared" si="129"/>
        <v>0</v>
      </c>
      <c r="S222" s="24">
        <f t="shared" si="130"/>
        <v>0</v>
      </c>
      <c r="T222" s="24"/>
      <c r="U222" s="24">
        <f t="shared" si="131"/>
        <v>0</v>
      </c>
      <c r="V222" s="24"/>
      <c r="W222" s="24">
        <f t="shared" si="132"/>
        <v>0</v>
      </c>
      <c r="X222" s="24"/>
      <c r="Y222" s="24">
        <f t="shared" si="133"/>
        <v>0</v>
      </c>
      <c r="Z222" s="24"/>
      <c r="AA222" s="24">
        <f t="shared" si="134"/>
        <v>0</v>
      </c>
      <c r="AB222" s="24">
        <f t="shared" si="135"/>
        <v>2110873.3999999994</v>
      </c>
      <c r="AC222" s="12" t="str">
        <f t="shared" si="136"/>
        <v>ok</v>
      </c>
    </row>
    <row r="223" spans="1:29" x14ac:dyDescent="0.2">
      <c r="A223" s="3">
        <v>594</v>
      </c>
      <c r="B223" s="3" t="s">
        <v>125</v>
      </c>
      <c r="C223" s="3" t="s">
        <v>126</v>
      </c>
      <c r="D223" s="3" t="s">
        <v>35</v>
      </c>
      <c r="F223" s="24">
        <v>0</v>
      </c>
      <c r="H223" s="24">
        <f t="shared" si="123"/>
        <v>0</v>
      </c>
      <c r="I223" s="24">
        <f t="shared" si="124"/>
        <v>0</v>
      </c>
      <c r="J223" s="24"/>
      <c r="K223" s="24">
        <f t="shared" si="125"/>
        <v>0</v>
      </c>
      <c r="L223" s="24"/>
      <c r="M223" s="24">
        <f t="shared" si="126"/>
        <v>0</v>
      </c>
      <c r="N223" s="24"/>
      <c r="O223" s="24">
        <f t="shared" si="127"/>
        <v>0</v>
      </c>
      <c r="P223" s="24">
        <f t="shared" si="128"/>
        <v>0</v>
      </c>
      <c r="Q223" s="24"/>
      <c r="R223" s="24">
        <f t="shared" si="129"/>
        <v>0</v>
      </c>
      <c r="S223" s="24">
        <f t="shared" si="130"/>
        <v>0</v>
      </c>
      <c r="T223" s="24"/>
      <c r="U223" s="24">
        <f t="shared" si="131"/>
        <v>0</v>
      </c>
      <c r="V223" s="24"/>
      <c r="W223" s="24">
        <f t="shared" si="132"/>
        <v>0</v>
      </c>
      <c r="X223" s="24"/>
      <c r="Y223" s="24">
        <f t="shared" si="133"/>
        <v>0</v>
      </c>
      <c r="Z223" s="24"/>
      <c r="AA223" s="24">
        <f t="shared" si="134"/>
        <v>0</v>
      </c>
      <c r="AB223" s="24">
        <f t="shared" si="135"/>
        <v>0</v>
      </c>
      <c r="AC223" s="12" t="str">
        <f t="shared" si="136"/>
        <v>ok</v>
      </c>
    </row>
    <row r="224" spans="1:29" x14ac:dyDescent="0.2">
      <c r="A224" s="3">
        <v>595</v>
      </c>
      <c r="B224" s="3" t="s">
        <v>127</v>
      </c>
      <c r="C224" s="3" t="s">
        <v>128</v>
      </c>
      <c r="D224" s="3" t="s">
        <v>37</v>
      </c>
      <c r="F224" s="24">
        <v>42789.13</v>
      </c>
      <c r="H224" s="24">
        <f t="shared" si="123"/>
        <v>0</v>
      </c>
      <c r="I224" s="24">
        <f t="shared" si="124"/>
        <v>0</v>
      </c>
      <c r="J224" s="24"/>
      <c r="K224" s="24">
        <f t="shared" si="125"/>
        <v>0</v>
      </c>
      <c r="L224" s="24"/>
      <c r="M224" s="24">
        <f t="shared" si="126"/>
        <v>0</v>
      </c>
      <c r="N224" s="24"/>
      <c r="O224" s="24">
        <f t="shared" si="127"/>
        <v>23145.923750556474</v>
      </c>
      <c r="P224" s="24">
        <f t="shared" si="128"/>
        <v>19643.206249443523</v>
      </c>
      <c r="Q224" s="24"/>
      <c r="R224" s="24">
        <f t="shared" si="129"/>
        <v>0</v>
      </c>
      <c r="S224" s="24">
        <f t="shared" si="130"/>
        <v>0</v>
      </c>
      <c r="T224" s="24"/>
      <c r="U224" s="24">
        <f t="shared" si="131"/>
        <v>0</v>
      </c>
      <c r="V224" s="24"/>
      <c r="W224" s="24">
        <f t="shared" si="132"/>
        <v>0</v>
      </c>
      <c r="X224" s="24"/>
      <c r="Y224" s="24">
        <f t="shared" si="133"/>
        <v>0</v>
      </c>
      <c r="Z224" s="24"/>
      <c r="AA224" s="24">
        <f t="shared" si="134"/>
        <v>0</v>
      </c>
      <c r="AB224" s="24">
        <f t="shared" si="135"/>
        <v>42789.13</v>
      </c>
      <c r="AC224" s="12" t="str">
        <f t="shared" si="136"/>
        <v>ok</v>
      </c>
    </row>
    <row r="225" spans="1:29" x14ac:dyDescent="0.2">
      <c r="A225" s="3">
        <v>596</v>
      </c>
      <c r="B225" s="3" t="s">
        <v>379</v>
      </c>
      <c r="C225" s="3" t="s">
        <v>380</v>
      </c>
      <c r="D225" s="3" t="s">
        <v>48</v>
      </c>
      <c r="F225" s="24">
        <v>0</v>
      </c>
      <c r="H225" s="24">
        <f t="shared" si="123"/>
        <v>0</v>
      </c>
      <c r="I225" s="24">
        <f t="shared" si="124"/>
        <v>0</v>
      </c>
      <c r="J225" s="24"/>
      <c r="K225" s="24">
        <f t="shared" si="125"/>
        <v>0</v>
      </c>
      <c r="L225" s="24"/>
      <c r="M225" s="24">
        <f t="shared" si="126"/>
        <v>0</v>
      </c>
      <c r="N225" s="24"/>
      <c r="O225" s="24">
        <f t="shared" si="127"/>
        <v>0</v>
      </c>
      <c r="P225" s="24">
        <f t="shared" si="128"/>
        <v>0</v>
      </c>
      <c r="Q225" s="24"/>
      <c r="R225" s="24">
        <f t="shared" si="129"/>
        <v>0</v>
      </c>
      <c r="S225" s="24">
        <f t="shared" si="130"/>
        <v>0</v>
      </c>
      <c r="T225" s="24"/>
      <c r="U225" s="24">
        <f t="shared" si="131"/>
        <v>0</v>
      </c>
      <c r="V225" s="24"/>
      <c r="W225" s="24">
        <f t="shared" si="132"/>
        <v>0</v>
      </c>
      <c r="X225" s="24"/>
      <c r="Y225" s="24">
        <f t="shared" si="133"/>
        <v>0</v>
      </c>
      <c r="Z225" s="24"/>
      <c r="AA225" s="24">
        <f t="shared" si="134"/>
        <v>0</v>
      </c>
      <c r="AB225" s="24">
        <f t="shared" si="135"/>
        <v>0</v>
      </c>
      <c r="AC225" s="12" t="str">
        <f t="shared" si="136"/>
        <v>ok</v>
      </c>
    </row>
    <row r="226" spans="1:29" x14ac:dyDescent="0.2">
      <c r="A226" s="3">
        <v>597</v>
      </c>
      <c r="B226" s="3" t="s">
        <v>129</v>
      </c>
      <c r="C226" s="3" t="s">
        <v>130</v>
      </c>
      <c r="D226" s="3" t="s">
        <v>43</v>
      </c>
      <c r="F226" s="24">
        <v>154.68</v>
      </c>
      <c r="H226" s="24">
        <f t="shared" si="123"/>
        <v>0</v>
      </c>
      <c r="I226" s="24">
        <f t="shared" si="124"/>
        <v>0</v>
      </c>
      <c r="J226" s="24"/>
      <c r="K226" s="24">
        <f t="shared" si="125"/>
        <v>0</v>
      </c>
      <c r="L226" s="24"/>
      <c r="M226" s="24">
        <f t="shared" si="126"/>
        <v>0</v>
      </c>
      <c r="N226" s="24"/>
      <c r="O226" s="24">
        <f t="shared" si="127"/>
        <v>0</v>
      </c>
      <c r="P226" s="24">
        <f t="shared" si="128"/>
        <v>0</v>
      </c>
      <c r="Q226" s="24"/>
      <c r="R226" s="24">
        <f t="shared" si="129"/>
        <v>0</v>
      </c>
      <c r="S226" s="24">
        <f t="shared" si="130"/>
        <v>0</v>
      </c>
      <c r="T226" s="24"/>
      <c r="U226" s="24">
        <f t="shared" si="131"/>
        <v>154.68</v>
      </c>
      <c r="V226" s="24"/>
      <c r="W226" s="24">
        <f t="shared" si="132"/>
        <v>0</v>
      </c>
      <c r="X226" s="24"/>
      <c r="Y226" s="24">
        <f t="shared" si="133"/>
        <v>0</v>
      </c>
      <c r="Z226" s="24"/>
      <c r="AA226" s="24">
        <f t="shared" si="134"/>
        <v>0</v>
      </c>
      <c r="AB226" s="24">
        <f t="shared" si="135"/>
        <v>154.68</v>
      </c>
      <c r="AC226" s="12" t="str">
        <f t="shared" si="136"/>
        <v>ok</v>
      </c>
    </row>
    <row r="227" spans="1:29" x14ac:dyDescent="0.2">
      <c r="A227" s="3">
        <v>598</v>
      </c>
      <c r="B227" s="3" t="s">
        <v>383</v>
      </c>
      <c r="C227" s="3" t="s">
        <v>131</v>
      </c>
      <c r="D227" s="3" t="s">
        <v>16</v>
      </c>
      <c r="F227" s="24">
        <v>40300.92</v>
      </c>
      <c r="H227" s="24">
        <f t="shared" si="123"/>
        <v>0</v>
      </c>
      <c r="I227" s="24">
        <f t="shared" si="124"/>
        <v>0</v>
      </c>
      <c r="J227" s="24"/>
      <c r="K227" s="24">
        <f t="shared" si="125"/>
        <v>0</v>
      </c>
      <c r="L227" s="24"/>
      <c r="M227" s="24">
        <f t="shared" si="126"/>
        <v>350.33110247806502</v>
      </c>
      <c r="N227" s="24"/>
      <c r="O227" s="24">
        <f t="shared" si="127"/>
        <v>17917.385930986726</v>
      </c>
      <c r="P227" s="24">
        <f t="shared" si="128"/>
        <v>12030.486776511738</v>
      </c>
      <c r="Q227" s="24"/>
      <c r="R227" s="24">
        <f t="shared" si="129"/>
        <v>0</v>
      </c>
      <c r="S227" s="24">
        <f t="shared" si="130"/>
        <v>4528.3462325025412</v>
      </c>
      <c r="T227" s="24"/>
      <c r="U227" s="24">
        <f t="shared" si="131"/>
        <v>2733.4091398288379</v>
      </c>
      <c r="V227" s="24"/>
      <c r="W227" s="24">
        <f t="shared" si="132"/>
        <v>2740.9608176920956</v>
      </c>
      <c r="X227" s="24"/>
      <c r="Y227" s="24">
        <f t="shared" si="133"/>
        <v>0</v>
      </c>
      <c r="Z227" s="24"/>
      <c r="AA227" s="24">
        <f t="shared" si="134"/>
        <v>0</v>
      </c>
      <c r="AB227" s="24">
        <f t="shared" si="135"/>
        <v>40300.92</v>
      </c>
      <c r="AC227" s="12" t="str">
        <f t="shared" si="136"/>
        <v>ok</v>
      </c>
    </row>
    <row r="228" spans="1:29" x14ac:dyDescent="0.2">
      <c r="F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12"/>
    </row>
    <row r="229" spans="1:29" x14ac:dyDescent="0.2">
      <c r="A229" s="3" t="s">
        <v>132</v>
      </c>
      <c r="C229" s="3" t="s">
        <v>133</v>
      </c>
      <c r="F229" s="41">
        <f t="shared" ref="F229:M229" si="137">SUM(F220:F228)</f>
        <v>2426455.9299999997</v>
      </c>
      <c r="G229" s="41"/>
      <c r="H229" s="41">
        <f t="shared" si="137"/>
        <v>0</v>
      </c>
      <c r="I229" s="41">
        <f t="shared" si="137"/>
        <v>0</v>
      </c>
      <c r="J229" s="41"/>
      <c r="K229" s="41">
        <f t="shared" si="137"/>
        <v>0</v>
      </c>
      <c r="L229" s="41"/>
      <c r="M229" s="41">
        <f t="shared" si="137"/>
        <v>2370.0159538742159</v>
      </c>
      <c r="N229" s="41"/>
      <c r="O229" s="41">
        <f t="shared" ref="O229:AA229" si="138">SUM(O220:O228)</f>
        <v>1476138.73347174</v>
      </c>
      <c r="P229" s="41">
        <f t="shared" si="138"/>
        <v>880123.38188996667</v>
      </c>
      <c r="Q229" s="41"/>
      <c r="R229" s="41">
        <f t="shared" si="138"/>
        <v>0</v>
      </c>
      <c r="S229" s="41">
        <f t="shared" si="138"/>
        <v>30634.598925938051</v>
      </c>
      <c r="T229" s="41"/>
      <c r="U229" s="41">
        <f t="shared" si="138"/>
        <v>18646.396048150647</v>
      </c>
      <c r="V229" s="41"/>
      <c r="W229" s="41">
        <f t="shared" si="138"/>
        <v>18542.803710330343</v>
      </c>
      <c r="X229" s="41"/>
      <c r="Y229" s="41">
        <f t="shared" si="138"/>
        <v>0</v>
      </c>
      <c r="Z229" s="41"/>
      <c r="AA229" s="41">
        <f t="shared" si="138"/>
        <v>0</v>
      </c>
      <c r="AB229" s="24">
        <f>SUM(H229:AA229)</f>
        <v>2426455.9299999997</v>
      </c>
      <c r="AC229" s="12" t="str">
        <f>IF(ABS(AB229-F229)&lt;1,"ok","err")</f>
        <v>ok</v>
      </c>
    </row>
    <row r="230" spans="1:29" x14ac:dyDescent="0.2">
      <c r="F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C230" s="12"/>
    </row>
    <row r="231" spans="1:29" x14ac:dyDescent="0.2">
      <c r="A231" s="3" t="s">
        <v>381</v>
      </c>
      <c r="F231" s="24">
        <f>F215+F229</f>
        <v>3798121.0799999996</v>
      </c>
      <c r="G231" s="24"/>
      <c r="H231" s="24">
        <f>H215+H229</f>
        <v>0</v>
      </c>
      <c r="I231" s="24">
        <f>I215+I229</f>
        <v>0</v>
      </c>
      <c r="J231" s="24"/>
      <c r="K231" s="24">
        <f>K215+K229</f>
        <v>0</v>
      </c>
      <c r="L231" s="24"/>
      <c r="M231" s="24">
        <f>M215+M229</f>
        <v>6198.2946014001282</v>
      </c>
      <c r="N231" s="24"/>
      <c r="O231" s="24">
        <f>O215+O229</f>
        <v>1735254.0074853329</v>
      </c>
      <c r="P231" s="24">
        <f>P215+P229</f>
        <v>1048630.7337406026</v>
      </c>
      <c r="Q231" s="24"/>
      <c r="R231" s="24">
        <f>R215+R229</f>
        <v>0</v>
      </c>
      <c r="S231" s="24">
        <f>S215+S229</f>
        <v>87981.701576897147</v>
      </c>
      <c r="T231" s="24"/>
      <c r="U231" s="24">
        <f>U215+U229</f>
        <v>871561.4116039807</v>
      </c>
      <c r="V231" s="24"/>
      <c r="W231" s="24">
        <f>W215+W229</f>
        <v>48494.930991786357</v>
      </c>
      <c r="X231" s="24"/>
      <c r="Y231" s="24">
        <f>Y215+Y229</f>
        <v>0</v>
      </c>
      <c r="Z231" s="24"/>
      <c r="AA231" s="24">
        <f>AA215+AA229</f>
        <v>0</v>
      </c>
      <c r="AB231" s="24">
        <f>SUM(H231:AA231)</f>
        <v>3798121.08</v>
      </c>
      <c r="AC231" s="12" t="str">
        <f>IF(ABS(AB231-F231)&lt;1,"ok","err")</f>
        <v>ok</v>
      </c>
    </row>
    <row r="232" spans="1:29" x14ac:dyDescent="0.2"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C232" s="12"/>
    </row>
    <row r="233" spans="1:29" x14ac:dyDescent="0.2">
      <c r="A233" s="3" t="s">
        <v>382</v>
      </c>
      <c r="F233" s="24">
        <f>F231+F199</f>
        <v>3798121.0799999996</v>
      </c>
      <c r="G233" s="24"/>
      <c r="H233" s="24">
        <f>H231+H199</f>
        <v>0</v>
      </c>
      <c r="I233" s="24">
        <f>I231+I199</f>
        <v>0</v>
      </c>
      <c r="J233" s="24"/>
      <c r="K233" s="24">
        <f>K231+K199</f>
        <v>0</v>
      </c>
      <c r="L233" s="24"/>
      <c r="M233" s="24">
        <f>M231+M199</f>
        <v>6198.2946014001282</v>
      </c>
      <c r="N233" s="24"/>
      <c r="O233" s="24">
        <f>O231+O199</f>
        <v>1735254.0074853329</v>
      </c>
      <c r="P233" s="24">
        <f>P231+P199</f>
        <v>1048630.7337406026</v>
      </c>
      <c r="Q233" s="24"/>
      <c r="R233" s="24">
        <f>R231+R199</f>
        <v>0</v>
      </c>
      <c r="S233" s="24">
        <f>S231+S199</f>
        <v>87981.701576897147</v>
      </c>
      <c r="T233" s="24"/>
      <c r="U233" s="24">
        <f>U231+U199</f>
        <v>871561.4116039807</v>
      </c>
      <c r="V233" s="24"/>
      <c r="W233" s="24">
        <f>W231+W199</f>
        <v>48494.930991786357</v>
      </c>
      <c r="X233" s="24"/>
      <c r="Y233" s="24">
        <f>Y231+Y199</f>
        <v>0</v>
      </c>
      <c r="Z233" s="24"/>
      <c r="AA233" s="24">
        <f>AA231+AA199</f>
        <v>0</v>
      </c>
      <c r="AB233" s="24">
        <f>SUM(H233:AA233)</f>
        <v>3798121.08</v>
      </c>
      <c r="AC233" s="12" t="str">
        <f>IF(ABS(AB233-F233)&lt;1,"ok","err")</f>
        <v>ok</v>
      </c>
    </row>
    <row r="234" spans="1:29" x14ac:dyDescent="0.2"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C234" s="12"/>
    </row>
    <row r="235" spans="1:29" x14ac:dyDescent="0.2">
      <c r="A235" s="3" t="s">
        <v>798</v>
      </c>
      <c r="F235" s="24">
        <f>F170+F199+F231</f>
        <v>3798121.0799999996</v>
      </c>
      <c r="G235" s="24"/>
      <c r="H235" s="24">
        <f>H170+H199+H231</f>
        <v>0</v>
      </c>
      <c r="I235" s="24">
        <f>I170+I199+I231</f>
        <v>0</v>
      </c>
      <c r="J235" s="24"/>
      <c r="K235" s="24">
        <f>K170+K199+K231</f>
        <v>0</v>
      </c>
      <c r="L235" s="24"/>
      <c r="M235" s="24">
        <f>M170+M199+M231</f>
        <v>6198.2946014001282</v>
      </c>
      <c r="N235" s="24"/>
      <c r="O235" s="24">
        <f>O170+O199+O231</f>
        <v>1735254.0074853329</v>
      </c>
      <c r="P235" s="24">
        <f>P170+P199+P231</f>
        <v>1048630.7337406026</v>
      </c>
      <c r="Q235" s="24"/>
      <c r="R235" s="24">
        <f>R170+R199+R231</f>
        <v>0</v>
      </c>
      <c r="S235" s="24">
        <f>S170+S199+S231</f>
        <v>87981.701576897147</v>
      </c>
      <c r="T235" s="24"/>
      <c r="U235" s="24">
        <f>U170+U199+U231</f>
        <v>871561.4116039807</v>
      </c>
      <c r="V235" s="24"/>
      <c r="W235" s="24">
        <f>W170+W199+W231</f>
        <v>48494.930991786357</v>
      </c>
      <c r="X235" s="24"/>
      <c r="Y235" s="24">
        <f>Y170+Y199+Y231</f>
        <v>0</v>
      </c>
      <c r="Z235" s="24"/>
      <c r="AA235" s="24">
        <f>AA170+AA199+AA231</f>
        <v>0</v>
      </c>
      <c r="AB235" s="24">
        <f>SUM(H235:AA235)</f>
        <v>3798121.08</v>
      </c>
      <c r="AC235" s="12" t="str">
        <f>IF(ABS(AB235-F235)&lt;1,"ok","err")</f>
        <v>ok</v>
      </c>
    </row>
    <row r="236" spans="1:29" x14ac:dyDescent="0.2"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C236" s="12"/>
    </row>
    <row r="237" spans="1:29" x14ac:dyDescent="0.2">
      <c r="A237" s="3" t="s">
        <v>797</v>
      </c>
      <c r="C237" s="3" t="s">
        <v>134</v>
      </c>
      <c r="F237" s="41">
        <f>F231+F199+F180+F170</f>
        <v>21625754.079999998</v>
      </c>
      <c r="G237" s="41"/>
      <c r="H237" s="41">
        <f>H231+H199+H180+H170</f>
        <v>5014334.2</v>
      </c>
      <c r="I237" s="41">
        <f>I231+I199+I180+I170</f>
        <v>12813298.799999999</v>
      </c>
      <c r="J237" s="41"/>
      <c r="K237" s="41">
        <f>K231+K199+K180+K170</f>
        <v>0</v>
      </c>
      <c r="L237" s="41"/>
      <c r="M237" s="41">
        <f>M231+M199+M180+M170</f>
        <v>6198.2946014001282</v>
      </c>
      <c r="N237" s="41"/>
      <c r="O237" s="41">
        <f>O231+O199+O180+O170</f>
        <v>1735254.0074853329</v>
      </c>
      <c r="P237" s="41">
        <f>P231+P199+P180+P170</f>
        <v>1048630.7337406026</v>
      </c>
      <c r="Q237" s="41"/>
      <c r="R237" s="41">
        <f>R231+R199+R180+R170</f>
        <v>0</v>
      </c>
      <c r="S237" s="41">
        <f>S231+S199+S180+S170</f>
        <v>87981.701576897147</v>
      </c>
      <c r="T237" s="41"/>
      <c r="U237" s="41">
        <f>U231+U199+U180+U170</f>
        <v>871561.4116039807</v>
      </c>
      <c r="V237" s="41"/>
      <c r="W237" s="41">
        <f>W231+W199+W180+W170</f>
        <v>48494.930991786357</v>
      </c>
      <c r="X237" s="41"/>
      <c r="Y237" s="41">
        <f>Y231+Y199+Y180+Y170</f>
        <v>0</v>
      </c>
      <c r="Z237" s="41"/>
      <c r="AA237" s="41">
        <f>AA231+AA199+AA180+AA170</f>
        <v>0</v>
      </c>
      <c r="AB237" s="24">
        <f>SUM(H237:AA237)</f>
        <v>21625754.079999998</v>
      </c>
      <c r="AC237" s="12" t="str">
        <f>IF(ABS(AB237-F237)&lt;1,"ok","err")</f>
        <v>ok</v>
      </c>
    </row>
    <row r="238" spans="1:29" x14ac:dyDescent="0.2">
      <c r="A238" s="2"/>
      <c r="F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C238" s="12"/>
    </row>
    <row r="239" spans="1:29" x14ac:dyDescent="0.2">
      <c r="A239" s="2" t="s">
        <v>136</v>
      </c>
      <c r="F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C239" s="12"/>
    </row>
    <row r="240" spans="1:29" x14ac:dyDescent="0.2">
      <c r="A240" s="3">
        <v>901</v>
      </c>
      <c r="B240" s="3" t="s">
        <v>137</v>
      </c>
      <c r="C240" s="3" t="s">
        <v>138</v>
      </c>
      <c r="D240" s="3" t="s">
        <v>139</v>
      </c>
      <c r="F240" s="41">
        <v>0</v>
      </c>
      <c r="H240" s="24">
        <f>IF(VLOOKUP($D240,$C$5:$AA$494,6,)=0,0,((VLOOKUP($D240,$C$5:$AA$494,6,)/VLOOKUP($D240,$C$5:$AA$494,4,))*$F240))</f>
        <v>0</v>
      </c>
      <c r="I240" s="24">
        <f>IF(VLOOKUP($D240,$C$5:$AA$494,7,)=0,0,((VLOOKUP($D240,$C$5:$AA$494,7,)/VLOOKUP($D240,$C$5:$AA$494,4,))*$F240))</f>
        <v>0</v>
      </c>
      <c r="J240" s="24"/>
      <c r="K240" s="24">
        <f>IF(VLOOKUP($D240,$C$5:$AA$494,9,)=0,0,((VLOOKUP($D240,$C$5:$AA$494,9,)/VLOOKUP($D240,$C$5:$AA$494,4,))*$F240))</f>
        <v>0</v>
      </c>
      <c r="L240" s="24"/>
      <c r="M240" s="24">
        <f>IF(VLOOKUP($D240,$C$5:$AA$494,11,)=0,0,((VLOOKUP($D240,$C$5:$AA$494,11,)/VLOOKUP($D240,$C$5:$AA$494,4,))*$F240))</f>
        <v>0</v>
      </c>
      <c r="N240" s="24"/>
      <c r="O240" s="24">
        <f>IF(VLOOKUP($D240,$C$5:$AA$494,13,)=0,0,((VLOOKUP($D240,$C$5:$AA$494,13,)/VLOOKUP($D240,$C$5:$AA$494,4,))*$F240))</f>
        <v>0</v>
      </c>
      <c r="P240" s="24">
        <f>IF(VLOOKUP($D240,$C$5:$AA$494,14,)=0,0,((VLOOKUP($D240,$C$5:$AA$494,14,)/VLOOKUP($D240,$C$5:$AA$494,4,))*$F240))</f>
        <v>0</v>
      </c>
      <c r="Q240" s="24"/>
      <c r="R240" s="24">
        <f>IF(VLOOKUP($D240,$C$5:$AA$494,16,)=0,0,((VLOOKUP($D240,$C$5:$AA$494,16,)/VLOOKUP($D240,$C$5:$AA$494,4,))*$F240))</f>
        <v>0</v>
      </c>
      <c r="S240" s="24">
        <f>IF(VLOOKUP($D240,$C$5:$AA$494,17,)=0,0,((VLOOKUP($D240,$C$5:$AA$494,17,)/VLOOKUP($D240,$C$5:$AA$494,4,))*$F240))</f>
        <v>0</v>
      </c>
      <c r="T240" s="24"/>
      <c r="U240" s="24">
        <f>IF(VLOOKUP($D240,$C$5:$AA$494,19,)=0,0,((VLOOKUP($D240,$C$5:$AA$494,19,)/VLOOKUP($D240,$C$5:$AA$494,4,))*$F240))</f>
        <v>0</v>
      </c>
      <c r="V240" s="24"/>
      <c r="W240" s="24">
        <f>IF(VLOOKUP($D240,$C$5:$AA$494,21,)=0,0,((VLOOKUP($D240,$C$5:$AA$494,21,)/VLOOKUP($D240,$C$5:$AA$494,4,))*$F240))</f>
        <v>0</v>
      </c>
      <c r="X240" s="24"/>
      <c r="Y240" s="24">
        <f>IF(VLOOKUP($D240,$C$5:$AA$494,23,)=0,0,((VLOOKUP($D240,$C$5:$AA$494,23,)/VLOOKUP($D240,$C$5:$AA$494,4,))*$F240))</f>
        <v>0</v>
      </c>
      <c r="Z240" s="24"/>
      <c r="AA240" s="24">
        <f>IF(VLOOKUP($D240,$C$5:$AA$494,25,)=0,0,((VLOOKUP($D240,$C$5:$AA$494,25,)/VLOOKUP($D240,$C$5:$AA$494,4,))*$F240))</f>
        <v>0</v>
      </c>
      <c r="AB240" s="24">
        <f>SUM(H240:AA240)</f>
        <v>0</v>
      </c>
      <c r="AC240" s="12" t="str">
        <f>IF(ABS(AB240-F240)&lt;1,"ok","err")</f>
        <v>ok</v>
      </c>
    </row>
    <row r="241" spans="1:29" x14ac:dyDescent="0.2">
      <c r="A241" s="3">
        <v>902</v>
      </c>
      <c r="B241" s="3" t="s">
        <v>140</v>
      </c>
      <c r="C241" s="3" t="s">
        <v>141</v>
      </c>
      <c r="D241" s="3" t="s">
        <v>139</v>
      </c>
      <c r="F241" s="24">
        <v>147318.04999999999</v>
      </c>
      <c r="H241" s="24">
        <f>IF(VLOOKUP($D241,$C$5:$AA$494,6,)=0,0,((VLOOKUP($D241,$C$5:$AA$494,6,)/VLOOKUP($D241,$C$5:$AA$494,4,))*$F241))</f>
        <v>0</v>
      </c>
      <c r="I241" s="24">
        <f>IF(VLOOKUP($D241,$C$5:$AA$494,7,)=0,0,((VLOOKUP($D241,$C$5:$AA$494,7,)/VLOOKUP($D241,$C$5:$AA$494,4,))*$F241))</f>
        <v>0</v>
      </c>
      <c r="J241" s="24"/>
      <c r="K241" s="24">
        <f>IF(VLOOKUP($D241,$C$5:$AA$494,9,)=0,0,((VLOOKUP($D241,$C$5:$AA$494,9,)/VLOOKUP($D241,$C$5:$AA$494,4,))*$F241))</f>
        <v>0</v>
      </c>
      <c r="L241" s="24"/>
      <c r="M241" s="24">
        <f>IF(VLOOKUP($D241,$C$5:$AA$494,11,)=0,0,((VLOOKUP($D241,$C$5:$AA$494,11,)/VLOOKUP($D241,$C$5:$AA$494,4,))*$F241))</f>
        <v>0</v>
      </c>
      <c r="N241" s="24"/>
      <c r="O241" s="24">
        <f>IF(VLOOKUP($D241,$C$5:$AA$494,13,)=0,0,((VLOOKUP($D241,$C$5:$AA$494,13,)/VLOOKUP($D241,$C$5:$AA$494,4,))*$F241))</f>
        <v>0</v>
      </c>
      <c r="P241" s="24">
        <f>IF(VLOOKUP($D241,$C$5:$AA$494,14,)=0,0,((VLOOKUP($D241,$C$5:$AA$494,14,)/VLOOKUP($D241,$C$5:$AA$494,4,))*$F241))</f>
        <v>0</v>
      </c>
      <c r="Q241" s="24"/>
      <c r="R241" s="24">
        <f>IF(VLOOKUP($D241,$C$5:$AA$494,16,)=0,0,((VLOOKUP($D241,$C$5:$AA$494,16,)/VLOOKUP($D241,$C$5:$AA$494,4,))*$F241))</f>
        <v>0</v>
      </c>
      <c r="S241" s="24">
        <f>IF(VLOOKUP($D241,$C$5:$AA$494,17,)=0,0,((VLOOKUP($D241,$C$5:$AA$494,17,)/VLOOKUP($D241,$C$5:$AA$494,4,))*$F241))</f>
        <v>0</v>
      </c>
      <c r="T241" s="24"/>
      <c r="U241" s="24">
        <f>IF(VLOOKUP($D241,$C$5:$AA$494,19,)=0,0,((VLOOKUP($D241,$C$5:$AA$494,19,)/VLOOKUP($D241,$C$5:$AA$494,4,))*$F241))</f>
        <v>0</v>
      </c>
      <c r="V241" s="24"/>
      <c r="W241" s="24">
        <f>IF(VLOOKUP($D241,$C$5:$AA$494,21,)=0,0,((VLOOKUP($D241,$C$5:$AA$494,21,)/VLOOKUP($D241,$C$5:$AA$494,4,))*$F241))</f>
        <v>0</v>
      </c>
      <c r="X241" s="24"/>
      <c r="Y241" s="24">
        <f>IF(VLOOKUP($D241,$C$5:$AA$494,23,)=0,0,((VLOOKUP($D241,$C$5:$AA$494,23,)/VLOOKUP($D241,$C$5:$AA$494,4,))*$F241))</f>
        <v>147318.04999999999</v>
      </c>
      <c r="Z241" s="24"/>
      <c r="AA241" s="24">
        <f>IF(VLOOKUP($D241,$C$5:$AA$494,25,)=0,0,((VLOOKUP($D241,$C$5:$AA$494,25,)/VLOOKUP($D241,$C$5:$AA$494,4,))*$F241))</f>
        <v>0</v>
      </c>
      <c r="AB241" s="24">
        <f>SUM(H241:AA241)</f>
        <v>147318.04999999999</v>
      </c>
      <c r="AC241" s="12" t="str">
        <f>IF(ABS(AB241-F241)&lt;1,"ok","err")</f>
        <v>ok</v>
      </c>
    </row>
    <row r="242" spans="1:29" x14ac:dyDescent="0.2">
      <c r="A242" s="3">
        <v>903</v>
      </c>
      <c r="B242" s="3" t="s">
        <v>452</v>
      </c>
      <c r="C242" s="3" t="s">
        <v>142</v>
      </c>
      <c r="D242" s="3" t="s">
        <v>139</v>
      </c>
      <c r="F242" s="41">
        <f>875080.06+2401.69</f>
        <v>877481.75</v>
      </c>
      <c r="H242" s="24">
        <f>IF(VLOOKUP($D242,$C$5:$AA$494,6,)=0,0,((VLOOKUP($D242,$C$5:$AA$494,6,)/VLOOKUP($D242,$C$5:$AA$494,4,))*$F242))</f>
        <v>0</v>
      </c>
      <c r="I242" s="24">
        <f>IF(VLOOKUP($D242,$C$5:$AA$494,7,)=0,0,((VLOOKUP($D242,$C$5:$AA$494,7,)/VLOOKUP($D242,$C$5:$AA$494,4,))*$F242))</f>
        <v>0</v>
      </c>
      <c r="J242" s="24"/>
      <c r="K242" s="24">
        <f>IF(VLOOKUP($D242,$C$5:$AA$494,9,)=0,0,((VLOOKUP($D242,$C$5:$AA$494,9,)/VLOOKUP($D242,$C$5:$AA$494,4,))*$F242))</f>
        <v>0</v>
      </c>
      <c r="L242" s="24"/>
      <c r="M242" s="24">
        <f>IF(VLOOKUP($D242,$C$5:$AA$494,11,)=0,0,((VLOOKUP($D242,$C$5:$AA$494,11,)/VLOOKUP($D242,$C$5:$AA$494,4,))*$F242))</f>
        <v>0</v>
      </c>
      <c r="N242" s="24"/>
      <c r="O242" s="24">
        <f>IF(VLOOKUP($D242,$C$5:$AA$494,13,)=0,0,((VLOOKUP($D242,$C$5:$AA$494,13,)/VLOOKUP($D242,$C$5:$AA$494,4,))*$F242))</f>
        <v>0</v>
      </c>
      <c r="P242" s="24">
        <f>IF(VLOOKUP($D242,$C$5:$AA$494,14,)=0,0,((VLOOKUP($D242,$C$5:$AA$494,14,)/VLOOKUP($D242,$C$5:$AA$494,4,))*$F242))</f>
        <v>0</v>
      </c>
      <c r="Q242" s="24"/>
      <c r="R242" s="24">
        <f>IF(VLOOKUP($D242,$C$5:$AA$494,16,)=0,0,((VLOOKUP($D242,$C$5:$AA$494,16,)/VLOOKUP($D242,$C$5:$AA$494,4,))*$F242))</f>
        <v>0</v>
      </c>
      <c r="S242" s="24">
        <f>IF(VLOOKUP($D242,$C$5:$AA$494,17,)=0,0,((VLOOKUP($D242,$C$5:$AA$494,17,)/VLOOKUP($D242,$C$5:$AA$494,4,))*$F242))</f>
        <v>0</v>
      </c>
      <c r="T242" s="24"/>
      <c r="U242" s="24">
        <f>IF(VLOOKUP($D242,$C$5:$AA$494,19,)=0,0,((VLOOKUP($D242,$C$5:$AA$494,19,)/VLOOKUP($D242,$C$5:$AA$494,4,))*$F242))</f>
        <v>0</v>
      </c>
      <c r="V242" s="24"/>
      <c r="W242" s="24">
        <f>IF(VLOOKUP($D242,$C$5:$AA$494,21,)=0,0,((VLOOKUP($D242,$C$5:$AA$494,21,)/VLOOKUP($D242,$C$5:$AA$494,4,))*$F242))</f>
        <v>0</v>
      </c>
      <c r="X242" s="24"/>
      <c r="Y242" s="24">
        <f>IF(VLOOKUP($D242,$C$5:$AA$494,23,)=0,0,((VLOOKUP($D242,$C$5:$AA$494,23,)/VLOOKUP($D242,$C$5:$AA$494,4,))*$F242))</f>
        <v>877481.75</v>
      </c>
      <c r="Z242" s="24"/>
      <c r="AA242" s="24">
        <f>IF(VLOOKUP($D242,$C$5:$AA$494,25,)=0,0,((VLOOKUP($D242,$C$5:$AA$494,25,)/VLOOKUP($D242,$C$5:$AA$494,4,))*$F242))</f>
        <v>0</v>
      </c>
      <c r="AB242" s="24">
        <f>SUM(H242:AA242)</f>
        <v>877481.75</v>
      </c>
      <c r="AC242" s="12" t="str">
        <f>IF(ABS(AB242-F242)&lt;1,"ok","err")</f>
        <v>ok</v>
      </c>
    </row>
    <row r="243" spans="1:29" x14ac:dyDescent="0.2">
      <c r="A243" s="3">
        <v>904</v>
      </c>
      <c r="B243" s="3" t="s">
        <v>143</v>
      </c>
      <c r="C243" s="3" t="s">
        <v>144</v>
      </c>
      <c r="D243" s="3" t="s">
        <v>139</v>
      </c>
      <c r="F243" s="24">
        <v>90000</v>
      </c>
      <c r="H243" s="24">
        <f>IF(VLOOKUP($D243,$C$5:$AA$494,6,)=0,0,((VLOOKUP($D243,$C$5:$AA$494,6,)/VLOOKUP($D243,$C$5:$AA$494,4,))*$F243))</f>
        <v>0</v>
      </c>
      <c r="I243" s="24">
        <f>IF(VLOOKUP($D243,$C$5:$AA$494,7,)=0,0,((VLOOKUP($D243,$C$5:$AA$494,7,)/VLOOKUP($D243,$C$5:$AA$494,4,))*$F243))</f>
        <v>0</v>
      </c>
      <c r="J243" s="24"/>
      <c r="K243" s="24">
        <f>IF(VLOOKUP($D243,$C$5:$AA$494,9,)=0,0,((VLOOKUP($D243,$C$5:$AA$494,9,)/VLOOKUP($D243,$C$5:$AA$494,4,))*$F243))</f>
        <v>0</v>
      </c>
      <c r="L243" s="24"/>
      <c r="M243" s="24">
        <f>IF(VLOOKUP($D243,$C$5:$AA$494,11,)=0,0,((VLOOKUP($D243,$C$5:$AA$494,11,)/VLOOKUP($D243,$C$5:$AA$494,4,))*$F243))</f>
        <v>0</v>
      </c>
      <c r="N243" s="24"/>
      <c r="O243" s="24">
        <f>IF(VLOOKUP($D243,$C$5:$AA$494,13,)=0,0,((VLOOKUP($D243,$C$5:$AA$494,13,)/VLOOKUP($D243,$C$5:$AA$494,4,))*$F243))</f>
        <v>0</v>
      </c>
      <c r="P243" s="24">
        <f>IF(VLOOKUP($D243,$C$5:$AA$494,14,)=0,0,((VLOOKUP($D243,$C$5:$AA$494,14,)/VLOOKUP($D243,$C$5:$AA$494,4,))*$F243))</f>
        <v>0</v>
      </c>
      <c r="Q243" s="24"/>
      <c r="R243" s="24">
        <f>IF(VLOOKUP($D243,$C$5:$AA$494,16,)=0,0,((VLOOKUP($D243,$C$5:$AA$494,16,)/VLOOKUP($D243,$C$5:$AA$494,4,))*$F243))</f>
        <v>0</v>
      </c>
      <c r="S243" s="24">
        <f>IF(VLOOKUP($D243,$C$5:$AA$494,17,)=0,0,((VLOOKUP($D243,$C$5:$AA$494,17,)/VLOOKUP($D243,$C$5:$AA$494,4,))*$F243))</f>
        <v>0</v>
      </c>
      <c r="T243" s="24"/>
      <c r="U243" s="24">
        <f>IF(VLOOKUP($D243,$C$5:$AA$494,19,)=0,0,((VLOOKUP($D243,$C$5:$AA$494,19,)/VLOOKUP($D243,$C$5:$AA$494,4,))*$F243))</f>
        <v>0</v>
      </c>
      <c r="V243" s="24"/>
      <c r="W243" s="24">
        <f>IF(VLOOKUP($D243,$C$5:$AA$494,21,)=0,0,((VLOOKUP($D243,$C$5:$AA$494,21,)/VLOOKUP($D243,$C$5:$AA$494,4,))*$F243))</f>
        <v>0</v>
      </c>
      <c r="X243" s="24"/>
      <c r="Y243" s="24">
        <f>IF(VLOOKUP($D243,$C$5:$AA$494,23,)=0,0,((VLOOKUP($D243,$C$5:$AA$494,23,)/VLOOKUP($D243,$C$5:$AA$494,4,))*$F243))</f>
        <v>90000</v>
      </c>
      <c r="Z243" s="24"/>
      <c r="AA243" s="24">
        <f>IF(VLOOKUP($D243,$C$5:$AA$494,25,)=0,0,((VLOOKUP($D243,$C$5:$AA$494,25,)/VLOOKUP($D243,$C$5:$AA$494,4,))*$F243))</f>
        <v>0</v>
      </c>
      <c r="AB243" s="24">
        <f>SUM(H243:AA243)</f>
        <v>90000</v>
      </c>
      <c r="AC243" s="12" t="str">
        <f>IF(ABS(AB243-F243)&lt;1,"ok","err")</f>
        <v>ok</v>
      </c>
    </row>
    <row r="244" spans="1:29" x14ac:dyDescent="0.2">
      <c r="A244" s="3">
        <v>905</v>
      </c>
      <c r="B244" s="3" t="s">
        <v>453</v>
      </c>
      <c r="C244" s="3" t="s">
        <v>142</v>
      </c>
      <c r="D244" s="3" t="s">
        <v>139</v>
      </c>
      <c r="F244" s="24">
        <v>0</v>
      </c>
      <c r="H244" s="24">
        <f>IF(VLOOKUP($D244,$C$5:$AA$494,6,)=0,0,((VLOOKUP($D244,$C$5:$AA$494,6,)/VLOOKUP($D244,$C$5:$AA$494,4,))*$F244))</f>
        <v>0</v>
      </c>
      <c r="I244" s="24">
        <f>IF(VLOOKUP($D244,$C$5:$AA$494,7,)=0,0,((VLOOKUP($D244,$C$5:$AA$494,7,)/VLOOKUP($D244,$C$5:$AA$494,4,))*$F244))</f>
        <v>0</v>
      </c>
      <c r="J244" s="24"/>
      <c r="K244" s="24">
        <f>IF(VLOOKUP($D244,$C$5:$AA$494,9,)=0,0,((VLOOKUP($D244,$C$5:$AA$494,9,)/VLOOKUP($D244,$C$5:$AA$494,4,))*$F244))</f>
        <v>0</v>
      </c>
      <c r="L244" s="24"/>
      <c r="M244" s="24">
        <f>IF(VLOOKUP($D244,$C$5:$AA$494,11,)=0,0,((VLOOKUP($D244,$C$5:$AA$494,11,)/VLOOKUP($D244,$C$5:$AA$494,4,))*$F244))</f>
        <v>0</v>
      </c>
      <c r="N244" s="24"/>
      <c r="O244" s="24">
        <f>IF(VLOOKUP($D244,$C$5:$AA$494,13,)=0,0,((VLOOKUP($D244,$C$5:$AA$494,13,)/VLOOKUP($D244,$C$5:$AA$494,4,))*$F244))</f>
        <v>0</v>
      </c>
      <c r="P244" s="24">
        <f>IF(VLOOKUP($D244,$C$5:$AA$494,14,)=0,0,((VLOOKUP($D244,$C$5:$AA$494,14,)/VLOOKUP($D244,$C$5:$AA$494,4,))*$F244))</f>
        <v>0</v>
      </c>
      <c r="Q244" s="24"/>
      <c r="R244" s="24">
        <f>IF(VLOOKUP($D244,$C$5:$AA$494,16,)=0,0,((VLOOKUP($D244,$C$5:$AA$494,16,)/VLOOKUP($D244,$C$5:$AA$494,4,))*$F244))</f>
        <v>0</v>
      </c>
      <c r="S244" s="24">
        <f>IF(VLOOKUP($D244,$C$5:$AA$494,17,)=0,0,((VLOOKUP($D244,$C$5:$AA$494,17,)/VLOOKUP($D244,$C$5:$AA$494,4,))*$F244))</f>
        <v>0</v>
      </c>
      <c r="T244" s="24"/>
      <c r="U244" s="24">
        <f>IF(VLOOKUP($D244,$C$5:$AA$494,19,)=0,0,((VLOOKUP($D244,$C$5:$AA$494,19,)/VLOOKUP($D244,$C$5:$AA$494,4,))*$F244))</f>
        <v>0</v>
      </c>
      <c r="V244" s="24"/>
      <c r="W244" s="24">
        <f>IF(VLOOKUP($D244,$C$5:$AA$494,21,)=0,0,((VLOOKUP($D244,$C$5:$AA$494,21,)/VLOOKUP($D244,$C$5:$AA$494,4,))*$F244))</f>
        <v>0</v>
      </c>
      <c r="X244" s="24"/>
      <c r="Y244" s="24">
        <f>IF(VLOOKUP($D244,$C$5:$AA$494,23,)=0,0,((VLOOKUP($D244,$C$5:$AA$494,23,)/VLOOKUP($D244,$C$5:$AA$494,4,))*$F244))</f>
        <v>0</v>
      </c>
      <c r="Z244" s="24"/>
      <c r="AA244" s="24">
        <f>IF(VLOOKUP($D244,$C$5:$AA$494,25,)=0,0,((VLOOKUP($D244,$C$5:$AA$494,25,)/VLOOKUP($D244,$C$5:$AA$494,4,))*$F244))</f>
        <v>0</v>
      </c>
      <c r="AB244" s="24">
        <f>SUM(H244:AA244)</f>
        <v>0</v>
      </c>
      <c r="AC244" s="12" t="str">
        <f>IF(ABS(AB244-F244)&lt;1,"ok","err")</f>
        <v>ok</v>
      </c>
    </row>
    <row r="245" spans="1:29" x14ac:dyDescent="0.2">
      <c r="A245" s="2"/>
      <c r="F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12"/>
    </row>
    <row r="246" spans="1:29" x14ac:dyDescent="0.2">
      <c r="A246" s="3" t="s">
        <v>145</v>
      </c>
      <c r="C246" s="3" t="s">
        <v>146</v>
      </c>
      <c r="F246" s="41">
        <f>SUM(F240:F245)</f>
        <v>1114799.8</v>
      </c>
      <c r="G246" s="41"/>
      <c r="H246" s="41">
        <f t="shared" ref="H246:W246" si="139">SUM(H240:H245)</f>
        <v>0</v>
      </c>
      <c r="I246" s="41">
        <f t="shared" si="139"/>
        <v>0</v>
      </c>
      <c r="J246" s="41"/>
      <c r="K246" s="41">
        <f t="shared" si="139"/>
        <v>0</v>
      </c>
      <c r="L246" s="41"/>
      <c r="M246" s="41">
        <f t="shared" si="139"/>
        <v>0</v>
      </c>
      <c r="N246" s="41"/>
      <c r="O246" s="41">
        <f t="shared" si="139"/>
        <v>0</v>
      </c>
      <c r="P246" s="41">
        <f t="shared" si="139"/>
        <v>0</v>
      </c>
      <c r="Q246" s="41"/>
      <c r="R246" s="41">
        <f t="shared" si="139"/>
        <v>0</v>
      </c>
      <c r="S246" s="41">
        <f t="shared" si="139"/>
        <v>0</v>
      </c>
      <c r="T246" s="41"/>
      <c r="U246" s="41">
        <f t="shared" si="139"/>
        <v>0</v>
      </c>
      <c r="V246" s="41"/>
      <c r="W246" s="41">
        <f t="shared" si="139"/>
        <v>0</v>
      </c>
      <c r="X246" s="41"/>
      <c r="Y246" s="41">
        <f>SUM(Y240:Y245)</f>
        <v>1114799.8</v>
      </c>
      <c r="Z246" s="41"/>
      <c r="AA246" s="41">
        <f>SUM(AA240:AA245)</f>
        <v>0</v>
      </c>
      <c r="AB246" s="24">
        <f>SUM(H246:AA246)</f>
        <v>1114799.8</v>
      </c>
      <c r="AC246" s="12" t="str">
        <f>IF(ABS(AB246-F246)&lt;1,"ok","err")</f>
        <v>ok</v>
      </c>
    </row>
    <row r="247" spans="1:29" x14ac:dyDescent="0.2">
      <c r="F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C247" s="12"/>
    </row>
    <row r="248" spans="1:29" x14ac:dyDescent="0.2">
      <c r="A248" s="2" t="s">
        <v>147</v>
      </c>
      <c r="F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C248" s="12"/>
    </row>
    <row r="249" spans="1:29" x14ac:dyDescent="0.2">
      <c r="A249" s="3">
        <v>907</v>
      </c>
      <c r="B249" s="3" t="s">
        <v>384</v>
      </c>
      <c r="C249" s="3" t="s">
        <v>148</v>
      </c>
      <c r="D249" s="3" t="s">
        <v>149</v>
      </c>
      <c r="F249" s="41">
        <v>0</v>
      </c>
      <c r="H249" s="24">
        <f t="shared" ref="H249:H260" si="140">IF(VLOOKUP($D249,$C$5:$AA$494,6,)=0,0,((VLOOKUP($D249,$C$5:$AA$494,6,)/VLOOKUP($D249,$C$5:$AA$494,4,))*$F249))</f>
        <v>0</v>
      </c>
      <c r="I249" s="24">
        <f t="shared" ref="I249:I260" si="141">IF(VLOOKUP($D249,$C$5:$AA$494,7,)=0,0,((VLOOKUP($D249,$C$5:$AA$494,7,)/VLOOKUP($D249,$C$5:$AA$494,4,))*$F249))</f>
        <v>0</v>
      </c>
      <c r="J249" s="24"/>
      <c r="K249" s="24">
        <f t="shared" ref="K249:K260" si="142">IF(VLOOKUP($D249,$C$5:$AA$494,9,)=0,0,((VLOOKUP($D249,$C$5:$AA$494,9,)/VLOOKUP($D249,$C$5:$AA$494,4,))*$F249))</f>
        <v>0</v>
      </c>
      <c r="L249" s="24"/>
      <c r="M249" s="24">
        <f t="shared" ref="M249:M260" si="143">IF(VLOOKUP($D249,$C$5:$AA$494,11,)=0,0,((VLOOKUP($D249,$C$5:$AA$494,11,)/VLOOKUP($D249,$C$5:$AA$494,4,))*$F249))</f>
        <v>0</v>
      </c>
      <c r="N249" s="24"/>
      <c r="O249" s="24">
        <f t="shared" ref="O249:O260" si="144">IF(VLOOKUP($D249,$C$5:$AA$494,13,)=0,0,((VLOOKUP($D249,$C$5:$AA$494,13,)/VLOOKUP($D249,$C$5:$AA$494,4,))*$F249))</f>
        <v>0</v>
      </c>
      <c r="P249" s="24">
        <f t="shared" ref="P249:P260" si="145">IF(VLOOKUP($D249,$C$5:$AA$494,14,)=0,0,((VLOOKUP($D249,$C$5:$AA$494,14,)/VLOOKUP($D249,$C$5:$AA$494,4,))*$F249))</f>
        <v>0</v>
      </c>
      <c r="Q249" s="24"/>
      <c r="R249" s="24">
        <f t="shared" ref="R249:R260" si="146">IF(VLOOKUP($D249,$C$5:$AA$494,16,)=0,0,((VLOOKUP($D249,$C$5:$AA$494,16,)/VLOOKUP($D249,$C$5:$AA$494,4,))*$F249))</f>
        <v>0</v>
      </c>
      <c r="S249" s="24">
        <f t="shared" ref="S249:S260" si="147">IF(VLOOKUP($D249,$C$5:$AA$494,17,)=0,0,((VLOOKUP($D249,$C$5:$AA$494,17,)/VLOOKUP($D249,$C$5:$AA$494,4,))*$F249))</f>
        <v>0</v>
      </c>
      <c r="T249" s="24"/>
      <c r="U249" s="24">
        <f t="shared" ref="U249:U260" si="148">IF(VLOOKUP($D249,$C$5:$AA$494,19,)=0,0,((VLOOKUP($D249,$C$5:$AA$494,19,)/VLOOKUP($D249,$C$5:$AA$494,4,))*$F249))</f>
        <v>0</v>
      </c>
      <c r="V249" s="24"/>
      <c r="W249" s="24">
        <f t="shared" ref="W249:W260" si="149">IF(VLOOKUP($D249,$C$5:$AA$494,21,)=0,0,((VLOOKUP($D249,$C$5:$AA$494,21,)/VLOOKUP($D249,$C$5:$AA$494,4,))*$F249))</f>
        <v>0</v>
      </c>
      <c r="X249" s="24"/>
      <c r="Y249" s="24">
        <f t="shared" ref="Y249:Y260" si="150">IF(VLOOKUP($D249,$C$5:$AA$494,23,)=0,0,((VLOOKUP($D249,$C$5:$AA$494,23,)/VLOOKUP($D249,$C$5:$AA$494,4,))*$F249))</f>
        <v>0</v>
      </c>
      <c r="Z249" s="24"/>
      <c r="AA249" s="24">
        <f t="shared" ref="AA249:AA260" si="151">IF(VLOOKUP($D249,$C$5:$AA$494,25,)=0,0,((VLOOKUP($D249,$C$5:$AA$494,25,)/VLOOKUP($D249,$C$5:$AA$494,4,))*$F249))</f>
        <v>0</v>
      </c>
      <c r="AB249" s="24">
        <f t="shared" ref="AB249:AB260" si="152">SUM(H249:AA249)</f>
        <v>0</v>
      </c>
      <c r="AC249" s="12" t="str">
        <f t="shared" ref="AC249:AC260" si="153">IF(ABS(AB249-F249)&lt;1,"ok","err")</f>
        <v>ok</v>
      </c>
    </row>
    <row r="250" spans="1:29" x14ac:dyDescent="0.2">
      <c r="A250" s="3">
        <v>908</v>
      </c>
      <c r="B250" s="3" t="s">
        <v>150</v>
      </c>
      <c r="C250" s="3" t="s">
        <v>151</v>
      </c>
      <c r="D250" s="3" t="s">
        <v>149</v>
      </c>
      <c r="F250" s="24">
        <v>126436.44</v>
      </c>
      <c r="H250" s="24">
        <f t="shared" si="140"/>
        <v>0</v>
      </c>
      <c r="I250" s="24">
        <f t="shared" si="141"/>
        <v>0</v>
      </c>
      <c r="J250" s="24"/>
      <c r="K250" s="24">
        <f t="shared" si="142"/>
        <v>0</v>
      </c>
      <c r="L250" s="24"/>
      <c r="M250" s="24">
        <f t="shared" si="143"/>
        <v>0</v>
      </c>
      <c r="N250" s="24"/>
      <c r="O250" s="24">
        <f t="shared" si="144"/>
        <v>0</v>
      </c>
      <c r="P250" s="24">
        <f t="shared" si="145"/>
        <v>0</v>
      </c>
      <c r="Q250" s="24"/>
      <c r="R250" s="24">
        <f t="shared" si="146"/>
        <v>0</v>
      </c>
      <c r="S250" s="24">
        <f t="shared" si="147"/>
        <v>0</v>
      </c>
      <c r="T250" s="24"/>
      <c r="U250" s="24">
        <f t="shared" si="148"/>
        <v>0</v>
      </c>
      <c r="V250" s="24"/>
      <c r="W250" s="24">
        <f t="shared" si="149"/>
        <v>0</v>
      </c>
      <c r="X250" s="24"/>
      <c r="Y250" s="24">
        <f t="shared" si="150"/>
        <v>126436.44</v>
      </c>
      <c r="Z250" s="24"/>
      <c r="AA250" s="24">
        <f t="shared" si="151"/>
        <v>0</v>
      </c>
      <c r="AB250" s="24">
        <f t="shared" si="152"/>
        <v>126436.44</v>
      </c>
      <c r="AC250" s="12" t="str">
        <f t="shared" si="153"/>
        <v>ok</v>
      </c>
    </row>
    <row r="251" spans="1:29" x14ac:dyDescent="0.2">
      <c r="A251" s="3">
        <v>908</v>
      </c>
      <c r="B251" s="3" t="s">
        <v>454</v>
      </c>
      <c r="C251" s="3" t="s">
        <v>455</v>
      </c>
      <c r="D251" s="3" t="s">
        <v>471</v>
      </c>
      <c r="F251" s="24">
        <v>0</v>
      </c>
      <c r="H251" s="24">
        <f t="shared" si="140"/>
        <v>0</v>
      </c>
      <c r="I251" s="24">
        <f t="shared" si="141"/>
        <v>0</v>
      </c>
      <c r="J251" s="24"/>
      <c r="K251" s="24">
        <f t="shared" si="142"/>
        <v>0</v>
      </c>
      <c r="L251" s="24"/>
      <c r="M251" s="24">
        <f t="shared" si="143"/>
        <v>0</v>
      </c>
      <c r="N251" s="24"/>
      <c r="O251" s="24">
        <f t="shared" si="144"/>
        <v>0</v>
      </c>
      <c r="P251" s="24">
        <f t="shared" si="145"/>
        <v>0</v>
      </c>
      <c r="Q251" s="24"/>
      <c r="R251" s="24">
        <f t="shared" si="146"/>
        <v>0</v>
      </c>
      <c r="S251" s="24">
        <f t="shared" si="147"/>
        <v>0</v>
      </c>
      <c r="T251" s="24"/>
      <c r="U251" s="24">
        <f t="shared" si="148"/>
        <v>0</v>
      </c>
      <c r="V251" s="24"/>
      <c r="W251" s="24">
        <f t="shared" si="149"/>
        <v>0</v>
      </c>
      <c r="X251" s="24"/>
      <c r="Y251" s="24">
        <f t="shared" si="150"/>
        <v>0</v>
      </c>
      <c r="Z251" s="24"/>
      <c r="AA251" s="24">
        <f t="shared" si="151"/>
        <v>0</v>
      </c>
      <c r="AB251" s="24">
        <f t="shared" si="152"/>
        <v>0</v>
      </c>
      <c r="AC251" s="12" t="str">
        <f t="shared" si="153"/>
        <v>ok</v>
      </c>
    </row>
    <row r="252" spans="1:29" x14ac:dyDescent="0.2">
      <c r="A252" s="3">
        <v>909</v>
      </c>
      <c r="B252" s="3" t="s">
        <v>152</v>
      </c>
      <c r="C252" s="3" t="s">
        <v>153</v>
      </c>
      <c r="D252" s="3" t="s">
        <v>149</v>
      </c>
      <c r="F252" s="24">
        <v>0</v>
      </c>
      <c r="H252" s="24">
        <f t="shared" si="140"/>
        <v>0</v>
      </c>
      <c r="I252" s="24">
        <f t="shared" si="141"/>
        <v>0</v>
      </c>
      <c r="J252" s="24"/>
      <c r="K252" s="24">
        <f t="shared" si="142"/>
        <v>0</v>
      </c>
      <c r="L252" s="24"/>
      <c r="M252" s="24">
        <f t="shared" si="143"/>
        <v>0</v>
      </c>
      <c r="N252" s="24"/>
      <c r="O252" s="24">
        <f t="shared" si="144"/>
        <v>0</v>
      </c>
      <c r="P252" s="24">
        <f t="shared" si="145"/>
        <v>0</v>
      </c>
      <c r="Q252" s="24"/>
      <c r="R252" s="24">
        <f t="shared" si="146"/>
        <v>0</v>
      </c>
      <c r="S252" s="24">
        <f t="shared" si="147"/>
        <v>0</v>
      </c>
      <c r="T252" s="24"/>
      <c r="U252" s="24">
        <f t="shared" si="148"/>
        <v>0</v>
      </c>
      <c r="V252" s="24"/>
      <c r="W252" s="24">
        <f t="shared" si="149"/>
        <v>0</v>
      </c>
      <c r="X252" s="24"/>
      <c r="Y252" s="24">
        <f t="shared" si="150"/>
        <v>0</v>
      </c>
      <c r="Z252" s="24"/>
      <c r="AA252" s="24">
        <f t="shared" si="151"/>
        <v>0</v>
      </c>
      <c r="AB252" s="24">
        <f t="shared" si="152"/>
        <v>0</v>
      </c>
      <c r="AC252" s="12" t="str">
        <f t="shared" si="153"/>
        <v>ok</v>
      </c>
    </row>
    <row r="253" spans="1:29" x14ac:dyDescent="0.2">
      <c r="A253" s="3">
        <v>909</v>
      </c>
      <c r="B253" s="3" t="s">
        <v>456</v>
      </c>
      <c r="C253" s="3" t="s">
        <v>457</v>
      </c>
      <c r="D253" s="3" t="s">
        <v>471</v>
      </c>
      <c r="F253" s="24">
        <v>0</v>
      </c>
      <c r="H253" s="24">
        <f t="shared" si="140"/>
        <v>0</v>
      </c>
      <c r="I253" s="24">
        <f t="shared" si="141"/>
        <v>0</v>
      </c>
      <c r="J253" s="24"/>
      <c r="K253" s="24">
        <f t="shared" si="142"/>
        <v>0</v>
      </c>
      <c r="L253" s="24"/>
      <c r="M253" s="24">
        <f t="shared" si="143"/>
        <v>0</v>
      </c>
      <c r="N253" s="24"/>
      <c r="O253" s="24">
        <f t="shared" si="144"/>
        <v>0</v>
      </c>
      <c r="P253" s="24">
        <f t="shared" si="145"/>
        <v>0</v>
      </c>
      <c r="Q253" s="24"/>
      <c r="R253" s="24">
        <f t="shared" si="146"/>
        <v>0</v>
      </c>
      <c r="S253" s="24">
        <f t="shared" si="147"/>
        <v>0</v>
      </c>
      <c r="T253" s="24"/>
      <c r="U253" s="24">
        <f t="shared" si="148"/>
        <v>0</v>
      </c>
      <c r="V253" s="24"/>
      <c r="W253" s="24">
        <f t="shared" si="149"/>
        <v>0</v>
      </c>
      <c r="X253" s="24"/>
      <c r="Y253" s="24">
        <f t="shared" si="150"/>
        <v>0</v>
      </c>
      <c r="Z253" s="24"/>
      <c r="AA253" s="24">
        <f t="shared" si="151"/>
        <v>0</v>
      </c>
      <c r="AB253" s="24">
        <f t="shared" si="152"/>
        <v>0</v>
      </c>
      <c r="AC253" s="12" t="str">
        <f t="shared" si="153"/>
        <v>ok</v>
      </c>
    </row>
    <row r="254" spans="1:29" x14ac:dyDescent="0.2">
      <c r="A254" s="3">
        <v>910</v>
      </c>
      <c r="B254" s="3" t="s">
        <v>154</v>
      </c>
      <c r="C254" s="3" t="s">
        <v>155</v>
      </c>
      <c r="D254" s="3" t="s">
        <v>149</v>
      </c>
      <c r="F254" s="24">
        <v>0</v>
      </c>
      <c r="H254" s="24">
        <f t="shared" si="140"/>
        <v>0</v>
      </c>
      <c r="I254" s="24">
        <f t="shared" si="141"/>
        <v>0</v>
      </c>
      <c r="J254" s="24"/>
      <c r="K254" s="24">
        <f t="shared" si="142"/>
        <v>0</v>
      </c>
      <c r="L254" s="24"/>
      <c r="M254" s="24">
        <f t="shared" si="143"/>
        <v>0</v>
      </c>
      <c r="N254" s="24"/>
      <c r="O254" s="24">
        <f t="shared" si="144"/>
        <v>0</v>
      </c>
      <c r="P254" s="24">
        <f t="shared" si="145"/>
        <v>0</v>
      </c>
      <c r="Q254" s="24"/>
      <c r="R254" s="24">
        <f t="shared" si="146"/>
        <v>0</v>
      </c>
      <c r="S254" s="24">
        <f t="shared" si="147"/>
        <v>0</v>
      </c>
      <c r="T254" s="24"/>
      <c r="U254" s="24">
        <f t="shared" si="148"/>
        <v>0</v>
      </c>
      <c r="V254" s="24"/>
      <c r="W254" s="24">
        <f t="shared" si="149"/>
        <v>0</v>
      </c>
      <c r="X254" s="24"/>
      <c r="Y254" s="24">
        <f t="shared" si="150"/>
        <v>0</v>
      </c>
      <c r="Z254" s="24"/>
      <c r="AA254" s="24">
        <f t="shared" si="151"/>
        <v>0</v>
      </c>
      <c r="AB254" s="24">
        <f t="shared" si="152"/>
        <v>0</v>
      </c>
      <c r="AC254" s="12" t="str">
        <f t="shared" si="153"/>
        <v>ok</v>
      </c>
    </row>
    <row r="255" spans="1:29" x14ac:dyDescent="0.2">
      <c r="A255" s="3">
        <v>911</v>
      </c>
      <c r="B255" s="3" t="s">
        <v>384</v>
      </c>
      <c r="C255" s="3" t="s">
        <v>708</v>
      </c>
      <c r="D255" s="3" t="s">
        <v>149</v>
      </c>
      <c r="F255" s="24">
        <v>0</v>
      </c>
      <c r="H255" s="24">
        <f t="shared" si="140"/>
        <v>0</v>
      </c>
      <c r="I255" s="24">
        <f t="shared" si="141"/>
        <v>0</v>
      </c>
      <c r="J255" s="24"/>
      <c r="K255" s="24">
        <f t="shared" si="142"/>
        <v>0</v>
      </c>
      <c r="L255" s="24"/>
      <c r="M255" s="24">
        <f t="shared" si="143"/>
        <v>0</v>
      </c>
      <c r="N255" s="24"/>
      <c r="O255" s="24">
        <f t="shared" si="144"/>
        <v>0</v>
      </c>
      <c r="P255" s="24">
        <f t="shared" si="145"/>
        <v>0</v>
      </c>
      <c r="Q255" s="24"/>
      <c r="R255" s="24">
        <f t="shared" si="146"/>
        <v>0</v>
      </c>
      <c r="S255" s="24">
        <f t="shared" si="147"/>
        <v>0</v>
      </c>
      <c r="T255" s="24"/>
      <c r="U255" s="24">
        <f t="shared" si="148"/>
        <v>0</v>
      </c>
      <c r="V255" s="24"/>
      <c r="W255" s="24">
        <f t="shared" si="149"/>
        <v>0</v>
      </c>
      <c r="X255" s="24"/>
      <c r="Y255" s="24">
        <f t="shared" si="150"/>
        <v>0</v>
      </c>
      <c r="Z255" s="24"/>
      <c r="AA255" s="24">
        <f t="shared" si="151"/>
        <v>0</v>
      </c>
      <c r="AB255" s="24">
        <f>SUM(H255:AA255)</f>
        <v>0</v>
      </c>
      <c r="AC255" s="12" t="str">
        <f>IF(ABS(AB255-F255)&lt;1,"ok","err")</f>
        <v>ok</v>
      </c>
    </row>
    <row r="256" spans="1:29" x14ac:dyDescent="0.2">
      <c r="A256" s="3">
        <v>912</v>
      </c>
      <c r="B256" s="3" t="s">
        <v>588</v>
      </c>
      <c r="C256" s="3" t="s">
        <v>589</v>
      </c>
      <c r="D256" s="3" t="s">
        <v>471</v>
      </c>
      <c r="F256" s="24">
        <v>0</v>
      </c>
      <c r="H256" s="24">
        <f t="shared" si="140"/>
        <v>0</v>
      </c>
      <c r="I256" s="24">
        <f t="shared" si="141"/>
        <v>0</v>
      </c>
      <c r="J256" s="24"/>
      <c r="K256" s="24">
        <f t="shared" si="142"/>
        <v>0</v>
      </c>
      <c r="L256" s="24"/>
      <c r="M256" s="24">
        <f t="shared" si="143"/>
        <v>0</v>
      </c>
      <c r="N256" s="24"/>
      <c r="O256" s="24">
        <f t="shared" si="144"/>
        <v>0</v>
      </c>
      <c r="P256" s="24">
        <f t="shared" si="145"/>
        <v>0</v>
      </c>
      <c r="Q256" s="24"/>
      <c r="R256" s="24">
        <f t="shared" si="146"/>
        <v>0</v>
      </c>
      <c r="S256" s="24">
        <f t="shared" si="147"/>
        <v>0</v>
      </c>
      <c r="T256" s="24"/>
      <c r="U256" s="24">
        <f t="shared" si="148"/>
        <v>0</v>
      </c>
      <c r="V256" s="24"/>
      <c r="W256" s="24">
        <f t="shared" si="149"/>
        <v>0</v>
      </c>
      <c r="X256" s="24"/>
      <c r="Y256" s="24">
        <f t="shared" si="150"/>
        <v>0</v>
      </c>
      <c r="Z256" s="24"/>
      <c r="AA256" s="24">
        <f t="shared" si="151"/>
        <v>0</v>
      </c>
      <c r="AB256" s="24">
        <f t="shared" si="152"/>
        <v>0</v>
      </c>
      <c r="AC256" s="12" t="str">
        <f t="shared" si="153"/>
        <v>ok</v>
      </c>
    </row>
    <row r="257" spans="1:29" x14ac:dyDescent="0.2">
      <c r="A257" s="3">
        <v>913</v>
      </c>
      <c r="B257" s="3" t="s">
        <v>638</v>
      </c>
      <c r="C257" s="3" t="s">
        <v>577</v>
      </c>
      <c r="D257" s="3" t="s">
        <v>471</v>
      </c>
      <c r="F257" s="24">
        <v>39</v>
      </c>
      <c r="H257" s="24">
        <f t="shared" si="140"/>
        <v>0</v>
      </c>
      <c r="I257" s="24">
        <f t="shared" si="141"/>
        <v>0</v>
      </c>
      <c r="J257" s="24"/>
      <c r="K257" s="24">
        <f t="shared" si="142"/>
        <v>0</v>
      </c>
      <c r="L257" s="24"/>
      <c r="M257" s="24">
        <f t="shared" si="143"/>
        <v>0</v>
      </c>
      <c r="N257" s="24"/>
      <c r="O257" s="24">
        <f t="shared" si="144"/>
        <v>0</v>
      </c>
      <c r="P257" s="24">
        <f t="shared" si="145"/>
        <v>0</v>
      </c>
      <c r="Q257" s="24"/>
      <c r="R257" s="24">
        <f t="shared" si="146"/>
        <v>0</v>
      </c>
      <c r="S257" s="24">
        <f t="shared" si="147"/>
        <v>0</v>
      </c>
      <c r="T257" s="24"/>
      <c r="U257" s="24">
        <f t="shared" si="148"/>
        <v>0</v>
      </c>
      <c r="V257" s="24"/>
      <c r="W257" s="24">
        <f t="shared" si="149"/>
        <v>0</v>
      </c>
      <c r="X257" s="24"/>
      <c r="Y257" s="24">
        <f t="shared" si="150"/>
        <v>0</v>
      </c>
      <c r="Z257" s="24"/>
      <c r="AA257" s="24">
        <f t="shared" si="151"/>
        <v>39</v>
      </c>
      <c r="AB257" s="24">
        <f t="shared" si="152"/>
        <v>39</v>
      </c>
      <c r="AC257" s="12" t="str">
        <f t="shared" si="153"/>
        <v>ok</v>
      </c>
    </row>
    <row r="258" spans="1:29" x14ac:dyDescent="0.2">
      <c r="A258" s="3">
        <v>914</v>
      </c>
      <c r="B258" s="3" t="s">
        <v>904</v>
      </c>
      <c r="C258" s="3" t="s">
        <v>905</v>
      </c>
      <c r="D258" s="3" t="s">
        <v>471</v>
      </c>
      <c r="F258" s="24">
        <v>0</v>
      </c>
      <c r="H258" s="24">
        <f t="shared" si="140"/>
        <v>0</v>
      </c>
      <c r="I258" s="24">
        <f t="shared" si="141"/>
        <v>0</v>
      </c>
      <c r="J258" s="24"/>
      <c r="K258" s="24">
        <f t="shared" si="142"/>
        <v>0</v>
      </c>
      <c r="L258" s="24"/>
      <c r="M258" s="24">
        <f t="shared" si="143"/>
        <v>0</v>
      </c>
      <c r="N258" s="24"/>
      <c r="O258" s="24">
        <f t="shared" si="144"/>
        <v>0</v>
      </c>
      <c r="P258" s="24">
        <f t="shared" si="145"/>
        <v>0</v>
      </c>
      <c r="Q258" s="24"/>
      <c r="R258" s="24">
        <f t="shared" si="146"/>
        <v>0</v>
      </c>
      <c r="S258" s="24">
        <f t="shared" si="147"/>
        <v>0</v>
      </c>
      <c r="T258" s="24"/>
      <c r="U258" s="24">
        <f t="shared" si="148"/>
        <v>0</v>
      </c>
      <c r="V258" s="24"/>
      <c r="W258" s="24">
        <f t="shared" si="149"/>
        <v>0</v>
      </c>
      <c r="X258" s="24"/>
      <c r="Y258" s="24">
        <f t="shared" si="150"/>
        <v>0</v>
      </c>
      <c r="Z258" s="24"/>
      <c r="AA258" s="24">
        <f t="shared" si="151"/>
        <v>0</v>
      </c>
      <c r="AB258" s="24">
        <f>SUM(H258:AA258)</f>
        <v>0</v>
      </c>
      <c r="AC258" s="12" t="str">
        <f>IF(ABS(AB258-F258)&lt;1,"ok","err")</f>
        <v>ok</v>
      </c>
    </row>
    <row r="259" spans="1:29" x14ac:dyDescent="0.2">
      <c r="A259" s="3">
        <v>916</v>
      </c>
      <c r="B259" s="3" t="s">
        <v>640</v>
      </c>
      <c r="C259" s="3" t="s">
        <v>641</v>
      </c>
      <c r="D259" s="3" t="s">
        <v>471</v>
      </c>
      <c r="F259" s="24">
        <v>0</v>
      </c>
      <c r="H259" s="24">
        <f t="shared" si="140"/>
        <v>0</v>
      </c>
      <c r="I259" s="24">
        <f t="shared" si="141"/>
        <v>0</v>
      </c>
      <c r="J259" s="24"/>
      <c r="K259" s="24">
        <f t="shared" si="142"/>
        <v>0</v>
      </c>
      <c r="L259" s="24"/>
      <c r="M259" s="24">
        <f t="shared" si="143"/>
        <v>0</v>
      </c>
      <c r="N259" s="24"/>
      <c r="O259" s="24">
        <f t="shared" si="144"/>
        <v>0</v>
      </c>
      <c r="P259" s="24">
        <f t="shared" si="145"/>
        <v>0</v>
      </c>
      <c r="Q259" s="24"/>
      <c r="R259" s="24">
        <f t="shared" si="146"/>
        <v>0</v>
      </c>
      <c r="S259" s="24">
        <f t="shared" si="147"/>
        <v>0</v>
      </c>
      <c r="T259" s="24"/>
      <c r="U259" s="24">
        <f t="shared" si="148"/>
        <v>0</v>
      </c>
      <c r="V259" s="24"/>
      <c r="W259" s="24">
        <f t="shared" si="149"/>
        <v>0</v>
      </c>
      <c r="X259" s="24"/>
      <c r="Y259" s="24">
        <f t="shared" si="150"/>
        <v>0</v>
      </c>
      <c r="Z259" s="24"/>
      <c r="AA259" s="24">
        <f t="shared" si="151"/>
        <v>0</v>
      </c>
      <c r="AB259" s="24">
        <f t="shared" si="152"/>
        <v>0</v>
      </c>
      <c r="AC259" s="12" t="str">
        <f t="shared" si="153"/>
        <v>ok</v>
      </c>
    </row>
    <row r="260" spans="1:29" x14ac:dyDescent="0.2">
      <c r="A260" s="3">
        <v>917</v>
      </c>
      <c r="B260" s="3" t="s">
        <v>640</v>
      </c>
      <c r="C260" s="3" t="s">
        <v>893</v>
      </c>
      <c r="D260" s="3" t="s">
        <v>471</v>
      </c>
      <c r="F260" s="24">
        <v>0</v>
      </c>
      <c r="H260" s="24">
        <f t="shared" si="140"/>
        <v>0</v>
      </c>
      <c r="I260" s="24">
        <f t="shared" si="141"/>
        <v>0</v>
      </c>
      <c r="J260" s="24"/>
      <c r="K260" s="24">
        <f t="shared" si="142"/>
        <v>0</v>
      </c>
      <c r="L260" s="24"/>
      <c r="M260" s="24">
        <f t="shared" si="143"/>
        <v>0</v>
      </c>
      <c r="N260" s="24"/>
      <c r="O260" s="24">
        <f t="shared" si="144"/>
        <v>0</v>
      </c>
      <c r="P260" s="24">
        <f t="shared" si="145"/>
        <v>0</v>
      </c>
      <c r="Q260" s="24"/>
      <c r="R260" s="24">
        <f t="shared" si="146"/>
        <v>0</v>
      </c>
      <c r="S260" s="24">
        <f t="shared" si="147"/>
        <v>0</v>
      </c>
      <c r="T260" s="24"/>
      <c r="U260" s="24">
        <f t="shared" si="148"/>
        <v>0</v>
      </c>
      <c r="V260" s="24"/>
      <c r="W260" s="24">
        <f t="shared" si="149"/>
        <v>0</v>
      </c>
      <c r="X260" s="24"/>
      <c r="Y260" s="24">
        <f t="shared" si="150"/>
        <v>0</v>
      </c>
      <c r="Z260" s="24"/>
      <c r="AA260" s="24">
        <f t="shared" si="151"/>
        <v>0</v>
      </c>
      <c r="AB260" s="24">
        <f t="shared" si="152"/>
        <v>0</v>
      </c>
      <c r="AC260" s="12" t="str">
        <f t="shared" si="153"/>
        <v>ok</v>
      </c>
    </row>
    <row r="261" spans="1:29" x14ac:dyDescent="0.2">
      <c r="F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12"/>
    </row>
    <row r="262" spans="1:29" x14ac:dyDescent="0.2">
      <c r="A262" s="3" t="s">
        <v>156</v>
      </c>
      <c r="C262" s="3" t="s">
        <v>157</v>
      </c>
      <c r="F262" s="41">
        <f>SUM(F249:F260)</f>
        <v>126475.44</v>
      </c>
      <c r="G262" s="41"/>
      <c r="H262" s="41">
        <f t="shared" ref="H262:W262" si="154">SUM(H249:H261)</f>
        <v>0</v>
      </c>
      <c r="I262" s="41">
        <f t="shared" si="154"/>
        <v>0</v>
      </c>
      <c r="J262" s="41"/>
      <c r="K262" s="41">
        <f t="shared" si="154"/>
        <v>0</v>
      </c>
      <c r="L262" s="41"/>
      <c r="M262" s="41">
        <f t="shared" si="154"/>
        <v>0</v>
      </c>
      <c r="N262" s="41"/>
      <c r="O262" s="41">
        <f t="shared" si="154"/>
        <v>0</v>
      </c>
      <c r="P262" s="41">
        <f t="shared" si="154"/>
        <v>0</v>
      </c>
      <c r="Q262" s="41"/>
      <c r="R262" s="41">
        <f t="shared" si="154"/>
        <v>0</v>
      </c>
      <c r="S262" s="41">
        <f t="shared" si="154"/>
        <v>0</v>
      </c>
      <c r="T262" s="41"/>
      <c r="U262" s="41">
        <f t="shared" si="154"/>
        <v>0</v>
      </c>
      <c r="V262" s="41"/>
      <c r="W262" s="41">
        <f t="shared" si="154"/>
        <v>0</v>
      </c>
      <c r="X262" s="41"/>
      <c r="Y262" s="41">
        <f>SUM(Y249:Y261)</f>
        <v>126436.44</v>
      </c>
      <c r="Z262" s="41"/>
      <c r="AA262" s="41">
        <f>SUM(AA249:AA261)</f>
        <v>39</v>
      </c>
      <c r="AB262" s="24">
        <f>SUM(H262:AA262)</f>
        <v>126475.44</v>
      </c>
      <c r="AC262" s="12" t="str">
        <f>IF(ABS(AB262-F262)&lt;1,"ok","err")</f>
        <v>ok</v>
      </c>
    </row>
    <row r="263" spans="1:29" x14ac:dyDescent="0.2">
      <c r="D263" s="65"/>
      <c r="F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C263" s="12"/>
    </row>
    <row r="264" spans="1:29" x14ac:dyDescent="0.2">
      <c r="A264" s="3" t="s">
        <v>410</v>
      </c>
      <c r="C264" s="3" t="s">
        <v>411</v>
      </c>
      <c r="F264" s="24">
        <f t="shared" ref="F264:M264" si="155">F233+F246+F262</f>
        <v>5039396.32</v>
      </c>
      <c r="G264" s="24"/>
      <c r="H264" s="24">
        <f t="shared" si="155"/>
        <v>0</v>
      </c>
      <c r="I264" s="24">
        <f t="shared" si="155"/>
        <v>0</v>
      </c>
      <c r="J264" s="24"/>
      <c r="K264" s="24">
        <f t="shared" si="155"/>
        <v>0</v>
      </c>
      <c r="L264" s="24"/>
      <c r="M264" s="24">
        <f t="shared" si="155"/>
        <v>6198.2946014001282</v>
      </c>
      <c r="N264" s="24"/>
      <c r="O264" s="24">
        <f t="shared" ref="O264:AA264" si="156">O233+O246+O262</f>
        <v>1735254.0074853329</v>
      </c>
      <c r="P264" s="24">
        <f t="shared" si="156"/>
        <v>1048630.7337406026</v>
      </c>
      <c r="Q264" s="24"/>
      <c r="R264" s="24">
        <f t="shared" si="156"/>
        <v>0</v>
      </c>
      <c r="S264" s="24">
        <f t="shared" si="156"/>
        <v>87981.701576897147</v>
      </c>
      <c r="T264" s="24"/>
      <c r="U264" s="24">
        <f t="shared" si="156"/>
        <v>871561.4116039807</v>
      </c>
      <c r="V264" s="24"/>
      <c r="W264" s="24">
        <f t="shared" si="156"/>
        <v>48494.930991786357</v>
      </c>
      <c r="X264" s="24"/>
      <c r="Y264" s="24">
        <f t="shared" si="156"/>
        <v>1241236.24</v>
      </c>
      <c r="Z264" s="24"/>
      <c r="AA264" s="24">
        <f t="shared" si="156"/>
        <v>39</v>
      </c>
      <c r="AB264" s="24">
        <f>SUM(H264:AA264)</f>
        <v>5039396.32</v>
      </c>
      <c r="AC264" s="12" t="str">
        <f>IF(ABS(AB264-F264)&lt;1,"ok","err")</f>
        <v>ok</v>
      </c>
    </row>
    <row r="265" spans="1:29" x14ac:dyDescent="0.2">
      <c r="F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C265" s="12"/>
    </row>
    <row r="266" spans="1:29" x14ac:dyDescent="0.2">
      <c r="A266" s="10" t="s">
        <v>135</v>
      </c>
      <c r="F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C266" s="12"/>
    </row>
    <row r="267" spans="1:29" x14ac:dyDescent="0.2">
      <c r="F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C267" s="12"/>
    </row>
    <row r="268" spans="1:29" x14ac:dyDescent="0.2">
      <c r="A268" s="2" t="s">
        <v>158</v>
      </c>
      <c r="F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C268" s="12"/>
    </row>
    <row r="269" spans="1:29" x14ac:dyDescent="0.2">
      <c r="A269" s="3">
        <v>920</v>
      </c>
      <c r="B269" s="3" t="s">
        <v>159</v>
      </c>
      <c r="C269" s="3" t="s">
        <v>160</v>
      </c>
      <c r="D269" s="3" t="s">
        <v>411</v>
      </c>
      <c r="F269" s="41">
        <v>750673.21</v>
      </c>
      <c r="H269" s="24">
        <f>IF((VLOOKUP($D269,$C$5:$AA$494,6,)=0),0,((VLOOKUP($D269,$C$5:$AA$494,6,)/VLOOKUP($D269,$C$5:$AA$494,4,))*$F269))</f>
        <v>0</v>
      </c>
      <c r="I269" s="24">
        <f>(VLOOKUP($D269,$C$5:$AA$494,7,)/VLOOKUP($D269,$C$5:$AA$494,4,))*$F269</f>
        <v>0</v>
      </c>
      <c r="J269" s="24"/>
      <c r="K269" s="24">
        <f>(VLOOKUP($D269,$C$5:$AA$494,9,)/VLOOKUP($D269,$C$5:$AA$494,4,))*$F269</f>
        <v>0</v>
      </c>
      <c r="L269" s="24"/>
      <c r="M269" s="24">
        <f>(VLOOKUP($D269,$C$5:$AA$494,11,)/VLOOKUP($D269,$C$5:$AA$494,4,))*$F269</f>
        <v>923.30378670409959</v>
      </c>
      <c r="N269" s="24"/>
      <c r="O269" s="24">
        <f>(VLOOKUP($D269,$C$5:$AA$494,13,)/VLOOKUP($D269,$C$5:$AA$494,4,))*$F269</f>
        <v>258485.06710906568</v>
      </c>
      <c r="P269" s="24">
        <f>(VLOOKUP($D269,$C$5:$AA$494,14,)/VLOOKUP($D269,$C$5:$AA$494,4,))*$F269</f>
        <v>156205.0192158162</v>
      </c>
      <c r="Q269" s="24"/>
      <c r="R269" s="24">
        <f>(VLOOKUP($D269,$C$5:$AA$494,16,)/VLOOKUP($D269,$C$5:$AA$494,4,))*$F269</f>
        <v>0</v>
      </c>
      <c r="S269" s="24">
        <f>(VLOOKUP($D269,$C$5:$AA$494,17,)/VLOOKUP($D269,$C$5:$AA$494,4,))*$F269</f>
        <v>13105.8369197665</v>
      </c>
      <c r="T269" s="24"/>
      <c r="U269" s="24">
        <f>(VLOOKUP($D269,$C$5:$AA$494,19,)/VLOOKUP($D269,$C$5:$AA$494,4,))*$F269</f>
        <v>129828.60664566493</v>
      </c>
      <c r="V269" s="24"/>
      <c r="W269" s="24">
        <f>(VLOOKUP($D269,$C$5:$AA$494,21,)/VLOOKUP($D269,$C$5:$AA$494,4,))*$F269</f>
        <v>7223.8504782518767</v>
      </c>
      <c r="X269" s="24"/>
      <c r="Y269" s="24">
        <f>(VLOOKUP($D269,$C$5:$AA$494,23,)/VLOOKUP($D269,$C$5:$AA$494,4,))*$F269</f>
        <v>184895.71636809272</v>
      </c>
      <c r="Z269" s="24"/>
      <c r="AA269" s="24">
        <f>(VLOOKUP($D269,$C$5:$AA$494,25,)/VLOOKUP($D269,$C$5:$AA$494,4,))*$F269</f>
        <v>5.8094766378684026</v>
      </c>
      <c r="AB269" s="24">
        <f t="shared" ref="AB269:AB281" si="157">SUM(H269:AA269)</f>
        <v>750673.20999999985</v>
      </c>
      <c r="AC269" s="12" t="str">
        <f t="shared" ref="AC269:AC281" si="158">IF(ABS(AB269-F269)&lt;1,"ok","err")</f>
        <v>ok</v>
      </c>
    </row>
    <row r="270" spans="1:29" x14ac:dyDescent="0.2">
      <c r="A270" s="3">
        <v>921</v>
      </c>
      <c r="B270" s="3" t="s">
        <v>161</v>
      </c>
      <c r="C270" s="3" t="s">
        <v>162</v>
      </c>
      <c r="D270" s="3" t="s">
        <v>516</v>
      </c>
      <c r="F270" s="24">
        <v>289678.81</v>
      </c>
      <c r="H270" s="24">
        <f>IF(VLOOKUP($D270,$C$5:$AA$494,6,)=0,0,((VLOOKUP($D270,$C$5:$AA$494,6,)/VLOOKUP($D270,$C$5:$AA$494,4,))*$F270))</f>
        <v>0</v>
      </c>
      <c r="I270" s="24">
        <f>IF(VLOOKUP($D270,$C$5:$AA$494,7,)=0,0,((VLOOKUP($D270,$C$5:$AA$494,7,)/VLOOKUP($D270,$C$5:$AA$494,4,))*$F270))</f>
        <v>0</v>
      </c>
      <c r="J270" s="24"/>
      <c r="K270" s="24">
        <f>IF(VLOOKUP($D270,$C$5:$AA$494,9,)=0,0,((VLOOKUP($D270,$C$5:$AA$494,9,)/VLOOKUP($D270,$C$5:$AA$494,4,))*$F270))</f>
        <v>0</v>
      </c>
      <c r="L270" s="24"/>
      <c r="M270" s="24">
        <f>IF(VLOOKUP($D270,$C$5:$AA$494,11,)=0,0,((VLOOKUP($D270,$C$5:$AA$494,11,)/VLOOKUP($D270,$C$5:$AA$494,4,))*$F270))</f>
        <v>531.49184087132414</v>
      </c>
      <c r="N270" s="24"/>
      <c r="O270" s="24">
        <f>IF(VLOOKUP($D270,$C$5:$AA$494,13,)=0,0,((VLOOKUP($D270,$C$5:$AA$494,13,)/VLOOKUP($D270,$C$5:$AA$494,4,))*$F270))</f>
        <v>83281.363808989539</v>
      </c>
      <c r="P270" s="24">
        <f>IF(VLOOKUP($D270,$C$5:$AA$494,14,)=0,0,((VLOOKUP($D270,$C$5:$AA$494,14,)/VLOOKUP($D270,$C$5:$AA$494,4,))*$F270))</f>
        <v>51094.789859282151</v>
      </c>
      <c r="Q270" s="24"/>
      <c r="R270" s="24">
        <f>IF(VLOOKUP($D270,$C$5:$AA$494,16,)=0,0,((VLOOKUP($D270,$C$5:$AA$494,16,)/VLOOKUP($D270,$C$5:$AA$494,4,))*$F270))</f>
        <v>0</v>
      </c>
      <c r="S270" s="24">
        <f>IF(VLOOKUP($D270,$C$5:$AA$494,17,)=0,0,((VLOOKUP($D270,$C$5:$AA$494,17,)/VLOOKUP($D270,$C$5:$AA$494,4,))*$F270))</f>
        <v>6870.0125629473478</v>
      </c>
      <c r="T270" s="24"/>
      <c r="U270" s="24">
        <f>IF(VLOOKUP($D270,$C$5:$AA$494,19,)=0,0,((VLOOKUP($D270,$C$5:$AA$494,19,)/VLOOKUP($D270,$C$5:$AA$494,4,))*$F270))</f>
        <v>59263.022248658082</v>
      </c>
      <c r="V270" s="24"/>
      <c r="W270" s="24">
        <f>IF(VLOOKUP($D270,$C$5:$AA$494,21,)=0,0,((VLOOKUP($D270,$C$5:$AA$494,21,)/VLOOKUP($D270,$C$5:$AA$494,4,))*$F270))</f>
        <v>4158.3470620983626</v>
      </c>
      <c r="X270" s="24"/>
      <c r="Y270" s="24">
        <f>IF(VLOOKUP($D270,$C$5:$AA$494,23,)=0,0,((VLOOKUP($D270,$C$5:$AA$494,23,)/VLOOKUP($D270,$C$5:$AA$494,4,))*$F270))</f>
        <v>84479.782617153163</v>
      </c>
      <c r="Z270" s="24"/>
      <c r="AA270" s="24">
        <f>IF(VLOOKUP($D270,$C$5:$AA$494,25,)=0,0,((VLOOKUP($D270,$C$5:$AA$494,25,)/VLOOKUP($D270,$C$5:$AA$494,4,))*$F270))</f>
        <v>0</v>
      </c>
      <c r="AB270" s="24">
        <f>SUM(H270:AA270)</f>
        <v>289678.80999999994</v>
      </c>
      <c r="AC270" s="12" t="str">
        <f>IF(ABS(AB270-F270)&lt;1,"ok","err")</f>
        <v>ok</v>
      </c>
    </row>
    <row r="271" spans="1:29" x14ac:dyDescent="0.2">
      <c r="A271" s="3">
        <v>923</v>
      </c>
      <c r="B271" s="3" t="s">
        <v>163</v>
      </c>
      <c r="C271" s="3" t="s">
        <v>164</v>
      </c>
      <c r="D271" s="3" t="s">
        <v>411</v>
      </c>
      <c r="F271" s="24">
        <v>62450.78</v>
      </c>
      <c r="H271" s="24">
        <f t="shared" ref="H271:H281" si="159">IF((VLOOKUP($D271,$C$5:$AA$494,6,)=0),0,((VLOOKUP($D271,$C$5:$AA$494,6,)/VLOOKUP($D271,$C$5:$AA$494,4,))*$F271))</f>
        <v>0</v>
      </c>
      <c r="I271" s="24">
        <f t="shared" ref="I271:I281" si="160">(VLOOKUP($D271,$C$5:$AA$494,7,)/VLOOKUP($D271,$C$5:$AA$494,4,))*$F271</f>
        <v>0</v>
      </c>
      <c r="J271" s="24"/>
      <c r="K271" s="24">
        <f t="shared" ref="K271:K281" si="161">(VLOOKUP($D271,$C$5:$AA$494,9,)/VLOOKUP($D271,$C$5:$AA$494,4,))*$F271</f>
        <v>0</v>
      </c>
      <c r="L271" s="24"/>
      <c r="M271" s="24">
        <f t="shared" ref="M271:M281" si="162">(VLOOKUP($D271,$C$5:$AA$494,11,)/VLOOKUP($D271,$C$5:$AA$494,4,))*$F271</f>
        <v>76.812441004288203</v>
      </c>
      <c r="N271" s="24"/>
      <c r="O271" s="24">
        <f t="shared" ref="O271:O281" si="163">(VLOOKUP($D271,$C$5:$AA$494,13,)/VLOOKUP($D271,$C$5:$AA$494,4,))*$F271</f>
        <v>21504.156328308956</v>
      </c>
      <c r="P271" s="24">
        <f t="shared" ref="P271:P281" si="164">(VLOOKUP($D271,$C$5:$AA$494,14,)/VLOOKUP($D271,$C$5:$AA$494,4,))*$F271</f>
        <v>12995.169082885894</v>
      </c>
      <c r="Q271" s="24"/>
      <c r="R271" s="24">
        <f t="shared" ref="R271:R281" si="165">(VLOOKUP($D271,$C$5:$AA$494,16,)/VLOOKUP($D271,$C$5:$AA$494,4,))*$F271</f>
        <v>0</v>
      </c>
      <c r="S271" s="24">
        <f t="shared" ref="S271:S281" si="166">(VLOOKUP($D271,$C$5:$AA$494,17,)/VLOOKUP($D271,$C$5:$AA$494,4,))*$F271</f>
        <v>1090.3143035998519</v>
      </c>
      <c r="T271" s="24"/>
      <c r="U271" s="24">
        <f t="shared" ref="U271:U281" si="167">(VLOOKUP($D271,$C$5:$AA$494,19,)/VLOOKUP($D271,$C$5:$AA$494,4,))*$F271</f>
        <v>10800.835361281854</v>
      </c>
      <c r="V271" s="24"/>
      <c r="W271" s="24">
        <f t="shared" ref="W271:W281" si="168">(VLOOKUP($D271,$C$5:$AA$494,21,)/VLOOKUP($D271,$C$5:$AA$494,4,))*$F271</f>
        <v>600.97402033329888</v>
      </c>
      <c r="X271" s="24"/>
      <c r="Y271" s="24">
        <f t="shared" ref="Y271:Y281" si="169">(VLOOKUP($D271,$C$5:$AA$494,23,)/VLOOKUP($D271,$C$5:$AA$494,4,))*$F271</f>
        <v>15382.035154612962</v>
      </c>
      <c r="Z271" s="24"/>
      <c r="AA271" s="24">
        <f t="shared" ref="AA271:AA281" si="170">(VLOOKUP($D271,$C$5:$AA$494,25,)/VLOOKUP($D271,$C$5:$AA$494,4,))*$F271</f>
        <v>0.48330797288830818</v>
      </c>
      <c r="AB271" s="24">
        <f t="shared" si="157"/>
        <v>62450.779999999984</v>
      </c>
      <c r="AC271" s="12" t="str">
        <f t="shared" si="158"/>
        <v>ok</v>
      </c>
    </row>
    <row r="272" spans="1:29" x14ac:dyDescent="0.2">
      <c r="A272" s="3">
        <v>924</v>
      </c>
      <c r="B272" s="3" t="s">
        <v>165</v>
      </c>
      <c r="C272" s="3" t="s">
        <v>166</v>
      </c>
      <c r="D272" s="3" t="s">
        <v>84</v>
      </c>
      <c r="F272" s="24">
        <v>0</v>
      </c>
      <c r="H272" s="24">
        <f t="shared" si="159"/>
        <v>0</v>
      </c>
      <c r="I272" s="24">
        <f t="shared" si="160"/>
        <v>0</v>
      </c>
      <c r="J272" s="24"/>
      <c r="K272" s="24">
        <f t="shared" si="161"/>
        <v>0</v>
      </c>
      <c r="L272" s="24"/>
      <c r="M272" s="24">
        <f t="shared" si="162"/>
        <v>0</v>
      </c>
      <c r="N272" s="24"/>
      <c r="O272" s="24">
        <f t="shared" si="163"/>
        <v>0</v>
      </c>
      <c r="P272" s="24">
        <f t="shared" si="164"/>
        <v>0</v>
      </c>
      <c r="Q272" s="24"/>
      <c r="R272" s="24">
        <f t="shared" si="165"/>
        <v>0</v>
      </c>
      <c r="S272" s="24">
        <f t="shared" si="166"/>
        <v>0</v>
      </c>
      <c r="T272" s="24"/>
      <c r="U272" s="24">
        <f t="shared" si="167"/>
        <v>0</v>
      </c>
      <c r="V272" s="24"/>
      <c r="W272" s="24">
        <f t="shared" si="168"/>
        <v>0</v>
      </c>
      <c r="X272" s="24"/>
      <c r="Y272" s="24">
        <f t="shared" si="169"/>
        <v>0</v>
      </c>
      <c r="Z272" s="24"/>
      <c r="AA272" s="24">
        <f t="shared" si="170"/>
        <v>0</v>
      </c>
      <c r="AB272" s="24">
        <f t="shared" si="157"/>
        <v>0</v>
      </c>
      <c r="AC272" s="12" t="str">
        <f t="shared" si="158"/>
        <v>ok</v>
      </c>
    </row>
    <row r="273" spans="1:29" x14ac:dyDescent="0.2">
      <c r="A273" s="3">
        <v>925</v>
      </c>
      <c r="B273" s="3" t="s">
        <v>167</v>
      </c>
      <c r="C273" s="3" t="s">
        <v>168</v>
      </c>
      <c r="D273" s="3" t="s">
        <v>516</v>
      </c>
      <c r="F273" s="24">
        <v>54729.01</v>
      </c>
      <c r="H273" s="24">
        <f t="shared" si="159"/>
        <v>0</v>
      </c>
      <c r="I273" s="24">
        <f t="shared" si="160"/>
        <v>0</v>
      </c>
      <c r="J273" s="24"/>
      <c r="K273" s="24">
        <f t="shared" si="161"/>
        <v>0</v>
      </c>
      <c r="L273" s="24"/>
      <c r="M273" s="24">
        <f t="shared" si="162"/>
        <v>100.41473960061182</v>
      </c>
      <c r="N273" s="24"/>
      <c r="O273" s="24">
        <f t="shared" si="163"/>
        <v>15734.345887142477</v>
      </c>
      <c r="P273" s="24">
        <f t="shared" si="164"/>
        <v>9653.3373123030688</v>
      </c>
      <c r="Q273" s="24"/>
      <c r="R273" s="24">
        <f t="shared" si="165"/>
        <v>0</v>
      </c>
      <c r="S273" s="24">
        <f t="shared" si="166"/>
        <v>1297.9512939095237</v>
      </c>
      <c r="T273" s="24"/>
      <c r="U273" s="24">
        <f t="shared" si="167"/>
        <v>11196.561244079367</v>
      </c>
      <c r="V273" s="24"/>
      <c r="W273" s="24">
        <f t="shared" si="168"/>
        <v>785.63640172731959</v>
      </c>
      <c r="X273" s="24"/>
      <c r="Y273" s="24">
        <f t="shared" si="169"/>
        <v>15960.763121237627</v>
      </c>
      <c r="Z273" s="24"/>
      <c r="AA273" s="24">
        <f t="shared" si="170"/>
        <v>0</v>
      </c>
      <c r="AB273" s="24">
        <f t="shared" si="157"/>
        <v>54729.01</v>
      </c>
      <c r="AC273" s="12" t="str">
        <f t="shared" si="158"/>
        <v>ok</v>
      </c>
    </row>
    <row r="274" spans="1:29" x14ac:dyDescent="0.2">
      <c r="A274" s="3">
        <v>926</v>
      </c>
      <c r="B274" s="3" t="s">
        <v>169</v>
      </c>
      <c r="C274" s="3" t="s">
        <v>170</v>
      </c>
      <c r="D274" s="3" t="s">
        <v>516</v>
      </c>
      <c r="F274" s="24">
        <v>34895.29</v>
      </c>
      <c r="H274" s="24">
        <f t="shared" si="159"/>
        <v>0</v>
      </c>
      <c r="I274" s="24">
        <f t="shared" si="160"/>
        <v>0</v>
      </c>
      <c r="J274" s="24"/>
      <c r="K274" s="24">
        <f t="shared" si="161"/>
        <v>0</v>
      </c>
      <c r="L274" s="24"/>
      <c r="M274" s="24">
        <f t="shared" si="162"/>
        <v>64.024572318005283</v>
      </c>
      <c r="N274" s="24"/>
      <c r="O274" s="24">
        <f t="shared" si="163"/>
        <v>10032.239989214933</v>
      </c>
      <c r="P274" s="24">
        <f t="shared" si="164"/>
        <v>6154.9807858873419</v>
      </c>
      <c r="Q274" s="24"/>
      <c r="R274" s="24">
        <f t="shared" si="165"/>
        <v>0</v>
      </c>
      <c r="S274" s="24">
        <f t="shared" si="166"/>
        <v>827.57548157454448</v>
      </c>
      <c r="T274" s="24"/>
      <c r="U274" s="24">
        <f t="shared" si="167"/>
        <v>7138.9424295252247</v>
      </c>
      <c r="V274" s="24"/>
      <c r="W274" s="24">
        <f t="shared" si="168"/>
        <v>500.92282087381665</v>
      </c>
      <c r="X274" s="24"/>
      <c r="Y274" s="24">
        <f t="shared" si="169"/>
        <v>10176.60392060613</v>
      </c>
      <c r="Z274" s="24"/>
      <c r="AA274" s="24">
        <f t="shared" si="170"/>
        <v>0</v>
      </c>
      <c r="AB274" s="24">
        <f t="shared" si="157"/>
        <v>34895.29</v>
      </c>
      <c r="AC274" s="12" t="str">
        <f t="shared" si="158"/>
        <v>ok</v>
      </c>
    </row>
    <row r="275" spans="1:29" x14ac:dyDescent="0.2">
      <c r="A275" s="3">
        <v>928</v>
      </c>
      <c r="B275" s="3" t="s">
        <v>578</v>
      </c>
      <c r="C275" s="3" t="s">
        <v>172</v>
      </c>
      <c r="D275" s="3" t="s">
        <v>411</v>
      </c>
      <c r="F275" s="24">
        <v>-4387.5</v>
      </c>
      <c r="H275" s="24">
        <f t="shared" si="159"/>
        <v>0</v>
      </c>
      <c r="I275" s="24">
        <f t="shared" si="160"/>
        <v>0</v>
      </c>
      <c r="J275" s="24"/>
      <c r="K275" s="24">
        <f t="shared" si="161"/>
        <v>0</v>
      </c>
      <c r="L275" s="24"/>
      <c r="M275" s="24">
        <f t="shared" si="162"/>
        <v>-5.3964831969482931</v>
      </c>
      <c r="N275" s="24"/>
      <c r="O275" s="24">
        <f t="shared" si="163"/>
        <v>-1510.7815449295517</v>
      </c>
      <c r="P275" s="24">
        <f t="shared" si="164"/>
        <v>-912.97985951755709</v>
      </c>
      <c r="Q275" s="24"/>
      <c r="R275" s="24">
        <f t="shared" si="165"/>
        <v>0</v>
      </c>
      <c r="S275" s="24">
        <f t="shared" si="166"/>
        <v>-76.600388450622233</v>
      </c>
      <c r="T275" s="24"/>
      <c r="U275" s="24">
        <f t="shared" si="167"/>
        <v>-758.81622531574681</v>
      </c>
      <c r="V275" s="24"/>
      <c r="W275" s="24">
        <f t="shared" si="168"/>
        <v>-42.2216266027798</v>
      </c>
      <c r="X275" s="24"/>
      <c r="Y275" s="24">
        <f t="shared" si="169"/>
        <v>-1080.6699170268869</v>
      </c>
      <c r="Z275" s="24"/>
      <c r="AA275" s="24">
        <f t="shared" si="170"/>
        <v>-3.3954959906785029E-2</v>
      </c>
      <c r="AB275" s="24">
        <f t="shared" si="157"/>
        <v>-4387.4999999999991</v>
      </c>
      <c r="AC275" s="12" t="str">
        <f t="shared" si="158"/>
        <v>ok</v>
      </c>
    </row>
    <row r="276" spans="1:29" x14ac:dyDescent="0.2">
      <c r="A276" s="3">
        <v>929</v>
      </c>
      <c r="B276" s="3" t="s">
        <v>906</v>
      </c>
      <c r="C276" s="3" t="s">
        <v>386</v>
      </c>
      <c r="D276" s="3" t="s">
        <v>411</v>
      </c>
      <c r="F276" s="24">
        <v>-1428.12</v>
      </c>
      <c r="H276" s="24">
        <f t="shared" si="159"/>
        <v>0</v>
      </c>
      <c r="I276" s="24">
        <f t="shared" si="160"/>
        <v>0</v>
      </c>
      <c r="J276" s="24"/>
      <c r="K276" s="24">
        <f t="shared" si="161"/>
        <v>0</v>
      </c>
      <c r="L276" s="24"/>
      <c r="M276" s="24">
        <f t="shared" si="162"/>
        <v>-1.7565414434702669</v>
      </c>
      <c r="N276" s="24"/>
      <c r="O276" s="24">
        <f t="shared" si="163"/>
        <v>-491.75551907573583</v>
      </c>
      <c r="P276" s="24">
        <f t="shared" si="164"/>
        <v>-297.17260329896601</v>
      </c>
      <c r="Q276" s="24"/>
      <c r="R276" s="24">
        <f t="shared" si="165"/>
        <v>0</v>
      </c>
      <c r="S276" s="24">
        <f t="shared" si="166"/>
        <v>-24.933230029425097</v>
      </c>
      <c r="T276" s="24"/>
      <c r="U276" s="24">
        <f t="shared" si="167"/>
        <v>-246.99273565764656</v>
      </c>
      <c r="V276" s="24"/>
      <c r="W276" s="24">
        <f t="shared" si="168"/>
        <v>-13.743031198623791</v>
      </c>
      <c r="X276" s="24"/>
      <c r="Y276" s="24">
        <f t="shared" si="169"/>
        <v>-351.75528704374648</v>
      </c>
      <c r="Z276" s="24"/>
      <c r="AA276" s="24">
        <f t="shared" si="170"/>
        <v>-1.1052252385658764E-2</v>
      </c>
      <c r="AB276" s="24">
        <f t="shared" si="157"/>
        <v>-1428.1199999999997</v>
      </c>
      <c r="AC276" s="12" t="str">
        <f t="shared" si="158"/>
        <v>ok</v>
      </c>
    </row>
    <row r="277" spans="1:29" x14ac:dyDescent="0.2">
      <c r="A277" s="3">
        <v>930</v>
      </c>
      <c r="B277" s="3" t="s">
        <v>173</v>
      </c>
      <c r="C277" s="3" t="s">
        <v>174</v>
      </c>
      <c r="D277" s="3" t="s">
        <v>411</v>
      </c>
      <c r="F277" s="24">
        <f>987.6+96000+1896.6+29247.17+205926.38</f>
        <v>334057.75</v>
      </c>
      <c r="H277" s="24">
        <f t="shared" si="159"/>
        <v>0</v>
      </c>
      <c r="I277" s="24">
        <f t="shared" si="160"/>
        <v>0</v>
      </c>
      <c r="J277" s="24"/>
      <c r="K277" s="24">
        <f t="shared" si="161"/>
        <v>0</v>
      </c>
      <c r="L277" s="24"/>
      <c r="M277" s="24">
        <f t="shared" si="162"/>
        <v>410.88023582572163</v>
      </c>
      <c r="N277" s="24"/>
      <c r="O277" s="24">
        <f t="shared" si="163"/>
        <v>115028.66863605469</v>
      </c>
      <c r="P277" s="24">
        <f t="shared" si="164"/>
        <v>69512.933940911957</v>
      </c>
      <c r="Q277" s="24"/>
      <c r="R277" s="24">
        <f t="shared" si="165"/>
        <v>0</v>
      </c>
      <c r="S277" s="24">
        <f t="shared" si="166"/>
        <v>5832.2400945734125</v>
      </c>
      <c r="T277" s="24"/>
      <c r="U277" s="24">
        <f t="shared" si="167"/>
        <v>57775.143223355306</v>
      </c>
      <c r="V277" s="24"/>
      <c r="W277" s="24">
        <f t="shared" si="168"/>
        <v>3214.6920989777241</v>
      </c>
      <c r="X277" s="24"/>
      <c r="Y277" s="24">
        <f t="shared" si="169"/>
        <v>82280.606489957499</v>
      </c>
      <c r="Z277" s="24"/>
      <c r="AA277" s="24">
        <f t="shared" si="170"/>
        <v>2.5852803436583054</v>
      </c>
      <c r="AB277" s="24">
        <f t="shared" si="157"/>
        <v>334057.74999999994</v>
      </c>
      <c r="AC277" s="12" t="str">
        <f t="shared" si="158"/>
        <v>ok</v>
      </c>
    </row>
    <row r="278" spans="1:29" x14ac:dyDescent="0.2">
      <c r="A278" s="3">
        <v>931</v>
      </c>
      <c r="B278" s="3" t="s">
        <v>175</v>
      </c>
      <c r="C278" s="3" t="s">
        <v>176</v>
      </c>
      <c r="D278" s="3" t="s">
        <v>84</v>
      </c>
      <c r="F278" s="24">
        <v>8517.85</v>
      </c>
      <c r="H278" s="24">
        <f t="shared" si="159"/>
        <v>0</v>
      </c>
      <c r="I278" s="24">
        <f t="shared" si="160"/>
        <v>0</v>
      </c>
      <c r="J278" s="24"/>
      <c r="K278" s="24">
        <f t="shared" si="161"/>
        <v>0</v>
      </c>
      <c r="L278" s="24"/>
      <c r="M278" s="24">
        <f t="shared" si="162"/>
        <v>74.044656579621147</v>
      </c>
      <c r="N278" s="24"/>
      <c r="O278" s="24">
        <f t="shared" si="163"/>
        <v>3786.9509120946941</v>
      </c>
      <c r="P278" s="24">
        <f t="shared" si="164"/>
        <v>2542.7181758955007</v>
      </c>
      <c r="Q278" s="24"/>
      <c r="R278" s="24">
        <f t="shared" si="165"/>
        <v>0</v>
      </c>
      <c r="S278" s="24">
        <f t="shared" si="166"/>
        <v>957.09412977474869</v>
      </c>
      <c r="T278" s="24"/>
      <c r="U278" s="24">
        <f t="shared" si="167"/>
        <v>577.7230157944548</v>
      </c>
      <c r="V278" s="24"/>
      <c r="W278" s="24">
        <f t="shared" si="168"/>
        <v>579.31910986098114</v>
      </c>
      <c r="X278" s="24"/>
      <c r="Y278" s="24">
        <f t="shared" si="169"/>
        <v>0</v>
      </c>
      <c r="Z278" s="24"/>
      <c r="AA278" s="24">
        <f t="shared" si="170"/>
        <v>0</v>
      </c>
      <c r="AB278" s="24">
        <f t="shared" si="157"/>
        <v>8517.85</v>
      </c>
      <c r="AC278" s="12" t="str">
        <f t="shared" si="158"/>
        <v>ok</v>
      </c>
    </row>
    <row r="279" spans="1:29" x14ac:dyDescent="0.2">
      <c r="A279" s="3">
        <v>932</v>
      </c>
      <c r="B279" s="3" t="s">
        <v>177</v>
      </c>
      <c r="C279" s="3" t="s">
        <v>896</v>
      </c>
      <c r="D279" s="3" t="s">
        <v>70</v>
      </c>
      <c r="F279" s="24">
        <v>0</v>
      </c>
      <c r="H279" s="24">
        <f t="shared" si="159"/>
        <v>0</v>
      </c>
      <c r="I279" s="24">
        <f t="shared" si="160"/>
        <v>0</v>
      </c>
      <c r="J279" s="24"/>
      <c r="K279" s="24">
        <f t="shared" si="161"/>
        <v>0</v>
      </c>
      <c r="L279" s="24"/>
      <c r="M279" s="24">
        <f t="shared" si="162"/>
        <v>0</v>
      </c>
      <c r="N279" s="24"/>
      <c r="O279" s="24">
        <f t="shared" si="163"/>
        <v>0</v>
      </c>
      <c r="P279" s="24">
        <f t="shared" si="164"/>
        <v>0</v>
      </c>
      <c r="Q279" s="24"/>
      <c r="R279" s="24">
        <f t="shared" si="165"/>
        <v>0</v>
      </c>
      <c r="S279" s="24">
        <f t="shared" si="166"/>
        <v>0</v>
      </c>
      <c r="T279" s="24"/>
      <c r="U279" s="24">
        <f t="shared" si="167"/>
        <v>0</v>
      </c>
      <c r="V279" s="24"/>
      <c r="W279" s="24">
        <f t="shared" si="168"/>
        <v>0</v>
      </c>
      <c r="X279" s="24"/>
      <c r="Y279" s="24">
        <f t="shared" si="169"/>
        <v>0</v>
      </c>
      <c r="Z279" s="24"/>
      <c r="AA279" s="24">
        <f t="shared" si="170"/>
        <v>0</v>
      </c>
      <c r="AB279" s="24">
        <f>SUM(H279:AA279)</f>
        <v>0</v>
      </c>
      <c r="AC279" s="12" t="str">
        <f>IF(ABS(AB279-F279)&lt;1,"ok","err")</f>
        <v>ok</v>
      </c>
    </row>
    <row r="280" spans="1:29" x14ac:dyDescent="0.2">
      <c r="A280" s="3">
        <v>933</v>
      </c>
      <c r="B280" s="3" t="s">
        <v>894</v>
      </c>
      <c r="C280" s="3" t="s">
        <v>895</v>
      </c>
      <c r="D280" s="3" t="s">
        <v>70</v>
      </c>
      <c r="F280" s="24">
        <v>0</v>
      </c>
      <c r="H280" s="24">
        <f t="shared" si="159"/>
        <v>0</v>
      </c>
      <c r="I280" s="24">
        <f t="shared" si="160"/>
        <v>0</v>
      </c>
      <c r="J280" s="24"/>
      <c r="K280" s="24">
        <f t="shared" si="161"/>
        <v>0</v>
      </c>
      <c r="L280" s="24"/>
      <c r="M280" s="24">
        <f t="shared" si="162"/>
        <v>0</v>
      </c>
      <c r="N280" s="24"/>
      <c r="O280" s="24">
        <f t="shared" si="163"/>
        <v>0</v>
      </c>
      <c r="P280" s="24">
        <f t="shared" si="164"/>
        <v>0</v>
      </c>
      <c r="Q280" s="24"/>
      <c r="R280" s="24">
        <f t="shared" si="165"/>
        <v>0</v>
      </c>
      <c r="S280" s="24">
        <f t="shared" si="166"/>
        <v>0</v>
      </c>
      <c r="T280" s="24"/>
      <c r="U280" s="24">
        <f t="shared" si="167"/>
        <v>0</v>
      </c>
      <c r="V280" s="24"/>
      <c r="W280" s="24">
        <f t="shared" si="168"/>
        <v>0</v>
      </c>
      <c r="X280" s="24"/>
      <c r="Y280" s="24">
        <f t="shared" si="169"/>
        <v>0</v>
      </c>
      <c r="Z280" s="24"/>
      <c r="AA280" s="24">
        <f t="shared" si="170"/>
        <v>0</v>
      </c>
      <c r="AB280" s="24">
        <f>SUM(H280:AA280)</f>
        <v>0</v>
      </c>
      <c r="AC280" s="12" t="str">
        <f>IF(ABS(AB280-F280)&lt;1,"ok","err")</f>
        <v>ok</v>
      </c>
    </row>
    <row r="281" spans="1:29" x14ac:dyDescent="0.2">
      <c r="A281" s="3">
        <v>935</v>
      </c>
      <c r="B281" s="3" t="s">
        <v>897</v>
      </c>
      <c r="C281" s="3" t="s">
        <v>709</v>
      </c>
      <c r="D281" s="3" t="s">
        <v>84</v>
      </c>
      <c r="F281" s="24">
        <f>76856.81+1310.88</f>
        <v>78167.69</v>
      </c>
      <c r="H281" s="24">
        <f t="shared" si="159"/>
        <v>0</v>
      </c>
      <c r="I281" s="24">
        <f t="shared" si="160"/>
        <v>0</v>
      </c>
      <c r="J281" s="24"/>
      <c r="K281" s="24">
        <f t="shared" si="161"/>
        <v>0</v>
      </c>
      <c r="L281" s="24"/>
      <c r="M281" s="24">
        <f t="shared" si="162"/>
        <v>679.5024286260367</v>
      </c>
      <c r="N281" s="24"/>
      <c r="O281" s="24">
        <f t="shared" si="163"/>
        <v>34752.573119018918</v>
      </c>
      <c r="P281" s="24">
        <f t="shared" si="164"/>
        <v>23334.339784190259</v>
      </c>
      <c r="Q281" s="24"/>
      <c r="R281" s="24">
        <f t="shared" si="165"/>
        <v>0</v>
      </c>
      <c r="S281" s="24">
        <f t="shared" si="166"/>
        <v>8783.1832254679666</v>
      </c>
      <c r="T281" s="24"/>
      <c r="U281" s="24">
        <f t="shared" si="167"/>
        <v>5301.7221017611309</v>
      </c>
      <c r="V281" s="24"/>
      <c r="W281" s="24">
        <f t="shared" si="168"/>
        <v>5316.3693409356956</v>
      </c>
      <c r="X281" s="24"/>
      <c r="Y281" s="24">
        <f t="shared" si="169"/>
        <v>0</v>
      </c>
      <c r="Z281" s="24"/>
      <c r="AA281" s="24">
        <f t="shared" si="170"/>
        <v>0</v>
      </c>
      <c r="AB281" s="24">
        <f t="shared" si="157"/>
        <v>78167.69</v>
      </c>
      <c r="AC281" s="12" t="str">
        <f t="shared" si="158"/>
        <v>ok</v>
      </c>
    </row>
    <row r="282" spans="1:29" x14ac:dyDescent="0.2">
      <c r="F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12"/>
    </row>
    <row r="283" spans="1:29" x14ac:dyDescent="0.2">
      <c r="A283" s="3" t="s">
        <v>178</v>
      </c>
      <c r="C283" s="3" t="s">
        <v>179</v>
      </c>
      <c r="F283" s="41">
        <f>SUM(F269:F282)</f>
        <v>1607354.77</v>
      </c>
      <c r="G283" s="41"/>
      <c r="H283" s="41">
        <f>SUM(H269:H282)</f>
        <v>0</v>
      </c>
      <c r="I283" s="41">
        <f>SUM(I269:I282)</f>
        <v>0</v>
      </c>
      <c r="J283" s="41"/>
      <c r="K283" s="41">
        <f>SUM(K269:K282)</f>
        <v>0</v>
      </c>
      <c r="L283" s="41"/>
      <c r="M283" s="41">
        <f>SUM(M269:M282)</f>
        <v>2853.3216768892898</v>
      </c>
      <c r="N283" s="41"/>
      <c r="O283" s="41">
        <f>SUM(O269:O282)</f>
        <v>540602.82872588455</v>
      </c>
      <c r="P283" s="41">
        <f>SUM(P269:P282)</f>
        <v>330283.13569435582</v>
      </c>
      <c r="Q283" s="41"/>
      <c r="R283" s="41">
        <f>SUM(R269:R282)</f>
        <v>0</v>
      </c>
      <c r="S283" s="41">
        <f>SUM(S269:S282)</f>
        <v>38662.67439313385</v>
      </c>
      <c r="T283" s="41"/>
      <c r="U283" s="41">
        <f>SUM(U269:U282)</f>
        <v>280876.74730914703</v>
      </c>
      <c r="V283" s="41"/>
      <c r="W283" s="41">
        <f>SUM(W269:W282)</f>
        <v>22324.146675257674</v>
      </c>
      <c r="X283" s="41"/>
      <c r="Y283" s="41">
        <f>SUM(Y269:Y282)</f>
        <v>391743.08246758947</v>
      </c>
      <c r="Z283" s="41"/>
      <c r="AA283" s="41">
        <f>SUM(AA269:AA282)</f>
        <v>8.8330577421225733</v>
      </c>
      <c r="AB283" s="24">
        <f>SUM(H283:AA283)</f>
        <v>1607354.7699999998</v>
      </c>
      <c r="AC283" s="12" t="str">
        <f>IF(ABS(AB283-F283)&lt;1,"ok","err")</f>
        <v>ok</v>
      </c>
    </row>
    <row r="284" spans="1:29" x14ac:dyDescent="0.2">
      <c r="F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12"/>
    </row>
    <row r="285" spans="1:29" x14ac:dyDescent="0.2">
      <c r="A285" s="3" t="s">
        <v>180</v>
      </c>
      <c r="C285" s="3" t="s">
        <v>181</v>
      </c>
      <c r="F285" s="41">
        <f>F237+F246+F262+F283</f>
        <v>24474384.09</v>
      </c>
      <c r="G285" s="41"/>
      <c r="H285" s="41">
        <f>H237+H246+H262+H283</f>
        <v>5014334.2</v>
      </c>
      <c r="I285" s="41">
        <f>I237+I246+I262+I283</f>
        <v>12813298.799999999</v>
      </c>
      <c r="J285" s="41"/>
      <c r="K285" s="41">
        <f>K237+K246+K262+K283</f>
        <v>0</v>
      </c>
      <c r="L285" s="41"/>
      <c r="M285" s="41">
        <f>M237+M246+M262+M283</f>
        <v>9051.6162782894171</v>
      </c>
      <c r="N285" s="41"/>
      <c r="O285" s="41">
        <f>O237+O246+O262+O283</f>
        <v>2275856.8362112176</v>
      </c>
      <c r="P285" s="41">
        <f>P237+P246+P262+P283</f>
        <v>1378913.8694349583</v>
      </c>
      <c r="Q285" s="41"/>
      <c r="R285" s="41">
        <f>R237+R246+R262+R283</f>
        <v>0</v>
      </c>
      <c r="S285" s="41">
        <f>S237+S246+S262+S283</f>
        <v>126644.37597003099</v>
      </c>
      <c r="T285" s="41"/>
      <c r="U285" s="41">
        <f>U237+U246+U262+U283</f>
        <v>1152438.1589131276</v>
      </c>
      <c r="V285" s="41"/>
      <c r="W285" s="41">
        <f>W237+W246+W262+W283</f>
        <v>70819.077667044039</v>
      </c>
      <c r="X285" s="41"/>
      <c r="Y285" s="41">
        <f>Y237+Y246+Y262+Y283</f>
        <v>1632979.3224675895</v>
      </c>
      <c r="Z285" s="41"/>
      <c r="AA285" s="41">
        <f>AA237+AA246+AA262+AA283</f>
        <v>47.833057742122577</v>
      </c>
      <c r="AB285" s="24">
        <f>SUM(H285:AA285)</f>
        <v>24474384.090000004</v>
      </c>
      <c r="AC285" s="12" t="str">
        <f>IF(ABS(AB285-F285)&lt;1,"ok","err")</f>
        <v>ok</v>
      </c>
    </row>
    <row r="286" spans="1:29" x14ac:dyDescent="0.2">
      <c r="F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12"/>
    </row>
    <row r="287" spans="1:29" x14ac:dyDescent="0.2">
      <c r="A287" s="3" t="s">
        <v>412</v>
      </c>
      <c r="C287" s="3" t="s">
        <v>88</v>
      </c>
      <c r="F287" s="65">
        <f>F285-F180</f>
        <v>6646751.0899999999</v>
      </c>
      <c r="G287" s="65"/>
      <c r="H287" s="65">
        <f>H285-H180</f>
        <v>0</v>
      </c>
      <c r="I287" s="65">
        <f>I285-I180</f>
        <v>0</v>
      </c>
      <c r="J287" s="65"/>
      <c r="K287" s="65">
        <f>K285-K180</f>
        <v>0</v>
      </c>
      <c r="L287" s="65"/>
      <c r="M287" s="65">
        <f>M285-M180</f>
        <v>9051.6162782894171</v>
      </c>
      <c r="N287" s="65"/>
      <c r="O287" s="65">
        <f>O285-O180</f>
        <v>2275856.8362112176</v>
      </c>
      <c r="P287" s="65">
        <f>P285-P180</f>
        <v>1378913.8694349583</v>
      </c>
      <c r="Q287" s="65"/>
      <c r="R287" s="65">
        <f>R285-R180</f>
        <v>0</v>
      </c>
      <c r="S287" s="65">
        <f>S285-S180</f>
        <v>126644.37597003099</v>
      </c>
      <c r="T287" s="65"/>
      <c r="U287" s="65">
        <f>U285-U180</f>
        <v>1152438.1589131276</v>
      </c>
      <c r="V287" s="65"/>
      <c r="W287" s="65">
        <f>W285-W180</f>
        <v>70819.077667044039</v>
      </c>
      <c r="X287" s="65"/>
      <c r="Y287" s="65">
        <f>Y285-Y180</f>
        <v>1632979.3224675895</v>
      </c>
      <c r="Z287" s="65"/>
      <c r="AA287" s="65">
        <f>AA285-AA180</f>
        <v>47.833057742122577</v>
      </c>
      <c r="AB287" s="24">
        <f>SUM(H287:AA287)</f>
        <v>6646751.0900000008</v>
      </c>
      <c r="AC287" s="12" t="str">
        <f>IF(ABS(AB287-F287)&lt;1,"ok","err")</f>
        <v>ok</v>
      </c>
    </row>
    <row r="288" spans="1:29" x14ac:dyDescent="0.2">
      <c r="Q288" s="3"/>
      <c r="AC288" s="12"/>
    </row>
    <row r="289" spans="1:29" x14ac:dyDescent="0.2">
      <c r="AC289" s="12"/>
    </row>
    <row r="290" spans="1:29" x14ac:dyDescent="0.2">
      <c r="A290" s="10" t="s">
        <v>183</v>
      </c>
      <c r="AC290" s="12"/>
    </row>
    <row r="291" spans="1:29" x14ac:dyDescent="0.2">
      <c r="AC291" s="12"/>
    </row>
    <row r="292" spans="1:29" x14ac:dyDescent="0.2">
      <c r="A292" s="2" t="s">
        <v>184</v>
      </c>
      <c r="AC292" s="12"/>
    </row>
    <row r="293" spans="1:29" x14ac:dyDescent="0.2">
      <c r="A293" s="3" t="s">
        <v>738</v>
      </c>
      <c r="C293" s="3" t="s">
        <v>799</v>
      </c>
      <c r="D293" s="3" t="s">
        <v>754</v>
      </c>
      <c r="F293" s="24">
        <v>0</v>
      </c>
      <c r="H293" s="24">
        <f t="shared" ref="H293:H310" si="171">IF((VLOOKUP($D293,$C$5:$AA$494,6,)=0),0,((VLOOKUP($D293,$C$5:$AA$494,6,)/VLOOKUP($D293,$C$5:$AA$494,4,))*$F293))</f>
        <v>0</v>
      </c>
      <c r="I293" s="24">
        <f t="shared" ref="I293:I310" si="172">IF((VLOOKUP($D293,$C$5:$AA$494,7,)=0),0,((VLOOKUP($D293,$C$5:$AA$494,7,)/VLOOKUP($D293,$C$5:$AA$494,4,))*$F293))</f>
        <v>0</v>
      </c>
      <c r="J293" s="24"/>
      <c r="K293" s="24">
        <f t="shared" ref="K293:K310" si="173">IF((VLOOKUP($D293,$C$5:$AA$494,9,)=0),0,((VLOOKUP($D293,$C$5:$AA$494,9,)/VLOOKUP($D293,$C$5:$AA$494,4,))*$F293))</f>
        <v>0</v>
      </c>
      <c r="L293" s="24"/>
      <c r="M293" s="24">
        <f t="shared" ref="M293:M310" si="174">IF((VLOOKUP($D293,$C$5:$AA$494,11,)=0),0,((VLOOKUP($D293,$C$5:$AA$494,11,)/VLOOKUP($D293,$C$5:$AA$494,4,))*$F293))</f>
        <v>0</v>
      </c>
      <c r="N293" s="24"/>
      <c r="O293" s="24">
        <f t="shared" ref="O293:O310" si="175">IF((VLOOKUP($D293,$C$5:$AA$494,13,)=0),0,((VLOOKUP($D293,$C$5:$AA$494,13,)/VLOOKUP($D293,$C$5:$AA$494,4,))*$F293))</f>
        <v>0</v>
      </c>
      <c r="P293" s="24">
        <f t="shared" ref="P293:P310" si="176">IF((VLOOKUP($D293,$C$5:$AA$494,14,)=0),0,((VLOOKUP($D293,$C$5:$AA$494,14,)/VLOOKUP($D293,$C$5:$AA$494,4,))*$F293))</f>
        <v>0</v>
      </c>
      <c r="Q293" s="24"/>
      <c r="R293" s="24">
        <f t="shared" ref="R293:R310" si="177">IF((VLOOKUP($D293,$C$5:$AA$494,16,)=0),0,((VLOOKUP($D293,$C$5:$AA$494,16,)/VLOOKUP($D293,$C$5:$AA$494,4,))*$F293))</f>
        <v>0</v>
      </c>
      <c r="S293" s="24">
        <f t="shared" ref="S293:S310" si="178">IF((VLOOKUP($D293,$C$5:$AA$494,17,)=0),0,((VLOOKUP($D293,$C$5:$AA$494,17,)/VLOOKUP($D293,$C$5:$AA$494,4,))*$F293))</f>
        <v>0</v>
      </c>
      <c r="T293" s="24"/>
      <c r="U293" s="24">
        <f t="shared" ref="U293:U310" si="179">IF((VLOOKUP($D293,$C$5:$AA$494,19,)=0),0,((VLOOKUP($D293,$C$5:$AA$494,19,)/VLOOKUP($D293,$C$5:$AA$494,4,))*$F293))</f>
        <v>0</v>
      </c>
      <c r="V293" s="24"/>
      <c r="W293" s="24">
        <f t="shared" ref="W293:W310" si="180">IF((VLOOKUP($D293,$C$5:$AA$494,21,)=0),0,((VLOOKUP($D293,$C$5:$AA$494,21,)/VLOOKUP($D293,$C$5:$AA$494,4,))*$F293))</f>
        <v>0</v>
      </c>
      <c r="X293" s="24"/>
      <c r="Y293" s="24">
        <f t="shared" ref="Y293:Y310" si="181">IF((VLOOKUP($D293,$C$5:$AA$494,23,)=0),0,((VLOOKUP($D293,$C$5:$AA$494,23,)/VLOOKUP($D293,$C$5:$AA$494,4,))*$F293))</f>
        <v>0</v>
      </c>
      <c r="Z293" s="24"/>
      <c r="AA293" s="24">
        <f t="shared" ref="AA293:AA310" si="182">IF((VLOOKUP($D293,$C$5:$AA$494,25,)=0),0,((VLOOKUP($D293,$C$5:$AA$494,25,)/VLOOKUP($D293,$C$5:$AA$494,4,))*$F293))</f>
        <v>0</v>
      </c>
      <c r="AB293" s="24">
        <f>SUM(H293:AA293)</f>
        <v>0</v>
      </c>
      <c r="AC293" s="12" t="str">
        <f>IF(ABS(AB293-F293)&lt;1,"ok","err")</f>
        <v>ok</v>
      </c>
    </row>
    <row r="294" spans="1:29" x14ac:dyDescent="0.2">
      <c r="A294" s="3" t="s">
        <v>367</v>
      </c>
      <c r="C294" s="3" t="s">
        <v>414</v>
      </c>
      <c r="D294" s="3" t="s">
        <v>390</v>
      </c>
      <c r="F294" s="24">
        <v>0</v>
      </c>
      <c r="H294" s="24">
        <f t="shared" si="171"/>
        <v>0</v>
      </c>
      <c r="I294" s="24">
        <f t="shared" si="172"/>
        <v>0</v>
      </c>
      <c r="J294" s="24"/>
      <c r="K294" s="24">
        <f t="shared" si="173"/>
        <v>0</v>
      </c>
      <c r="L294" s="24"/>
      <c r="M294" s="24">
        <f t="shared" si="174"/>
        <v>0</v>
      </c>
      <c r="N294" s="24"/>
      <c r="O294" s="24">
        <f t="shared" si="175"/>
        <v>0</v>
      </c>
      <c r="P294" s="24">
        <f t="shared" si="176"/>
        <v>0</v>
      </c>
      <c r="Q294" s="24"/>
      <c r="R294" s="24">
        <f t="shared" si="177"/>
        <v>0</v>
      </c>
      <c r="S294" s="24">
        <f t="shared" si="178"/>
        <v>0</v>
      </c>
      <c r="T294" s="24"/>
      <c r="U294" s="24">
        <f t="shared" si="179"/>
        <v>0</v>
      </c>
      <c r="V294" s="24"/>
      <c r="W294" s="24">
        <f t="shared" si="180"/>
        <v>0</v>
      </c>
      <c r="X294" s="24"/>
      <c r="Y294" s="24">
        <f t="shared" si="181"/>
        <v>0</v>
      </c>
      <c r="Z294" s="24"/>
      <c r="AA294" s="24">
        <f t="shared" si="182"/>
        <v>0</v>
      </c>
      <c r="AB294" s="24">
        <f>SUM(H294:AA294)</f>
        <v>0</v>
      </c>
      <c r="AC294" s="12" t="str">
        <f>IF(ABS(AB294-F294)&lt;1,"ok","err")</f>
        <v>ok</v>
      </c>
    </row>
    <row r="295" spans="1:29" x14ac:dyDescent="0.2">
      <c r="A295" s="3" t="s">
        <v>426</v>
      </c>
      <c r="C295" s="3" t="s">
        <v>458</v>
      </c>
      <c r="D295" s="3" t="s">
        <v>424</v>
      </c>
      <c r="F295" s="24">
        <v>0</v>
      </c>
      <c r="H295" s="24">
        <f t="shared" si="171"/>
        <v>0</v>
      </c>
      <c r="I295" s="24">
        <f t="shared" si="172"/>
        <v>0</v>
      </c>
      <c r="J295" s="24"/>
      <c r="K295" s="24">
        <f t="shared" si="173"/>
        <v>0</v>
      </c>
      <c r="L295" s="24"/>
      <c r="M295" s="24">
        <f t="shared" si="174"/>
        <v>0</v>
      </c>
      <c r="N295" s="24"/>
      <c r="O295" s="24">
        <f t="shared" si="175"/>
        <v>0</v>
      </c>
      <c r="P295" s="24">
        <f t="shared" si="176"/>
        <v>0</v>
      </c>
      <c r="Q295" s="24"/>
      <c r="R295" s="24">
        <f t="shared" si="177"/>
        <v>0</v>
      </c>
      <c r="S295" s="24">
        <f t="shared" si="178"/>
        <v>0</v>
      </c>
      <c r="T295" s="24"/>
      <c r="U295" s="24">
        <f t="shared" si="179"/>
        <v>0</v>
      </c>
      <c r="V295" s="24"/>
      <c r="W295" s="24">
        <f t="shared" si="180"/>
        <v>0</v>
      </c>
      <c r="X295" s="24"/>
      <c r="Y295" s="24">
        <f t="shared" si="181"/>
        <v>0</v>
      </c>
      <c r="Z295" s="24"/>
      <c r="AA295" s="24">
        <f t="shared" si="182"/>
        <v>0</v>
      </c>
      <c r="AB295" s="24">
        <f t="shared" ref="AB295:AB306" si="183">SUM(H295:AA295)</f>
        <v>0</v>
      </c>
      <c r="AC295" s="12" t="str">
        <f t="shared" ref="AC295:AC306" si="184">IF(ABS(AB295-F295)&lt;1,"ok","err")</f>
        <v>ok</v>
      </c>
    </row>
    <row r="296" spans="1:29" x14ac:dyDescent="0.2">
      <c r="A296" s="3" t="s">
        <v>427</v>
      </c>
      <c r="C296" s="3" t="s">
        <v>459</v>
      </c>
      <c r="D296" s="3" t="s">
        <v>23</v>
      </c>
      <c r="F296" s="24">
        <v>0</v>
      </c>
      <c r="H296" s="24">
        <f t="shared" si="171"/>
        <v>0</v>
      </c>
      <c r="I296" s="24">
        <f t="shared" si="172"/>
        <v>0</v>
      </c>
      <c r="J296" s="24"/>
      <c r="K296" s="24">
        <f t="shared" si="173"/>
        <v>0</v>
      </c>
      <c r="L296" s="24"/>
      <c r="M296" s="24">
        <f t="shared" si="174"/>
        <v>0</v>
      </c>
      <c r="N296" s="24"/>
      <c r="O296" s="24">
        <f t="shared" si="175"/>
        <v>0</v>
      </c>
      <c r="P296" s="24">
        <f t="shared" si="176"/>
        <v>0</v>
      </c>
      <c r="Q296" s="24"/>
      <c r="R296" s="24">
        <f t="shared" si="177"/>
        <v>0</v>
      </c>
      <c r="S296" s="24">
        <f t="shared" si="178"/>
        <v>0</v>
      </c>
      <c r="T296" s="24"/>
      <c r="U296" s="24">
        <f t="shared" si="179"/>
        <v>0</v>
      </c>
      <c r="V296" s="24"/>
      <c r="W296" s="24">
        <f t="shared" si="180"/>
        <v>0</v>
      </c>
      <c r="X296" s="24"/>
      <c r="Y296" s="24">
        <f t="shared" si="181"/>
        <v>0</v>
      </c>
      <c r="Z296" s="24"/>
      <c r="AA296" s="24">
        <f t="shared" si="182"/>
        <v>0</v>
      </c>
      <c r="AB296" s="24">
        <f t="shared" si="183"/>
        <v>0</v>
      </c>
      <c r="AC296" s="12" t="str">
        <f t="shared" si="184"/>
        <v>ok</v>
      </c>
    </row>
    <row r="297" spans="1:29" x14ac:dyDescent="0.2">
      <c r="A297" s="3" t="s">
        <v>428</v>
      </c>
      <c r="C297" s="3" t="s">
        <v>460</v>
      </c>
      <c r="D297" s="3" t="s">
        <v>26</v>
      </c>
      <c r="F297" s="24">
        <v>0</v>
      </c>
      <c r="H297" s="24">
        <f t="shared" si="171"/>
        <v>0</v>
      </c>
      <c r="I297" s="24">
        <f t="shared" si="172"/>
        <v>0</v>
      </c>
      <c r="J297" s="24"/>
      <c r="K297" s="24">
        <f t="shared" si="173"/>
        <v>0</v>
      </c>
      <c r="L297" s="24"/>
      <c r="M297" s="24">
        <f t="shared" si="174"/>
        <v>0</v>
      </c>
      <c r="N297" s="24"/>
      <c r="O297" s="24">
        <f t="shared" si="175"/>
        <v>0</v>
      </c>
      <c r="P297" s="24">
        <f t="shared" si="176"/>
        <v>0</v>
      </c>
      <c r="Q297" s="24"/>
      <c r="R297" s="24">
        <f t="shared" si="177"/>
        <v>0</v>
      </c>
      <c r="S297" s="24">
        <f t="shared" si="178"/>
        <v>0</v>
      </c>
      <c r="T297" s="24"/>
      <c r="U297" s="24">
        <f t="shared" si="179"/>
        <v>0</v>
      </c>
      <c r="V297" s="24"/>
      <c r="W297" s="24">
        <f t="shared" si="180"/>
        <v>0</v>
      </c>
      <c r="X297" s="24"/>
      <c r="Y297" s="24">
        <f t="shared" si="181"/>
        <v>0</v>
      </c>
      <c r="Z297" s="24"/>
      <c r="AA297" s="24">
        <f t="shared" si="182"/>
        <v>0</v>
      </c>
      <c r="AB297" s="24">
        <f t="shared" si="183"/>
        <v>0</v>
      </c>
      <c r="AC297" s="12" t="str">
        <f t="shared" si="184"/>
        <v>ok</v>
      </c>
    </row>
    <row r="298" spans="1:29" x14ac:dyDescent="0.2">
      <c r="A298" s="3" t="s">
        <v>429</v>
      </c>
      <c r="C298" s="3" t="s">
        <v>461</v>
      </c>
      <c r="D298" s="3" t="s">
        <v>29</v>
      </c>
      <c r="F298" s="24">
        <v>0</v>
      </c>
      <c r="H298" s="24">
        <f t="shared" si="171"/>
        <v>0</v>
      </c>
      <c r="I298" s="24">
        <f t="shared" si="172"/>
        <v>0</v>
      </c>
      <c r="J298" s="24"/>
      <c r="K298" s="24">
        <f t="shared" si="173"/>
        <v>0</v>
      </c>
      <c r="L298" s="24"/>
      <c r="M298" s="24">
        <f t="shared" si="174"/>
        <v>0</v>
      </c>
      <c r="N298" s="24"/>
      <c r="O298" s="24">
        <f t="shared" si="175"/>
        <v>0</v>
      </c>
      <c r="P298" s="24">
        <f t="shared" si="176"/>
        <v>0</v>
      </c>
      <c r="Q298" s="24"/>
      <c r="R298" s="24">
        <f t="shared" si="177"/>
        <v>0</v>
      </c>
      <c r="S298" s="24">
        <f t="shared" si="178"/>
        <v>0</v>
      </c>
      <c r="T298" s="24"/>
      <c r="U298" s="24">
        <f t="shared" si="179"/>
        <v>0</v>
      </c>
      <c r="V298" s="24"/>
      <c r="W298" s="24">
        <f t="shared" si="180"/>
        <v>0</v>
      </c>
      <c r="X298" s="24"/>
      <c r="Y298" s="24">
        <f t="shared" si="181"/>
        <v>0</v>
      </c>
      <c r="Z298" s="24"/>
      <c r="AA298" s="24">
        <f t="shared" si="182"/>
        <v>0</v>
      </c>
      <c r="AB298" s="24">
        <f t="shared" si="183"/>
        <v>0</v>
      </c>
      <c r="AC298" s="12" t="str">
        <f t="shared" si="184"/>
        <v>ok</v>
      </c>
    </row>
    <row r="299" spans="1:29" x14ac:dyDescent="0.2">
      <c r="A299" s="3" t="s">
        <v>447</v>
      </c>
      <c r="C299" s="3" t="s">
        <v>462</v>
      </c>
      <c r="D299" s="3" t="s">
        <v>32</v>
      </c>
      <c r="F299" s="24">
        <v>0</v>
      </c>
      <c r="H299" s="24">
        <f t="shared" si="171"/>
        <v>0</v>
      </c>
      <c r="I299" s="24">
        <f t="shared" si="172"/>
        <v>0</v>
      </c>
      <c r="J299" s="24"/>
      <c r="K299" s="24">
        <f t="shared" si="173"/>
        <v>0</v>
      </c>
      <c r="L299" s="24"/>
      <c r="M299" s="24">
        <f t="shared" si="174"/>
        <v>0</v>
      </c>
      <c r="N299" s="24"/>
      <c r="O299" s="24">
        <f t="shared" si="175"/>
        <v>0</v>
      </c>
      <c r="P299" s="24">
        <f t="shared" si="176"/>
        <v>0</v>
      </c>
      <c r="Q299" s="24"/>
      <c r="R299" s="24">
        <f t="shared" si="177"/>
        <v>0</v>
      </c>
      <c r="S299" s="24">
        <f t="shared" si="178"/>
        <v>0</v>
      </c>
      <c r="T299" s="24"/>
      <c r="U299" s="24">
        <f t="shared" si="179"/>
        <v>0</v>
      </c>
      <c r="V299" s="24"/>
      <c r="W299" s="24">
        <f t="shared" si="180"/>
        <v>0</v>
      </c>
      <c r="X299" s="24"/>
      <c r="Y299" s="24">
        <f t="shared" si="181"/>
        <v>0</v>
      </c>
      <c r="Z299" s="24"/>
      <c r="AA299" s="24">
        <f t="shared" si="182"/>
        <v>0</v>
      </c>
      <c r="AB299" s="24">
        <f t="shared" si="183"/>
        <v>0</v>
      </c>
      <c r="AC299" s="12" t="str">
        <f t="shared" si="184"/>
        <v>ok</v>
      </c>
    </row>
    <row r="300" spans="1:29" x14ac:dyDescent="0.2">
      <c r="A300" s="3" t="s">
        <v>430</v>
      </c>
      <c r="C300" s="3" t="s">
        <v>463</v>
      </c>
      <c r="D300" s="3" t="s">
        <v>35</v>
      </c>
      <c r="F300" s="24">
        <v>0</v>
      </c>
      <c r="H300" s="24">
        <f t="shared" si="171"/>
        <v>0</v>
      </c>
      <c r="I300" s="24">
        <f t="shared" si="172"/>
        <v>0</v>
      </c>
      <c r="J300" s="24"/>
      <c r="K300" s="24">
        <f t="shared" si="173"/>
        <v>0</v>
      </c>
      <c r="L300" s="24"/>
      <c r="M300" s="24">
        <f t="shared" si="174"/>
        <v>0</v>
      </c>
      <c r="N300" s="24"/>
      <c r="O300" s="24">
        <f t="shared" si="175"/>
        <v>0</v>
      </c>
      <c r="P300" s="24">
        <f t="shared" si="176"/>
        <v>0</v>
      </c>
      <c r="Q300" s="24"/>
      <c r="R300" s="24">
        <f t="shared" si="177"/>
        <v>0</v>
      </c>
      <c r="S300" s="24">
        <f t="shared" si="178"/>
        <v>0</v>
      </c>
      <c r="T300" s="24"/>
      <c r="U300" s="24">
        <f t="shared" si="179"/>
        <v>0</v>
      </c>
      <c r="V300" s="24"/>
      <c r="W300" s="24">
        <f t="shared" si="180"/>
        <v>0</v>
      </c>
      <c r="X300" s="24"/>
      <c r="Y300" s="24">
        <f t="shared" si="181"/>
        <v>0</v>
      </c>
      <c r="Z300" s="24"/>
      <c r="AA300" s="24">
        <f t="shared" si="182"/>
        <v>0</v>
      </c>
      <c r="AB300" s="24">
        <f t="shared" si="183"/>
        <v>0</v>
      </c>
      <c r="AC300" s="12" t="str">
        <f t="shared" si="184"/>
        <v>ok</v>
      </c>
    </row>
    <row r="301" spans="1:29" x14ac:dyDescent="0.2">
      <c r="A301" s="3" t="s">
        <v>431</v>
      </c>
      <c r="C301" s="3" t="s">
        <v>464</v>
      </c>
      <c r="D301" s="3" t="s">
        <v>37</v>
      </c>
      <c r="F301" s="24">
        <v>0</v>
      </c>
      <c r="H301" s="24">
        <f t="shared" si="171"/>
        <v>0</v>
      </c>
      <c r="I301" s="24">
        <f t="shared" si="172"/>
        <v>0</v>
      </c>
      <c r="J301" s="24"/>
      <c r="K301" s="24">
        <f t="shared" si="173"/>
        <v>0</v>
      </c>
      <c r="L301" s="24"/>
      <c r="M301" s="24">
        <f t="shared" si="174"/>
        <v>0</v>
      </c>
      <c r="N301" s="24"/>
      <c r="O301" s="24">
        <f t="shared" si="175"/>
        <v>0</v>
      </c>
      <c r="P301" s="24">
        <f t="shared" si="176"/>
        <v>0</v>
      </c>
      <c r="Q301" s="24"/>
      <c r="R301" s="24">
        <f t="shared" si="177"/>
        <v>0</v>
      </c>
      <c r="S301" s="24">
        <f t="shared" si="178"/>
        <v>0</v>
      </c>
      <c r="T301" s="24"/>
      <c r="U301" s="24">
        <f t="shared" si="179"/>
        <v>0</v>
      </c>
      <c r="V301" s="24"/>
      <c r="W301" s="24">
        <f t="shared" si="180"/>
        <v>0</v>
      </c>
      <c r="X301" s="24"/>
      <c r="Y301" s="24">
        <f t="shared" si="181"/>
        <v>0</v>
      </c>
      <c r="Z301" s="24"/>
      <c r="AA301" s="24">
        <f t="shared" si="182"/>
        <v>0</v>
      </c>
      <c r="AB301" s="24">
        <f t="shared" si="183"/>
        <v>0</v>
      </c>
      <c r="AC301" s="12" t="str">
        <f t="shared" si="184"/>
        <v>ok</v>
      </c>
    </row>
    <row r="302" spans="1:29" x14ac:dyDescent="0.2">
      <c r="A302" s="3" t="s">
        <v>432</v>
      </c>
      <c r="C302" s="3" t="s">
        <v>465</v>
      </c>
      <c r="D302" s="3" t="s">
        <v>40</v>
      </c>
      <c r="F302" s="24">
        <v>0</v>
      </c>
      <c r="H302" s="24">
        <f t="shared" si="171"/>
        <v>0</v>
      </c>
      <c r="I302" s="24">
        <f t="shared" si="172"/>
        <v>0</v>
      </c>
      <c r="J302" s="24"/>
      <c r="K302" s="24">
        <f t="shared" si="173"/>
        <v>0</v>
      </c>
      <c r="L302" s="24"/>
      <c r="M302" s="24">
        <f t="shared" si="174"/>
        <v>0</v>
      </c>
      <c r="N302" s="24"/>
      <c r="O302" s="24">
        <f t="shared" si="175"/>
        <v>0</v>
      </c>
      <c r="P302" s="24">
        <f t="shared" si="176"/>
        <v>0</v>
      </c>
      <c r="Q302" s="24"/>
      <c r="R302" s="24">
        <f t="shared" si="177"/>
        <v>0</v>
      </c>
      <c r="S302" s="24">
        <f t="shared" si="178"/>
        <v>0</v>
      </c>
      <c r="T302" s="24"/>
      <c r="U302" s="24">
        <f t="shared" si="179"/>
        <v>0</v>
      </c>
      <c r="V302" s="24"/>
      <c r="W302" s="24">
        <f t="shared" si="180"/>
        <v>0</v>
      </c>
      <c r="X302" s="24"/>
      <c r="Y302" s="24">
        <f t="shared" si="181"/>
        <v>0</v>
      </c>
      <c r="Z302" s="24"/>
      <c r="AA302" s="24">
        <f t="shared" si="182"/>
        <v>0</v>
      </c>
      <c r="AB302" s="24">
        <f t="shared" si="183"/>
        <v>0</v>
      </c>
      <c r="AC302" s="12" t="str">
        <f t="shared" si="184"/>
        <v>ok</v>
      </c>
    </row>
    <row r="303" spans="1:29" x14ac:dyDescent="0.2">
      <c r="A303" s="3" t="s">
        <v>433</v>
      </c>
      <c r="C303" s="3" t="s">
        <v>466</v>
      </c>
      <c r="D303" s="3" t="s">
        <v>43</v>
      </c>
      <c r="F303" s="24">
        <v>0</v>
      </c>
      <c r="H303" s="24">
        <f t="shared" si="171"/>
        <v>0</v>
      </c>
      <c r="I303" s="24">
        <f t="shared" si="172"/>
        <v>0</v>
      </c>
      <c r="J303" s="24"/>
      <c r="K303" s="24">
        <f t="shared" si="173"/>
        <v>0</v>
      </c>
      <c r="L303" s="24"/>
      <c r="M303" s="24">
        <f t="shared" si="174"/>
        <v>0</v>
      </c>
      <c r="N303" s="24"/>
      <c r="O303" s="24">
        <f t="shared" si="175"/>
        <v>0</v>
      </c>
      <c r="P303" s="24">
        <f t="shared" si="176"/>
        <v>0</v>
      </c>
      <c r="Q303" s="24"/>
      <c r="R303" s="24">
        <f t="shared" si="177"/>
        <v>0</v>
      </c>
      <c r="S303" s="24">
        <f t="shared" si="178"/>
        <v>0</v>
      </c>
      <c r="T303" s="24"/>
      <c r="U303" s="24">
        <f t="shared" si="179"/>
        <v>0</v>
      </c>
      <c r="V303" s="24"/>
      <c r="W303" s="24">
        <f t="shared" si="180"/>
        <v>0</v>
      </c>
      <c r="X303" s="24"/>
      <c r="Y303" s="24">
        <f t="shared" si="181"/>
        <v>0</v>
      </c>
      <c r="Z303" s="24"/>
      <c r="AA303" s="24">
        <f t="shared" si="182"/>
        <v>0</v>
      </c>
      <c r="AB303" s="24">
        <f t="shared" si="183"/>
        <v>0</v>
      </c>
      <c r="AC303" s="12" t="str">
        <f t="shared" si="184"/>
        <v>ok</v>
      </c>
    </row>
    <row r="304" spans="1:29" x14ac:dyDescent="0.2">
      <c r="A304" s="3" t="s">
        <v>434</v>
      </c>
      <c r="C304" s="3" t="s">
        <v>467</v>
      </c>
      <c r="D304" s="3" t="s">
        <v>46</v>
      </c>
      <c r="F304" s="24">
        <v>0</v>
      </c>
      <c r="H304" s="24">
        <f t="shared" si="171"/>
        <v>0</v>
      </c>
      <c r="I304" s="24">
        <f t="shared" si="172"/>
        <v>0</v>
      </c>
      <c r="J304" s="24"/>
      <c r="K304" s="24">
        <f t="shared" si="173"/>
        <v>0</v>
      </c>
      <c r="L304" s="24"/>
      <c r="M304" s="24">
        <f t="shared" si="174"/>
        <v>0</v>
      </c>
      <c r="N304" s="24"/>
      <c r="O304" s="24">
        <f t="shared" si="175"/>
        <v>0</v>
      </c>
      <c r="P304" s="24">
        <f t="shared" si="176"/>
        <v>0</v>
      </c>
      <c r="Q304" s="24"/>
      <c r="R304" s="24">
        <f t="shared" si="177"/>
        <v>0</v>
      </c>
      <c r="S304" s="24">
        <f t="shared" si="178"/>
        <v>0</v>
      </c>
      <c r="T304" s="24"/>
      <c r="U304" s="24">
        <f t="shared" si="179"/>
        <v>0</v>
      </c>
      <c r="V304" s="24"/>
      <c r="W304" s="24">
        <f t="shared" si="180"/>
        <v>0</v>
      </c>
      <c r="X304" s="24"/>
      <c r="Y304" s="24">
        <f t="shared" si="181"/>
        <v>0</v>
      </c>
      <c r="Z304" s="24"/>
      <c r="AA304" s="24">
        <f t="shared" si="182"/>
        <v>0</v>
      </c>
      <c r="AB304" s="24">
        <f t="shared" si="183"/>
        <v>0</v>
      </c>
      <c r="AC304" s="12" t="str">
        <f t="shared" si="184"/>
        <v>ok</v>
      </c>
    </row>
    <row r="305" spans="1:29" x14ac:dyDescent="0.2">
      <c r="A305" s="3" t="s">
        <v>435</v>
      </c>
      <c r="C305" s="3" t="s">
        <v>468</v>
      </c>
      <c r="D305" s="3" t="s">
        <v>48</v>
      </c>
      <c r="F305" s="24">
        <v>0</v>
      </c>
      <c r="H305" s="24">
        <f t="shared" si="171"/>
        <v>0</v>
      </c>
      <c r="I305" s="24">
        <f t="shared" si="172"/>
        <v>0</v>
      </c>
      <c r="J305" s="24"/>
      <c r="K305" s="24">
        <f t="shared" si="173"/>
        <v>0</v>
      </c>
      <c r="L305" s="24"/>
      <c r="M305" s="24">
        <f t="shared" si="174"/>
        <v>0</v>
      </c>
      <c r="N305" s="24"/>
      <c r="O305" s="24">
        <f t="shared" si="175"/>
        <v>0</v>
      </c>
      <c r="P305" s="24">
        <f t="shared" si="176"/>
        <v>0</v>
      </c>
      <c r="Q305" s="24"/>
      <c r="R305" s="24">
        <f t="shared" si="177"/>
        <v>0</v>
      </c>
      <c r="S305" s="24">
        <f t="shared" si="178"/>
        <v>0</v>
      </c>
      <c r="T305" s="24"/>
      <c r="U305" s="24">
        <f t="shared" si="179"/>
        <v>0</v>
      </c>
      <c r="V305" s="24"/>
      <c r="W305" s="24">
        <f t="shared" si="180"/>
        <v>0</v>
      </c>
      <c r="X305" s="24"/>
      <c r="Y305" s="24">
        <f t="shared" si="181"/>
        <v>0</v>
      </c>
      <c r="Z305" s="24"/>
      <c r="AA305" s="24">
        <f t="shared" si="182"/>
        <v>0</v>
      </c>
      <c r="AB305" s="24">
        <f t="shared" si="183"/>
        <v>0</v>
      </c>
      <c r="AC305" s="12" t="str">
        <f t="shared" si="184"/>
        <v>ok</v>
      </c>
    </row>
    <row r="306" spans="1:29" x14ac:dyDescent="0.2">
      <c r="A306" s="3" t="s">
        <v>580</v>
      </c>
      <c r="C306" s="3" t="s">
        <v>469</v>
      </c>
      <c r="D306" s="3" t="s">
        <v>16</v>
      </c>
      <c r="F306" s="24">
        <v>2508464.4500000002</v>
      </c>
      <c r="H306" s="24">
        <f t="shared" si="171"/>
        <v>0</v>
      </c>
      <c r="I306" s="24">
        <f t="shared" si="172"/>
        <v>0</v>
      </c>
      <c r="J306" s="24"/>
      <c r="K306" s="24">
        <f t="shared" si="173"/>
        <v>0</v>
      </c>
      <c r="L306" s="24"/>
      <c r="M306" s="24">
        <f t="shared" si="174"/>
        <v>21805.783001865293</v>
      </c>
      <c r="N306" s="24"/>
      <c r="O306" s="24">
        <f t="shared" si="175"/>
        <v>1115238.2041107339</v>
      </c>
      <c r="P306" s="24">
        <f t="shared" si="176"/>
        <v>748817.8531674908</v>
      </c>
      <c r="Q306" s="24"/>
      <c r="R306" s="24">
        <f t="shared" si="177"/>
        <v>0</v>
      </c>
      <c r="S306" s="24">
        <f t="shared" si="178"/>
        <v>281859.45982186164</v>
      </c>
      <c r="T306" s="24"/>
      <c r="U306" s="24">
        <f t="shared" si="179"/>
        <v>170136.55406789025</v>
      </c>
      <c r="V306" s="24"/>
      <c r="W306" s="24">
        <f t="shared" si="180"/>
        <v>170606.59583015853</v>
      </c>
      <c r="X306" s="24"/>
      <c r="Y306" s="24">
        <f t="shared" si="181"/>
        <v>0</v>
      </c>
      <c r="Z306" s="24"/>
      <c r="AA306" s="24">
        <f t="shared" si="182"/>
        <v>0</v>
      </c>
      <c r="AB306" s="24">
        <f t="shared" si="183"/>
        <v>2508464.4500000002</v>
      </c>
      <c r="AC306" s="12" t="str">
        <f t="shared" si="184"/>
        <v>ok</v>
      </c>
    </row>
    <row r="307" spans="1:29" x14ac:dyDescent="0.2">
      <c r="A307" s="3" t="s">
        <v>81</v>
      </c>
      <c r="C307" s="3" t="s">
        <v>415</v>
      </c>
      <c r="D307" s="3" t="s">
        <v>70</v>
      </c>
      <c r="F307" s="24">
        <v>120815.5</v>
      </c>
      <c r="H307" s="24">
        <f t="shared" si="171"/>
        <v>0</v>
      </c>
      <c r="I307" s="24">
        <f t="shared" si="172"/>
        <v>0</v>
      </c>
      <c r="J307" s="24"/>
      <c r="K307" s="24">
        <f t="shared" si="173"/>
        <v>0</v>
      </c>
      <c r="L307" s="24"/>
      <c r="M307" s="24">
        <f t="shared" si="174"/>
        <v>1050.2347666365595</v>
      </c>
      <c r="N307" s="24"/>
      <c r="O307" s="24">
        <f t="shared" si="175"/>
        <v>53713.362869758981</v>
      </c>
      <c r="P307" s="24">
        <f t="shared" si="176"/>
        <v>36065.411785826574</v>
      </c>
      <c r="Q307" s="24"/>
      <c r="R307" s="24">
        <f t="shared" si="177"/>
        <v>0</v>
      </c>
      <c r="S307" s="24">
        <f t="shared" si="178"/>
        <v>13575.233871904435</v>
      </c>
      <c r="T307" s="24"/>
      <c r="U307" s="24">
        <f t="shared" si="179"/>
        <v>8194.3090116302792</v>
      </c>
      <c r="V307" s="24"/>
      <c r="W307" s="24">
        <f t="shared" si="180"/>
        <v>8216.947694243192</v>
      </c>
      <c r="X307" s="24"/>
      <c r="Y307" s="24">
        <f t="shared" si="181"/>
        <v>0</v>
      </c>
      <c r="Z307" s="24"/>
      <c r="AA307" s="24">
        <f t="shared" si="182"/>
        <v>0</v>
      </c>
      <c r="AB307" s="24">
        <f>SUM(H307:AA307)</f>
        <v>120815.50000000003</v>
      </c>
      <c r="AC307" s="12" t="str">
        <f>IF(ABS(AB307-F307)&lt;1,"ok","err")</f>
        <v>ok</v>
      </c>
    </row>
    <row r="308" spans="1:29" x14ac:dyDescent="0.2">
      <c r="A308" s="3" t="s">
        <v>737</v>
      </c>
      <c r="C308" s="3" t="s">
        <v>415</v>
      </c>
      <c r="D308" s="3" t="s">
        <v>70</v>
      </c>
      <c r="F308" s="24">
        <v>0</v>
      </c>
      <c r="H308" s="24">
        <f t="shared" si="171"/>
        <v>0</v>
      </c>
      <c r="I308" s="24">
        <f t="shared" si="172"/>
        <v>0</v>
      </c>
      <c r="J308" s="24"/>
      <c r="K308" s="24">
        <f t="shared" si="173"/>
        <v>0</v>
      </c>
      <c r="L308" s="24"/>
      <c r="M308" s="24">
        <f t="shared" si="174"/>
        <v>0</v>
      </c>
      <c r="N308" s="24"/>
      <c r="O308" s="24">
        <f t="shared" si="175"/>
        <v>0</v>
      </c>
      <c r="P308" s="24">
        <f t="shared" si="176"/>
        <v>0</v>
      </c>
      <c r="Q308" s="24"/>
      <c r="R308" s="24">
        <f t="shared" si="177"/>
        <v>0</v>
      </c>
      <c r="S308" s="24">
        <f t="shared" si="178"/>
        <v>0</v>
      </c>
      <c r="T308" s="24"/>
      <c r="U308" s="24">
        <f t="shared" si="179"/>
        <v>0</v>
      </c>
      <c r="V308" s="24"/>
      <c r="W308" s="24">
        <f t="shared" si="180"/>
        <v>0</v>
      </c>
      <c r="X308" s="24"/>
      <c r="Y308" s="24">
        <f t="shared" si="181"/>
        <v>0</v>
      </c>
      <c r="Z308" s="24"/>
      <c r="AA308" s="24">
        <f t="shared" si="182"/>
        <v>0</v>
      </c>
      <c r="AB308" s="24">
        <f>SUM(H308:AA308)</f>
        <v>0</v>
      </c>
      <c r="AC308" s="12" t="str">
        <f>IF(ABS(AB308-F308)&lt;1,"ok","err")</f>
        <v>ok</v>
      </c>
    </row>
    <row r="309" spans="1:29" x14ac:dyDescent="0.2">
      <c r="A309" s="3" t="s">
        <v>387</v>
      </c>
      <c r="C309" s="3" t="s">
        <v>416</v>
      </c>
      <c r="D309" s="3" t="s">
        <v>392</v>
      </c>
      <c r="F309" s="24">
        <v>0</v>
      </c>
      <c r="H309" s="24">
        <f t="shared" si="171"/>
        <v>0</v>
      </c>
      <c r="I309" s="24">
        <f t="shared" si="172"/>
        <v>0</v>
      </c>
      <c r="J309" s="24"/>
      <c r="K309" s="24">
        <f t="shared" si="173"/>
        <v>0</v>
      </c>
      <c r="L309" s="24"/>
      <c r="M309" s="24">
        <f t="shared" si="174"/>
        <v>0</v>
      </c>
      <c r="N309" s="24"/>
      <c r="O309" s="24">
        <f t="shared" si="175"/>
        <v>0</v>
      </c>
      <c r="P309" s="24">
        <f t="shared" si="176"/>
        <v>0</v>
      </c>
      <c r="Q309" s="24"/>
      <c r="R309" s="24">
        <f t="shared" si="177"/>
        <v>0</v>
      </c>
      <c r="S309" s="24">
        <f t="shared" si="178"/>
        <v>0</v>
      </c>
      <c r="T309" s="24"/>
      <c r="U309" s="24">
        <f t="shared" si="179"/>
        <v>0</v>
      </c>
      <c r="V309" s="24"/>
      <c r="W309" s="24">
        <f t="shared" si="180"/>
        <v>0</v>
      </c>
      <c r="X309" s="24"/>
      <c r="Y309" s="24">
        <f t="shared" si="181"/>
        <v>0</v>
      </c>
      <c r="Z309" s="24"/>
      <c r="AA309" s="24">
        <f t="shared" si="182"/>
        <v>0</v>
      </c>
      <c r="AB309" s="24">
        <f>SUM(H309:AA309)</f>
        <v>0</v>
      </c>
      <c r="AC309" s="12" t="str">
        <f>IF(ABS(AB309-F309)&lt;1,"ok","err")</f>
        <v>ok</v>
      </c>
    </row>
    <row r="310" spans="1:29" x14ac:dyDescent="0.2">
      <c r="A310" s="3" t="s">
        <v>388</v>
      </c>
      <c r="C310" s="3" t="s">
        <v>417</v>
      </c>
      <c r="D310" s="3" t="s">
        <v>16</v>
      </c>
      <c r="F310" s="24">
        <v>0</v>
      </c>
      <c r="H310" s="24">
        <f t="shared" si="171"/>
        <v>0</v>
      </c>
      <c r="I310" s="24">
        <f t="shared" si="172"/>
        <v>0</v>
      </c>
      <c r="J310" s="24"/>
      <c r="K310" s="24">
        <f t="shared" si="173"/>
        <v>0</v>
      </c>
      <c r="L310" s="24"/>
      <c r="M310" s="24">
        <f t="shared" si="174"/>
        <v>0</v>
      </c>
      <c r="N310" s="24"/>
      <c r="O310" s="24">
        <f t="shared" si="175"/>
        <v>0</v>
      </c>
      <c r="P310" s="24">
        <f t="shared" si="176"/>
        <v>0</v>
      </c>
      <c r="Q310" s="24"/>
      <c r="R310" s="24">
        <f t="shared" si="177"/>
        <v>0</v>
      </c>
      <c r="S310" s="24">
        <f t="shared" si="178"/>
        <v>0</v>
      </c>
      <c r="T310" s="24"/>
      <c r="U310" s="24">
        <f t="shared" si="179"/>
        <v>0</v>
      </c>
      <c r="V310" s="24"/>
      <c r="W310" s="24">
        <f t="shared" si="180"/>
        <v>0</v>
      </c>
      <c r="X310" s="24"/>
      <c r="Y310" s="24">
        <f t="shared" si="181"/>
        <v>0</v>
      </c>
      <c r="Z310" s="24"/>
      <c r="AA310" s="24">
        <f t="shared" si="182"/>
        <v>0</v>
      </c>
      <c r="AB310" s="24">
        <f>SUM(H310:AA310)</f>
        <v>0</v>
      </c>
      <c r="AC310" s="12" t="str">
        <f>IF(ABS(AB310-F310)&lt;1,"ok","err")</f>
        <v>ok</v>
      </c>
    </row>
    <row r="311" spans="1:29" x14ac:dyDescent="0.2">
      <c r="F311" s="24"/>
      <c r="AC311" s="12"/>
    </row>
    <row r="312" spans="1:29" x14ac:dyDescent="0.2">
      <c r="A312" s="3" t="s">
        <v>185</v>
      </c>
      <c r="C312" s="3" t="s">
        <v>186</v>
      </c>
      <c r="F312" s="41">
        <f>SUM(F293:F311)</f>
        <v>2629279.9500000002</v>
      </c>
      <c r="H312" s="24">
        <f>SUM(H293:H311)</f>
        <v>0</v>
      </c>
      <c r="I312" s="24">
        <f>SUM(I293:I311)</f>
        <v>0</v>
      </c>
      <c r="J312" s="24"/>
      <c r="K312" s="24">
        <f>SUM(K293:K311)</f>
        <v>0</v>
      </c>
      <c r="M312" s="24">
        <f>SUM(M293:M311)</f>
        <v>22856.017768501853</v>
      </c>
      <c r="O312" s="24">
        <f>SUM(O293:O311)</f>
        <v>1168951.566980493</v>
      </c>
      <c r="P312" s="24">
        <f>SUM(P293:P311)</f>
        <v>784883.26495331735</v>
      </c>
      <c r="R312" s="24">
        <f>SUM(R293:R311)</f>
        <v>0</v>
      </c>
      <c r="S312" s="24">
        <f>SUM(S293:S311)</f>
        <v>295434.69369376608</v>
      </c>
      <c r="U312" s="24">
        <f>SUM(U293:U311)</f>
        <v>178330.86307952052</v>
      </c>
      <c r="W312" s="24">
        <f>SUM(W293:W311)</f>
        <v>178823.54352440173</v>
      </c>
      <c r="Y312" s="24">
        <f>SUM(Y293:Y311)</f>
        <v>0</v>
      </c>
      <c r="AA312" s="24">
        <f>SUM(AA293:AA311)</f>
        <v>0</v>
      </c>
      <c r="AB312" s="24">
        <f>SUM(H312:AA312)</f>
        <v>2629279.9500000002</v>
      </c>
      <c r="AC312" s="12" t="str">
        <f>IF(ABS(AB312-F312)&lt;1,"ok","err")</f>
        <v>ok</v>
      </c>
    </row>
    <row r="313" spans="1:29" x14ac:dyDescent="0.2">
      <c r="F313" s="24"/>
      <c r="AC313" s="12"/>
    </row>
    <row r="314" spans="1:29" x14ac:dyDescent="0.2">
      <c r="A314" s="3" t="s">
        <v>187</v>
      </c>
      <c r="C314" s="3" t="s">
        <v>188</v>
      </c>
      <c r="D314" s="3" t="s">
        <v>84</v>
      </c>
      <c r="F314" s="41">
        <v>0</v>
      </c>
      <c r="H314" s="24">
        <f>IF(VLOOKUP($D314,$C$5:$AA$494,6,)=0,0,((VLOOKUP($D314,$C$5:$AA$494,6,)/VLOOKUP($D314,$C$5:$AA$494,4,))*$F314))</f>
        <v>0</v>
      </c>
      <c r="I314" s="24">
        <f>IF(VLOOKUP($D314,$C$5:$AA$494,7,)=0,0,((VLOOKUP($D314,$C$5:$AA$494,7,)/VLOOKUP($D314,$C$5:$AA$494,4,))*$F314))</f>
        <v>0</v>
      </c>
      <c r="J314" s="24"/>
      <c r="K314" s="24">
        <f>IF(VLOOKUP($D314,$C$5:$AA$494,9,)=0,0,((VLOOKUP($D314,$C$5:$AA$494,9,)/VLOOKUP($D314,$C$5:$AA$494,4,))*$F314))</f>
        <v>0</v>
      </c>
      <c r="L314" s="24"/>
      <c r="M314" s="24">
        <f>IF(VLOOKUP($D314,$C$5:$AA$494,11,)=0,0,((VLOOKUP($D314,$C$5:$AA$494,11,)/VLOOKUP($D314,$C$5:$AA$494,4,))*$F314))</f>
        <v>0</v>
      </c>
      <c r="N314" s="24"/>
      <c r="O314" s="24">
        <f>IF(VLOOKUP($D314,$C$5:$AA$494,13,)=0,0,((VLOOKUP($D314,$C$5:$AA$494,13,)/VLOOKUP($D314,$C$5:$AA$494,4,))*$F314))</f>
        <v>0</v>
      </c>
      <c r="P314" s="24">
        <f>IF(VLOOKUP($D314,$C$5:$AA$494,14,)=0,0,((VLOOKUP($D314,$C$5:$AA$494,14,)/VLOOKUP($D314,$C$5:$AA$494,4,))*$F314))</f>
        <v>0</v>
      </c>
      <c r="Q314" s="24"/>
      <c r="R314" s="24">
        <f>IF(VLOOKUP($D314,$C$5:$AA$494,16,)=0,0,((VLOOKUP($D314,$C$5:$AA$494,16,)/VLOOKUP($D314,$C$5:$AA$494,4,))*$F314))</f>
        <v>0</v>
      </c>
      <c r="S314" s="24">
        <f>IF(VLOOKUP($D314,$C$5:$AA$494,17,)=0,0,((VLOOKUP($D314,$C$5:$AA$494,17,)/VLOOKUP($D314,$C$5:$AA$494,4,))*$F314))</f>
        <v>0</v>
      </c>
      <c r="T314" s="24"/>
      <c r="U314" s="24">
        <f>IF(VLOOKUP($D314,$C$5:$AA$494,19,)=0,0,((VLOOKUP($D314,$C$5:$AA$494,19,)/VLOOKUP($D314,$C$5:$AA$494,4,))*$F314))</f>
        <v>0</v>
      </c>
      <c r="V314" s="24"/>
      <c r="W314" s="24">
        <f>IF(VLOOKUP($D314,$C$5:$AA$494,21,)=0,0,((VLOOKUP($D314,$C$5:$AA$494,21,)/VLOOKUP($D314,$C$5:$AA$494,4,))*$F314))</f>
        <v>0</v>
      </c>
      <c r="X314" s="24"/>
      <c r="Y314" s="24">
        <f>IF(VLOOKUP($D314,$C$5:$AA$494,23,)=0,0,((VLOOKUP($D314,$C$5:$AA$494,23,)/VLOOKUP($D314,$C$5:$AA$494,4,))*$F314))</f>
        <v>0</v>
      </c>
      <c r="Z314" s="24"/>
      <c r="AA314" s="24">
        <f>IF(VLOOKUP($D314,$C$5:$AA$494,25,)=0,0,((VLOOKUP($D314,$C$5:$AA$494,25,)/VLOOKUP($D314,$C$5:$AA$494,4,))*$F314))</f>
        <v>0</v>
      </c>
      <c r="AB314" s="24">
        <f>SUM(H314:AA314)</f>
        <v>0</v>
      </c>
      <c r="AC314" s="12" t="str">
        <f>IF(ABS(AB314-F314)&lt;1,"ok","err")</f>
        <v>ok</v>
      </c>
    </row>
    <row r="315" spans="1:29" x14ac:dyDescent="0.2">
      <c r="AC315" s="12"/>
    </row>
    <row r="316" spans="1:29" x14ac:dyDescent="0.2">
      <c r="A316" s="3" t="s">
        <v>986</v>
      </c>
      <c r="C316" s="3" t="s">
        <v>189</v>
      </c>
      <c r="D316" s="3" t="s">
        <v>84</v>
      </c>
      <c r="F316" s="41">
        <v>25966</v>
      </c>
      <c r="G316" s="41"/>
      <c r="H316" s="24">
        <f>IF(VLOOKUP($D316,$C$5:$AA$494,6,)=0,0,((VLOOKUP($D316,$C$5:$AA$494,6,)/VLOOKUP($D316,$C$5:$AA$494,4,))*$F316))</f>
        <v>0</v>
      </c>
      <c r="I316" s="24">
        <f>IF(VLOOKUP($D316,$C$5:$AA$494,7,)=0,0,((VLOOKUP($D316,$C$5:$AA$494,7,)/VLOOKUP($D316,$C$5:$AA$494,4,))*$F316))</f>
        <v>0</v>
      </c>
      <c r="J316" s="24"/>
      <c r="K316" s="24">
        <f>IF(VLOOKUP($D316,$C$5:$AA$494,9,)=0,0,((VLOOKUP($D316,$C$5:$AA$494,9,)/VLOOKUP($D316,$C$5:$AA$494,4,))*$F316))</f>
        <v>0</v>
      </c>
      <c r="L316" s="24"/>
      <c r="M316" s="24">
        <f>IF(VLOOKUP($D316,$C$5:$AA$494,11,)=0,0,((VLOOKUP($D316,$C$5:$AA$494,11,)/VLOOKUP($D316,$C$5:$AA$494,4,))*$F316))</f>
        <v>225.71934851475933</v>
      </c>
      <c r="N316" s="24"/>
      <c r="O316" s="24">
        <f>IF(VLOOKUP($D316,$C$5:$AA$494,13,)=0,0,((VLOOKUP($D316,$C$5:$AA$494,13,)/VLOOKUP($D316,$C$5:$AA$494,4,))*$F316))</f>
        <v>11544.223880844442</v>
      </c>
      <c r="P316" s="24">
        <f>IF(VLOOKUP($D316,$C$5:$AA$494,14,)=0,0,((VLOOKUP($D316,$C$5:$AA$494,14,)/VLOOKUP($D316,$C$5:$AA$494,4,))*$F316))</f>
        <v>7751.2776293668676</v>
      </c>
      <c r="Q316" s="24"/>
      <c r="R316" s="24">
        <f>IF(VLOOKUP($D316,$C$5:$AA$494,16,)=0,0,((VLOOKUP($D316,$C$5:$AA$494,16,)/VLOOKUP($D316,$C$5:$AA$494,4,))*$F316))</f>
        <v>0</v>
      </c>
      <c r="S316" s="24">
        <f>IF(VLOOKUP($D316,$C$5:$AA$494,17,)=0,0,((VLOOKUP($D316,$C$5:$AA$494,17,)/VLOOKUP($D316,$C$5:$AA$494,4,))*$F316))</f>
        <v>2917.626651529567</v>
      </c>
      <c r="T316" s="24"/>
      <c r="U316" s="24">
        <f>IF(VLOOKUP($D316,$C$5:$AA$494,19,)=0,0,((VLOOKUP($D316,$C$5:$AA$494,19,)/VLOOKUP($D316,$C$5:$AA$494,4,))*$F316))</f>
        <v>1761.143460863811</v>
      </c>
      <c r="V316" s="24"/>
      <c r="W316" s="24">
        <f>IF(VLOOKUP($D316,$C$5:$AA$494,21,)=0,0,((VLOOKUP($D316,$C$5:$AA$494,21,)/VLOOKUP($D316,$C$5:$AA$494,4,))*$F316))</f>
        <v>1766.009028880555</v>
      </c>
      <c r="X316" s="24"/>
      <c r="Y316" s="24">
        <f>IF(VLOOKUP($D316,$C$5:$AA$494,23,)=0,0,((VLOOKUP($D316,$C$5:$AA$494,23,)/VLOOKUP($D316,$C$5:$AA$494,4,))*$F316))</f>
        <v>0</v>
      </c>
      <c r="Z316" s="24"/>
      <c r="AA316" s="24">
        <f>IF(VLOOKUP($D316,$C$5:$AA$494,25,)=0,0,((VLOOKUP($D316,$C$5:$AA$494,25,)/VLOOKUP($D316,$C$5:$AA$494,4,))*$F316))</f>
        <v>0</v>
      </c>
      <c r="AB316" s="24">
        <f>SUM(H316:AA316)</f>
        <v>25966.000000000004</v>
      </c>
      <c r="AC316" s="12" t="str">
        <f>IF(ABS(AB316-F316)&lt;1,"ok","err")</f>
        <v>ok</v>
      </c>
    </row>
    <row r="317" spans="1:29" x14ac:dyDescent="0.2">
      <c r="Q317" s="3"/>
    </row>
    <row r="318" spans="1:29" x14ac:dyDescent="0.2">
      <c r="A318" s="3" t="s">
        <v>190</v>
      </c>
      <c r="C318" s="3" t="s">
        <v>191</v>
      </c>
      <c r="D318" s="3" t="s">
        <v>84</v>
      </c>
      <c r="F318" s="41">
        <v>778919</v>
      </c>
      <c r="H318" s="24">
        <f>IF(VLOOKUP($D318,$C$5:$AA$494,6,)=0,0,((VLOOKUP($D318,$C$5:$AA$494,6,)/VLOOKUP($D318,$C$5:$AA$494,4,))*$F318))</f>
        <v>0</v>
      </c>
      <c r="I318" s="24">
        <f>IF(VLOOKUP($D318,$C$5:$AA$494,7,)=0,0,((VLOOKUP($D318,$C$5:$AA$494,7,)/VLOOKUP($D318,$C$5:$AA$494,4,))*$F318))</f>
        <v>0</v>
      </c>
      <c r="J318" s="24"/>
      <c r="K318" s="24">
        <f>IF(VLOOKUP($D318,$C$5:$AA$494,9,)=0,0,((VLOOKUP($D318,$C$5:$AA$494,9,)/VLOOKUP($D318,$C$5:$AA$494,4,))*$F318))</f>
        <v>0</v>
      </c>
      <c r="L318" s="24"/>
      <c r="M318" s="24">
        <f>IF(VLOOKUP($D318,$C$5:$AA$494,11,)=0,0,((VLOOKUP($D318,$C$5:$AA$494,11,)/VLOOKUP($D318,$C$5:$AA$494,4,))*$F318))</f>
        <v>6771.0501897006789</v>
      </c>
      <c r="N318" s="24"/>
      <c r="O318" s="24">
        <f>IF(VLOOKUP($D318,$C$5:$AA$494,13,)=0,0,((VLOOKUP($D318,$C$5:$AA$494,13,)/VLOOKUP($D318,$C$5:$AA$494,4,))*$F318))</f>
        <v>346299.59643547219</v>
      </c>
      <c r="P318" s="24">
        <f>IF(VLOOKUP($D318,$C$5:$AA$494,14,)=0,0,((VLOOKUP($D318,$C$5:$AA$494,14,)/VLOOKUP($D318,$C$5:$AA$494,4,))*$F318))</f>
        <v>232520.11937875726</v>
      </c>
      <c r="Q318" s="24"/>
      <c r="R318" s="24">
        <f>IF(VLOOKUP($D318,$C$5:$AA$494,16,)=0,0,((VLOOKUP($D318,$C$5:$AA$494,16,)/VLOOKUP($D318,$C$5:$AA$494,4,))*$F318))</f>
        <v>0</v>
      </c>
      <c r="S318" s="24">
        <f>IF(VLOOKUP($D318,$C$5:$AA$494,17,)=0,0,((VLOOKUP($D318,$C$5:$AA$494,17,)/VLOOKUP($D318,$C$5:$AA$494,4,))*$F318))</f>
        <v>87521.945381759171</v>
      </c>
      <c r="T318" s="24"/>
      <c r="U318" s="24">
        <f>IF(VLOOKUP($D318,$C$5:$AA$494,19,)=0,0,((VLOOKUP($D318,$C$5:$AA$494,19,)/VLOOKUP($D318,$C$5:$AA$494,4,))*$F318))</f>
        <v>52830.166502063425</v>
      </c>
      <c r="V318" s="24"/>
      <c r="W318" s="24">
        <f>IF(VLOOKUP($D318,$C$5:$AA$494,21,)=0,0,((VLOOKUP($D318,$C$5:$AA$494,21,)/VLOOKUP($D318,$C$5:$AA$494,4,))*$F318))</f>
        <v>52976.122112247285</v>
      </c>
      <c r="X318" s="24"/>
      <c r="Y318" s="24">
        <f>IF(VLOOKUP($D318,$C$5:$AA$494,23,)=0,0,((VLOOKUP($D318,$C$5:$AA$494,23,)/VLOOKUP($D318,$C$5:$AA$494,4,))*$F318))</f>
        <v>0</v>
      </c>
      <c r="Z318" s="24"/>
      <c r="AA318" s="24">
        <f>IF(VLOOKUP($D318,$C$5:$AA$494,25,)=0,0,((VLOOKUP($D318,$C$5:$AA$494,25,)/VLOOKUP($D318,$C$5:$AA$494,4,))*$F318))</f>
        <v>0</v>
      </c>
      <c r="AB318" s="24">
        <f>SUM(H318:AA318)</f>
        <v>778919</v>
      </c>
      <c r="AC318" s="12" t="str">
        <f>IF(ABS(AB318-F318)&lt;1,"ok","err")</f>
        <v>ok</v>
      </c>
    </row>
    <row r="319" spans="1:29" x14ac:dyDescent="0.2">
      <c r="AC319" s="12"/>
    </row>
    <row r="320" spans="1:29" x14ac:dyDescent="0.2">
      <c r="A320" s="3" t="s">
        <v>192</v>
      </c>
      <c r="C320" s="3" t="s">
        <v>193</v>
      </c>
      <c r="D320" s="3" t="s">
        <v>84</v>
      </c>
      <c r="F320" s="41">
        <v>176158</v>
      </c>
      <c r="H320" s="24">
        <f>IF(VLOOKUP($D320,$C$5:$AA$494,6,)=0,0,((VLOOKUP($D320,$C$5:$AA$494,6,)/VLOOKUP($D320,$C$5:$AA$494,4,))*$F320))</f>
        <v>0</v>
      </c>
      <c r="I320" s="24">
        <f>IF(VLOOKUP($D320,$C$5:$AA$494,7,)=0,0,((VLOOKUP($D320,$C$5:$AA$494,7,)/VLOOKUP($D320,$C$5:$AA$494,4,))*$F320))</f>
        <v>0</v>
      </c>
      <c r="J320" s="24"/>
      <c r="K320" s="24">
        <f>IF(VLOOKUP($D320,$C$5:$AA$494,9,)=0,0,((VLOOKUP($D320,$C$5:$AA$494,9,)/VLOOKUP($D320,$C$5:$AA$494,4,))*$F320))</f>
        <v>0</v>
      </c>
      <c r="L320" s="24"/>
      <c r="M320" s="24">
        <f>IF(VLOOKUP($D320,$C$5:$AA$494,11,)=0,0,((VLOOKUP($D320,$C$5:$AA$494,11,)/VLOOKUP($D320,$C$5:$AA$494,4,))*$F320))</f>
        <v>1531.3205343781474</v>
      </c>
      <c r="N320" s="24"/>
      <c r="O320" s="24">
        <f>IF(VLOOKUP($D320,$C$5:$AA$494,13,)=0,0,((VLOOKUP($D320,$C$5:$AA$494,13,)/VLOOKUP($D320,$C$5:$AA$494,4,))*$F320))</f>
        <v>78318.084818678079</v>
      </c>
      <c r="P320" s="24">
        <f>IF(VLOOKUP($D320,$C$5:$AA$494,14,)=0,0,((VLOOKUP($D320,$C$5:$AA$494,14,)/VLOOKUP($D320,$C$5:$AA$494,4,))*$F320))</f>
        <v>52586.057330124342</v>
      </c>
      <c r="Q320" s="24"/>
      <c r="R320" s="24">
        <f>IF(VLOOKUP($D320,$C$5:$AA$494,16,)=0,0,((VLOOKUP($D320,$C$5:$AA$494,16,)/VLOOKUP($D320,$C$5:$AA$494,4,))*$F320))</f>
        <v>0</v>
      </c>
      <c r="S320" s="24">
        <f>IF(VLOOKUP($D320,$C$5:$AA$494,17,)=0,0,((VLOOKUP($D320,$C$5:$AA$494,17,)/VLOOKUP($D320,$C$5:$AA$494,4,))*$F320))</f>
        <v>19793.702367717226</v>
      </c>
      <c r="T320" s="24"/>
      <c r="U320" s="24">
        <f>IF(VLOOKUP($D320,$C$5:$AA$494,19,)=0,0,((VLOOKUP($D320,$C$5:$AA$494,19,)/VLOOKUP($D320,$C$5:$AA$494,4,))*$F320))</f>
        <v>11947.913031612386</v>
      </c>
      <c r="V320" s="24"/>
      <c r="W320" s="24">
        <f>IF(VLOOKUP($D320,$C$5:$AA$494,21,)=0,0,((VLOOKUP($D320,$C$5:$AA$494,21,)/VLOOKUP($D320,$C$5:$AA$494,4,))*$F320))</f>
        <v>11980.921917489826</v>
      </c>
      <c r="X320" s="24"/>
      <c r="Y320" s="24">
        <f>IF(VLOOKUP($D320,$C$5:$AA$494,23,)=0,0,((VLOOKUP($D320,$C$5:$AA$494,23,)/VLOOKUP($D320,$C$5:$AA$494,4,))*$F320))</f>
        <v>0</v>
      </c>
      <c r="Z320" s="24"/>
      <c r="AA320" s="24">
        <f>IF(VLOOKUP($D320,$C$5:$AA$494,25,)=0,0,((VLOOKUP($D320,$C$5:$AA$494,25,)/VLOOKUP($D320,$C$5:$AA$494,4,))*$F320))</f>
        <v>0</v>
      </c>
      <c r="AB320" s="24">
        <f>SUM(H320:AA320)</f>
        <v>176158</v>
      </c>
      <c r="AC320" s="12" t="str">
        <f>IF(ABS(AB320-F320)&lt;1,"ok","err")</f>
        <v>ok</v>
      </c>
    </row>
    <row r="321" spans="1:29" x14ac:dyDescent="0.2"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12"/>
    </row>
    <row r="322" spans="1:29" x14ac:dyDescent="0.2">
      <c r="A322" s="3" t="s">
        <v>829</v>
      </c>
      <c r="C322" s="3" t="s">
        <v>830</v>
      </c>
      <c r="D322" s="3" t="s">
        <v>84</v>
      </c>
      <c r="F322" s="41">
        <v>0</v>
      </c>
      <c r="H322" s="24">
        <f>IF(VLOOKUP($D322,$C$5:$AA$494,6,)=0,0,((VLOOKUP($D322,$C$5:$AA$494,6,)/VLOOKUP($D322,$C$5:$AA$494,4,))*$F322))</f>
        <v>0</v>
      </c>
      <c r="I322" s="24">
        <f>IF(VLOOKUP($D322,$C$5:$AA$494,7,)=0,0,((VLOOKUP($D322,$C$5:$AA$494,7,)/VLOOKUP($D322,$C$5:$AA$494,4,))*$F322))</f>
        <v>0</v>
      </c>
      <c r="J322" s="24"/>
      <c r="K322" s="24">
        <f>IF(VLOOKUP($D322,$C$5:$AA$494,9,)=0,0,((VLOOKUP($D322,$C$5:$AA$494,9,)/VLOOKUP($D322,$C$5:$AA$494,4,))*$F322))</f>
        <v>0</v>
      </c>
      <c r="L322" s="24"/>
      <c r="M322" s="24">
        <f>IF(VLOOKUP($D322,$C$5:$AA$494,11,)=0,0,((VLOOKUP($D322,$C$5:$AA$494,11,)/VLOOKUP($D322,$C$5:$AA$494,4,))*$F322))</f>
        <v>0</v>
      </c>
      <c r="N322" s="24"/>
      <c r="O322" s="24">
        <f>IF(VLOOKUP($D322,$C$5:$AA$494,13,)=0,0,((VLOOKUP($D322,$C$5:$AA$494,13,)/VLOOKUP($D322,$C$5:$AA$494,4,))*$F322))</f>
        <v>0</v>
      </c>
      <c r="P322" s="24">
        <f>IF(VLOOKUP($D322,$C$5:$AA$494,14,)=0,0,((VLOOKUP($D322,$C$5:$AA$494,14,)/VLOOKUP($D322,$C$5:$AA$494,4,))*$F322))</f>
        <v>0</v>
      </c>
      <c r="Q322" s="24"/>
      <c r="R322" s="24">
        <f>IF(VLOOKUP($D322,$C$5:$AA$494,16,)=0,0,((VLOOKUP($D322,$C$5:$AA$494,16,)/VLOOKUP($D322,$C$5:$AA$494,4,))*$F322))</f>
        <v>0</v>
      </c>
      <c r="S322" s="24">
        <f>IF(VLOOKUP($D322,$C$5:$AA$494,17,)=0,0,((VLOOKUP($D322,$C$5:$AA$494,17,)/VLOOKUP($D322,$C$5:$AA$494,4,))*$F322))</f>
        <v>0</v>
      </c>
      <c r="T322" s="24"/>
      <c r="U322" s="24">
        <f>IF(VLOOKUP($D322,$C$5:$AA$494,19,)=0,0,((VLOOKUP($D322,$C$5:$AA$494,19,)/VLOOKUP($D322,$C$5:$AA$494,4,))*$F322))</f>
        <v>0</v>
      </c>
      <c r="V322" s="24"/>
      <c r="W322" s="24">
        <f>IF(VLOOKUP($D322,$C$5:$AA$494,21,)=0,0,((VLOOKUP($D322,$C$5:$AA$494,21,)/VLOOKUP($D322,$C$5:$AA$494,4,))*$F322))</f>
        <v>0</v>
      </c>
      <c r="X322" s="24"/>
      <c r="Y322" s="24">
        <f>IF(VLOOKUP($D322,$C$5:$AA$494,23,)=0,0,((VLOOKUP($D322,$C$5:$AA$494,23,)/VLOOKUP($D322,$C$5:$AA$494,4,))*$F322))</f>
        <v>0</v>
      </c>
      <c r="Z322" s="24"/>
      <c r="AA322" s="24">
        <f>IF(VLOOKUP($D322,$C$5:$AA$494,25,)=0,0,((VLOOKUP($D322,$C$5:$AA$494,25,)/VLOOKUP($D322,$C$5:$AA$494,4,))*$F322))</f>
        <v>0</v>
      </c>
      <c r="AB322" s="24">
        <f>SUM(H322:AA322)</f>
        <v>0</v>
      </c>
      <c r="AC322" s="12" t="str">
        <f>IF(ABS(AB322-F322)&lt;1,"ok","err")</f>
        <v>ok</v>
      </c>
    </row>
    <row r="323" spans="1:29" x14ac:dyDescent="0.2">
      <c r="AC323" s="12"/>
    </row>
    <row r="324" spans="1:29" x14ac:dyDescent="0.2">
      <c r="A324" s="3" t="s">
        <v>194</v>
      </c>
      <c r="C324" s="3" t="s">
        <v>195</v>
      </c>
      <c r="D324" s="3" t="s">
        <v>84</v>
      </c>
      <c r="F324" s="41">
        <v>14010</v>
      </c>
      <c r="H324" s="24">
        <f>IF(VLOOKUP($D324,$C$5:$AA$494,6,)=0,0,((VLOOKUP($D324,$C$5:$AA$494,6,)/VLOOKUP($D324,$C$5:$AA$494,4,))*$F324))</f>
        <v>0</v>
      </c>
      <c r="I324" s="24">
        <f>IF(VLOOKUP($D324,$C$5:$AA$494,7,)=0,0,((VLOOKUP($D324,$C$5:$AA$494,7,)/VLOOKUP($D324,$C$5:$AA$494,4,))*$F324))</f>
        <v>0</v>
      </c>
      <c r="J324" s="24"/>
      <c r="K324" s="24">
        <f>IF(VLOOKUP($D324,$C$5:$AA$494,9,)=0,0,((VLOOKUP($D324,$C$5:$AA$494,9,)/VLOOKUP($D324,$C$5:$AA$494,4,))*$F324))</f>
        <v>0</v>
      </c>
      <c r="L324" s="24"/>
      <c r="M324" s="24">
        <f>IF(VLOOKUP($D324,$C$5:$AA$494,11,)=0,0,((VLOOKUP($D324,$C$5:$AA$494,11,)/VLOOKUP($D324,$C$5:$AA$494,4,))*$F324))</f>
        <v>121.78726306291991</v>
      </c>
      <c r="N324" s="24"/>
      <c r="O324" s="24">
        <f>IF(VLOOKUP($D324,$C$5:$AA$494,13,)=0,0,((VLOOKUP($D324,$C$5:$AA$494,13,)/VLOOKUP($D324,$C$5:$AA$494,4,))*$F324))</f>
        <v>6228.7058680825166</v>
      </c>
      <c r="P324" s="24">
        <f>IF(VLOOKUP($D324,$C$5:$AA$494,14,)=0,0,((VLOOKUP($D324,$C$5:$AA$494,14,)/VLOOKUP($D324,$C$5:$AA$494,4,))*$F324))</f>
        <v>4182.2151886093279</v>
      </c>
      <c r="Q324" s="24"/>
      <c r="R324" s="24">
        <f>IF(VLOOKUP($D324,$C$5:$AA$494,16,)=0,0,((VLOOKUP($D324,$C$5:$AA$494,16,)/VLOOKUP($D324,$C$5:$AA$494,4,))*$F324))</f>
        <v>0</v>
      </c>
      <c r="S324" s="24">
        <f>IF(VLOOKUP($D324,$C$5:$AA$494,17,)=0,0,((VLOOKUP($D324,$C$5:$AA$494,17,)/VLOOKUP($D324,$C$5:$AA$494,4,))*$F324))</f>
        <v>1574.2104824743601</v>
      </c>
      <c r="T324" s="24"/>
      <c r="U324" s="24">
        <f>IF(VLOOKUP($D324,$C$5:$AA$494,19,)=0,0,((VLOOKUP($D324,$C$5:$AA$494,19,)/VLOOKUP($D324,$C$5:$AA$494,4,))*$F324))</f>
        <v>950.22798608572725</v>
      </c>
      <c r="V324" s="24"/>
      <c r="W324" s="24">
        <f>IF(VLOOKUP($D324,$C$5:$AA$494,21,)=0,0,((VLOOKUP($D324,$C$5:$AA$494,21,)/VLOOKUP($D324,$C$5:$AA$494,4,))*$F324))</f>
        <v>952.85321168514884</v>
      </c>
      <c r="X324" s="24"/>
      <c r="Y324" s="24">
        <f>IF(VLOOKUP($D324,$C$5:$AA$494,23,)=0,0,((VLOOKUP($D324,$C$5:$AA$494,23,)/VLOOKUP($D324,$C$5:$AA$494,4,))*$F324))</f>
        <v>0</v>
      </c>
      <c r="Z324" s="24"/>
      <c r="AA324" s="24">
        <f>IF(VLOOKUP($D324,$C$5:$AA$494,25,)=0,0,((VLOOKUP($D324,$C$5:$AA$494,25,)/VLOOKUP($D324,$C$5:$AA$494,4,))*$F324))</f>
        <v>0</v>
      </c>
      <c r="AB324" s="24">
        <f>SUM(H324:AA324)</f>
        <v>14010.000000000002</v>
      </c>
      <c r="AC324" s="12" t="str">
        <f>IF(ABS(AB324-F324)&lt;1,"ok","err")</f>
        <v>ok</v>
      </c>
    </row>
    <row r="325" spans="1:29" x14ac:dyDescent="0.2">
      <c r="AB325" s="24"/>
      <c r="AC325" s="12"/>
    </row>
    <row r="326" spans="1:29" x14ac:dyDescent="0.2">
      <c r="A326" s="2" t="s">
        <v>196</v>
      </c>
      <c r="C326" s="3" t="s">
        <v>197</v>
      </c>
      <c r="F326" s="65">
        <f>SUM(F312:F324)</f>
        <v>3624332.95</v>
      </c>
      <c r="G326" s="65"/>
      <c r="H326" s="65">
        <f>SUM(H312:H324)</f>
        <v>0</v>
      </c>
      <c r="I326" s="65">
        <f>SUM(I312:I324)</f>
        <v>0</v>
      </c>
      <c r="J326" s="65"/>
      <c r="K326" s="65">
        <f>SUM(K312:K324)</f>
        <v>0</v>
      </c>
      <c r="L326" s="65"/>
      <c r="M326" s="65">
        <f>SUM(M312:M324)</f>
        <v>31505.89510415836</v>
      </c>
      <c r="N326" s="65"/>
      <c r="O326" s="65">
        <f>SUM(O312:O324)</f>
        <v>1611342.1779835701</v>
      </c>
      <c r="P326" s="65">
        <f>SUM(P312:P324)</f>
        <v>1081922.9344801751</v>
      </c>
      <c r="Q326" s="65"/>
      <c r="R326" s="65">
        <f>SUM(R312:R324)</f>
        <v>0</v>
      </c>
      <c r="S326" s="65">
        <f>SUM(S312:S324)</f>
        <v>407242.17857724638</v>
      </c>
      <c r="T326" s="65"/>
      <c r="U326" s="65">
        <f>SUM(U312:U324)</f>
        <v>245820.31406014587</v>
      </c>
      <c r="V326" s="65"/>
      <c r="W326" s="65">
        <f>SUM(W312:W324)</f>
        <v>246499.44979470453</v>
      </c>
      <c r="X326" s="65"/>
      <c r="Y326" s="65">
        <f>SUM(Y312:Y324)</f>
        <v>0</v>
      </c>
      <c r="Z326" s="65"/>
      <c r="AA326" s="65">
        <f>SUM(AA312:AA324)</f>
        <v>0</v>
      </c>
      <c r="AB326" s="24">
        <f>SUM(H326:AA326)</f>
        <v>3624332.9500000007</v>
      </c>
      <c r="AC326" s="12" t="str">
        <f>IF(ABS(AB326-F326)&lt;1,"ok","err")</f>
        <v>ok</v>
      </c>
    </row>
    <row r="327" spans="1:29" x14ac:dyDescent="0.2">
      <c r="D327" s="65"/>
      <c r="AC327" s="12"/>
    </row>
    <row r="328" spans="1:29" x14ac:dyDescent="0.2">
      <c r="A328" s="2" t="s">
        <v>389</v>
      </c>
      <c r="F328" s="65">
        <f>F285+F326</f>
        <v>28098717.039999999</v>
      </c>
      <c r="G328" s="65"/>
      <c r="H328" s="65">
        <f>H285+H326</f>
        <v>5014334.2</v>
      </c>
      <c r="I328" s="65">
        <f>I285+I326</f>
        <v>12813298.799999999</v>
      </c>
      <c r="J328" s="65"/>
      <c r="K328" s="65">
        <f>K285+K326</f>
        <v>0</v>
      </c>
      <c r="L328" s="65"/>
      <c r="M328" s="65">
        <f>M285+M326</f>
        <v>40557.511382447774</v>
      </c>
      <c r="N328" s="65"/>
      <c r="O328" s="65">
        <f t="shared" ref="O328:AA328" si="185">O285+O326</f>
        <v>3887199.0141947875</v>
      </c>
      <c r="P328" s="65">
        <f t="shared" si="185"/>
        <v>2460836.8039151337</v>
      </c>
      <c r="Q328" s="65"/>
      <c r="R328" s="65">
        <f t="shared" si="185"/>
        <v>0</v>
      </c>
      <c r="S328" s="65">
        <f t="shared" si="185"/>
        <v>533886.5545472774</v>
      </c>
      <c r="T328" s="65"/>
      <c r="U328" s="65">
        <f t="shared" si="185"/>
        <v>1398258.4729732736</v>
      </c>
      <c r="V328" s="65"/>
      <c r="W328" s="65">
        <f t="shared" si="185"/>
        <v>317318.52746174857</v>
      </c>
      <c r="X328" s="65"/>
      <c r="Y328" s="65">
        <f t="shared" si="185"/>
        <v>1632979.3224675895</v>
      </c>
      <c r="Z328" s="65"/>
      <c r="AA328" s="65">
        <f t="shared" si="185"/>
        <v>47.833057742122577</v>
      </c>
      <c r="AB328" s="24">
        <f>SUM(H328:AA328)</f>
        <v>28098717.039999995</v>
      </c>
      <c r="AC328" s="12" t="str">
        <f>IF(ABS(AB328-F328)&lt;1,"ok","err")</f>
        <v>ok</v>
      </c>
    </row>
    <row r="329" spans="1:29" x14ac:dyDescent="0.2">
      <c r="F329" s="65"/>
      <c r="AC329" s="12"/>
    </row>
    <row r="330" spans="1:29" x14ac:dyDescent="0.2">
      <c r="AC330" s="12"/>
    </row>
    <row r="331" spans="1:29" x14ac:dyDescent="0.2">
      <c r="AC331" s="12"/>
    </row>
    <row r="332" spans="1:29" x14ac:dyDescent="0.2">
      <c r="A332" s="10" t="s">
        <v>182</v>
      </c>
      <c r="Q332" s="3"/>
      <c r="AC332" s="12"/>
    </row>
    <row r="333" spans="1:29" x14ac:dyDescent="0.2">
      <c r="A333" s="10"/>
      <c r="Q333" s="3"/>
      <c r="AC333" s="12"/>
    </row>
    <row r="334" spans="1:29" x14ac:dyDescent="0.2">
      <c r="A334" s="2" t="s">
        <v>760</v>
      </c>
      <c r="Q334" s="3"/>
      <c r="AC334" s="12"/>
    </row>
    <row r="335" spans="1:29" x14ac:dyDescent="0.2">
      <c r="A335" s="3">
        <v>500</v>
      </c>
      <c r="B335" s="3" t="s">
        <v>765</v>
      </c>
      <c r="C335" s="3" t="s">
        <v>812</v>
      </c>
      <c r="D335" s="3" t="s">
        <v>754</v>
      </c>
      <c r="F335" s="41">
        <v>0</v>
      </c>
      <c r="H335" s="24">
        <f t="shared" ref="H335:H343" si="186">IF(VLOOKUP($D335,$C$5:$AA$494,6,)=0,0,((VLOOKUP($D335,$C$5:$AA$494,6,)/VLOOKUP($D335,$C$5:$AA$494,4,))*$F335))</f>
        <v>0</v>
      </c>
      <c r="I335" s="24">
        <f t="shared" ref="I335:I343" si="187">IF(VLOOKUP($D335,$C$5:$AA$494,7,)=0,0,((VLOOKUP($D335,$C$5:$AA$494,7,)/VLOOKUP($D335,$C$5:$AA$494,4,))*$F335))</f>
        <v>0</v>
      </c>
      <c r="J335" s="24"/>
      <c r="K335" s="24">
        <f t="shared" ref="K335:K343" si="188">IF(VLOOKUP($D335,$C$5:$AA$494,9,)=0,0,((VLOOKUP($D335,$C$5:$AA$494,9,)/VLOOKUP($D335,$C$5:$AA$494,4,))*$F335))</f>
        <v>0</v>
      </c>
      <c r="L335" s="24"/>
      <c r="M335" s="24">
        <f t="shared" ref="M335:M343" si="189">IF(VLOOKUP($D335,$C$5:$AA$494,11,)=0,0,((VLOOKUP($D335,$C$5:$AA$494,11,)/VLOOKUP($D335,$C$5:$AA$494,4,))*$F335))</f>
        <v>0</v>
      </c>
      <c r="N335" s="24"/>
      <c r="O335" s="24">
        <f t="shared" ref="O335:O343" si="190">IF(VLOOKUP($D335,$C$5:$AA$494,13,)=0,0,((VLOOKUP($D335,$C$5:$AA$494,13,)/VLOOKUP($D335,$C$5:$AA$494,4,))*$F335))</f>
        <v>0</v>
      </c>
      <c r="P335" s="24">
        <f t="shared" ref="P335:P343" si="191">IF(VLOOKUP($D335,$C$5:$AA$494,14,)=0,0,((VLOOKUP($D335,$C$5:$AA$494,14,)/VLOOKUP($D335,$C$5:$AA$494,4,))*$F335))</f>
        <v>0</v>
      </c>
      <c r="Q335" s="24"/>
      <c r="R335" s="24">
        <f t="shared" ref="R335:R343" si="192">IF(VLOOKUP($D335,$C$5:$AA$494,16,)=0,0,((VLOOKUP($D335,$C$5:$AA$494,16,)/VLOOKUP($D335,$C$5:$AA$494,4,))*$F335))</f>
        <v>0</v>
      </c>
      <c r="S335" s="24">
        <f t="shared" ref="S335:S343" si="193">IF(VLOOKUP($D335,$C$5:$AA$494,17,)=0,0,((VLOOKUP($D335,$C$5:$AA$494,17,)/VLOOKUP($D335,$C$5:$AA$494,4,))*$F335))</f>
        <v>0</v>
      </c>
      <c r="T335" s="24"/>
      <c r="U335" s="24">
        <f t="shared" ref="U335:U343" si="194">IF(VLOOKUP($D335,$C$5:$AA$494,19,)=0,0,((VLOOKUP($D335,$C$5:$AA$494,19,)/VLOOKUP($D335,$C$5:$AA$494,4,))*$F335))</f>
        <v>0</v>
      </c>
      <c r="V335" s="24"/>
      <c r="W335" s="24">
        <f t="shared" ref="W335:W343" si="195">IF(VLOOKUP($D335,$C$5:$AA$494,21,)=0,0,((VLOOKUP($D335,$C$5:$AA$494,21,)/VLOOKUP($D335,$C$5:$AA$494,4,))*$F335))</f>
        <v>0</v>
      </c>
      <c r="X335" s="24"/>
      <c r="Y335" s="24">
        <f t="shared" ref="Y335:Y343" si="196">IF(VLOOKUP($D335,$C$5:$AA$494,23,)=0,0,((VLOOKUP($D335,$C$5:$AA$494,23,)/VLOOKUP($D335,$C$5:$AA$494,4,))*$F335))</f>
        <v>0</v>
      </c>
      <c r="Z335" s="24"/>
      <c r="AA335" s="24">
        <f t="shared" ref="AA335:AA343" si="197">IF(VLOOKUP($D335,$C$5:$AA$494,25,)=0,0,((VLOOKUP($D335,$C$5:$AA$494,25,)/VLOOKUP($D335,$C$5:$AA$494,4,))*$F335))</f>
        <v>0</v>
      </c>
      <c r="AB335" s="24">
        <f t="shared" ref="AB335:AB343" si="198">SUM(H335:AA335)</f>
        <v>0</v>
      </c>
      <c r="AC335" s="12" t="str">
        <f t="shared" ref="AC335:AC343" si="199">IF(ABS(AB335-F335)&lt;1,"ok","err")</f>
        <v>ok</v>
      </c>
    </row>
    <row r="336" spans="1:29" x14ac:dyDescent="0.2">
      <c r="A336" s="3">
        <v>501</v>
      </c>
      <c r="B336" s="3" t="s">
        <v>766</v>
      </c>
      <c r="C336" s="3" t="s">
        <v>813</v>
      </c>
      <c r="D336" s="3" t="s">
        <v>758</v>
      </c>
      <c r="F336" s="24">
        <v>0</v>
      </c>
      <c r="H336" s="24">
        <f t="shared" si="186"/>
        <v>0</v>
      </c>
      <c r="I336" s="24">
        <f t="shared" si="187"/>
        <v>0</v>
      </c>
      <c r="J336" s="24"/>
      <c r="K336" s="24">
        <f t="shared" si="188"/>
        <v>0</v>
      </c>
      <c r="L336" s="24"/>
      <c r="M336" s="24">
        <f t="shared" si="189"/>
        <v>0</v>
      </c>
      <c r="N336" s="24"/>
      <c r="O336" s="24">
        <f t="shared" si="190"/>
        <v>0</v>
      </c>
      <c r="P336" s="24">
        <f t="shared" si="191"/>
        <v>0</v>
      </c>
      <c r="Q336" s="24"/>
      <c r="R336" s="24">
        <f t="shared" si="192"/>
        <v>0</v>
      </c>
      <c r="S336" s="24">
        <f t="shared" si="193"/>
        <v>0</v>
      </c>
      <c r="T336" s="24"/>
      <c r="U336" s="24">
        <f t="shared" si="194"/>
        <v>0</v>
      </c>
      <c r="V336" s="24"/>
      <c r="W336" s="24">
        <f t="shared" si="195"/>
        <v>0</v>
      </c>
      <c r="X336" s="24"/>
      <c r="Y336" s="24">
        <f t="shared" si="196"/>
        <v>0</v>
      </c>
      <c r="Z336" s="24"/>
      <c r="AA336" s="24">
        <f t="shared" si="197"/>
        <v>0</v>
      </c>
      <c r="AB336" s="24">
        <f t="shared" si="198"/>
        <v>0</v>
      </c>
      <c r="AC336" s="12" t="str">
        <f t="shared" si="199"/>
        <v>ok</v>
      </c>
    </row>
    <row r="337" spans="1:29" x14ac:dyDescent="0.2">
      <c r="A337" s="3">
        <v>502</v>
      </c>
      <c r="B337" s="3" t="s">
        <v>767</v>
      </c>
      <c r="C337" s="3" t="s">
        <v>814</v>
      </c>
      <c r="D337" s="3" t="s">
        <v>552</v>
      </c>
      <c r="F337" s="24">
        <v>0</v>
      </c>
      <c r="H337" s="24">
        <f t="shared" si="186"/>
        <v>0</v>
      </c>
      <c r="I337" s="24">
        <f t="shared" si="187"/>
        <v>0</v>
      </c>
      <c r="J337" s="24"/>
      <c r="K337" s="24">
        <f t="shared" si="188"/>
        <v>0</v>
      </c>
      <c r="L337" s="24"/>
      <c r="M337" s="24">
        <f t="shared" si="189"/>
        <v>0</v>
      </c>
      <c r="N337" s="24"/>
      <c r="O337" s="24">
        <f t="shared" si="190"/>
        <v>0</v>
      </c>
      <c r="P337" s="24">
        <f t="shared" si="191"/>
        <v>0</v>
      </c>
      <c r="Q337" s="24"/>
      <c r="R337" s="24">
        <f t="shared" si="192"/>
        <v>0</v>
      </c>
      <c r="S337" s="24">
        <f t="shared" si="193"/>
        <v>0</v>
      </c>
      <c r="T337" s="24"/>
      <c r="U337" s="24">
        <f t="shared" si="194"/>
        <v>0</v>
      </c>
      <c r="V337" s="24"/>
      <c r="W337" s="24">
        <f t="shared" si="195"/>
        <v>0</v>
      </c>
      <c r="X337" s="24"/>
      <c r="Y337" s="24">
        <f t="shared" si="196"/>
        <v>0</v>
      </c>
      <c r="Z337" s="24"/>
      <c r="AA337" s="24">
        <f t="shared" si="197"/>
        <v>0</v>
      </c>
      <c r="AB337" s="24">
        <f t="shared" si="198"/>
        <v>0</v>
      </c>
      <c r="AC337" s="12" t="str">
        <f t="shared" si="199"/>
        <v>ok</v>
      </c>
    </row>
    <row r="338" spans="1:29" x14ac:dyDescent="0.2">
      <c r="A338" s="3">
        <v>503</v>
      </c>
      <c r="B338" s="3" t="s">
        <v>768</v>
      </c>
      <c r="C338" s="3" t="s">
        <v>815</v>
      </c>
      <c r="D338" s="3" t="s">
        <v>552</v>
      </c>
      <c r="F338" s="24">
        <v>0</v>
      </c>
      <c r="H338" s="24">
        <f t="shared" si="186"/>
        <v>0</v>
      </c>
      <c r="I338" s="24">
        <f t="shared" si="187"/>
        <v>0</v>
      </c>
      <c r="J338" s="24"/>
      <c r="K338" s="24">
        <f t="shared" si="188"/>
        <v>0</v>
      </c>
      <c r="L338" s="24"/>
      <c r="M338" s="24">
        <f t="shared" si="189"/>
        <v>0</v>
      </c>
      <c r="N338" s="24"/>
      <c r="O338" s="24">
        <f t="shared" si="190"/>
        <v>0</v>
      </c>
      <c r="P338" s="24">
        <f t="shared" si="191"/>
        <v>0</v>
      </c>
      <c r="Q338" s="24"/>
      <c r="R338" s="24">
        <f t="shared" si="192"/>
        <v>0</v>
      </c>
      <c r="S338" s="24">
        <f t="shared" si="193"/>
        <v>0</v>
      </c>
      <c r="T338" s="24"/>
      <c r="U338" s="24">
        <f t="shared" si="194"/>
        <v>0</v>
      </c>
      <c r="V338" s="24"/>
      <c r="W338" s="24">
        <f t="shared" si="195"/>
        <v>0</v>
      </c>
      <c r="X338" s="24"/>
      <c r="Y338" s="24">
        <f t="shared" si="196"/>
        <v>0</v>
      </c>
      <c r="Z338" s="24"/>
      <c r="AA338" s="24">
        <f t="shared" si="197"/>
        <v>0</v>
      </c>
      <c r="AB338" s="24">
        <f t="shared" si="198"/>
        <v>0</v>
      </c>
      <c r="AC338" s="12" t="str">
        <f t="shared" si="199"/>
        <v>ok</v>
      </c>
    </row>
    <row r="339" spans="1:29" x14ac:dyDescent="0.2">
      <c r="A339" s="3">
        <v>504</v>
      </c>
      <c r="B339" s="3" t="s">
        <v>769</v>
      </c>
      <c r="C339" s="3" t="s">
        <v>816</v>
      </c>
      <c r="D339" s="3" t="s">
        <v>552</v>
      </c>
      <c r="F339" s="24">
        <v>0</v>
      </c>
      <c r="H339" s="24">
        <f t="shared" si="186"/>
        <v>0</v>
      </c>
      <c r="I339" s="24">
        <f t="shared" si="187"/>
        <v>0</v>
      </c>
      <c r="J339" s="24"/>
      <c r="K339" s="24">
        <f t="shared" si="188"/>
        <v>0</v>
      </c>
      <c r="L339" s="24"/>
      <c r="M339" s="24">
        <f t="shared" si="189"/>
        <v>0</v>
      </c>
      <c r="N339" s="24"/>
      <c r="O339" s="24">
        <f t="shared" si="190"/>
        <v>0</v>
      </c>
      <c r="P339" s="24">
        <f t="shared" si="191"/>
        <v>0</v>
      </c>
      <c r="Q339" s="24"/>
      <c r="R339" s="24">
        <f t="shared" si="192"/>
        <v>0</v>
      </c>
      <c r="S339" s="24">
        <f t="shared" si="193"/>
        <v>0</v>
      </c>
      <c r="T339" s="24"/>
      <c r="U339" s="24">
        <f t="shared" si="194"/>
        <v>0</v>
      </c>
      <c r="V339" s="24"/>
      <c r="W339" s="24">
        <f t="shared" si="195"/>
        <v>0</v>
      </c>
      <c r="X339" s="24"/>
      <c r="Y339" s="24">
        <f t="shared" si="196"/>
        <v>0</v>
      </c>
      <c r="Z339" s="24"/>
      <c r="AA339" s="24">
        <f t="shared" si="197"/>
        <v>0</v>
      </c>
      <c r="AB339" s="24">
        <f t="shared" si="198"/>
        <v>0</v>
      </c>
      <c r="AC339" s="12" t="str">
        <f t="shared" si="199"/>
        <v>ok</v>
      </c>
    </row>
    <row r="340" spans="1:29" x14ac:dyDescent="0.2">
      <c r="A340" s="3">
        <v>505</v>
      </c>
      <c r="B340" s="3" t="s">
        <v>770</v>
      </c>
      <c r="C340" s="3" t="s">
        <v>817</v>
      </c>
      <c r="D340" s="3" t="s">
        <v>552</v>
      </c>
      <c r="F340" s="24">
        <v>0</v>
      </c>
      <c r="H340" s="24">
        <f t="shared" si="186"/>
        <v>0</v>
      </c>
      <c r="I340" s="24">
        <f t="shared" si="187"/>
        <v>0</v>
      </c>
      <c r="J340" s="24"/>
      <c r="K340" s="24">
        <f t="shared" si="188"/>
        <v>0</v>
      </c>
      <c r="L340" s="24"/>
      <c r="M340" s="24">
        <f t="shared" si="189"/>
        <v>0</v>
      </c>
      <c r="N340" s="24"/>
      <c r="O340" s="24">
        <f t="shared" si="190"/>
        <v>0</v>
      </c>
      <c r="P340" s="24">
        <f t="shared" si="191"/>
        <v>0</v>
      </c>
      <c r="Q340" s="24"/>
      <c r="R340" s="24">
        <f t="shared" si="192"/>
        <v>0</v>
      </c>
      <c r="S340" s="24">
        <f t="shared" si="193"/>
        <v>0</v>
      </c>
      <c r="T340" s="24"/>
      <c r="U340" s="24">
        <f t="shared" si="194"/>
        <v>0</v>
      </c>
      <c r="V340" s="24"/>
      <c r="W340" s="24">
        <f t="shared" si="195"/>
        <v>0</v>
      </c>
      <c r="X340" s="24"/>
      <c r="Y340" s="24">
        <f t="shared" si="196"/>
        <v>0</v>
      </c>
      <c r="Z340" s="24"/>
      <c r="AA340" s="24">
        <f t="shared" si="197"/>
        <v>0</v>
      </c>
      <c r="AB340" s="24">
        <f t="shared" si="198"/>
        <v>0</v>
      </c>
      <c r="AC340" s="12" t="str">
        <f t="shared" si="199"/>
        <v>ok</v>
      </c>
    </row>
    <row r="341" spans="1:29" x14ac:dyDescent="0.2">
      <c r="A341" s="3">
        <v>506</v>
      </c>
      <c r="B341" s="3" t="s">
        <v>771</v>
      </c>
      <c r="C341" s="3" t="s">
        <v>818</v>
      </c>
      <c r="D341" s="3" t="s">
        <v>552</v>
      </c>
      <c r="F341" s="24">
        <v>0</v>
      </c>
      <c r="H341" s="24">
        <f t="shared" si="186"/>
        <v>0</v>
      </c>
      <c r="I341" s="24">
        <f t="shared" si="187"/>
        <v>0</v>
      </c>
      <c r="J341" s="24"/>
      <c r="K341" s="24">
        <f t="shared" si="188"/>
        <v>0</v>
      </c>
      <c r="L341" s="24"/>
      <c r="M341" s="24">
        <f t="shared" si="189"/>
        <v>0</v>
      </c>
      <c r="N341" s="24"/>
      <c r="O341" s="24">
        <f t="shared" si="190"/>
        <v>0</v>
      </c>
      <c r="P341" s="24">
        <f t="shared" si="191"/>
        <v>0</v>
      </c>
      <c r="Q341" s="24"/>
      <c r="R341" s="24">
        <f t="shared" si="192"/>
        <v>0</v>
      </c>
      <c r="S341" s="24">
        <f t="shared" si="193"/>
        <v>0</v>
      </c>
      <c r="T341" s="24"/>
      <c r="U341" s="24">
        <f t="shared" si="194"/>
        <v>0</v>
      </c>
      <c r="V341" s="24"/>
      <c r="W341" s="24">
        <f t="shared" si="195"/>
        <v>0</v>
      </c>
      <c r="X341" s="24"/>
      <c r="Y341" s="24">
        <f t="shared" si="196"/>
        <v>0</v>
      </c>
      <c r="Z341" s="24"/>
      <c r="AA341" s="24">
        <f t="shared" si="197"/>
        <v>0</v>
      </c>
      <c r="AB341" s="24">
        <f t="shared" si="198"/>
        <v>0</v>
      </c>
      <c r="AC341" s="12" t="str">
        <f t="shared" si="199"/>
        <v>ok</v>
      </c>
    </row>
    <row r="342" spans="1:29" x14ac:dyDescent="0.2">
      <c r="A342" s="3">
        <v>507</v>
      </c>
      <c r="B342" s="3" t="s">
        <v>114</v>
      </c>
      <c r="C342" s="3" t="s">
        <v>819</v>
      </c>
      <c r="D342" s="3" t="s">
        <v>552</v>
      </c>
      <c r="F342" s="24">
        <v>0</v>
      </c>
      <c r="H342" s="24">
        <f t="shared" si="186"/>
        <v>0</v>
      </c>
      <c r="I342" s="24">
        <f t="shared" si="187"/>
        <v>0</v>
      </c>
      <c r="J342" s="24"/>
      <c r="K342" s="24">
        <f t="shared" si="188"/>
        <v>0</v>
      </c>
      <c r="L342" s="24"/>
      <c r="M342" s="24">
        <f t="shared" si="189"/>
        <v>0</v>
      </c>
      <c r="N342" s="24"/>
      <c r="O342" s="24">
        <f t="shared" si="190"/>
        <v>0</v>
      </c>
      <c r="P342" s="24">
        <f t="shared" si="191"/>
        <v>0</v>
      </c>
      <c r="Q342" s="24"/>
      <c r="R342" s="24">
        <f t="shared" si="192"/>
        <v>0</v>
      </c>
      <c r="S342" s="24">
        <f t="shared" si="193"/>
        <v>0</v>
      </c>
      <c r="T342" s="24"/>
      <c r="U342" s="24">
        <f t="shared" si="194"/>
        <v>0</v>
      </c>
      <c r="V342" s="24"/>
      <c r="W342" s="24">
        <f t="shared" si="195"/>
        <v>0</v>
      </c>
      <c r="X342" s="24"/>
      <c r="Y342" s="24">
        <f t="shared" si="196"/>
        <v>0</v>
      </c>
      <c r="Z342" s="24"/>
      <c r="AA342" s="24">
        <f t="shared" si="197"/>
        <v>0</v>
      </c>
      <c r="AB342" s="24">
        <f t="shared" si="198"/>
        <v>0</v>
      </c>
      <c r="AC342" s="12" t="str">
        <f t="shared" si="199"/>
        <v>ok</v>
      </c>
    </row>
    <row r="343" spans="1:29" x14ac:dyDescent="0.2">
      <c r="A343" s="3">
        <v>509</v>
      </c>
      <c r="B343" s="3" t="s">
        <v>772</v>
      </c>
      <c r="C343" s="3" t="s">
        <v>820</v>
      </c>
      <c r="D343" s="3" t="s">
        <v>758</v>
      </c>
      <c r="F343" s="24">
        <v>0</v>
      </c>
      <c r="H343" s="24">
        <f t="shared" si="186"/>
        <v>0</v>
      </c>
      <c r="I343" s="24">
        <f t="shared" si="187"/>
        <v>0</v>
      </c>
      <c r="J343" s="24"/>
      <c r="K343" s="24">
        <f t="shared" si="188"/>
        <v>0</v>
      </c>
      <c r="L343" s="24"/>
      <c r="M343" s="24">
        <f t="shared" si="189"/>
        <v>0</v>
      </c>
      <c r="N343" s="24"/>
      <c r="O343" s="24">
        <f t="shared" si="190"/>
        <v>0</v>
      </c>
      <c r="P343" s="24">
        <f t="shared" si="191"/>
        <v>0</v>
      </c>
      <c r="Q343" s="24"/>
      <c r="R343" s="24">
        <f t="shared" si="192"/>
        <v>0</v>
      </c>
      <c r="S343" s="24">
        <f t="shared" si="193"/>
        <v>0</v>
      </c>
      <c r="T343" s="24"/>
      <c r="U343" s="24">
        <f t="shared" si="194"/>
        <v>0</v>
      </c>
      <c r="V343" s="24"/>
      <c r="W343" s="24">
        <f t="shared" si="195"/>
        <v>0</v>
      </c>
      <c r="X343" s="24"/>
      <c r="Y343" s="24">
        <f t="shared" si="196"/>
        <v>0</v>
      </c>
      <c r="Z343" s="24"/>
      <c r="AA343" s="24">
        <f t="shared" si="197"/>
        <v>0</v>
      </c>
      <c r="AB343" s="24">
        <f t="shared" si="198"/>
        <v>0</v>
      </c>
      <c r="AC343" s="12" t="str">
        <f t="shared" si="199"/>
        <v>ok</v>
      </c>
    </row>
    <row r="344" spans="1:29" x14ac:dyDescent="0.2"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C344" s="12"/>
    </row>
    <row r="345" spans="1:29" x14ac:dyDescent="0.2">
      <c r="A345" s="3" t="s">
        <v>764</v>
      </c>
      <c r="C345" s="3" t="s">
        <v>821</v>
      </c>
      <c r="F345" s="41">
        <f>SUM(F335:F344)</f>
        <v>0</v>
      </c>
      <c r="H345" s="41">
        <f>SUM(H335:H344)</f>
        <v>0</v>
      </c>
      <c r="I345" s="41">
        <f>SUM(I335:I344)</f>
        <v>0</v>
      </c>
      <c r="J345" s="41"/>
      <c r="K345" s="41">
        <f>SUM(K335:K344)</f>
        <v>0</v>
      </c>
      <c r="L345" s="41"/>
      <c r="M345" s="41">
        <f>SUM(M335:M344)</f>
        <v>0</v>
      </c>
      <c r="N345" s="41"/>
      <c r="O345" s="41">
        <f>SUM(O335:O344)</f>
        <v>0</v>
      </c>
      <c r="P345" s="41">
        <f>SUM(P335:P344)</f>
        <v>0</v>
      </c>
      <c r="Q345" s="41"/>
      <c r="R345" s="41">
        <f>SUM(R335:R344)</f>
        <v>0</v>
      </c>
      <c r="S345" s="41">
        <f>SUM(S335:S344)</f>
        <v>0</v>
      </c>
      <c r="T345" s="41"/>
      <c r="U345" s="41">
        <f>SUM(U335:U344)</f>
        <v>0</v>
      </c>
      <c r="V345" s="41"/>
      <c r="W345" s="41">
        <f>SUM(W335:W344)</f>
        <v>0</v>
      </c>
      <c r="X345" s="41"/>
      <c r="Y345" s="41">
        <f>SUM(Y335:Y344)</f>
        <v>0</v>
      </c>
      <c r="Z345" s="41"/>
      <c r="AA345" s="41">
        <f>SUM(AA335:AA344)</f>
        <v>0</v>
      </c>
      <c r="AB345" s="24">
        <f>SUM(H345:AA345)</f>
        <v>0</v>
      </c>
      <c r="AC345" s="12" t="str">
        <f>IF(ABS(AB345-F345)&lt;1,"ok","err")</f>
        <v>ok</v>
      </c>
    </row>
    <row r="346" spans="1:29" x14ac:dyDescent="0.2">
      <c r="A346" s="2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C346" s="12"/>
    </row>
    <row r="347" spans="1:29" x14ac:dyDescent="0.2">
      <c r="A347" s="2" t="s">
        <v>761</v>
      </c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C347" s="12"/>
    </row>
    <row r="348" spans="1:29" x14ac:dyDescent="0.2">
      <c r="A348" s="3">
        <v>510</v>
      </c>
      <c r="B348" s="3" t="s">
        <v>773</v>
      </c>
      <c r="C348" s="3" t="s">
        <v>822</v>
      </c>
      <c r="D348" s="3" t="s">
        <v>758</v>
      </c>
      <c r="F348" s="41">
        <v>0</v>
      </c>
      <c r="H348" s="24">
        <f>IF(VLOOKUP($D348,$C$5:$AA$494,6,)=0,0,((VLOOKUP($D348,$C$5:$AA$494,6,)/VLOOKUP($D348,$C$5:$AA$494,4,))*$F348))</f>
        <v>0</v>
      </c>
      <c r="I348" s="24">
        <f>IF(VLOOKUP($D348,$C$5:$AA$494,7,)=0,0,((VLOOKUP($D348,$C$5:$AA$494,7,)/VLOOKUP($D348,$C$5:$AA$494,4,))*$F348))</f>
        <v>0</v>
      </c>
      <c r="J348" s="24"/>
      <c r="K348" s="24">
        <f>IF(VLOOKUP($D348,$C$5:$AA$494,9,)=0,0,((VLOOKUP($D348,$C$5:$AA$494,9,)/VLOOKUP($D348,$C$5:$AA$494,4,))*$F348))</f>
        <v>0</v>
      </c>
      <c r="L348" s="24"/>
      <c r="M348" s="24">
        <f>IF(VLOOKUP($D348,$C$5:$AA$494,11,)=0,0,((VLOOKUP($D348,$C$5:$AA$494,11,)/VLOOKUP($D348,$C$5:$AA$494,4,))*$F348))</f>
        <v>0</v>
      </c>
      <c r="N348" s="24"/>
      <c r="O348" s="24">
        <f>IF(VLOOKUP($D348,$C$5:$AA$494,13,)=0,0,((VLOOKUP($D348,$C$5:$AA$494,13,)/VLOOKUP($D348,$C$5:$AA$494,4,))*$F348))</f>
        <v>0</v>
      </c>
      <c r="P348" s="24">
        <f>IF(VLOOKUP($D348,$C$5:$AA$494,14,)=0,0,((VLOOKUP($D348,$C$5:$AA$494,14,)/VLOOKUP($D348,$C$5:$AA$494,4,))*$F348))</f>
        <v>0</v>
      </c>
      <c r="Q348" s="24"/>
      <c r="R348" s="24">
        <f>IF(VLOOKUP($D348,$C$5:$AA$494,16,)=0,0,((VLOOKUP($D348,$C$5:$AA$494,16,)/VLOOKUP($D348,$C$5:$AA$494,4,))*$F348))</f>
        <v>0</v>
      </c>
      <c r="S348" s="24">
        <f>IF(VLOOKUP($D348,$C$5:$AA$494,17,)=0,0,((VLOOKUP($D348,$C$5:$AA$494,17,)/VLOOKUP($D348,$C$5:$AA$494,4,))*$F348))</f>
        <v>0</v>
      </c>
      <c r="T348" s="24"/>
      <c r="U348" s="24">
        <f>IF(VLOOKUP($D348,$C$5:$AA$494,19,)=0,0,((VLOOKUP($D348,$C$5:$AA$494,19,)/VLOOKUP($D348,$C$5:$AA$494,4,))*$F348))</f>
        <v>0</v>
      </c>
      <c r="V348" s="24"/>
      <c r="W348" s="24">
        <f>IF(VLOOKUP($D348,$C$5:$AA$494,21,)=0,0,((VLOOKUP($D348,$C$5:$AA$494,21,)/VLOOKUP($D348,$C$5:$AA$494,4,))*$F348))</f>
        <v>0</v>
      </c>
      <c r="X348" s="24"/>
      <c r="Y348" s="24">
        <f>IF(VLOOKUP($D348,$C$5:$AA$494,23,)=0,0,((VLOOKUP($D348,$C$5:$AA$494,23,)/VLOOKUP($D348,$C$5:$AA$494,4,))*$F348))</f>
        <v>0</v>
      </c>
      <c r="Z348" s="24"/>
      <c r="AA348" s="24">
        <f>IF(VLOOKUP($D348,$C$5:$AA$494,25,)=0,0,((VLOOKUP($D348,$C$5:$AA$494,25,)/VLOOKUP($D348,$C$5:$AA$494,4,))*$F348))</f>
        <v>0</v>
      </c>
      <c r="AB348" s="24">
        <f>SUM(H348:AA348)</f>
        <v>0</v>
      </c>
      <c r="AC348" s="12" t="str">
        <f>IF(ABS(AB348-F348)&lt;1,"ok","err")</f>
        <v>ok</v>
      </c>
    </row>
    <row r="349" spans="1:29" x14ac:dyDescent="0.2">
      <c r="A349" s="3">
        <v>511</v>
      </c>
      <c r="B349" s="3" t="s">
        <v>774</v>
      </c>
      <c r="C349" s="3" t="s">
        <v>823</v>
      </c>
      <c r="D349" s="3" t="s">
        <v>552</v>
      </c>
      <c r="F349" s="24">
        <v>0</v>
      </c>
      <c r="H349" s="24">
        <f>IF(VLOOKUP($D349,$C$5:$AA$494,6,)=0,0,((VLOOKUP($D349,$C$5:$AA$494,6,)/VLOOKUP($D349,$C$5:$AA$494,4,))*$F349))</f>
        <v>0</v>
      </c>
      <c r="I349" s="24">
        <f>IF(VLOOKUP($D349,$C$5:$AA$494,7,)=0,0,((VLOOKUP($D349,$C$5:$AA$494,7,)/VLOOKUP($D349,$C$5:$AA$494,4,))*$F349))</f>
        <v>0</v>
      </c>
      <c r="J349" s="24"/>
      <c r="K349" s="24">
        <f>IF(VLOOKUP($D349,$C$5:$AA$494,9,)=0,0,((VLOOKUP($D349,$C$5:$AA$494,9,)/VLOOKUP($D349,$C$5:$AA$494,4,))*$F349))</f>
        <v>0</v>
      </c>
      <c r="L349" s="24"/>
      <c r="M349" s="24">
        <f>IF(VLOOKUP($D349,$C$5:$AA$494,11,)=0,0,((VLOOKUP($D349,$C$5:$AA$494,11,)/VLOOKUP($D349,$C$5:$AA$494,4,))*$F349))</f>
        <v>0</v>
      </c>
      <c r="N349" s="24"/>
      <c r="O349" s="24">
        <f>IF(VLOOKUP($D349,$C$5:$AA$494,13,)=0,0,((VLOOKUP($D349,$C$5:$AA$494,13,)/VLOOKUP($D349,$C$5:$AA$494,4,))*$F349))</f>
        <v>0</v>
      </c>
      <c r="P349" s="24">
        <f>IF(VLOOKUP($D349,$C$5:$AA$494,14,)=0,0,((VLOOKUP($D349,$C$5:$AA$494,14,)/VLOOKUP($D349,$C$5:$AA$494,4,))*$F349))</f>
        <v>0</v>
      </c>
      <c r="Q349" s="24"/>
      <c r="R349" s="24">
        <f>IF(VLOOKUP($D349,$C$5:$AA$494,16,)=0,0,((VLOOKUP($D349,$C$5:$AA$494,16,)/VLOOKUP($D349,$C$5:$AA$494,4,))*$F349))</f>
        <v>0</v>
      </c>
      <c r="S349" s="24">
        <f>IF(VLOOKUP($D349,$C$5:$AA$494,17,)=0,0,((VLOOKUP($D349,$C$5:$AA$494,17,)/VLOOKUP($D349,$C$5:$AA$494,4,))*$F349))</f>
        <v>0</v>
      </c>
      <c r="T349" s="24"/>
      <c r="U349" s="24">
        <f>IF(VLOOKUP($D349,$C$5:$AA$494,19,)=0,0,((VLOOKUP($D349,$C$5:$AA$494,19,)/VLOOKUP($D349,$C$5:$AA$494,4,))*$F349))</f>
        <v>0</v>
      </c>
      <c r="V349" s="24"/>
      <c r="W349" s="24">
        <f>IF(VLOOKUP($D349,$C$5:$AA$494,21,)=0,0,((VLOOKUP($D349,$C$5:$AA$494,21,)/VLOOKUP($D349,$C$5:$AA$494,4,))*$F349))</f>
        <v>0</v>
      </c>
      <c r="X349" s="24"/>
      <c r="Y349" s="24">
        <f>IF(VLOOKUP($D349,$C$5:$AA$494,23,)=0,0,((VLOOKUP($D349,$C$5:$AA$494,23,)/VLOOKUP($D349,$C$5:$AA$494,4,))*$F349))</f>
        <v>0</v>
      </c>
      <c r="Z349" s="24"/>
      <c r="AA349" s="24">
        <f>IF(VLOOKUP($D349,$C$5:$AA$494,25,)=0,0,((VLOOKUP($D349,$C$5:$AA$494,25,)/VLOOKUP($D349,$C$5:$AA$494,4,))*$F349))</f>
        <v>0</v>
      </c>
      <c r="AB349" s="24">
        <f>SUM(H349:AA349)</f>
        <v>0</v>
      </c>
      <c r="AC349" s="12" t="str">
        <f>IF(ABS(AB349-F349)&lt;1,"ok","err")</f>
        <v>ok</v>
      </c>
    </row>
    <row r="350" spans="1:29" x14ac:dyDescent="0.2">
      <c r="A350" s="3">
        <v>512</v>
      </c>
      <c r="B350" s="3" t="s">
        <v>775</v>
      </c>
      <c r="C350" s="3" t="s">
        <v>824</v>
      </c>
      <c r="D350" s="3" t="s">
        <v>758</v>
      </c>
      <c r="F350" s="24">
        <v>0</v>
      </c>
      <c r="H350" s="24">
        <f>IF(VLOOKUP($D350,$C$5:$AA$494,6,)=0,0,((VLOOKUP($D350,$C$5:$AA$494,6,)/VLOOKUP($D350,$C$5:$AA$494,4,))*$F350))</f>
        <v>0</v>
      </c>
      <c r="I350" s="24">
        <f>IF(VLOOKUP($D350,$C$5:$AA$494,7,)=0,0,((VLOOKUP($D350,$C$5:$AA$494,7,)/VLOOKUP($D350,$C$5:$AA$494,4,))*$F350))</f>
        <v>0</v>
      </c>
      <c r="J350" s="24"/>
      <c r="K350" s="24">
        <f>IF(VLOOKUP($D350,$C$5:$AA$494,9,)=0,0,((VLOOKUP($D350,$C$5:$AA$494,9,)/VLOOKUP($D350,$C$5:$AA$494,4,))*$F350))</f>
        <v>0</v>
      </c>
      <c r="L350" s="24"/>
      <c r="M350" s="24">
        <f>IF(VLOOKUP($D350,$C$5:$AA$494,11,)=0,0,((VLOOKUP($D350,$C$5:$AA$494,11,)/VLOOKUP($D350,$C$5:$AA$494,4,))*$F350))</f>
        <v>0</v>
      </c>
      <c r="N350" s="24"/>
      <c r="O350" s="24">
        <f>IF(VLOOKUP($D350,$C$5:$AA$494,13,)=0,0,((VLOOKUP($D350,$C$5:$AA$494,13,)/VLOOKUP($D350,$C$5:$AA$494,4,))*$F350))</f>
        <v>0</v>
      </c>
      <c r="P350" s="24">
        <f>IF(VLOOKUP($D350,$C$5:$AA$494,14,)=0,0,((VLOOKUP($D350,$C$5:$AA$494,14,)/VLOOKUP($D350,$C$5:$AA$494,4,))*$F350))</f>
        <v>0</v>
      </c>
      <c r="Q350" s="24"/>
      <c r="R350" s="24">
        <f>IF(VLOOKUP($D350,$C$5:$AA$494,16,)=0,0,((VLOOKUP($D350,$C$5:$AA$494,16,)/VLOOKUP($D350,$C$5:$AA$494,4,))*$F350))</f>
        <v>0</v>
      </c>
      <c r="S350" s="24">
        <f>IF(VLOOKUP($D350,$C$5:$AA$494,17,)=0,0,((VLOOKUP($D350,$C$5:$AA$494,17,)/VLOOKUP($D350,$C$5:$AA$494,4,))*$F350))</f>
        <v>0</v>
      </c>
      <c r="T350" s="24"/>
      <c r="U350" s="24">
        <f>IF(VLOOKUP($D350,$C$5:$AA$494,19,)=0,0,((VLOOKUP($D350,$C$5:$AA$494,19,)/VLOOKUP($D350,$C$5:$AA$494,4,))*$F350))</f>
        <v>0</v>
      </c>
      <c r="V350" s="24"/>
      <c r="W350" s="24">
        <f>IF(VLOOKUP($D350,$C$5:$AA$494,21,)=0,0,((VLOOKUP($D350,$C$5:$AA$494,21,)/VLOOKUP($D350,$C$5:$AA$494,4,))*$F350))</f>
        <v>0</v>
      </c>
      <c r="X350" s="24"/>
      <c r="Y350" s="24">
        <f>IF(VLOOKUP($D350,$C$5:$AA$494,23,)=0,0,((VLOOKUP($D350,$C$5:$AA$494,23,)/VLOOKUP($D350,$C$5:$AA$494,4,))*$F350))</f>
        <v>0</v>
      </c>
      <c r="Z350" s="24"/>
      <c r="AA350" s="24">
        <f>IF(VLOOKUP($D350,$C$5:$AA$494,25,)=0,0,((VLOOKUP($D350,$C$5:$AA$494,25,)/VLOOKUP($D350,$C$5:$AA$494,4,))*$F350))</f>
        <v>0</v>
      </c>
      <c r="AB350" s="24">
        <f>SUM(H350:AA350)</f>
        <v>0</v>
      </c>
      <c r="AC350" s="12" t="str">
        <f>IF(ABS(AB350-F350)&lt;1,"ok","err")</f>
        <v>ok</v>
      </c>
    </row>
    <row r="351" spans="1:29" x14ac:dyDescent="0.2">
      <c r="A351" s="3">
        <v>513</v>
      </c>
      <c r="B351" s="3" t="s">
        <v>776</v>
      </c>
      <c r="C351" s="3" t="s">
        <v>825</v>
      </c>
      <c r="D351" s="3" t="s">
        <v>758</v>
      </c>
      <c r="F351" s="24">
        <v>0</v>
      </c>
      <c r="H351" s="24">
        <f>IF(VLOOKUP($D351,$C$5:$AA$494,6,)=0,0,((VLOOKUP($D351,$C$5:$AA$494,6,)/VLOOKUP($D351,$C$5:$AA$494,4,))*$F351))</f>
        <v>0</v>
      </c>
      <c r="I351" s="24">
        <f>IF(VLOOKUP($D351,$C$5:$AA$494,7,)=0,0,((VLOOKUP($D351,$C$5:$AA$494,7,)/VLOOKUP($D351,$C$5:$AA$494,4,))*$F351))</f>
        <v>0</v>
      </c>
      <c r="J351" s="24"/>
      <c r="K351" s="24">
        <f>IF(VLOOKUP($D351,$C$5:$AA$494,9,)=0,0,((VLOOKUP($D351,$C$5:$AA$494,9,)/VLOOKUP($D351,$C$5:$AA$494,4,))*$F351))</f>
        <v>0</v>
      </c>
      <c r="L351" s="24"/>
      <c r="M351" s="24">
        <f>IF(VLOOKUP($D351,$C$5:$AA$494,11,)=0,0,((VLOOKUP($D351,$C$5:$AA$494,11,)/VLOOKUP($D351,$C$5:$AA$494,4,))*$F351))</f>
        <v>0</v>
      </c>
      <c r="N351" s="24"/>
      <c r="O351" s="24">
        <f>IF(VLOOKUP($D351,$C$5:$AA$494,13,)=0,0,((VLOOKUP($D351,$C$5:$AA$494,13,)/VLOOKUP($D351,$C$5:$AA$494,4,))*$F351))</f>
        <v>0</v>
      </c>
      <c r="P351" s="24">
        <f>IF(VLOOKUP($D351,$C$5:$AA$494,14,)=0,0,((VLOOKUP($D351,$C$5:$AA$494,14,)/VLOOKUP($D351,$C$5:$AA$494,4,))*$F351))</f>
        <v>0</v>
      </c>
      <c r="Q351" s="24"/>
      <c r="R351" s="24">
        <f>IF(VLOOKUP($D351,$C$5:$AA$494,16,)=0,0,((VLOOKUP($D351,$C$5:$AA$494,16,)/VLOOKUP($D351,$C$5:$AA$494,4,))*$F351))</f>
        <v>0</v>
      </c>
      <c r="S351" s="24">
        <f>IF(VLOOKUP($D351,$C$5:$AA$494,17,)=0,0,((VLOOKUP($D351,$C$5:$AA$494,17,)/VLOOKUP($D351,$C$5:$AA$494,4,))*$F351))</f>
        <v>0</v>
      </c>
      <c r="T351" s="24"/>
      <c r="U351" s="24">
        <f>IF(VLOOKUP($D351,$C$5:$AA$494,19,)=0,0,((VLOOKUP($D351,$C$5:$AA$494,19,)/VLOOKUP($D351,$C$5:$AA$494,4,))*$F351))</f>
        <v>0</v>
      </c>
      <c r="V351" s="24"/>
      <c r="W351" s="24">
        <f>IF(VLOOKUP($D351,$C$5:$AA$494,21,)=0,0,((VLOOKUP($D351,$C$5:$AA$494,21,)/VLOOKUP($D351,$C$5:$AA$494,4,))*$F351))</f>
        <v>0</v>
      </c>
      <c r="X351" s="24"/>
      <c r="Y351" s="24">
        <f>IF(VLOOKUP($D351,$C$5:$AA$494,23,)=0,0,((VLOOKUP($D351,$C$5:$AA$494,23,)/VLOOKUP($D351,$C$5:$AA$494,4,))*$F351))</f>
        <v>0</v>
      </c>
      <c r="Z351" s="24"/>
      <c r="AA351" s="24">
        <f>IF(VLOOKUP($D351,$C$5:$AA$494,25,)=0,0,((VLOOKUP($D351,$C$5:$AA$494,25,)/VLOOKUP($D351,$C$5:$AA$494,4,))*$F351))</f>
        <v>0</v>
      </c>
      <c r="AB351" s="24">
        <f>SUM(H351:AA351)</f>
        <v>0</v>
      </c>
      <c r="AC351" s="12" t="str">
        <f>IF(ABS(AB351-F351)&lt;1,"ok","err")</f>
        <v>ok</v>
      </c>
    </row>
    <row r="352" spans="1:29" x14ac:dyDescent="0.2">
      <c r="A352" s="3">
        <v>514</v>
      </c>
      <c r="B352" s="3" t="s">
        <v>777</v>
      </c>
      <c r="C352" s="3" t="s">
        <v>826</v>
      </c>
      <c r="D352" s="3" t="s">
        <v>552</v>
      </c>
      <c r="F352" s="24">
        <v>0</v>
      </c>
      <c r="H352" s="24">
        <f>IF(VLOOKUP($D352,$C$5:$AA$494,6,)=0,0,((VLOOKUP($D352,$C$5:$AA$494,6,)/VLOOKUP($D352,$C$5:$AA$494,4,))*$F352))</f>
        <v>0</v>
      </c>
      <c r="I352" s="24">
        <f>IF(VLOOKUP($D352,$C$5:$AA$494,7,)=0,0,((VLOOKUP($D352,$C$5:$AA$494,7,)/VLOOKUP($D352,$C$5:$AA$494,4,))*$F352))</f>
        <v>0</v>
      </c>
      <c r="J352" s="24"/>
      <c r="K352" s="24">
        <f>IF(VLOOKUP($D352,$C$5:$AA$494,9,)=0,0,((VLOOKUP($D352,$C$5:$AA$494,9,)/VLOOKUP($D352,$C$5:$AA$494,4,))*$F352))</f>
        <v>0</v>
      </c>
      <c r="L352" s="24"/>
      <c r="M352" s="24">
        <f>IF(VLOOKUP($D352,$C$5:$AA$494,11,)=0,0,((VLOOKUP($D352,$C$5:$AA$494,11,)/VLOOKUP($D352,$C$5:$AA$494,4,))*$F352))</f>
        <v>0</v>
      </c>
      <c r="N352" s="24"/>
      <c r="O352" s="24">
        <f>IF(VLOOKUP($D352,$C$5:$AA$494,13,)=0,0,((VLOOKUP($D352,$C$5:$AA$494,13,)/VLOOKUP($D352,$C$5:$AA$494,4,))*$F352))</f>
        <v>0</v>
      </c>
      <c r="P352" s="24">
        <f>IF(VLOOKUP($D352,$C$5:$AA$494,14,)=0,0,((VLOOKUP($D352,$C$5:$AA$494,14,)/VLOOKUP($D352,$C$5:$AA$494,4,))*$F352))</f>
        <v>0</v>
      </c>
      <c r="Q352" s="24"/>
      <c r="R352" s="24">
        <f>IF(VLOOKUP($D352,$C$5:$AA$494,16,)=0,0,((VLOOKUP($D352,$C$5:$AA$494,16,)/VLOOKUP($D352,$C$5:$AA$494,4,))*$F352))</f>
        <v>0</v>
      </c>
      <c r="S352" s="24">
        <f>IF(VLOOKUP($D352,$C$5:$AA$494,17,)=0,0,((VLOOKUP($D352,$C$5:$AA$494,17,)/VLOOKUP($D352,$C$5:$AA$494,4,))*$F352))</f>
        <v>0</v>
      </c>
      <c r="T352" s="24"/>
      <c r="U352" s="24">
        <f>IF(VLOOKUP($D352,$C$5:$AA$494,19,)=0,0,((VLOOKUP($D352,$C$5:$AA$494,19,)/VLOOKUP($D352,$C$5:$AA$494,4,))*$F352))</f>
        <v>0</v>
      </c>
      <c r="V352" s="24"/>
      <c r="W352" s="24">
        <f>IF(VLOOKUP($D352,$C$5:$AA$494,21,)=0,0,((VLOOKUP($D352,$C$5:$AA$494,21,)/VLOOKUP($D352,$C$5:$AA$494,4,))*$F352))</f>
        <v>0</v>
      </c>
      <c r="X352" s="24"/>
      <c r="Y352" s="24">
        <f>IF(VLOOKUP($D352,$C$5:$AA$494,23,)=0,0,((VLOOKUP($D352,$C$5:$AA$494,23,)/VLOOKUP($D352,$C$5:$AA$494,4,))*$F352))</f>
        <v>0</v>
      </c>
      <c r="Z352" s="24"/>
      <c r="AA352" s="24">
        <f>IF(VLOOKUP($D352,$C$5:$AA$494,25,)=0,0,((VLOOKUP($D352,$C$5:$AA$494,25,)/VLOOKUP($D352,$C$5:$AA$494,4,))*$F352))</f>
        <v>0</v>
      </c>
      <c r="AB352" s="24">
        <f>SUM(H352:AA352)</f>
        <v>0</v>
      </c>
      <c r="AC352" s="12" t="str">
        <f>IF(ABS(AB352-F352)&lt;1,"ok","err")</f>
        <v>ok</v>
      </c>
    </row>
    <row r="353" spans="1:29" x14ac:dyDescent="0.2"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12"/>
    </row>
    <row r="354" spans="1:29" x14ac:dyDescent="0.2">
      <c r="A354" s="3" t="s">
        <v>762</v>
      </c>
      <c r="C354" s="3" t="s">
        <v>827</v>
      </c>
      <c r="F354" s="41">
        <f>SUM(F348:F353)</f>
        <v>0</v>
      </c>
      <c r="H354" s="41">
        <f>SUM(H348:H353)</f>
        <v>0</v>
      </c>
      <c r="I354" s="41">
        <f>SUM(I348:I353)</f>
        <v>0</v>
      </c>
      <c r="J354" s="41"/>
      <c r="K354" s="41">
        <f>SUM(K348:K353)</f>
        <v>0</v>
      </c>
      <c r="L354" s="41"/>
      <c r="M354" s="41">
        <f>SUM(M348:M353)</f>
        <v>0</v>
      </c>
      <c r="N354" s="41"/>
      <c r="O354" s="41">
        <f>SUM(O348:O353)</f>
        <v>0</v>
      </c>
      <c r="P354" s="41">
        <f>SUM(P348:P353)</f>
        <v>0</v>
      </c>
      <c r="Q354" s="41"/>
      <c r="R354" s="41">
        <f>SUM(R348:R353)</f>
        <v>0</v>
      </c>
      <c r="S354" s="41">
        <f>SUM(S348:S353)</f>
        <v>0</v>
      </c>
      <c r="T354" s="41"/>
      <c r="U354" s="41">
        <f>SUM(U348:U353)</f>
        <v>0</v>
      </c>
      <c r="V354" s="41"/>
      <c r="W354" s="41">
        <f>SUM(W348:W353)</f>
        <v>0</v>
      </c>
      <c r="X354" s="41"/>
      <c r="Y354" s="41">
        <f>SUM(Y348:Y353)</f>
        <v>0</v>
      </c>
      <c r="Z354" s="41"/>
      <c r="AA354" s="41">
        <f>SUM(AA348:AA353)</f>
        <v>0</v>
      </c>
      <c r="AB354" s="24">
        <f>SUM(H354:AA354)</f>
        <v>0</v>
      </c>
      <c r="AC354" s="12" t="str">
        <f>IF(ABS(AB354-F354)&lt;1,"ok","err")</f>
        <v>ok</v>
      </c>
    </row>
    <row r="355" spans="1:29" x14ac:dyDescent="0.2">
      <c r="F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C355" s="12"/>
    </row>
    <row r="356" spans="1:29" x14ac:dyDescent="0.2">
      <c r="A356" s="3" t="s">
        <v>763</v>
      </c>
      <c r="C356" s="3" t="s">
        <v>828</v>
      </c>
      <c r="F356" s="24">
        <f>F345+F354</f>
        <v>0</v>
      </c>
      <c r="H356" s="24">
        <f>H345+H354</f>
        <v>0</v>
      </c>
      <c r="I356" s="24">
        <f>I345+I354</f>
        <v>0</v>
      </c>
      <c r="J356" s="24"/>
      <c r="K356" s="24">
        <f>K345+K354</f>
        <v>0</v>
      </c>
      <c r="L356" s="24"/>
      <c r="M356" s="24">
        <f>M345+M354</f>
        <v>0</v>
      </c>
      <c r="N356" s="24"/>
      <c r="O356" s="24">
        <f>O345+O354</f>
        <v>0</v>
      </c>
      <c r="P356" s="24">
        <f>P345+P354</f>
        <v>0</v>
      </c>
      <c r="Q356" s="24"/>
      <c r="R356" s="24">
        <f>R345+R354</f>
        <v>0</v>
      </c>
      <c r="S356" s="24">
        <f>S345+S354</f>
        <v>0</v>
      </c>
      <c r="T356" s="24"/>
      <c r="U356" s="24">
        <f>U345+U354</f>
        <v>0</v>
      </c>
      <c r="V356" s="24"/>
      <c r="W356" s="24">
        <f>W345+W354</f>
        <v>0</v>
      </c>
      <c r="X356" s="24"/>
      <c r="Y356" s="24">
        <f>Y345+Y354</f>
        <v>0</v>
      </c>
      <c r="Z356" s="24"/>
      <c r="AA356" s="24">
        <f>AA345+AA354</f>
        <v>0</v>
      </c>
      <c r="AB356" s="24">
        <f>SUM(H356:AA356)</f>
        <v>0</v>
      </c>
      <c r="AC356" s="12" t="str">
        <f>IF(ABS(AB356-F356)&lt;1,"ok","err")</f>
        <v>ok</v>
      </c>
    </row>
    <row r="357" spans="1:29" x14ac:dyDescent="0.2">
      <c r="A357" s="10"/>
      <c r="Q357" s="3"/>
      <c r="AC357" s="12"/>
    </row>
    <row r="358" spans="1:29" x14ac:dyDescent="0.2">
      <c r="A358" s="10"/>
      <c r="Q358" s="3"/>
      <c r="AC358" s="12"/>
    </row>
    <row r="359" spans="1:29" x14ac:dyDescent="0.2">
      <c r="A359" s="10" t="s">
        <v>473</v>
      </c>
      <c r="Q359" s="3"/>
      <c r="AC359" s="12"/>
    </row>
    <row r="360" spans="1:29" x14ac:dyDescent="0.2">
      <c r="A360" s="10"/>
      <c r="Q360" s="3"/>
      <c r="AC360" s="12"/>
    </row>
    <row r="361" spans="1:29" x14ac:dyDescent="0.2">
      <c r="A361" s="2" t="s">
        <v>95</v>
      </c>
      <c r="Q361" s="3"/>
      <c r="AC361" s="12"/>
    </row>
    <row r="362" spans="1:29" x14ac:dyDescent="0.2">
      <c r="A362" s="3">
        <v>555</v>
      </c>
      <c r="B362" s="3" t="s">
        <v>378</v>
      </c>
      <c r="C362" s="3" t="s">
        <v>530</v>
      </c>
      <c r="D362" s="3" t="s">
        <v>96</v>
      </c>
      <c r="F362" s="41">
        <v>0</v>
      </c>
      <c r="G362" s="41"/>
      <c r="H362" s="24">
        <f>IF(VLOOKUP($D362,$C$5:$AA$494,6,)=0,0,((VLOOKUP($D362,$C$5:$AA$494,6,)/VLOOKUP($D362,$C$5:$AA$494,4,))*$F362))</f>
        <v>0</v>
      </c>
      <c r="I362" s="24">
        <f>IF(VLOOKUP($D362,$C$5:$AA$494,7,)=0,0,((VLOOKUP($D362,$C$5:$AA$494,7,)/VLOOKUP($D362,$C$5:$AA$494,4,))*$F362))</f>
        <v>0</v>
      </c>
      <c r="J362" s="24"/>
      <c r="K362" s="24">
        <f>IF(VLOOKUP($D362,$C$5:$AA$494,9,)=0,0,((VLOOKUP($D362,$C$5:$AA$494,9,)/VLOOKUP($D362,$C$5:$AA$494,4,))*$F362))</f>
        <v>0</v>
      </c>
      <c r="L362" s="24"/>
      <c r="M362" s="24">
        <f>IF(VLOOKUP($D362,$C$5:$AA$494,11,)=0,0,((VLOOKUP($D362,$C$5:$AA$494,11,)/VLOOKUP($D362,$C$5:$AA$494,4,))*$F362))</f>
        <v>0</v>
      </c>
      <c r="N362" s="24"/>
      <c r="O362" s="24">
        <f>IF(VLOOKUP($D362,$C$5:$AA$494,13,)=0,0,((VLOOKUP($D362,$C$5:$AA$494,13,)/VLOOKUP($D362,$C$5:$AA$494,4,))*$F362))</f>
        <v>0</v>
      </c>
      <c r="P362" s="24">
        <f>IF(VLOOKUP($D362,$C$5:$AA$494,14,)=0,0,((VLOOKUP($D362,$C$5:$AA$494,14,)/VLOOKUP($D362,$C$5:$AA$494,4,))*$F362))</f>
        <v>0</v>
      </c>
      <c r="Q362" s="24"/>
      <c r="R362" s="24">
        <f>IF(VLOOKUP($D362,$C$5:$AA$494,16,)=0,0,((VLOOKUP($D362,$C$5:$AA$494,16,)/VLOOKUP($D362,$C$5:$AA$494,4,))*$F362))</f>
        <v>0</v>
      </c>
      <c r="S362" s="24">
        <f>IF(VLOOKUP($D362,$C$5:$AA$494,17,)=0,0,((VLOOKUP($D362,$C$5:$AA$494,17,)/VLOOKUP($D362,$C$5:$AA$494,4,))*$F362))</f>
        <v>0</v>
      </c>
      <c r="T362" s="24"/>
      <c r="U362" s="24">
        <f>IF(VLOOKUP($D362,$C$5:$AA$494,19,)=0,0,((VLOOKUP($D362,$C$5:$AA$494,19,)/VLOOKUP($D362,$C$5:$AA$494,4,))*$F362))</f>
        <v>0</v>
      </c>
      <c r="V362" s="24"/>
      <c r="W362" s="24">
        <f>IF(VLOOKUP($D362,$C$5:$AA$494,21,)=0,0,((VLOOKUP($D362,$C$5:$AA$494,21,)/VLOOKUP($D362,$C$5:$AA$494,4,))*$F362))</f>
        <v>0</v>
      </c>
      <c r="X362" s="24"/>
      <c r="Y362" s="24">
        <f>IF(VLOOKUP($D362,$C$5:$AA$494,23,)=0,0,((VLOOKUP($D362,$C$5:$AA$494,23,)/VLOOKUP($D362,$C$5:$AA$494,4,))*$F362))</f>
        <v>0</v>
      </c>
      <c r="Z362" s="24"/>
      <c r="AA362" s="24">
        <f>IF(VLOOKUP($D362,$C$5:$AA$494,25,)=0,0,((VLOOKUP($D362,$C$5:$AA$494,25,)/VLOOKUP($D362,$C$5:$AA$494,4,))*$F362))</f>
        <v>0</v>
      </c>
      <c r="AB362" s="24">
        <f>SUM(H362:AA362)</f>
        <v>0</v>
      </c>
      <c r="AC362" s="12" t="str">
        <f>IF(ABS(AB362-F362)&lt;1,"ok","err")</f>
        <v>ok</v>
      </c>
    </row>
    <row r="363" spans="1:29" x14ac:dyDescent="0.2">
      <c r="A363" s="3">
        <v>557</v>
      </c>
      <c r="B363" s="3" t="s">
        <v>398</v>
      </c>
      <c r="C363" s="3" t="s">
        <v>475</v>
      </c>
      <c r="D363" s="3" t="s">
        <v>96</v>
      </c>
      <c r="F363" s="24"/>
      <c r="G363" s="41"/>
      <c r="H363" s="24">
        <f>IF(VLOOKUP($D363,$C$5:$AA$494,6,)=0,0,((VLOOKUP($D363,$C$5:$AA$494,6,)/VLOOKUP($D363,$C$5:$AA$494,4,))*$F363))</f>
        <v>0</v>
      </c>
      <c r="I363" s="24">
        <f>IF(VLOOKUP($D363,$C$5:$AA$494,7,)=0,0,((VLOOKUP($D363,$C$5:$AA$494,7,)/VLOOKUP($D363,$C$5:$AA$494,4,))*$F363))</f>
        <v>0</v>
      </c>
      <c r="J363" s="24"/>
      <c r="K363" s="24">
        <f>IF(VLOOKUP($D363,$C$5:$AA$494,9,)=0,0,((VLOOKUP($D363,$C$5:$AA$494,9,)/VLOOKUP($D363,$C$5:$AA$494,4,))*$F363))</f>
        <v>0</v>
      </c>
      <c r="L363" s="24"/>
      <c r="M363" s="24">
        <f>IF(VLOOKUP($D363,$C$5:$AA$494,11,)=0,0,((VLOOKUP($D363,$C$5:$AA$494,11,)/VLOOKUP($D363,$C$5:$AA$494,4,))*$F363))</f>
        <v>0</v>
      </c>
      <c r="N363" s="24"/>
      <c r="O363" s="24">
        <f>IF(VLOOKUP($D363,$C$5:$AA$494,13,)=0,0,((VLOOKUP($D363,$C$5:$AA$494,13,)/VLOOKUP($D363,$C$5:$AA$494,4,))*$F363))</f>
        <v>0</v>
      </c>
      <c r="P363" s="24">
        <f>IF(VLOOKUP($D363,$C$5:$AA$494,14,)=0,0,((VLOOKUP($D363,$C$5:$AA$494,14,)/VLOOKUP($D363,$C$5:$AA$494,4,))*$F363))</f>
        <v>0</v>
      </c>
      <c r="Q363" s="24"/>
      <c r="R363" s="24">
        <f>IF(VLOOKUP($D363,$C$5:$AA$494,16,)=0,0,((VLOOKUP($D363,$C$5:$AA$494,16,)/VLOOKUP($D363,$C$5:$AA$494,4,))*$F363))</f>
        <v>0</v>
      </c>
      <c r="S363" s="24">
        <f>IF(VLOOKUP($D363,$C$5:$AA$494,17,)=0,0,((VLOOKUP($D363,$C$5:$AA$494,17,)/VLOOKUP($D363,$C$5:$AA$494,4,))*$F363))</f>
        <v>0</v>
      </c>
      <c r="T363" s="24"/>
      <c r="U363" s="24">
        <f>IF(VLOOKUP($D363,$C$5:$AA$494,19,)=0,0,((VLOOKUP($D363,$C$5:$AA$494,19,)/VLOOKUP($D363,$C$5:$AA$494,4,))*$F363))</f>
        <v>0</v>
      </c>
      <c r="V363" s="24"/>
      <c r="W363" s="24">
        <f>IF(VLOOKUP($D363,$C$5:$AA$494,21,)=0,0,((VLOOKUP($D363,$C$5:$AA$494,21,)/VLOOKUP($D363,$C$5:$AA$494,4,))*$F363))</f>
        <v>0</v>
      </c>
      <c r="X363" s="24"/>
      <c r="Y363" s="24">
        <f>IF(VLOOKUP($D363,$C$5:$AA$494,23,)=0,0,((VLOOKUP($D363,$C$5:$AA$494,23,)/VLOOKUP($D363,$C$5:$AA$494,4,))*$F363))</f>
        <v>0</v>
      </c>
      <c r="Z363" s="24"/>
      <c r="AA363" s="24">
        <f>IF(VLOOKUP($D363,$C$5:$AA$494,25,)=0,0,((VLOOKUP($D363,$C$5:$AA$494,25,)/VLOOKUP($D363,$C$5:$AA$494,4,))*$F363))</f>
        <v>0</v>
      </c>
      <c r="AB363" s="24">
        <f>SUM(H363:AA363)</f>
        <v>0</v>
      </c>
      <c r="AC363" s="12" t="str">
        <f>IF(ABS(AB363-F363)&lt;1,"ok","err")</f>
        <v>ok</v>
      </c>
    </row>
    <row r="364" spans="1:29" x14ac:dyDescent="0.2">
      <c r="F364" s="24"/>
      <c r="G364" s="41"/>
      <c r="H364" s="41"/>
      <c r="I364" s="41"/>
      <c r="J364" s="41"/>
      <c r="K364" s="41"/>
      <c r="L364" s="41"/>
      <c r="M364" s="41"/>
      <c r="N364" s="41"/>
      <c r="O364" s="41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24"/>
      <c r="AC364" s="12"/>
    </row>
    <row r="365" spans="1:29" x14ac:dyDescent="0.2">
      <c r="B365" s="3" t="s">
        <v>532</v>
      </c>
      <c r="C365" s="3" t="s">
        <v>474</v>
      </c>
      <c r="F365" s="41">
        <f>SUM(F362:F364)</f>
        <v>0</v>
      </c>
      <c r="G365" s="41"/>
      <c r="H365" s="41">
        <f>SUM(H362:H364)</f>
        <v>0</v>
      </c>
      <c r="I365" s="41">
        <f>SUM(I362:I364)</f>
        <v>0</v>
      </c>
      <c r="J365" s="41"/>
      <c r="K365" s="41">
        <f>SUM(K362:K364)</f>
        <v>0</v>
      </c>
      <c r="L365" s="41"/>
      <c r="M365" s="41">
        <f>SUM(M362:M364)</f>
        <v>0</v>
      </c>
      <c r="N365" s="41"/>
      <c r="O365" s="41">
        <f>SUM(O362:O364)</f>
        <v>0</v>
      </c>
      <c r="P365" s="41">
        <f>SUM(P362:P364)</f>
        <v>0</v>
      </c>
      <c r="Q365" s="41"/>
      <c r="R365" s="41">
        <f>SUM(R362:R364)</f>
        <v>0</v>
      </c>
      <c r="S365" s="41">
        <f>SUM(S362:S364)</f>
        <v>0</v>
      </c>
      <c r="T365" s="41"/>
      <c r="U365" s="41">
        <f>SUM(U362:U364)</f>
        <v>0</v>
      </c>
      <c r="V365" s="41"/>
      <c r="W365" s="41">
        <f>SUM(W362:W364)</f>
        <v>0</v>
      </c>
      <c r="X365" s="41"/>
      <c r="Y365" s="41">
        <f>SUM(Y362:Y364)</f>
        <v>0</v>
      </c>
      <c r="Z365" s="41"/>
      <c r="AA365" s="41">
        <f>SUM(AA362:AA364)</f>
        <v>0</v>
      </c>
      <c r="AB365" s="24">
        <f>SUM(H365:AA365)</f>
        <v>0</v>
      </c>
      <c r="AC365" s="12" t="str">
        <f>IF(ABS(AB365-F365)&lt;1,"ok","err")</f>
        <v>ok</v>
      </c>
    </row>
    <row r="366" spans="1:29" x14ac:dyDescent="0.2">
      <c r="F366" s="41"/>
      <c r="G366" s="41"/>
      <c r="H366" s="41"/>
      <c r="I366" s="41"/>
      <c r="J366" s="41"/>
      <c r="K366" s="41"/>
      <c r="L366" s="41"/>
      <c r="M366" s="41"/>
      <c r="N366" s="41"/>
      <c r="O366" s="41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24"/>
      <c r="AC366" s="12"/>
    </row>
    <row r="367" spans="1:29" x14ac:dyDescent="0.2">
      <c r="A367" s="2" t="s">
        <v>534</v>
      </c>
      <c r="F367" s="41"/>
      <c r="G367" s="41"/>
      <c r="H367" s="41"/>
      <c r="I367" s="41"/>
      <c r="J367" s="41"/>
      <c r="K367" s="41"/>
      <c r="L367" s="41"/>
      <c r="M367" s="41"/>
      <c r="N367" s="41"/>
      <c r="O367" s="41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24"/>
      <c r="AC367" s="12"/>
    </row>
    <row r="368" spans="1:29" x14ac:dyDescent="0.2">
      <c r="A368" s="3">
        <v>560</v>
      </c>
      <c r="B368" s="3" t="s">
        <v>373</v>
      </c>
      <c r="C368" s="3" t="s">
        <v>531</v>
      </c>
      <c r="D368" s="3" t="s">
        <v>390</v>
      </c>
      <c r="F368" s="41">
        <v>0</v>
      </c>
      <c r="G368" s="41"/>
      <c r="H368" s="24">
        <f t="shared" ref="H368:H375" si="200">IF((VLOOKUP($D368,$C$5:$AA$494,6,)=0),0,((VLOOKUP($D368,$C$5:$AA$494,6,)/VLOOKUP($D368,$C$5:$AA$494,4,))*$F368))</f>
        <v>0</v>
      </c>
      <c r="I368" s="24">
        <f t="shared" ref="I368:I375" si="201">IF((VLOOKUP($D368,$C$5:$AA$494,7,)=0),0,((VLOOKUP($D368,$C$5:$AA$494,7,)/VLOOKUP($D368,$C$5:$AA$494,4,))*$F368))</f>
        <v>0</v>
      </c>
      <c r="J368" s="24"/>
      <c r="K368" s="24">
        <f t="shared" ref="K368:K375" si="202">IF((VLOOKUP($D368,$C$5:$AA$494,9,)=0),0,((VLOOKUP($D368,$C$5:$AA$494,9,)/VLOOKUP($D368,$C$5:$AA$494,4,))*$F368))</f>
        <v>0</v>
      </c>
      <c r="L368" s="24"/>
      <c r="M368" s="24">
        <f t="shared" ref="M368:M375" si="203">IF((VLOOKUP($D368,$C$5:$AA$494,11,)=0),0,((VLOOKUP($D368,$C$5:$AA$494,11,)/VLOOKUP($D368,$C$5:$AA$494,4,))*$F368))</f>
        <v>0</v>
      </c>
      <c r="N368" s="24"/>
      <c r="O368" s="24">
        <f t="shared" ref="O368:O375" si="204">IF((VLOOKUP($D368,$C$5:$AA$494,13,)=0),0,((VLOOKUP($D368,$C$5:$AA$494,13,)/VLOOKUP($D368,$C$5:$AA$494,4,))*$F368))</f>
        <v>0</v>
      </c>
      <c r="P368" s="24">
        <f t="shared" ref="P368:P375" si="205">IF((VLOOKUP($D368,$C$5:$AA$494,14,)=0),0,((VLOOKUP($D368,$C$5:$AA$494,14,)/VLOOKUP($D368,$C$5:$AA$494,4,))*$F368))</f>
        <v>0</v>
      </c>
      <c r="Q368" s="24"/>
      <c r="R368" s="24">
        <f t="shared" ref="R368:R375" si="206">IF((VLOOKUP($D368,$C$5:$AA$494,16,)=0),0,((VLOOKUP($D368,$C$5:$AA$494,16,)/VLOOKUP($D368,$C$5:$AA$494,4,))*$F368))</f>
        <v>0</v>
      </c>
      <c r="S368" s="24">
        <f t="shared" ref="S368:S375" si="207">IF((VLOOKUP($D368,$C$5:$AA$494,17,)=0),0,((VLOOKUP($D368,$C$5:$AA$494,17,)/VLOOKUP($D368,$C$5:$AA$494,4,))*$F368))</f>
        <v>0</v>
      </c>
      <c r="T368" s="24"/>
      <c r="U368" s="24">
        <f t="shared" ref="U368:U375" si="208">IF((VLOOKUP($D368,$C$5:$AA$494,19,)=0),0,((VLOOKUP($D368,$C$5:$AA$494,19,)/VLOOKUP($D368,$C$5:$AA$494,4,))*$F368))</f>
        <v>0</v>
      </c>
      <c r="V368" s="24"/>
      <c r="W368" s="24">
        <f t="shared" ref="W368:W375" si="209">IF((VLOOKUP($D368,$C$5:$AA$494,21,)=0),0,((VLOOKUP($D368,$C$5:$AA$494,21,)/VLOOKUP($D368,$C$5:$AA$494,4,))*$F368))</f>
        <v>0</v>
      </c>
      <c r="X368" s="24"/>
      <c r="Y368" s="24">
        <f t="shared" ref="Y368:Y375" si="210">IF((VLOOKUP($D368,$C$5:$AA$494,23,)=0),0,((VLOOKUP($D368,$C$5:$AA$494,23,)/VLOOKUP($D368,$C$5:$AA$494,4,))*$F368))</f>
        <v>0</v>
      </c>
      <c r="Z368" s="24"/>
      <c r="AA368" s="24">
        <f t="shared" ref="AA368:AA375" si="211">IF((VLOOKUP($D368,$C$5:$AA$494,25,)=0),0,((VLOOKUP($D368,$C$5:$AA$494,25,)/VLOOKUP($D368,$C$5:$AA$494,4,))*$F368))</f>
        <v>0</v>
      </c>
      <c r="AB368" s="24">
        <f t="shared" ref="AB368:AB375" si="212">SUM(H368:AA368)</f>
        <v>0</v>
      </c>
      <c r="AC368" s="12" t="str">
        <f t="shared" ref="AC368:AC375" si="213">IF(ABS(AB368-F368)&lt;1,"ok","err")</f>
        <v>ok</v>
      </c>
    </row>
    <row r="369" spans="1:29" x14ac:dyDescent="0.2">
      <c r="A369" s="3">
        <v>561</v>
      </c>
      <c r="B369" s="3" t="s">
        <v>100</v>
      </c>
      <c r="C369" s="3" t="s">
        <v>476</v>
      </c>
      <c r="D369" s="3" t="s">
        <v>390</v>
      </c>
      <c r="F369" s="24">
        <v>0</v>
      </c>
      <c r="G369" s="41"/>
      <c r="H369" s="24">
        <f t="shared" si="200"/>
        <v>0</v>
      </c>
      <c r="I369" s="24">
        <f t="shared" si="201"/>
        <v>0</v>
      </c>
      <c r="J369" s="24"/>
      <c r="K369" s="24">
        <f t="shared" si="202"/>
        <v>0</v>
      </c>
      <c r="L369" s="24"/>
      <c r="M369" s="24">
        <f t="shared" si="203"/>
        <v>0</v>
      </c>
      <c r="N369" s="24"/>
      <c r="O369" s="24">
        <f t="shared" si="204"/>
        <v>0</v>
      </c>
      <c r="P369" s="24">
        <f t="shared" si="205"/>
        <v>0</v>
      </c>
      <c r="Q369" s="24"/>
      <c r="R369" s="24">
        <f t="shared" si="206"/>
        <v>0</v>
      </c>
      <c r="S369" s="24">
        <f t="shared" si="207"/>
        <v>0</v>
      </c>
      <c r="T369" s="24"/>
      <c r="U369" s="24">
        <f t="shared" si="208"/>
        <v>0</v>
      </c>
      <c r="V369" s="24"/>
      <c r="W369" s="24">
        <f t="shared" si="209"/>
        <v>0</v>
      </c>
      <c r="X369" s="24"/>
      <c r="Y369" s="24">
        <f t="shared" si="210"/>
        <v>0</v>
      </c>
      <c r="Z369" s="24"/>
      <c r="AA369" s="24">
        <f t="shared" si="211"/>
        <v>0</v>
      </c>
      <c r="AB369" s="24">
        <f t="shared" si="212"/>
        <v>0</v>
      </c>
      <c r="AC369" s="12" t="str">
        <f t="shared" si="213"/>
        <v>ok</v>
      </c>
    </row>
    <row r="370" spans="1:29" x14ac:dyDescent="0.2">
      <c r="A370" s="3">
        <v>562</v>
      </c>
      <c r="B370" s="3" t="s">
        <v>371</v>
      </c>
      <c r="C370" s="3" t="s">
        <v>477</v>
      </c>
      <c r="D370" s="3" t="s">
        <v>390</v>
      </c>
      <c r="F370" s="24">
        <v>0</v>
      </c>
      <c r="G370" s="41"/>
      <c r="H370" s="24">
        <f t="shared" si="200"/>
        <v>0</v>
      </c>
      <c r="I370" s="24">
        <f t="shared" si="201"/>
        <v>0</v>
      </c>
      <c r="J370" s="24"/>
      <c r="K370" s="24">
        <f t="shared" si="202"/>
        <v>0</v>
      </c>
      <c r="L370" s="24"/>
      <c r="M370" s="24">
        <f t="shared" si="203"/>
        <v>0</v>
      </c>
      <c r="N370" s="24"/>
      <c r="O370" s="24">
        <f t="shared" si="204"/>
        <v>0</v>
      </c>
      <c r="P370" s="24">
        <f t="shared" si="205"/>
        <v>0</v>
      </c>
      <c r="Q370" s="24"/>
      <c r="R370" s="24">
        <f t="shared" si="206"/>
        <v>0</v>
      </c>
      <c r="S370" s="24">
        <f t="shared" si="207"/>
        <v>0</v>
      </c>
      <c r="T370" s="24"/>
      <c r="U370" s="24">
        <f t="shared" si="208"/>
        <v>0</v>
      </c>
      <c r="V370" s="24"/>
      <c r="W370" s="24">
        <f t="shared" si="209"/>
        <v>0</v>
      </c>
      <c r="X370" s="24"/>
      <c r="Y370" s="24">
        <f t="shared" si="210"/>
        <v>0</v>
      </c>
      <c r="Z370" s="24"/>
      <c r="AA370" s="24">
        <f t="shared" si="211"/>
        <v>0</v>
      </c>
      <c r="AB370" s="24">
        <f t="shared" si="212"/>
        <v>0</v>
      </c>
      <c r="AC370" s="12" t="str">
        <f t="shared" si="213"/>
        <v>ok</v>
      </c>
    </row>
    <row r="371" spans="1:29" x14ac:dyDescent="0.2">
      <c r="A371" s="3">
        <v>563</v>
      </c>
      <c r="B371" s="3" t="s">
        <v>102</v>
      </c>
      <c r="C371" s="3" t="s">
        <v>478</v>
      </c>
      <c r="D371" s="3" t="s">
        <v>390</v>
      </c>
      <c r="F371" s="24">
        <v>0</v>
      </c>
      <c r="G371" s="41"/>
      <c r="H371" s="24">
        <f t="shared" si="200"/>
        <v>0</v>
      </c>
      <c r="I371" s="24">
        <f t="shared" si="201"/>
        <v>0</v>
      </c>
      <c r="J371" s="24"/>
      <c r="K371" s="24">
        <f t="shared" si="202"/>
        <v>0</v>
      </c>
      <c r="L371" s="24"/>
      <c r="M371" s="24">
        <f t="shared" si="203"/>
        <v>0</v>
      </c>
      <c r="N371" s="24"/>
      <c r="O371" s="24">
        <f t="shared" si="204"/>
        <v>0</v>
      </c>
      <c r="P371" s="24">
        <f t="shared" si="205"/>
        <v>0</v>
      </c>
      <c r="Q371" s="24"/>
      <c r="R371" s="24">
        <f t="shared" si="206"/>
        <v>0</v>
      </c>
      <c r="S371" s="24">
        <f t="shared" si="207"/>
        <v>0</v>
      </c>
      <c r="T371" s="24"/>
      <c r="U371" s="24">
        <f t="shared" si="208"/>
        <v>0</v>
      </c>
      <c r="V371" s="24"/>
      <c r="W371" s="24">
        <f t="shared" si="209"/>
        <v>0</v>
      </c>
      <c r="X371" s="24"/>
      <c r="Y371" s="24">
        <f t="shared" si="210"/>
        <v>0</v>
      </c>
      <c r="Z371" s="24"/>
      <c r="AA371" s="24">
        <f t="shared" si="211"/>
        <v>0</v>
      </c>
      <c r="AB371" s="24">
        <f t="shared" si="212"/>
        <v>0</v>
      </c>
      <c r="AC371" s="12" t="str">
        <f t="shared" si="213"/>
        <v>ok</v>
      </c>
    </row>
    <row r="372" spans="1:29" x14ac:dyDescent="0.2">
      <c r="A372" s="3">
        <v>566</v>
      </c>
      <c r="B372" s="3" t="s">
        <v>586</v>
      </c>
      <c r="C372" s="3" t="s">
        <v>590</v>
      </c>
      <c r="D372" s="3" t="s">
        <v>390</v>
      </c>
      <c r="F372" s="24">
        <v>0</v>
      </c>
      <c r="G372" s="41"/>
      <c r="H372" s="24">
        <f t="shared" si="200"/>
        <v>0</v>
      </c>
      <c r="I372" s="24">
        <f t="shared" si="201"/>
        <v>0</v>
      </c>
      <c r="J372" s="24"/>
      <c r="K372" s="24">
        <f t="shared" si="202"/>
        <v>0</v>
      </c>
      <c r="L372" s="24"/>
      <c r="M372" s="24">
        <f t="shared" si="203"/>
        <v>0</v>
      </c>
      <c r="N372" s="24"/>
      <c r="O372" s="24">
        <f t="shared" si="204"/>
        <v>0</v>
      </c>
      <c r="P372" s="24">
        <f t="shared" si="205"/>
        <v>0</v>
      </c>
      <c r="Q372" s="24"/>
      <c r="R372" s="24">
        <f t="shared" si="206"/>
        <v>0</v>
      </c>
      <c r="S372" s="24">
        <f t="shared" si="207"/>
        <v>0</v>
      </c>
      <c r="T372" s="24"/>
      <c r="U372" s="24">
        <f t="shared" si="208"/>
        <v>0</v>
      </c>
      <c r="V372" s="24"/>
      <c r="W372" s="24">
        <f t="shared" si="209"/>
        <v>0</v>
      </c>
      <c r="X372" s="24"/>
      <c r="Y372" s="24">
        <f t="shared" si="210"/>
        <v>0</v>
      </c>
      <c r="Z372" s="24"/>
      <c r="AA372" s="24">
        <f t="shared" si="211"/>
        <v>0</v>
      </c>
      <c r="AB372" s="24">
        <f>SUM(H372:AA372)</f>
        <v>0</v>
      </c>
      <c r="AC372" s="12" t="str">
        <f>IF(ABS(AB372-F372)&lt;1,"ok","err")</f>
        <v>ok</v>
      </c>
    </row>
    <row r="373" spans="1:29" x14ac:dyDescent="0.2">
      <c r="A373" s="3">
        <v>568</v>
      </c>
      <c r="B373" s="3" t="s">
        <v>372</v>
      </c>
      <c r="C373" s="3" t="s">
        <v>479</v>
      </c>
      <c r="D373" s="3" t="s">
        <v>390</v>
      </c>
      <c r="F373" s="24">
        <v>0</v>
      </c>
      <c r="G373" s="41"/>
      <c r="H373" s="24">
        <f t="shared" si="200"/>
        <v>0</v>
      </c>
      <c r="I373" s="24">
        <f t="shared" si="201"/>
        <v>0</v>
      </c>
      <c r="J373" s="24"/>
      <c r="K373" s="24">
        <f t="shared" si="202"/>
        <v>0</v>
      </c>
      <c r="L373" s="24"/>
      <c r="M373" s="24">
        <f t="shared" si="203"/>
        <v>0</v>
      </c>
      <c r="N373" s="24"/>
      <c r="O373" s="24">
        <f t="shared" si="204"/>
        <v>0</v>
      </c>
      <c r="P373" s="24">
        <f t="shared" si="205"/>
        <v>0</v>
      </c>
      <c r="Q373" s="24"/>
      <c r="R373" s="24">
        <f t="shared" si="206"/>
        <v>0</v>
      </c>
      <c r="S373" s="24">
        <f t="shared" si="207"/>
        <v>0</v>
      </c>
      <c r="T373" s="24"/>
      <c r="U373" s="24">
        <f t="shared" si="208"/>
        <v>0</v>
      </c>
      <c r="V373" s="24"/>
      <c r="W373" s="24">
        <f t="shared" si="209"/>
        <v>0</v>
      </c>
      <c r="X373" s="24"/>
      <c r="Y373" s="24">
        <f t="shared" si="210"/>
        <v>0</v>
      </c>
      <c r="Z373" s="24"/>
      <c r="AA373" s="24">
        <f t="shared" si="211"/>
        <v>0</v>
      </c>
      <c r="AB373" s="24">
        <f t="shared" si="212"/>
        <v>0</v>
      </c>
      <c r="AC373" s="12" t="str">
        <f t="shared" si="213"/>
        <v>ok</v>
      </c>
    </row>
    <row r="374" spans="1:29" x14ac:dyDescent="0.2">
      <c r="A374" s="3">
        <v>570</v>
      </c>
      <c r="B374" s="3" t="s">
        <v>374</v>
      </c>
      <c r="C374" s="3" t="s">
        <v>480</v>
      </c>
      <c r="D374" s="3" t="s">
        <v>390</v>
      </c>
      <c r="F374" s="24">
        <v>0</v>
      </c>
      <c r="G374" s="41"/>
      <c r="H374" s="24">
        <f t="shared" si="200"/>
        <v>0</v>
      </c>
      <c r="I374" s="24">
        <f t="shared" si="201"/>
        <v>0</v>
      </c>
      <c r="J374" s="24"/>
      <c r="K374" s="24">
        <f t="shared" si="202"/>
        <v>0</v>
      </c>
      <c r="L374" s="24"/>
      <c r="M374" s="24">
        <f t="shared" si="203"/>
        <v>0</v>
      </c>
      <c r="N374" s="24"/>
      <c r="O374" s="24">
        <f t="shared" si="204"/>
        <v>0</v>
      </c>
      <c r="P374" s="24">
        <f t="shared" si="205"/>
        <v>0</v>
      </c>
      <c r="Q374" s="24"/>
      <c r="R374" s="24">
        <f t="shared" si="206"/>
        <v>0</v>
      </c>
      <c r="S374" s="24">
        <f t="shared" si="207"/>
        <v>0</v>
      </c>
      <c r="T374" s="24"/>
      <c r="U374" s="24">
        <f t="shared" si="208"/>
        <v>0</v>
      </c>
      <c r="V374" s="24"/>
      <c r="W374" s="24">
        <f t="shared" si="209"/>
        <v>0</v>
      </c>
      <c r="X374" s="24"/>
      <c r="Y374" s="24">
        <f t="shared" si="210"/>
        <v>0</v>
      </c>
      <c r="Z374" s="24"/>
      <c r="AA374" s="24">
        <f t="shared" si="211"/>
        <v>0</v>
      </c>
      <c r="AB374" s="24">
        <f t="shared" si="212"/>
        <v>0</v>
      </c>
      <c r="AC374" s="12" t="str">
        <f t="shared" si="213"/>
        <v>ok</v>
      </c>
    </row>
    <row r="375" spans="1:29" x14ac:dyDescent="0.2">
      <c r="A375" s="3">
        <v>571</v>
      </c>
      <c r="B375" s="3" t="s">
        <v>375</v>
      </c>
      <c r="C375" s="3" t="s">
        <v>481</v>
      </c>
      <c r="D375" s="3" t="s">
        <v>390</v>
      </c>
      <c r="F375" s="24">
        <v>0</v>
      </c>
      <c r="G375" s="41"/>
      <c r="H375" s="24">
        <f t="shared" si="200"/>
        <v>0</v>
      </c>
      <c r="I375" s="24">
        <f t="shared" si="201"/>
        <v>0</v>
      </c>
      <c r="J375" s="24"/>
      <c r="K375" s="24">
        <f t="shared" si="202"/>
        <v>0</v>
      </c>
      <c r="L375" s="24"/>
      <c r="M375" s="24">
        <f t="shared" si="203"/>
        <v>0</v>
      </c>
      <c r="N375" s="24"/>
      <c r="O375" s="24">
        <f t="shared" si="204"/>
        <v>0</v>
      </c>
      <c r="P375" s="24">
        <f t="shared" si="205"/>
        <v>0</v>
      </c>
      <c r="Q375" s="24"/>
      <c r="R375" s="24">
        <f t="shared" si="206"/>
        <v>0</v>
      </c>
      <c r="S375" s="24">
        <f t="shared" si="207"/>
        <v>0</v>
      </c>
      <c r="T375" s="24"/>
      <c r="U375" s="24">
        <f t="shared" si="208"/>
        <v>0</v>
      </c>
      <c r="V375" s="24"/>
      <c r="W375" s="24">
        <f t="shared" si="209"/>
        <v>0</v>
      </c>
      <c r="X375" s="24"/>
      <c r="Y375" s="24">
        <f t="shared" si="210"/>
        <v>0</v>
      </c>
      <c r="Z375" s="24"/>
      <c r="AA375" s="24">
        <f t="shared" si="211"/>
        <v>0</v>
      </c>
      <c r="AB375" s="24">
        <f t="shared" si="212"/>
        <v>0</v>
      </c>
      <c r="AC375" s="12" t="str">
        <f t="shared" si="213"/>
        <v>ok</v>
      </c>
    </row>
    <row r="376" spans="1:29" x14ac:dyDescent="0.2">
      <c r="F376" s="41"/>
      <c r="G376" s="41"/>
      <c r="H376" s="41"/>
      <c r="I376" s="41"/>
      <c r="J376" s="41"/>
      <c r="K376" s="41"/>
      <c r="L376" s="41"/>
      <c r="M376" s="41"/>
      <c r="N376" s="41"/>
      <c r="O376" s="41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24"/>
      <c r="AC376" s="12"/>
    </row>
    <row r="377" spans="1:29" x14ac:dyDescent="0.2">
      <c r="A377" s="3" t="s">
        <v>533</v>
      </c>
      <c r="F377" s="65">
        <f>SUM(F368:F375)</f>
        <v>0</v>
      </c>
      <c r="G377" s="65"/>
      <c r="H377" s="65">
        <f>SUM(H368:H375)</f>
        <v>0</v>
      </c>
      <c r="I377" s="65">
        <f>SUM(I368:I375)</f>
        <v>0</v>
      </c>
      <c r="J377" s="65"/>
      <c r="K377" s="65">
        <f>SUM(K368:K375)</f>
        <v>0</v>
      </c>
      <c r="L377" s="65"/>
      <c r="M377" s="65">
        <f>SUM(M368:M375)</f>
        <v>0</v>
      </c>
      <c r="N377" s="65"/>
      <c r="O377" s="65">
        <f>SUM(O368:O375)</f>
        <v>0</v>
      </c>
      <c r="P377" s="65">
        <f>SUM(P368:P375)</f>
        <v>0</v>
      </c>
      <c r="Q377" s="65"/>
      <c r="R377" s="65">
        <f>SUM(R368:R375)</f>
        <v>0</v>
      </c>
      <c r="S377" s="65">
        <f>SUM(S368:S375)</f>
        <v>0</v>
      </c>
      <c r="T377" s="65"/>
      <c r="U377" s="65">
        <f>SUM(U368:U375)</f>
        <v>0</v>
      </c>
      <c r="V377" s="65"/>
      <c r="W377" s="65">
        <f>SUM(W368:W375)</f>
        <v>0</v>
      </c>
      <c r="X377" s="65"/>
      <c r="Y377" s="65">
        <f>SUM(Y368:Y375)</f>
        <v>0</v>
      </c>
      <c r="Z377" s="65"/>
      <c r="AA377" s="65">
        <f>SUM(AA368:AA375)</f>
        <v>0</v>
      </c>
      <c r="AB377" s="41">
        <f>SUM(H377:AA377)</f>
        <v>0</v>
      </c>
      <c r="AC377" s="12" t="str">
        <f>IF(ABS(AB377-F377)&lt;1,"ok","err")</f>
        <v>ok</v>
      </c>
    </row>
    <row r="378" spans="1:29" x14ac:dyDescent="0.2">
      <c r="Q378" s="3"/>
      <c r="AC378" s="12"/>
    </row>
    <row r="379" spans="1:29" x14ac:dyDescent="0.2">
      <c r="A379" s="2" t="s">
        <v>535</v>
      </c>
      <c r="Q379" s="3"/>
      <c r="AC379" s="12"/>
    </row>
    <row r="380" spans="1:29" x14ac:dyDescent="0.2">
      <c r="A380" s="3">
        <v>580</v>
      </c>
      <c r="B380" s="3" t="s">
        <v>98</v>
      </c>
      <c r="C380" s="3" t="s">
        <v>482</v>
      </c>
      <c r="D380" s="3" t="s">
        <v>16</v>
      </c>
      <c r="F380" s="41">
        <v>181407.91</v>
      </c>
      <c r="H380" s="24">
        <f t="shared" ref="H380:H390" si="214">IF(VLOOKUP($D380,$C$5:$AA$494,6,)=0,0,((VLOOKUP($D380,$C$5:$AA$494,6,)/VLOOKUP($D380,$C$5:$AA$494,4,))*$F380))</f>
        <v>0</v>
      </c>
      <c r="I380" s="24">
        <f t="shared" ref="I380:I390" si="215">IF(VLOOKUP($D380,$C$5:$AA$494,7,)=0,0,((VLOOKUP($D380,$C$5:$AA$494,7,)/VLOOKUP($D380,$C$5:$AA$494,4,))*$F380))</f>
        <v>0</v>
      </c>
      <c r="J380" s="24"/>
      <c r="K380" s="24">
        <f t="shared" ref="K380:K390" si="216">IF(VLOOKUP($D380,$C$5:$AA$494,9,)=0,0,((VLOOKUP($D380,$C$5:$AA$494,9,)/VLOOKUP($D380,$C$5:$AA$494,4,))*$F380))</f>
        <v>0</v>
      </c>
      <c r="L380" s="24"/>
      <c r="M380" s="24">
        <f t="shared" ref="M380:M390" si="217">IF(VLOOKUP($D380,$C$5:$AA$494,11,)=0,0,((VLOOKUP($D380,$C$5:$AA$494,11,)/VLOOKUP($D380,$C$5:$AA$494,4,))*$F380))</f>
        <v>1576.9573773636332</v>
      </c>
      <c r="N380" s="24"/>
      <c r="O380" s="24">
        <f t="shared" ref="O380:O390" si="218">IF(VLOOKUP($D380,$C$5:$AA$494,13,)=0,0,((VLOOKUP($D380,$C$5:$AA$494,13,)/VLOOKUP($D380,$C$5:$AA$494,4,))*$F380))</f>
        <v>80652.14229361777</v>
      </c>
      <c r="P380" s="24">
        <f t="shared" ref="P380:P390" si="219">IF(VLOOKUP($D380,$C$5:$AA$494,14,)=0,0,((VLOOKUP($D380,$C$5:$AA$494,14,)/VLOOKUP($D380,$C$5:$AA$494,4,))*$F380))</f>
        <v>54153.24172276046</v>
      </c>
      <c r="Q380" s="24"/>
      <c r="R380" s="24">
        <f t="shared" ref="R380:R390" si="220">IF(VLOOKUP($D380,$C$5:$AA$494,16,)=0,0,((VLOOKUP($D380,$C$5:$AA$494,16,)/VLOOKUP($D380,$C$5:$AA$494,4,))*$F380))</f>
        <v>0</v>
      </c>
      <c r="S380" s="24">
        <f t="shared" ref="S380:S390" si="221">IF(VLOOKUP($D380,$C$5:$AA$494,17,)=0,0,((VLOOKUP($D380,$C$5:$AA$494,17,)/VLOOKUP($D380,$C$5:$AA$494,4,))*$F380))</f>
        <v>20383.599823395103</v>
      </c>
      <c r="T380" s="24"/>
      <c r="U380" s="24">
        <f t="shared" ref="U380:U390" si="222">IF(VLOOKUP($D380,$C$5:$AA$494,19,)=0,0,((VLOOKUP($D380,$C$5:$AA$494,19,)/VLOOKUP($D380,$C$5:$AA$494,4,))*$F380))</f>
        <v>12303.988078466875</v>
      </c>
      <c r="V380" s="24"/>
      <c r="W380" s="24">
        <f t="shared" ref="W380:W390" si="223">IF(VLOOKUP($D380,$C$5:$AA$494,21,)=0,0,((VLOOKUP($D380,$C$5:$AA$494,21,)/VLOOKUP($D380,$C$5:$AA$494,4,))*$F380))</f>
        <v>12337.980704396179</v>
      </c>
      <c r="X380" s="24"/>
      <c r="Y380" s="24">
        <f t="shared" ref="Y380:Y390" si="224">IF(VLOOKUP($D380,$C$5:$AA$494,23,)=0,0,((VLOOKUP($D380,$C$5:$AA$494,23,)/VLOOKUP($D380,$C$5:$AA$494,4,))*$F380))</f>
        <v>0</v>
      </c>
      <c r="Z380" s="24"/>
      <c r="AA380" s="24">
        <f t="shared" ref="AA380:AA390" si="225">IF(VLOOKUP($D380,$C$5:$AA$494,25,)=0,0,((VLOOKUP($D380,$C$5:$AA$494,25,)/VLOOKUP($D380,$C$5:$AA$494,4,))*$F380))</f>
        <v>0</v>
      </c>
      <c r="AB380" s="24">
        <f t="shared" ref="AB380:AB390" si="226">SUM(H380:AA380)</f>
        <v>181407.91000000003</v>
      </c>
      <c r="AC380" s="12" t="str">
        <f t="shared" ref="AC380:AC390" si="227">IF(ABS(AB380-F380)&lt;1,"ok","err")</f>
        <v>ok</v>
      </c>
    </row>
    <row r="381" spans="1:29" x14ac:dyDescent="0.2">
      <c r="A381" s="3">
        <v>581</v>
      </c>
      <c r="B381" s="3" t="s">
        <v>100</v>
      </c>
      <c r="C381" s="3" t="s">
        <v>483</v>
      </c>
      <c r="D381" s="3" t="s">
        <v>23</v>
      </c>
      <c r="F381" s="24">
        <v>0</v>
      </c>
      <c r="H381" s="24">
        <f t="shared" si="214"/>
        <v>0</v>
      </c>
      <c r="I381" s="24">
        <f t="shared" si="215"/>
        <v>0</v>
      </c>
      <c r="J381" s="24"/>
      <c r="K381" s="24">
        <f t="shared" si="216"/>
        <v>0</v>
      </c>
      <c r="L381" s="24"/>
      <c r="M381" s="24">
        <f t="shared" si="217"/>
        <v>0</v>
      </c>
      <c r="N381" s="24"/>
      <c r="O381" s="24">
        <f t="shared" si="218"/>
        <v>0</v>
      </c>
      <c r="P381" s="24">
        <f t="shared" si="219"/>
        <v>0</v>
      </c>
      <c r="Q381" s="24"/>
      <c r="R381" s="24">
        <f t="shared" si="220"/>
        <v>0</v>
      </c>
      <c r="S381" s="24">
        <f t="shared" si="221"/>
        <v>0</v>
      </c>
      <c r="T381" s="24"/>
      <c r="U381" s="24">
        <f t="shared" si="222"/>
        <v>0</v>
      </c>
      <c r="V381" s="24"/>
      <c r="W381" s="24">
        <f t="shared" si="223"/>
        <v>0</v>
      </c>
      <c r="X381" s="24"/>
      <c r="Y381" s="24">
        <f t="shared" si="224"/>
        <v>0</v>
      </c>
      <c r="Z381" s="24"/>
      <c r="AA381" s="24">
        <f t="shared" si="225"/>
        <v>0</v>
      </c>
      <c r="AB381" s="24">
        <f t="shared" si="226"/>
        <v>0</v>
      </c>
      <c r="AC381" s="12" t="str">
        <f t="shared" si="227"/>
        <v>ok</v>
      </c>
    </row>
    <row r="382" spans="1:29" x14ac:dyDescent="0.2">
      <c r="A382" s="3">
        <v>582</v>
      </c>
      <c r="B382" s="3" t="s">
        <v>371</v>
      </c>
      <c r="C382" s="3" t="s">
        <v>484</v>
      </c>
      <c r="D382" s="3" t="s">
        <v>23</v>
      </c>
      <c r="F382" s="24">
        <v>0</v>
      </c>
      <c r="H382" s="24">
        <f t="shared" si="214"/>
        <v>0</v>
      </c>
      <c r="I382" s="24">
        <f t="shared" si="215"/>
        <v>0</v>
      </c>
      <c r="J382" s="24"/>
      <c r="K382" s="24">
        <f t="shared" si="216"/>
        <v>0</v>
      </c>
      <c r="L382" s="24"/>
      <c r="M382" s="24">
        <f t="shared" si="217"/>
        <v>0</v>
      </c>
      <c r="N382" s="24"/>
      <c r="O382" s="24">
        <f t="shared" si="218"/>
        <v>0</v>
      </c>
      <c r="P382" s="24">
        <f t="shared" si="219"/>
        <v>0</v>
      </c>
      <c r="Q382" s="24"/>
      <c r="R382" s="24">
        <f t="shared" si="220"/>
        <v>0</v>
      </c>
      <c r="S382" s="24">
        <f t="shared" si="221"/>
        <v>0</v>
      </c>
      <c r="T382" s="24"/>
      <c r="U382" s="24">
        <f t="shared" si="222"/>
        <v>0</v>
      </c>
      <c r="V382" s="24"/>
      <c r="W382" s="24">
        <f t="shared" si="223"/>
        <v>0</v>
      </c>
      <c r="X382" s="24"/>
      <c r="Y382" s="24">
        <f t="shared" si="224"/>
        <v>0</v>
      </c>
      <c r="Z382" s="24"/>
      <c r="AA382" s="24">
        <f t="shared" si="225"/>
        <v>0</v>
      </c>
      <c r="AB382" s="24">
        <f t="shared" si="226"/>
        <v>0</v>
      </c>
      <c r="AC382" s="12" t="str">
        <f t="shared" si="227"/>
        <v>ok</v>
      </c>
    </row>
    <row r="383" spans="1:29" x14ac:dyDescent="0.2">
      <c r="A383" s="3">
        <v>583</v>
      </c>
      <c r="B383" s="3" t="s">
        <v>102</v>
      </c>
      <c r="C383" s="3" t="s">
        <v>485</v>
      </c>
      <c r="D383" s="3" t="s">
        <v>29</v>
      </c>
      <c r="F383" s="24">
        <v>28002.31</v>
      </c>
      <c r="H383" s="24">
        <f t="shared" si="214"/>
        <v>0</v>
      </c>
      <c r="I383" s="24">
        <f t="shared" si="215"/>
        <v>0</v>
      </c>
      <c r="J383" s="24"/>
      <c r="K383" s="24">
        <f t="shared" si="216"/>
        <v>0</v>
      </c>
      <c r="L383" s="24"/>
      <c r="M383" s="24">
        <f t="shared" si="217"/>
        <v>0</v>
      </c>
      <c r="N383" s="24"/>
      <c r="O383" s="24">
        <f t="shared" si="218"/>
        <v>17667.059778917108</v>
      </c>
      <c r="P383" s="24">
        <f t="shared" si="219"/>
        <v>10335.250221082893</v>
      </c>
      <c r="Q383" s="24"/>
      <c r="R383" s="24">
        <f t="shared" si="220"/>
        <v>0</v>
      </c>
      <c r="S383" s="24">
        <f t="shared" si="221"/>
        <v>0</v>
      </c>
      <c r="T383" s="24"/>
      <c r="U383" s="24">
        <f t="shared" si="222"/>
        <v>0</v>
      </c>
      <c r="V383" s="24"/>
      <c r="W383" s="24">
        <f t="shared" si="223"/>
        <v>0</v>
      </c>
      <c r="X383" s="24"/>
      <c r="Y383" s="24">
        <f t="shared" si="224"/>
        <v>0</v>
      </c>
      <c r="Z383" s="24"/>
      <c r="AA383" s="24">
        <f t="shared" si="225"/>
        <v>0</v>
      </c>
      <c r="AB383" s="24">
        <f t="shared" si="226"/>
        <v>28002.31</v>
      </c>
      <c r="AC383" s="12" t="str">
        <f t="shared" si="227"/>
        <v>ok</v>
      </c>
    </row>
    <row r="384" spans="1:29" x14ac:dyDescent="0.2">
      <c r="A384" s="3">
        <v>584</v>
      </c>
      <c r="B384" s="3" t="s">
        <v>104</v>
      </c>
      <c r="C384" s="3" t="s">
        <v>486</v>
      </c>
      <c r="D384" s="3" t="s">
        <v>35</v>
      </c>
      <c r="F384" s="24">
        <v>0</v>
      </c>
      <c r="H384" s="24">
        <f t="shared" si="214"/>
        <v>0</v>
      </c>
      <c r="I384" s="24">
        <f t="shared" si="215"/>
        <v>0</v>
      </c>
      <c r="J384" s="24"/>
      <c r="K384" s="24">
        <f t="shared" si="216"/>
        <v>0</v>
      </c>
      <c r="L384" s="24"/>
      <c r="M384" s="24">
        <f t="shared" si="217"/>
        <v>0</v>
      </c>
      <c r="N384" s="24"/>
      <c r="O384" s="24">
        <f t="shared" si="218"/>
        <v>0</v>
      </c>
      <c r="P384" s="24">
        <f t="shared" si="219"/>
        <v>0</v>
      </c>
      <c r="Q384" s="24"/>
      <c r="R384" s="24">
        <f t="shared" si="220"/>
        <v>0</v>
      </c>
      <c r="S384" s="24">
        <f t="shared" si="221"/>
        <v>0</v>
      </c>
      <c r="T384" s="24"/>
      <c r="U384" s="24">
        <f t="shared" si="222"/>
        <v>0</v>
      </c>
      <c r="V384" s="24"/>
      <c r="W384" s="24">
        <f t="shared" si="223"/>
        <v>0</v>
      </c>
      <c r="X384" s="24"/>
      <c r="Y384" s="24">
        <f t="shared" si="224"/>
        <v>0</v>
      </c>
      <c r="Z384" s="24"/>
      <c r="AA384" s="24">
        <f t="shared" si="225"/>
        <v>0</v>
      </c>
      <c r="AB384" s="24">
        <f t="shared" si="226"/>
        <v>0</v>
      </c>
      <c r="AC384" s="12" t="str">
        <f t="shared" si="227"/>
        <v>ok</v>
      </c>
    </row>
    <row r="385" spans="1:29" x14ac:dyDescent="0.2">
      <c r="A385" s="3">
        <v>585</v>
      </c>
      <c r="B385" s="3" t="s">
        <v>106</v>
      </c>
      <c r="C385" s="3" t="s">
        <v>487</v>
      </c>
      <c r="D385" s="3" t="s">
        <v>46</v>
      </c>
      <c r="F385" s="24">
        <v>0</v>
      </c>
      <c r="H385" s="24">
        <f t="shared" si="214"/>
        <v>0</v>
      </c>
      <c r="I385" s="24">
        <f t="shared" si="215"/>
        <v>0</v>
      </c>
      <c r="J385" s="24"/>
      <c r="K385" s="24">
        <f t="shared" si="216"/>
        <v>0</v>
      </c>
      <c r="L385" s="24"/>
      <c r="M385" s="24">
        <f t="shared" si="217"/>
        <v>0</v>
      </c>
      <c r="N385" s="24"/>
      <c r="O385" s="24">
        <f t="shared" si="218"/>
        <v>0</v>
      </c>
      <c r="P385" s="24">
        <f t="shared" si="219"/>
        <v>0</v>
      </c>
      <c r="Q385" s="24"/>
      <c r="R385" s="24">
        <f t="shared" si="220"/>
        <v>0</v>
      </c>
      <c r="S385" s="24">
        <f t="shared" si="221"/>
        <v>0</v>
      </c>
      <c r="T385" s="24"/>
      <c r="U385" s="24">
        <f t="shared" si="222"/>
        <v>0</v>
      </c>
      <c r="V385" s="24"/>
      <c r="W385" s="24">
        <f t="shared" si="223"/>
        <v>0</v>
      </c>
      <c r="X385" s="24"/>
      <c r="Y385" s="24">
        <f t="shared" si="224"/>
        <v>0</v>
      </c>
      <c r="Z385" s="24"/>
      <c r="AA385" s="24">
        <f t="shared" si="225"/>
        <v>0</v>
      </c>
      <c r="AB385" s="24">
        <f t="shared" si="226"/>
        <v>0</v>
      </c>
      <c r="AC385" s="12" t="str">
        <f t="shared" si="227"/>
        <v>ok</v>
      </c>
    </row>
    <row r="386" spans="1:29" x14ac:dyDescent="0.2">
      <c r="A386" s="3">
        <v>586</v>
      </c>
      <c r="B386" s="3" t="s">
        <v>108</v>
      </c>
      <c r="C386" s="3" t="s">
        <v>488</v>
      </c>
      <c r="D386" s="3" t="s">
        <v>43</v>
      </c>
      <c r="F386" s="24">
        <v>467712.08</v>
      </c>
      <c r="H386" s="24">
        <f t="shared" si="214"/>
        <v>0</v>
      </c>
      <c r="I386" s="24">
        <f t="shared" si="215"/>
        <v>0</v>
      </c>
      <c r="J386" s="24"/>
      <c r="K386" s="24">
        <f t="shared" si="216"/>
        <v>0</v>
      </c>
      <c r="L386" s="24"/>
      <c r="M386" s="24">
        <f t="shared" si="217"/>
        <v>0</v>
      </c>
      <c r="N386" s="24"/>
      <c r="O386" s="24">
        <f t="shared" si="218"/>
        <v>0</v>
      </c>
      <c r="P386" s="24">
        <f t="shared" si="219"/>
        <v>0</v>
      </c>
      <c r="Q386" s="24"/>
      <c r="R386" s="24">
        <f t="shared" si="220"/>
        <v>0</v>
      </c>
      <c r="S386" s="24">
        <f t="shared" si="221"/>
        <v>0</v>
      </c>
      <c r="T386" s="24"/>
      <c r="U386" s="24">
        <f t="shared" si="222"/>
        <v>467712.08</v>
      </c>
      <c r="V386" s="24"/>
      <c r="W386" s="24">
        <f t="shared" si="223"/>
        <v>0</v>
      </c>
      <c r="X386" s="24"/>
      <c r="Y386" s="24">
        <f t="shared" si="224"/>
        <v>0</v>
      </c>
      <c r="Z386" s="24"/>
      <c r="AA386" s="24">
        <f t="shared" si="225"/>
        <v>0</v>
      </c>
      <c r="AB386" s="24">
        <f t="shared" si="226"/>
        <v>467712.08</v>
      </c>
      <c r="AC386" s="12" t="str">
        <f t="shared" si="227"/>
        <v>ok</v>
      </c>
    </row>
    <row r="387" spans="1:29" x14ac:dyDescent="0.2">
      <c r="A387" s="3">
        <v>586</v>
      </c>
      <c r="B387" s="3" t="s">
        <v>450</v>
      </c>
      <c r="C387" s="3" t="s">
        <v>489</v>
      </c>
      <c r="D387" s="3" t="s">
        <v>471</v>
      </c>
      <c r="F387" s="24">
        <v>0</v>
      </c>
      <c r="H387" s="24">
        <f t="shared" si="214"/>
        <v>0</v>
      </c>
      <c r="I387" s="24">
        <f t="shared" si="215"/>
        <v>0</v>
      </c>
      <c r="J387" s="24"/>
      <c r="K387" s="24">
        <f t="shared" si="216"/>
        <v>0</v>
      </c>
      <c r="L387" s="24"/>
      <c r="M387" s="24">
        <f t="shared" si="217"/>
        <v>0</v>
      </c>
      <c r="N387" s="24"/>
      <c r="O387" s="24">
        <f t="shared" si="218"/>
        <v>0</v>
      </c>
      <c r="P387" s="24">
        <f t="shared" si="219"/>
        <v>0</v>
      </c>
      <c r="Q387" s="24"/>
      <c r="R387" s="24">
        <f t="shared" si="220"/>
        <v>0</v>
      </c>
      <c r="S387" s="24">
        <f t="shared" si="221"/>
        <v>0</v>
      </c>
      <c r="T387" s="24"/>
      <c r="U387" s="24">
        <f t="shared" si="222"/>
        <v>0</v>
      </c>
      <c r="V387" s="24"/>
      <c r="W387" s="24">
        <f t="shared" si="223"/>
        <v>0</v>
      </c>
      <c r="X387" s="24"/>
      <c r="Y387" s="24">
        <f t="shared" si="224"/>
        <v>0</v>
      </c>
      <c r="Z387" s="24"/>
      <c r="AA387" s="24">
        <f t="shared" si="225"/>
        <v>0</v>
      </c>
      <c r="AB387" s="24">
        <f t="shared" si="226"/>
        <v>0</v>
      </c>
      <c r="AC387" s="12" t="str">
        <f t="shared" si="227"/>
        <v>ok</v>
      </c>
    </row>
    <row r="388" spans="1:29" x14ac:dyDescent="0.2">
      <c r="A388" s="3">
        <v>587</v>
      </c>
      <c r="B388" s="3" t="s">
        <v>110</v>
      </c>
      <c r="C388" s="3" t="s">
        <v>490</v>
      </c>
      <c r="D388" s="3" t="s">
        <v>40</v>
      </c>
      <c r="F388" s="24">
        <v>0</v>
      </c>
      <c r="H388" s="24">
        <f t="shared" si="214"/>
        <v>0</v>
      </c>
      <c r="I388" s="24">
        <f t="shared" si="215"/>
        <v>0</v>
      </c>
      <c r="J388" s="24"/>
      <c r="K388" s="24">
        <f t="shared" si="216"/>
        <v>0</v>
      </c>
      <c r="L388" s="24"/>
      <c r="M388" s="24">
        <f t="shared" si="217"/>
        <v>0</v>
      </c>
      <c r="N388" s="24"/>
      <c r="O388" s="24">
        <f t="shared" si="218"/>
        <v>0</v>
      </c>
      <c r="P388" s="24">
        <f t="shared" si="219"/>
        <v>0</v>
      </c>
      <c r="Q388" s="24"/>
      <c r="R388" s="24">
        <f t="shared" si="220"/>
        <v>0</v>
      </c>
      <c r="S388" s="24">
        <f t="shared" si="221"/>
        <v>0</v>
      </c>
      <c r="T388" s="24"/>
      <c r="U388" s="24">
        <f t="shared" si="222"/>
        <v>0</v>
      </c>
      <c r="V388" s="24"/>
      <c r="W388" s="24">
        <f t="shared" si="223"/>
        <v>0</v>
      </c>
      <c r="X388" s="24"/>
      <c r="Y388" s="24">
        <f t="shared" si="224"/>
        <v>0</v>
      </c>
      <c r="Z388" s="24"/>
      <c r="AA388" s="24">
        <f t="shared" si="225"/>
        <v>0</v>
      </c>
      <c r="AB388" s="24">
        <f t="shared" si="226"/>
        <v>0</v>
      </c>
      <c r="AC388" s="12" t="str">
        <f t="shared" si="227"/>
        <v>ok</v>
      </c>
    </row>
    <row r="389" spans="1:29" x14ac:dyDescent="0.2">
      <c r="A389" s="3">
        <v>588</v>
      </c>
      <c r="B389" s="3" t="s">
        <v>112</v>
      </c>
      <c r="C389" s="3" t="s">
        <v>491</v>
      </c>
      <c r="D389" s="3" t="s">
        <v>16</v>
      </c>
      <c r="F389" s="24">
        <f>69450.56+71482.7</f>
        <v>140933.26</v>
      </c>
      <c r="H389" s="24">
        <f t="shared" si="214"/>
        <v>0</v>
      </c>
      <c r="I389" s="24">
        <f t="shared" si="215"/>
        <v>0</v>
      </c>
      <c r="J389" s="24"/>
      <c r="K389" s="24">
        <f t="shared" si="216"/>
        <v>0</v>
      </c>
      <c r="L389" s="24"/>
      <c r="M389" s="24">
        <f t="shared" si="217"/>
        <v>1225.116060666302</v>
      </c>
      <c r="N389" s="24"/>
      <c r="O389" s="24">
        <f t="shared" si="218"/>
        <v>62657.51774232684</v>
      </c>
      <c r="P389" s="24">
        <f t="shared" si="219"/>
        <v>42070.893686811389</v>
      </c>
      <c r="Q389" s="24"/>
      <c r="R389" s="24">
        <f t="shared" si="220"/>
        <v>0</v>
      </c>
      <c r="S389" s="24">
        <f t="shared" si="221"/>
        <v>15835.732706729803</v>
      </c>
      <c r="T389" s="24"/>
      <c r="U389" s="24">
        <f t="shared" si="222"/>
        <v>9558.795704660688</v>
      </c>
      <c r="V389" s="24"/>
      <c r="W389" s="24">
        <f t="shared" si="223"/>
        <v>9585.2040988050085</v>
      </c>
      <c r="X389" s="24"/>
      <c r="Y389" s="24">
        <f t="shared" si="224"/>
        <v>0</v>
      </c>
      <c r="Z389" s="24"/>
      <c r="AA389" s="24">
        <f t="shared" si="225"/>
        <v>0</v>
      </c>
      <c r="AB389" s="24">
        <f t="shared" si="226"/>
        <v>140933.26</v>
      </c>
      <c r="AC389" s="12" t="str">
        <f t="shared" si="227"/>
        <v>ok</v>
      </c>
    </row>
    <row r="390" spans="1:29" x14ac:dyDescent="0.2">
      <c r="A390" s="3">
        <v>589</v>
      </c>
      <c r="B390" s="3" t="s">
        <v>114</v>
      </c>
      <c r="C390" s="3" t="s">
        <v>492</v>
      </c>
      <c r="D390" s="3" t="s">
        <v>16</v>
      </c>
      <c r="F390" s="24">
        <v>0</v>
      </c>
      <c r="H390" s="24">
        <f t="shared" si="214"/>
        <v>0</v>
      </c>
      <c r="I390" s="24">
        <f t="shared" si="215"/>
        <v>0</v>
      </c>
      <c r="J390" s="24"/>
      <c r="K390" s="24">
        <f t="shared" si="216"/>
        <v>0</v>
      </c>
      <c r="L390" s="24"/>
      <c r="M390" s="24">
        <f t="shared" si="217"/>
        <v>0</v>
      </c>
      <c r="N390" s="24"/>
      <c r="O390" s="24">
        <f t="shared" si="218"/>
        <v>0</v>
      </c>
      <c r="P390" s="24">
        <f t="shared" si="219"/>
        <v>0</v>
      </c>
      <c r="Q390" s="24"/>
      <c r="R390" s="24">
        <f t="shared" si="220"/>
        <v>0</v>
      </c>
      <c r="S390" s="24">
        <f t="shared" si="221"/>
        <v>0</v>
      </c>
      <c r="T390" s="24"/>
      <c r="U390" s="24">
        <f t="shared" si="222"/>
        <v>0</v>
      </c>
      <c r="V390" s="24"/>
      <c r="W390" s="24">
        <f t="shared" si="223"/>
        <v>0</v>
      </c>
      <c r="X390" s="24"/>
      <c r="Y390" s="24">
        <f t="shared" si="224"/>
        <v>0</v>
      </c>
      <c r="Z390" s="24"/>
      <c r="AA390" s="24">
        <f t="shared" si="225"/>
        <v>0</v>
      </c>
      <c r="AB390" s="24">
        <f t="shared" si="226"/>
        <v>0</v>
      </c>
      <c r="AC390" s="12" t="str">
        <f t="shared" si="227"/>
        <v>ok</v>
      </c>
    </row>
    <row r="391" spans="1:29" x14ac:dyDescent="0.2">
      <c r="F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C391" s="12"/>
    </row>
    <row r="392" spans="1:29" x14ac:dyDescent="0.2">
      <c r="A392" s="3" t="s">
        <v>536</v>
      </c>
      <c r="C392" s="3" t="s">
        <v>493</v>
      </c>
      <c r="F392" s="41">
        <f>SUM(F380:F391)</f>
        <v>818055.56</v>
      </c>
      <c r="G392" s="41"/>
      <c r="H392" s="41">
        <f>SUM(H380:H391)</f>
        <v>0</v>
      </c>
      <c r="I392" s="41">
        <f>SUM(I380:I391)</f>
        <v>0</v>
      </c>
      <c r="J392" s="41"/>
      <c r="K392" s="41">
        <f>SUM(K380:K391)</f>
        <v>0</v>
      </c>
      <c r="L392" s="41"/>
      <c r="M392" s="41">
        <f>SUM(M380:M391)</f>
        <v>2802.0734380299355</v>
      </c>
      <c r="N392" s="41"/>
      <c r="O392" s="41">
        <f>SUM(O380:O391)</f>
        <v>160976.71981486172</v>
      </c>
      <c r="P392" s="41">
        <f>SUM(P380:P391)</f>
        <v>106559.38563065475</v>
      </c>
      <c r="Q392" s="41"/>
      <c r="R392" s="41">
        <f>SUM(R380:R391)</f>
        <v>0</v>
      </c>
      <c r="S392" s="41">
        <f>SUM(S380:S391)</f>
        <v>36219.332530124906</v>
      </c>
      <c r="T392" s="41"/>
      <c r="U392" s="41">
        <f>SUM(U380:U391)</f>
        <v>489574.86378312757</v>
      </c>
      <c r="V392" s="41"/>
      <c r="W392" s="41">
        <f>SUM(W380:W391)</f>
        <v>21923.184803201188</v>
      </c>
      <c r="X392" s="41"/>
      <c r="Y392" s="41">
        <f>SUM(Y380:Y391)</f>
        <v>0</v>
      </c>
      <c r="Z392" s="41"/>
      <c r="AA392" s="41">
        <f>SUM(AA380:AA391)</f>
        <v>0</v>
      </c>
      <c r="AB392" s="24">
        <f>SUM(H392:AA392)</f>
        <v>818055.56000000017</v>
      </c>
      <c r="AC392" s="12" t="str">
        <f>IF(ABS(AB392-F392)&lt;1,"ok","err")</f>
        <v>ok</v>
      </c>
    </row>
    <row r="393" spans="1:29" x14ac:dyDescent="0.2">
      <c r="F393" s="41"/>
      <c r="G393" s="41"/>
      <c r="H393" s="41"/>
      <c r="I393" s="41"/>
      <c r="J393" s="41"/>
      <c r="K393" s="41"/>
      <c r="L393" s="41"/>
      <c r="M393" s="41"/>
      <c r="N393" s="41"/>
      <c r="O393" s="41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24"/>
      <c r="AC393" s="12"/>
    </row>
    <row r="394" spans="1:29" x14ac:dyDescent="0.2">
      <c r="F394" s="41"/>
      <c r="G394" s="41"/>
      <c r="H394" s="41"/>
      <c r="I394" s="41"/>
      <c r="J394" s="41"/>
      <c r="K394" s="41"/>
      <c r="L394" s="41"/>
      <c r="M394" s="41"/>
      <c r="N394" s="41"/>
      <c r="O394" s="41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24"/>
      <c r="AC394" s="12"/>
    </row>
    <row r="395" spans="1:29" x14ac:dyDescent="0.2">
      <c r="A395" s="2"/>
      <c r="F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C395" s="12"/>
    </row>
    <row r="396" spans="1:29" x14ac:dyDescent="0.2">
      <c r="A396" s="10" t="s">
        <v>473</v>
      </c>
      <c r="F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C396" s="12"/>
    </row>
    <row r="397" spans="1:29" x14ac:dyDescent="0.2">
      <c r="F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C397" s="12"/>
    </row>
    <row r="398" spans="1:29" x14ac:dyDescent="0.2">
      <c r="A398" s="2" t="s">
        <v>537</v>
      </c>
      <c r="F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C398" s="12"/>
    </row>
    <row r="399" spans="1:29" x14ac:dyDescent="0.2">
      <c r="A399" s="3">
        <v>590</v>
      </c>
      <c r="B399" s="3" t="s">
        <v>119</v>
      </c>
      <c r="C399" s="3" t="s">
        <v>494</v>
      </c>
      <c r="D399" s="3" t="s">
        <v>16</v>
      </c>
      <c r="F399" s="24">
        <f>196497.96</f>
        <v>196497.96</v>
      </c>
      <c r="H399" s="24">
        <f t="shared" ref="H399:H406" si="228">IF(VLOOKUP($D399,$C$5:$AA$494,6,)=0,0,((VLOOKUP($D399,$C$5:$AA$494,6,)/VLOOKUP($D399,$C$5:$AA$494,4,))*$F399))</f>
        <v>0</v>
      </c>
      <c r="I399" s="24">
        <f t="shared" ref="I399:I406" si="229">IF(VLOOKUP($D399,$C$5:$AA$494,7,)=0,0,((VLOOKUP($D399,$C$5:$AA$494,7,)/VLOOKUP($D399,$C$5:$AA$494,4,))*$F399))</f>
        <v>0</v>
      </c>
      <c r="J399" s="24"/>
      <c r="K399" s="24">
        <f t="shared" ref="K399:K406" si="230">IF(VLOOKUP($D399,$C$5:$AA$494,9,)=0,0,((VLOOKUP($D399,$C$5:$AA$494,9,)/VLOOKUP($D399,$C$5:$AA$494,4,))*$F399))</f>
        <v>0</v>
      </c>
      <c r="L399" s="24"/>
      <c r="M399" s="24">
        <f t="shared" ref="M399:M406" si="231">IF(VLOOKUP($D399,$C$5:$AA$494,11,)=0,0,((VLOOKUP($D399,$C$5:$AA$494,11,)/VLOOKUP($D399,$C$5:$AA$494,4,))*$F399))</f>
        <v>1708.133386570101</v>
      </c>
      <c r="N399" s="24"/>
      <c r="O399" s="24">
        <f t="shared" ref="O399:O406" si="232">IF(VLOOKUP($D399,$C$5:$AA$494,13,)=0,0,((VLOOKUP($D399,$C$5:$AA$494,13,)/VLOOKUP($D399,$C$5:$AA$494,4,))*$F399))</f>
        <v>87361.027588739729</v>
      </c>
      <c r="P399" s="24">
        <f t="shared" ref="P399:P406" si="233">IF(VLOOKUP($D399,$C$5:$AA$494,14,)=0,0,((VLOOKUP($D399,$C$5:$AA$494,14,)/VLOOKUP($D399,$C$5:$AA$494,4,))*$F399))</f>
        <v>58657.8695819235</v>
      </c>
      <c r="Q399" s="24"/>
      <c r="R399" s="24">
        <f t="shared" ref="R399:R406" si="234">IF(VLOOKUP($D399,$C$5:$AA$494,16,)=0,0,((VLOOKUP($D399,$C$5:$AA$494,16,)/VLOOKUP($D399,$C$5:$AA$494,4,))*$F399))</f>
        <v>0</v>
      </c>
      <c r="S399" s="24">
        <f t="shared" ref="S399:S406" si="235">IF(VLOOKUP($D399,$C$5:$AA$494,17,)=0,0,((VLOOKUP($D399,$C$5:$AA$494,17,)/VLOOKUP($D399,$C$5:$AA$494,4,))*$F399))</f>
        <v>22079.168338103325</v>
      </c>
      <c r="T399" s="24"/>
      <c r="U399" s="24">
        <f t="shared" ref="U399:U406" si="236">IF(VLOOKUP($D399,$C$5:$AA$494,19,)=0,0,((VLOOKUP($D399,$C$5:$AA$494,19,)/VLOOKUP($D399,$C$5:$AA$494,4,))*$F399))</f>
        <v>13327.470435457091</v>
      </c>
      <c r="V399" s="24"/>
      <c r="W399" s="24">
        <f t="shared" ref="W399:W406" si="237">IF(VLOOKUP($D399,$C$5:$AA$494,21,)=0,0,((VLOOKUP($D399,$C$5:$AA$494,21,)/VLOOKUP($D399,$C$5:$AA$494,4,))*$F399))</f>
        <v>13364.290669206277</v>
      </c>
      <c r="X399" s="24"/>
      <c r="Y399" s="24">
        <f t="shared" ref="Y399:Y406" si="238">IF(VLOOKUP($D399,$C$5:$AA$494,23,)=0,0,((VLOOKUP($D399,$C$5:$AA$494,23,)/VLOOKUP($D399,$C$5:$AA$494,4,))*$F399))</f>
        <v>0</v>
      </c>
      <c r="Z399" s="24"/>
      <c r="AA399" s="24">
        <f t="shared" ref="AA399:AA406" si="239">IF(VLOOKUP($D399,$C$5:$AA$494,25,)=0,0,((VLOOKUP($D399,$C$5:$AA$494,25,)/VLOOKUP($D399,$C$5:$AA$494,4,))*$F399))</f>
        <v>0</v>
      </c>
      <c r="AB399" s="24">
        <f t="shared" ref="AB399:AB406" si="240">SUM(H399:AA399)</f>
        <v>196497.96000000002</v>
      </c>
      <c r="AC399" s="12" t="str">
        <f t="shared" ref="AC399:AC406" si="241">IF(ABS(AB399-F399)&lt;1,"ok","err")</f>
        <v>ok</v>
      </c>
    </row>
    <row r="400" spans="1:29" x14ac:dyDescent="0.2">
      <c r="A400" s="3">
        <v>592</v>
      </c>
      <c r="B400" s="3" t="s">
        <v>121</v>
      </c>
      <c r="C400" s="3" t="s">
        <v>495</v>
      </c>
      <c r="D400" s="3" t="s">
        <v>23</v>
      </c>
      <c r="F400" s="24">
        <v>0</v>
      </c>
      <c r="H400" s="24">
        <f t="shared" si="228"/>
        <v>0</v>
      </c>
      <c r="I400" s="24">
        <f t="shared" si="229"/>
        <v>0</v>
      </c>
      <c r="J400" s="24"/>
      <c r="K400" s="24">
        <f t="shared" si="230"/>
        <v>0</v>
      </c>
      <c r="L400" s="24"/>
      <c r="M400" s="24">
        <f t="shared" si="231"/>
        <v>0</v>
      </c>
      <c r="N400" s="24"/>
      <c r="O400" s="24">
        <f t="shared" si="232"/>
        <v>0</v>
      </c>
      <c r="P400" s="24">
        <f t="shared" si="233"/>
        <v>0</v>
      </c>
      <c r="Q400" s="24"/>
      <c r="R400" s="24">
        <f t="shared" si="234"/>
        <v>0</v>
      </c>
      <c r="S400" s="24">
        <f t="shared" si="235"/>
        <v>0</v>
      </c>
      <c r="T400" s="24"/>
      <c r="U400" s="24">
        <f t="shared" si="236"/>
        <v>0</v>
      </c>
      <c r="V400" s="24"/>
      <c r="W400" s="24">
        <f t="shared" si="237"/>
        <v>0</v>
      </c>
      <c r="X400" s="24"/>
      <c r="Y400" s="24">
        <f t="shared" si="238"/>
        <v>0</v>
      </c>
      <c r="Z400" s="24"/>
      <c r="AA400" s="24">
        <f t="shared" si="239"/>
        <v>0</v>
      </c>
      <c r="AB400" s="24">
        <f t="shared" si="240"/>
        <v>0</v>
      </c>
      <c r="AC400" s="12" t="str">
        <f t="shared" si="241"/>
        <v>ok</v>
      </c>
    </row>
    <row r="401" spans="1:29" x14ac:dyDescent="0.2">
      <c r="A401" s="3">
        <v>593</v>
      </c>
      <c r="B401" s="3" t="s">
        <v>123</v>
      </c>
      <c r="C401" s="3" t="s">
        <v>496</v>
      </c>
      <c r="D401" s="3" t="s">
        <v>29</v>
      </c>
      <c r="F401" s="24">
        <f>572767.36+145445.93+6040.81+987.42</f>
        <v>725241.52000000014</v>
      </c>
      <c r="H401" s="24">
        <f t="shared" si="228"/>
        <v>0</v>
      </c>
      <c r="I401" s="24">
        <f t="shared" si="229"/>
        <v>0</v>
      </c>
      <c r="J401" s="24"/>
      <c r="K401" s="24">
        <f t="shared" si="230"/>
        <v>0</v>
      </c>
      <c r="L401" s="24"/>
      <c r="M401" s="24">
        <f t="shared" si="231"/>
        <v>0</v>
      </c>
      <c r="N401" s="24"/>
      <c r="O401" s="24">
        <f t="shared" si="232"/>
        <v>457565.29686274839</v>
      </c>
      <c r="P401" s="24">
        <f t="shared" si="233"/>
        <v>267676.22313725168</v>
      </c>
      <c r="Q401" s="24"/>
      <c r="R401" s="24">
        <f t="shared" si="234"/>
        <v>0</v>
      </c>
      <c r="S401" s="24">
        <f t="shared" si="235"/>
        <v>0</v>
      </c>
      <c r="T401" s="24"/>
      <c r="U401" s="24">
        <f t="shared" si="236"/>
        <v>0</v>
      </c>
      <c r="V401" s="24"/>
      <c r="W401" s="24">
        <f t="shared" si="237"/>
        <v>0</v>
      </c>
      <c r="X401" s="24"/>
      <c r="Y401" s="24">
        <f t="shared" si="238"/>
        <v>0</v>
      </c>
      <c r="Z401" s="24"/>
      <c r="AA401" s="24">
        <f t="shared" si="239"/>
        <v>0</v>
      </c>
      <c r="AB401" s="24">
        <f t="shared" si="240"/>
        <v>725241.52</v>
      </c>
      <c r="AC401" s="12" t="str">
        <f t="shared" si="241"/>
        <v>ok</v>
      </c>
    </row>
    <row r="402" spans="1:29" x14ac:dyDescent="0.2">
      <c r="A402" s="3">
        <v>594</v>
      </c>
      <c r="B402" s="3" t="s">
        <v>125</v>
      </c>
      <c r="C402" s="3" t="s">
        <v>497</v>
      </c>
      <c r="D402" s="3" t="s">
        <v>35</v>
      </c>
      <c r="F402" s="24">
        <v>0</v>
      </c>
      <c r="H402" s="24">
        <f t="shared" si="228"/>
        <v>0</v>
      </c>
      <c r="I402" s="24">
        <f t="shared" si="229"/>
        <v>0</v>
      </c>
      <c r="J402" s="24"/>
      <c r="K402" s="24">
        <f t="shared" si="230"/>
        <v>0</v>
      </c>
      <c r="L402" s="24"/>
      <c r="M402" s="24">
        <f t="shared" si="231"/>
        <v>0</v>
      </c>
      <c r="N402" s="24"/>
      <c r="O402" s="24">
        <f t="shared" si="232"/>
        <v>0</v>
      </c>
      <c r="P402" s="24">
        <f t="shared" si="233"/>
        <v>0</v>
      </c>
      <c r="Q402" s="24"/>
      <c r="R402" s="24">
        <f t="shared" si="234"/>
        <v>0</v>
      </c>
      <c r="S402" s="24">
        <f t="shared" si="235"/>
        <v>0</v>
      </c>
      <c r="T402" s="24"/>
      <c r="U402" s="24">
        <f t="shared" si="236"/>
        <v>0</v>
      </c>
      <c r="V402" s="24"/>
      <c r="W402" s="24">
        <f t="shared" si="237"/>
        <v>0</v>
      </c>
      <c r="X402" s="24"/>
      <c r="Y402" s="24">
        <f t="shared" si="238"/>
        <v>0</v>
      </c>
      <c r="Z402" s="24"/>
      <c r="AA402" s="24">
        <f t="shared" si="239"/>
        <v>0</v>
      </c>
      <c r="AB402" s="24">
        <f t="shared" si="240"/>
        <v>0</v>
      </c>
      <c r="AC402" s="12" t="str">
        <f t="shared" si="241"/>
        <v>ok</v>
      </c>
    </row>
    <row r="403" spans="1:29" x14ac:dyDescent="0.2">
      <c r="A403" s="3">
        <v>595</v>
      </c>
      <c r="B403" s="3" t="s">
        <v>127</v>
      </c>
      <c r="C403" s="3" t="s">
        <v>498</v>
      </c>
      <c r="D403" s="3" t="s">
        <v>37</v>
      </c>
      <c r="F403" s="24">
        <v>1511.19</v>
      </c>
      <c r="H403" s="24">
        <f t="shared" si="228"/>
        <v>0</v>
      </c>
      <c r="I403" s="24">
        <f t="shared" si="229"/>
        <v>0</v>
      </c>
      <c r="J403" s="24"/>
      <c r="K403" s="24">
        <f t="shared" si="230"/>
        <v>0</v>
      </c>
      <c r="L403" s="24"/>
      <c r="M403" s="24">
        <f t="shared" si="231"/>
        <v>0</v>
      </c>
      <c r="N403" s="24"/>
      <c r="O403" s="24">
        <f t="shared" si="232"/>
        <v>817.44799468003771</v>
      </c>
      <c r="P403" s="24">
        <f t="shared" si="233"/>
        <v>693.74200531996246</v>
      </c>
      <c r="Q403" s="24"/>
      <c r="R403" s="24">
        <f t="shared" si="234"/>
        <v>0</v>
      </c>
      <c r="S403" s="24">
        <f t="shared" si="235"/>
        <v>0</v>
      </c>
      <c r="T403" s="24"/>
      <c r="U403" s="24">
        <f t="shared" si="236"/>
        <v>0</v>
      </c>
      <c r="V403" s="24"/>
      <c r="W403" s="24">
        <f t="shared" si="237"/>
        <v>0</v>
      </c>
      <c r="X403" s="24"/>
      <c r="Y403" s="24">
        <f t="shared" si="238"/>
        <v>0</v>
      </c>
      <c r="Z403" s="24"/>
      <c r="AA403" s="24">
        <f t="shared" si="239"/>
        <v>0</v>
      </c>
      <c r="AB403" s="24">
        <f t="shared" si="240"/>
        <v>1511.19</v>
      </c>
      <c r="AC403" s="12" t="str">
        <f t="shared" si="241"/>
        <v>ok</v>
      </c>
    </row>
    <row r="404" spans="1:29" x14ac:dyDescent="0.2">
      <c r="A404" s="3">
        <v>596</v>
      </c>
      <c r="B404" s="3" t="s">
        <v>379</v>
      </c>
      <c r="C404" s="3" t="s">
        <v>499</v>
      </c>
      <c r="D404" s="3" t="s">
        <v>48</v>
      </c>
      <c r="F404" s="24">
        <v>0</v>
      </c>
      <c r="H404" s="24">
        <f t="shared" si="228"/>
        <v>0</v>
      </c>
      <c r="I404" s="24">
        <f t="shared" si="229"/>
        <v>0</v>
      </c>
      <c r="J404" s="24"/>
      <c r="K404" s="24">
        <f t="shared" si="230"/>
        <v>0</v>
      </c>
      <c r="L404" s="24"/>
      <c r="M404" s="24">
        <f t="shared" si="231"/>
        <v>0</v>
      </c>
      <c r="N404" s="24"/>
      <c r="O404" s="24">
        <f t="shared" si="232"/>
        <v>0</v>
      </c>
      <c r="P404" s="24">
        <f t="shared" si="233"/>
        <v>0</v>
      </c>
      <c r="Q404" s="24"/>
      <c r="R404" s="24">
        <f t="shared" si="234"/>
        <v>0</v>
      </c>
      <c r="S404" s="24">
        <f t="shared" si="235"/>
        <v>0</v>
      </c>
      <c r="T404" s="24"/>
      <c r="U404" s="24">
        <f t="shared" si="236"/>
        <v>0</v>
      </c>
      <c r="V404" s="24"/>
      <c r="W404" s="24">
        <f t="shared" si="237"/>
        <v>0</v>
      </c>
      <c r="X404" s="24"/>
      <c r="Y404" s="24">
        <f t="shared" si="238"/>
        <v>0</v>
      </c>
      <c r="Z404" s="24"/>
      <c r="AA404" s="24">
        <f t="shared" si="239"/>
        <v>0</v>
      </c>
      <c r="AB404" s="24">
        <f t="shared" si="240"/>
        <v>0</v>
      </c>
      <c r="AC404" s="12" t="str">
        <f t="shared" si="241"/>
        <v>ok</v>
      </c>
    </row>
    <row r="405" spans="1:29" x14ac:dyDescent="0.2">
      <c r="A405" s="3">
        <v>597</v>
      </c>
      <c r="B405" s="3" t="s">
        <v>129</v>
      </c>
      <c r="C405" s="3" t="s">
        <v>500</v>
      </c>
      <c r="D405" s="3" t="s">
        <v>43</v>
      </c>
      <c r="F405" s="24">
        <v>0</v>
      </c>
      <c r="H405" s="24">
        <f t="shared" si="228"/>
        <v>0</v>
      </c>
      <c r="I405" s="24">
        <f t="shared" si="229"/>
        <v>0</v>
      </c>
      <c r="J405" s="24"/>
      <c r="K405" s="24">
        <f t="shared" si="230"/>
        <v>0</v>
      </c>
      <c r="L405" s="24"/>
      <c r="M405" s="24">
        <f t="shared" si="231"/>
        <v>0</v>
      </c>
      <c r="N405" s="24"/>
      <c r="O405" s="24">
        <f t="shared" si="232"/>
        <v>0</v>
      </c>
      <c r="P405" s="24">
        <f t="shared" si="233"/>
        <v>0</v>
      </c>
      <c r="Q405" s="24"/>
      <c r="R405" s="24">
        <f t="shared" si="234"/>
        <v>0</v>
      </c>
      <c r="S405" s="24">
        <f t="shared" si="235"/>
        <v>0</v>
      </c>
      <c r="T405" s="24"/>
      <c r="U405" s="24">
        <f t="shared" si="236"/>
        <v>0</v>
      </c>
      <c r="V405" s="24"/>
      <c r="W405" s="24">
        <f t="shared" si="237"/>
        <v>0</v>
      </c>
      <c r="X405" s="24"/>
      <c r="Y405" s="24">
        <f t="shared" si="238"/>
        <v>0</v>
      </c>
      <c r="Z405" s="24"/>
      <c r="AA405" s="24">
        <f t="shared" si="239"/>
        <v>0</v>
      </c>
      <c r="AB405" s="24">
        <f t="shared" si="240"/>
        <v>0</v>
      </c>
      <c r="AC405" s="12" t="str">
        <f t="shared" si="241"/>
        <v>ok</v>
      </c>
    </row>
    <row r="406" spans="1:29" x14ac:dyDescent="0.2">
      <c r="A406" s="3">
        <v>598</v>
      </c>
      <c r="B406" s="3" t="s">
        <v>383</v>
      </c>
      <c r="C406" s="3" t="s">
        <v>501</v>
      </c>
      <c r="D406" s="3" t="s">
        <v>16</v>
      </c>
      <c r="F406" s="24">
        <v>0</v>
      </c>
      <c r="H406" s="24">
        <f t="shared" si="228"/>
        <v>0</v>
      </c>
      <c r="I406" s="24">
        <f t="shared" si="229"/>
        <v>0</v>
      </c>
      <c r="J406" s="24"/>
      <c r="K406" s="24">
        <f t="shared" si="230"/>
        <v>0</v>
      </c>
      <c r="L406" s="24"/>
      <c r="M406" s="24">
        <f t="shared" si="231"/>
        <v>0</v>
      </c>
      <c r="N406" s="24"/>
      <c r="O406" s="24">
        <f t="shared" si="232"/>
        <v>0</v>
      </c>
      <c r="P406" s="24">
        <f t="shared" si="233"/>
        <v>0</v>
      </c>
      <c r="Q406" s="24"/>
      <c r="R406" s="24">
        <f t="shared" si="234"/>
        <v>0</v>
      </c>
      <c r="S406" s="24">
        <f t="shared" si="235"/>
        <v>0</v>
      </c>
      <c r="T406" s="24"/>
      <c r="U406" s="24">
        <f t="shared" si="236"/>
        <v>0</v>
      </c>
      <c r="V406" s="24"/>
      <c r="W406" s="24">
        <f t="shared" si="237"/>
        <v>0</v>
      </c>
      <c r="X406" s="24"/>
      <c r="Y406" s="24">
        <f t="shared" si="238"/>
        <v>0</v>
      </c>
      <c r="Z406" s="24"/>
      <c r="AA406" s="24">
        <f t="shared" si="239"/>
        <v>0</v>
      </c>
      <c r="AB406" s="24">
        <f t="shared" si="240"/>
        <v>0</v>
      </c>
      <c r="AC406" s="12" t="str">
        <f t="shared" si="241"/>
        <v>ok</v>
      </c>
    </row>
    <row r="407" spans="1:29" x14ac:dyDescent="0.2">
      <c r="F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12"/>
    </row>
    <row r="408" spans="1:29" x14ac:dyDescent="0.2">
      <c r="A408" s="3" t="s">
        <v>538</v>
      </c>
      <c r="C408" s="3" t="s">
        <v>502</v>
      </c>
      <c r="F408" s="41">
        <f>SUM(F399:F407)</f>
        <v>923250.67</v>
      </c>
      <c r="G408" s="41"/>
      <c r="H408" s="41">
        <f>SUM(H399:H407)</f>
        <v>0</v>
      </c>
      <c r="I408" s="41">
        <f>SUM(I399:I407)</f>
        <v>0</v>
      </c>
      <c r="J408" s="41"/>
      <c r="K408" s="41">
        <f>SUM(K399:K407)</f>
        <v>0</v>
      </c>
      <c r="L408" s="41"/>
      <c r="M408" s="41">
        <f>SUM(M399:M407)</f>
        <v>1708.133386570101</v>
      </c>
      <c r="N408" s="41"/>
      <c r="O408" s="41">
        <f>SUM(O399:O407)</f>
        <v>545743.77244616812</v>
      </c>
      <c r="P408" s="41">
        <f>SUM(P399:P407)</f>
        <v>327027.83472449513</v>
      </c>
      <c r="Q408" s="41"/>
      <c r="R408" s="41">
        <f>SUM(R399:R407)</f>
        <v>0</v>
      </c>
      <c r="S408" s="41">
        <f>SUM(S399:S407)</f>
        <v>22079.168338103325</v>
      </c>
      <c r="T408" s="41"/>
      <c r="U408" s="41">
        <f>SUM(U399:U407)</f>
        <v>13327.470435457091</v>
      </c>
      <c r="V408" s="41"/>
      <c r="W408" s="41">
        <f>SUM(W399:W407)</f>
        <v>13364.290669206277</v>
      </c>
      <c r="X408" s="41"/>
      <c r="Y408" s="41">
        <f>SUM(Y399:Y407)</f>
        <v>0</v>
      </c>
      <c r="Z408" s="41"/>
      <c r="AA408" s="41">
        <f>SUM(AA399:AA407)</f>
        <v>0</v>
      </c>
      <c r="AB408" s="24">
        <f>SUM(H408:AA408)</f>
        <v>923250.67</v>
      </c>
      <c r="AC408" s="12" t="str">
        <f>IF(ABS(AB408-F408)&lt;1,"ok","err")</f>
        <v>ok</v>
      </c>
    </row>
    <row r="409" spans="1:29" x14ac:dyDescent="0.2">
      <c r="F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C409" s="12"/>
    </row>
    <row r="410" spans="1:29" x14ac:dyDescent="0.2">
      <c r="A410" s="3" t="s">
        <v>539</v>
      </c>
      <c r="F410" s="24">
        <f>F392+F408</f>
        <v>1741306.23</v>
      </c>
      <c r="G410" s="24"/>
      <c r="H410" s="24">
        <f>H392+H408</f>
        <v>0</v>
      </c>
      <c r="I410" s="24">
        <f>I392+I408</f>
        <v>0</v>
      </c>
      <c r="J410" s="24"/>
      <c r="K410" s="24">
        <f>K392+K408</f>
        <v>0</v>
      </c>
      <c r="L410" s="24"/>
      <c r="M410" s="24">
        <f>M392+M408</f>
        <v>4510.2068246000363</v>
      </c>
      <c r="N410" s="24"/>
      <c r="O410" s="24">
        <f>O392+O408</f>
        <v>706720.49226102978</v>
      </c>
      <c r="P410" s="24">
        <f>P392+P408</f>
        <v>433587.22035514988</v>
      </c>
      <c r="Q410" s="24"/>
      <c r="R410" s="24">
        <f>R392+R408</f>
        <v>0</v>
      </c>
      <c r="S410" s="24">
        <f>S392+S408</f>
        <v>58298.500868228235</v>
      </c>
      <c r="T410" s="24"/>
      <c r="U410" s="24">
        <f>U392+U408</f>
        <v>502902.33421858464</v>
      </c>
      <c r="V410" s="24"/>
      <c r="W410" s="24">
        <f>W392+W408</f>
        <v>35287.475472407466</v>
      </c>
      <c r="X410" s="24"/>
      <c r="Y410" s="24">
        <f>Y392+Y408</f>
        <v>0</v>
      </c>
      <c r="Z410" s="24"/>
      <c r="AA410" s="24">
        <f>AA392+AA408</f>
        <v>0</v>
      </c>
      <c r="AB410" s="24">
        <f>SUM(H410:AA410)</f>
        <v>1741306.23</v>
      </c>
      <c r="AC410" s="12" t="str">
        <f>IF(ABS(AB410-F410)&lt;1,"ok","err")</f>
        <v>ok</v>
      </c>
    </row>
    <row r="411" spans="1:29" x14ac:dyDescent="0.2"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C411" s="12"/>
    </row>
    <row r="412" spans="1:29" x14ac:dyDescent="0.2">
      <c r="A412" s="3" t="s">
        <v>540</v>
      </c>
      <c r="F412" s="24">
        <f>F410+F377</f>
        <v>1741306.23</v>
      </c>
      <c r="G412" s="24"/>
      <c r="H412" s="24">
        <f>H410+H377</f>
        <v>0</v>
      </c>
      <c r="I412" s="24">
        <f>I410+I377</f>
        <v>0</v>
      </c>
      <c r="J412" s="24"/>
      <c r="K412" s="24">
        <f>K410+K377</f>
        <v>0</v>
      </c>
      <c r="L412" s="24"/>
      <c r="M412" s="24">
        <f>M410+M377</f>
        <v>4510.2068246000363</v>
      </c>
      <c r="N412" s="24"/>
      <c r="O412" s="24">
        <f>O410+O377</f>
        <v>706720.49226102978</v>
      </c>
      <c r="P412" s="24">
        <f>P410+P377</f>
        <v>433587.22035514988</v>
      </c>
      <c r="Q412" s="24"/>
      <c r="R412" s="24">
        <f>R410+R377</f>
        <v>0</v>
      </c>
      <c r="S412" s="24">
        <f>S410+S377</f>
        <v>58298.500868228235</v>
      </c>
      <c r="T412" s="24"/>
      <c r="U412" s="24">
        <f>U410+U377</f>
        <v>502902.33421858464</v>
      </c>
      <c r="V412" s="24"/>
      <c r="W412" s="24">
        <f>W410+W377</f>
        <v>35287.475472407466</v>
      </c>
      <c r="X412" s="24"/>
      <c r="Y412" s="24">
        <f>Y410+Y377</f>
        <v>0</v>
      </c>
      <c r="Z412" s="24"/>
      <c r="AA412" s="24">
        <f>AA410+AA377</f>
        <v>0</v>
      </c>
      <c r="AB412" s="24">
        <f>SUM(H412:AA412)</f>
        <v>1741306.23</v>
      </c>
      <c r="AC412" s="12" t="str">
        <f>IF(ABS(AB412-F412)&lt;1,"ok","err")</f>
        <v>ok</v>
      </c>
    </row>
    <row r="413" spans="1:29" x14ac:dyDescent="0.2"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C413" s="12"/>
    </row>
    <row r="414" spans="1:29" x14ac:dyDescent="0.2">
      <c r="A414" s="3" t="s">
        <v>541</v>
      </c>
      <c r="C414" s="3" t="s">
        <v>503</v>
      </c>
      <c r="F414" s="41">
        <f>F412+F365</f>
        <v>1741306.23</v>
      </c>
      <c r="G414" s="41"/>
      <c r="H414" s="41">
        <f>H412+H365</f>
        <v>0</v>
      </c>
      <c r="I414" s="41">
        <f>I412+I365</f>
        <v>0</v>
      </c>
      <c r="J414" s="41"/>
      <c r="K414" s="41">
        <f>K412+K365</f>
        <v>0</v>
      </c>
      <c r="L414" s="41"/>
      <c r="M414" s="41">
        <f>M412+M365</f>
        <v>4510.2068246000363</v>
      </c>
      <c r="N414" s="41"/>
      <c r="O414" s="41">
        <f>O412+O365</f>
        <v>706720.49226102978</v>
      </c>
      <c r="P414" s="41">
        <f>P412+P365</f>
        <v>433587.22035514988</v>
      </c>
      <c r="Q414" s="41"/>
      <c r="R414" s="41">
        <f>R412+R365</f>
        <v>0</v>
      </c>
      <c r="S414" s="41">
        <f>S412+S365</f>
        <v>58298.500868228235</v>
      </c>
      <c r="T414" s="41"/>
      <c r="U414" s="41">
        <f>U412+U365</f>
        <v>502902.33421858464</v>
      </c>
      <c r="V414" s="41"/>
      <c r="W414" s="41">
        <f>W412+W365</f>
        <v>35287.475472407466</v>
      </c>
      <c r="X414" s="41"/>
      <c r="Y414" s="41">
        <f>Y412+Y365</f>
        <v>0</v>
      </c>
      <c r="Z414" s="41"/>
      <c r="AA414" s="41">
        <f>AA412+AA365</f>
        <v>0</v>
      </c>
      <c r="AB414" s="24">
        <f>SUM(H414:AA414)</f>
        <v>1741306.23</v>
      </c>
      <c r="AC414" s="12" t="str">
        <f>IF(ABS(AB414-F414)&lt;1,"ok","err")</f>
        <v>ok</v>
      </c>
    </row>
    <row r="415" spans="1:29" x14ac:dyDescent="0.2">
      <c r="A415" s="2"/>
      <c r="F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C415" s="12"/>
    </row>
    <row r="416" spans="1:29" x14ac:dyDescent="0.2">
      <c r="A416" s="2" t="s">
        <v>136</v>
      </c>
      <c r="F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C416" s="12"/>
    </row>
    <row r="417" spans="1:29" x14ac:dyDescent="0.2">
      <c r="A417" s="3">
        <v>901</v>
      </c>
      <c r="B417" s="3" t="s">
        <v>137</v>
      </c>
      <c r="C417" s="3" t="s">
        <v>504</v>
      </c>
      <c r="D417" s="3" t="s">
        <v>139</v>
      </c>
      <c r="F417" s="41">
        <v>0</v>
      </c>
      <c r="H417" s="24">
        <f>IF(VLOOKUP($D417,$C$5:$AA$494,6,)=0,0,((VLOOKUP($D417,$C$5:$AA$494,6,)/VLOOKUP($D417,$C$5:$AA$494,4,))*$F417))</f>
        <v>0</v>
      </c>
      <c r="I417" s="24">
        <f>IF(VLOOKUP($D417,$C$5:$AA$494,7,)=0,0,((VLOOKUP($D417,$C$5:$AA$494,7,)/VLOOKUP($D417,$C$5:$AA$494,4,))*$F417))</f>
        <v>0</v>
      </c>
      <c r="J417" s="24"/>
      <c r="K417" s="24">
        <f>IF(VLOOKUP($D417,$C$5:$AA$494,9,)=0,0,((VLOOKUP($D417,$C$5:$AA$494,9,)/VLOOKUP($D417,$C$5:$AA$494,4,))*$F417))</f>
        <v>0</v>
      </c>
      <c r="L417" s="24"/>
      <c r="M417" s="24">
        <f>IF(VLOOKUP($D417,$C$5:$AA$494,11,)=0,0,((VLOOKUP($D417,$C$5:$AA$494,11,)/VLOOKUP($D417,$C$5:$AA$494,4,))*$F417))</f>
        <v>0</v>
      </c>
      <c r="N417" s="24"/>
      <c r="O417" s="24">
        <f>IF(VLOOKUP($D417,$C$5:$AA$494,13,)=0,0,((VLOOKUP($D417,$C$5:$AA$494,13,)/VLOOKUP($D417,$C$5:$AA$494,4,))*$F417))</f>
        <v>0</v>
      </c>
      <c r="P417" s="24">
        <f>IF(VLOOKUP($D417,$C$5:$AA$494,14,)=0,0,((VLOOKUP($D417,$C$5:$AA$494,14,)/VLOOKUP($D417,$C$5:$AA$494,4,))*$F417))</f>
        <v>0</v>
      </c>
      <c r="Q417" s="24"/>
      <c r="R417" s="24">
        <f>IF(VLOOKUP($D417,$C$5:$AA$494,16,)=0,0,((VLOOKUP($D417,$C$5:$AA$494,16,)/VLOOKUP($D417,$C$5:$AA$494,4,))*$F417))</f>
        <v>0</v>
      </c>
      <c r="S417" s="24">
        <f>IF(VLOOKUP($D417,$C$5:$AA$494,17,)=0,0,((VLOOKUP($D417,$C$5:$AA$494,17,)/VLOOKUP($D417,$C$5:$AA$494,4,))*$F417))</f>
        <v>0</v>
      </c>
      <c r="T417" s="24"/>
      <c r="U417" s="24">
        <f>IF(VLOOKUP($D417,$C$5:$AA$494,19,)=0,0,((VLOOKUP($D417,$C$5:$AA$494,19,)/VLOOKUP($D417,$C$5:$AA$494,4,))*$F417))</f>
        <v>0</v>
      </c>
      <c r="V417" s="24"/>
      <c r="W417" s="24">
        <f>IF(VLOOKUP($D417,$C$5:$AA$494,21,)=0,0,((VLOOKUP($D417,$C$5:$AA$494,21,)/VLOOKUP($D417,$C$5:$AA$494,4,))*$F417))</f>
        <v>0</v>
      </c>
      <c r="X417" s="24"/>
      <c r="Y417" s="24">
        <f>IF(VLOOKUP($D417,$C$5:$AA$494,23,)=0,0,((VLOOKUP($D417,$C$5:$AA$494,23,)/VLOOKUP($D417,$C$5:$AA$494,4,))*$F417))</f>
        <v>0</v>
      </c>
      <c r="Z417" s="24"/>
      <c r="AA417" s="24">
        <f>IF(VLOOKUP($D417,$C$5:$AA$494,25,)=0,0,((VLOOKUP($D417,$C$5:$AA$494,25,)/VLOOKUP($D417,$C$5:$AA$494,4,))*$F417))</f>
        <v>0</v>
      </c>
      <c r="AB417" s="24">
        <f>SUM(H417:AA417)</f>
        <v>0</v>
      </c>
      <c r="AC417" s="12" t="str">
        <f>IF(ABS(AB417-F417)&lt;1,"ok","err")</f>
        <v>ok</v>
      </c>
    </row>
    <row r="418" spans="1:29" x14ac:dyDescent="0.2">
      <c r="A418" s="3">
        <v>902</v>
      </c>
      <c r="B418" s="3" t="s">
        <v>140</v>
      </c>
      <c r="C418" s="3" t="s">
        <v>505</v>
      </c>
      <c r="D418" s="3" t="s">
        <v>139</v>
      </c>
      <c r="F418" s="24">
        <v>125830.52</v>
      </c>
      <c r="H418" s="24">
        <f>IF(VLOOKUP($D418,$C$5:$AA$494,6,)=0,0,((VLOOKUP($D418,$C$5:$AA$494,6,)/VLOOKUP($D418,$C$5:$AA$494,4,))*$F418))</f>
        <v>0</v>
      </c>
      <c r="I418" s="24">
        <f>IF(VLOOKUP($D418,$C$5:$AA$494,7,)=0,0,((VLOOKUP($D418,$C$5:$AA$494,7,)/VLOOKUP($D418,$C$5:$AA$494,4,))*$F418))</f>
        <v>0</v>
      </c>
      <c r="J418" s="24"/>
      <c r="K418" s="24">
        <f>IF(VLOOKUP($D418,$C$5:$AA$494,9,)=0,0,((VLOOKUP($D418,$C$5:$AA$494,9,)/VLOOKUP($D418,$C$5:$AA$494,4,))*$F418))</f>
        <v>0</v>
      </c>
      <c r="L418" s="24"/>
      <c r="M418" s="24">
        <f>IF(VLOOKUP($D418,$C$5:$AA$494,11,)=0,0,((VLOOKUP($D418,$C$5:$AA$494,11,)/VLOOKUP($D418,$C$5:$AA$494,4,))*$F418))</f>
        <v>0</v>
      </c>
      <c r="N418" s="24"/>
      <c r="O418" s="24">
        <f>IF(VLOOKUP($D418,$C$5:$AA$494,13,)=0,0,((VLOOKUP($D418,$C$5:$AA$494,13,)/VLOOKUP($D418,$C$5:$AA$494,4,))*$F418))</f>
        <v>0</v>
      </c>
      <c r="P418" s="24">
        <f>IF(VLOOKUP($D418,$C$5:$AA$494,14,)=0,0,((VLOOKUP($D418,$C$5:$AA$494,14,)/VLOOKUP($D418,$C$5:$AA$494,4,))*$F418))</f>
        <v>0</v>
      </c>
      <c r="Q418" s="24"/>
      <c r="R418" s="24">
        <f>IF(VLOOKUP($D418,$C$5:$AA$494,16,)=0,0,((VLOOKUP($D418,$C$5:$AA$494,16,)/VLOOKUP($D418,$C$5:$AA$494,4,))*$F418))</f>
        <v>0</v>
      </c>
      <c r="S418" s="24">
        <f>IF(VLOOKUP($D418,$C$5:$AA$494,17,)=0,0,((VLOOKUP($D418,$C$5:$AA$494,17,)/VLOOKUP($D418,$C$5:$AA$494,4,))*$F418))</f>
        <v>0</v>
      </c>
      <c r="T418" s="24"/>
      <c r="U418" s="24">
        <f>IF(VLOOKUP($D418,$C$5:$AA$494,19,)=0,0,((VLOOKUP($D418,$C$5:$AA$494,19,)/VLOOKUP($D418,$C$5:$AA$494,4,))*$F418))</f>
        <v>0</v>
      </c>
      <c r="V418" s="24"/>
      <c r="W418" s="24">
        <f>IF(VLOOKUP($D418,$C$5:$AA$494,21,)=0,0,((VLOOKUP($D418,$C$5:$AA$494,21,)/VLOOKUP($D418,$C$5:$AA$494,4,))*$F418))</f>
        <v>0</v>
      </c>
      <c r="X418" s="24"/>
      <c r="Y418" s="24">
        <f>IF(VLOOKUP($D418,$C$5:$AA$494,23,)=0,0,((VLOOKUP($D418,$C$5:$AA$494,23,)/VLOOKUP($D418,$C$5:$AA$494,4,))*$F418))</f>
        <v>125830.52</v>
      </c>
      <c r="Z418" s="24"/>
      <c r="AA418" s="24">
        <f>IF(VLOOKUP($D418,$C$5:$AA$494,25,)=0,0,((VLOOKUP($D418,$C$5:$AA$494,25,)/VLOOKUP($D418,$C$5:$AA$494,4,))*$F418))</f>
        <v>0</v>
      </c>
      <c r="AB418" s="24">
        <f>SUM(H418:AA418)</f>
        <v>125830.52</v>
      </c>
      <c r="AC418" s="12" t="str">
        <f>IF(ABS(AB418-F418)&lt;1,"ok","err")</f>
        <v>ok</v>
      </c>
    </row>
    <row r="419" spans="1:29" x14ac:dyDescent="0.2">
      <c r="A419" s="3">
        <v>903</v>
      </c>
      <c r="B419" s="3" t="s">
        <v>452</v>
      </c>
      <c r="C419" s="3" t="s">
        <v>506</v>
      </c>
      <c r="D419" s="3" t="s">
        <v>139</v>
      </c>
      <c r="F419" s="24">
        <v>491979.25</v>
      </c>
      <c r="H419" s="24">
        <f>IF(VLOOKUP($D419,$C$5:$AA$494,6,)=0,0,((VLOOKUP($D419,$C$5:$AA$494,6,)/VLOOKUP($D419,$C$5:$AA$494,4,))*$F419))</f>
        <v>0</v>
      </c>
      <c r="I419" s="24">
        <f>IF(VLOOKUP($D419,$C$5:$AA$494,7,)=0,0,((VLOOKUP($D419,$C$5:$AA$494,7,)/VLOOKUP($D419,$C$5:$AA$494,4,))*$F419))</f>
        <v>0</v>
      </c>
      <c r="J419" s="24"/>
      <c r="K419" s="24">
        <f>IF(VLOOKUP($D419,$C$5:$AA$494,9,)=0,0,((VLOOKUP($D419,$C$5:$AA$494,9,)/VLOOKUP($D419,$C$5:$AA$494,4,))*$F419))</f>
        <v>0</v>
      </c>
      <c r="L419" s="24"/>
      <c r="M419" s="24">
        <f>IF(VLOOKUP($D419,$C$5:$AA$494,11,)=0,0,((VLOOKUP($D419,$C$5:$AA$494,11,)/VLOOKUP($D419,$C$5:$AA$494,4,))*$F419))</f>
        <v>0</v>
      </c>
      <c r="N419" s="24"/>
      <c r="O419" s="24">
        <f>IF(VLOOKUP($D419,$C$5:$AA$494,13,)=0,0,((VLOOKUP($D419,$C$5:$AA$494,13,)/VLOOKUP($D419,$C$5:$AA$494,4,))*$F419))</f>
        <v>0</v>
      </c>
      <c r="P419" s="24">
        <f>IF(VLOOKUP($D419,$C$5:$AA$494,14,)=0,0,((VLOOKUP($D419,$C$5:$AA$494,14,)/VLOOKUP($D419,$C$5:$AA$494,4,))*$F419))</f>
        <v>0</v>
      </c>
      <c r="Q419" s="24"/>
      <c r="R419" s="24">
        <f>IF(VLOOKUP($D419,$C$5:$AA$494,16,)=0,0,((VLOOKUP($D419,$C$5:$AA$494,16,)/VLOOKUP($D419,$C$5:$AA$494,4,))*$F419))</f>
        <v>0</v>
      </c>
      <c r="S419" s="24">
        <f>IF(VLOOKUP($D419,$C$5:$AA$494,17,)=0,0,((VLOOKUP($D419,$C$5:$AA$494,17,)/VLOOKUP($D419,$C$5:$AA$494,4,))*$F419))</f>
        <v>0</v>
      </c>
      <c r="T419" s="24"/>
      <c r="U419" s="24">
        <f>IF(VLOOKUP($D419,$C$5:$AA$494,19,)=0,0,((VLOOKUP($D419,$C$5:$AA$494,19,)/VLOOKUP($D419,$C$5:$AA$494,4,))*$F419))</f>
        <v>0</v>
      </c>
      <c r="V419" s="24"/>
      <c r="W419" s="24">
        <f>IF(VLOOKUP($D419,$C$5:$AA$494,21,)=0,0,((VLOOKUP($D419,$C$5:$AA$494,21,)/VLOOKUP($D419,$C$5:$AA$494,4,))*$F419))</f>
        <v>0</v>
      </c>
      <c r="X419" s="24"/>
      <c r="Y419" s="24">
        <f>IF(VLOOKUP($D419,$C$5:$AA$494,23,)=0,0,((VLOOKUP($D419,$C$5:$AA$494,23,)/VLOOKUP($D419,$C$5:$AA$494,4,))*$F419))</f>
        <v>491979.25</v>
      </c>
      <c r="Z419" s="24"/>
      <c r="AA419" s="24">
        <f>IF(VLOOKUP($D419,$C$5:$AA$494,25,)=0,0,((VLOOKUP($D419,$C$5:$AA$494,25,)/VLOOKUP($D419,$C$5:$AA$494,4,))*$F419))</f>
        <v>0</v>
      </c>
      <c r="AB419" s="24">
        <f>SUM(H419:AA419)</f>
        <v>491979.25</v>
      </c>
      <c r="AC419" s="12" t="str">
        <f>IF(ABS(AB419-F419)&lt;1,"ok","err")</f>
        <v>ok</v>
      </c>
    </row>
    <row r="420" spans="1:29" x14ac:dyDescent="0.2">
      <c r="A420" s="3">
        <v>904</v>
      </c>
      <c r="B420" s="3" t="s">
        <v>143</v>
      </c>
      <c r="C420" s="3" t="s">
        <v>507</v>
      </c>
      <c r="D420" s="3" t="s">
        <v>139</v>
      </c>
      <c r="F420" s="24">
        <v>0</v>
      </c>
      <c r="H420" s="24">
        <f>IF(VLOOKUP($D420,$C$5:$AA$494,6,)=0,0,((VLOOKUP($D420,$C$5:$AA$494,6,)/VLOOKUP($D420,$C$5:$AA$494,4,))*$F420))</f>
        <v>0</v>
      </c>
      <c r="I420" s="24">
        <f>IF(VLOOKUP($D420,$C$5:$AA$494,7,)=0,0,((VLOOKUP($D420,$C$5:$AA$494,7,)/VLOOKUP($D420,$C$5:$AA$494,4,))*$F420))</f>
        <v>0</v>
      </c>
      <c r="J420" s="24"/>
      <c r="K420" s="24">
        <f>IF(VLOOKUP($D420,$C$5:$AA$494,9,)=0,0,((VLOOKUP($D420,$C$5:$AA$494,9,)/VLOOKUP($D420,$C$5:$AA$494,4,))*$F420))</f>
        <v>0</v>
      </c>
      <c r="L420" s="24"/>
      <c r="M420" s="24">
        <f>IF(VLOOKUP($D420,$C$5:$AA$494,11,)=0,0,((VLOOKUP($D420,$C$5:$AA$494,11,)/VLOOKUP($D420,$C$5:$AA$494,4,))*$F420))</f>
        <v>0</v>
      </c>
      <c r="N420" s="24"/>
      <c r="O420" s="24">
        <f>IF(VLOOKUP($D420,$C$5:$AA$494,13,)=0,0,((VLOOKUP($D420,$C$5:$AA$494,13,)/VLOOKUP($D420,$C$5:$AA$494,4,))*$F420))</f>
        <v>0</v>
      </c>
      <c r="P420" s="24">
        <f>IF(VLOOKUP($D420,$C$5:$AA$494,14,)=0,0,((VLOOKUP($D420,$C$5:$AA$494,14,)/VLOOKUP($D420,$C$5:$AA$494,4,))*$F420))</f>
        <v>0</v>
      </c>
      <c r="Q420" s="24"/>
      <c r="R420" s="24">
        <f>IF(VLOOKUP($D420,$C$5:$AA$494,16,)=0,0,((VLOOKUP($D420,$C$5:$AA$494,16,)/VLOOKUP($D420,$C$5:$AA$494,4,))*$F420))</f>
        <v>0</v>
      </c>
      <c r="S420" s="24">
        <f>IF(VLOOKUP($D420,$C$5:$AA$494,17,)=0,0,((VLOOKUP($D420,$C$5:$AA$494,17,)/VLOOKUP($D420,$C$5:$AA$494,4,))*$F420))</f>
        <v>0</v>
      </c>
      <c r="T420" s="24"/>
      <c r="U420" s="24">
        <f>IF(VLOOKUP($D420,$C$5:$AA$494,19,)=0,0,((VLOOKUP($D420,$C$5:$AA$494,19,)/VLOOKUP($D420,$C$5:$AA$494,4,))*$F420))</f>
        <v>0</v>
      </c>
      <c r="V420" s="24"/>
      <c r="W420" s="24">
        <f>IF(VLOOKUP($D420,$C$5:$AA$494,21,)=0,0,((VLOOKUP($D420,$C$5:$AA$494,21,)/VLOOKUP($D420,$C$5:$AA$494,4,))*$F420))</f>
        <v>0</v>
      </c>
      <c r="X420" s="24"/>
      <c r="Y420" s="24">
        <f>IF(VLOOKUP($D420,$C$5:$AA$494,23,)=0,0,((VLOOKUP($D420,$C$5:$AA$494,23,)/VLOOKUP($D420,$C$5:$AA$494,4,))*$F420))</f>
        <v>0</v>
      </c>
      <c r="Z420" s="24"/>
      <c r="AA420" s="24">
        <f>IF(VLOOKUP($D420,$C$5:$AA$494,25,)=0,0,((VLOOKUP($D420,$C$5:$AA$494,25,)/VLOOKUP($D420,$C$5:$AA$494,4,))*$F420))</f>
        <v>0</v>
      </c>
      <c r="AB420" s="24">
        <f>SUM(H420:AA420)</f>
        <v>0</v>
      </c>
      <c r="AC420" s="12" t="str">
        <f>IF(ABS(AB420-F420)&lt;1,"ok","err")</f>
        <v>ok</v>
      </c>
    </row>
    <row r="421" spans="1:29" x14ac:dyDescent="0.2">
      <c r="A421" s="3">
        <v>905</v>
      </c>
      <c r="B421" s="3" t="s">
        <v>453</v>
      </c>
      <c r="C421" s="3" t="s">
        <v>506</v>
      </c>
      <c r="D421" s="3" t="s">
        <v>139</v>
      </c>
      <c r="F421" s="24">
        <v>0</v>
      </c>
      <c r="H421" s="24">
        <f>IF(VLOOKUP($D421,$C$5:$AA$494,6,)=0,0,((VLOOKUP($D421,$C$5:$AA$494,6,)/VLOOKUP($D421,$C$5:$AA$494,4,))*$F421))</f>
        <v>0</v>
      </c>
      <c r="I421" s="24">
        <f>IF(VLOOKUP($D421,$C$5:$AA$494,7,)=0,0,((VLOOKUP($D421,$C$5:$AA$494,7,)/VLOOKUP($D421,$C$5:$AA$494,4,))*$F421))</f>
        <v>0</v>
      </c>
      <c r="J421" s="24"/>
      <c r="K421" s="24">
        <f>IF(VLOOKUP($D421,$C$5:$AA$494,9,)=0,0,((VLOOKUP($D421,$C$5:$AA$494,9,)/VLOOKUP($D421,$C$5:$AA$494,4,))*$F421))</f>
        <v>0</v>
      </c>
      <c r="L421" s="24"/>
      <c r="M421" s="24">
        <f>IF(VLOOKUP($D421,$C$5:$AA$494,11,)=0,0,((VLOOKUP($D421,$C$5:$AA$494,11,)/VLOOKUP($D421,$C$5:$AA$494,4,))*$F421))</f>
        <v>0</v>
      </c>
      <c r="N421" s="24"/>
      <c r="O421" s="24">
        <f>IF(VLOOKUP($D421,$C$5:$AA$494,13,)=0,0,((VLOOKUP($D421,$C$5:$AA$494,13,)/VLOOKUP($D421,$C$5:$AA$494,4,))*$F421))</f>
        <v>0</v>
      </c>
      <c r="P421" s="24">
        <f>IF(VLOOKUP($D421,$C$5:$AA$494,14,)=0,0,((VLOOKUP($D421,$C$5:$AA$494,14,)/VLOOKUP($D421,$C$5:$AA$494,4,))*$F421))</f>
        <v>0</v>
      </c>
      <c r="Q421" s="24"/>
      <c r="R421" s="24">
        <f>IF(VLOOKUP($D421,$C$5:$AA$494,16,)=0,0,((VLOOKUP($D421,$C$5:$AA$494,16,)/VLOOKUP($D421,$C$5:$AA$494,4,))*$F421))</f>
        <v>0</v>
      </c>
      <c r="S421" s="24">
        <f>IF(VLOOKUP($D421,$C$5:$AA$494,17,)=0,0,((VLOOKUP($D421,$C$5:$AA$494,17,)/VLOOKUP($D421,$C$5:$AA$494,4,))*$F421))</f>
        <v>0</v>
      </c>
      <c r="T421" s="24"/>
      <c r="U421" s="24">
        <f>IF(VLOOKUP($D421,$C$5:$AA$494,19,)=0,0,((VLOOKUP($D421,$C$5:$AA$494,19,)/VLOOKUP($D421,$C$5:$AA$494,4,))*$F421))</f>
        <v>0</v>
      </c>
      <c r="V421" s="24"/>
      <c r="W421" s="24">
        <f>IF(VLOOKUP($D421,$C$5:$AA$494,21,)=0,0,((VLOOKUP($D421,$C$5:$AA$494,21,)/VLOOKUP($D421,$C$5:$AA$494,4,))*$F421))</f>
        <v>0</v>
      </c>
      <c r="X421" s="24"/>
      <c r="Y421" s="24">
        <f>IF(VLOOKUP($D421,$C$5:$AA$494,23,)=0,0,((VLOOKUP($D421,$C$5:$AA$494,23,)/VLOOKUP($D421,$C$5:$AA$494,4,))*$F421))</f>
        <v>0</v>
      </c>
      <c r="Z421" s="24"/>
      <c r="AA421" s="24">
        <f>IF(VLOOKUP($D421,$C$5:$AA$494,25,)=0,0,((VLOOKUP($D421,$C$5:$AA$494,25,)/VLOOKUP($D421,$C$5:$AA$494,4,))*$F421))</f>
        <v>0</v>
      </c>
      <c r="AB421" s="24">
        <f>SUM(H421:AA421)</f>
        <v>0</v>
      </c>
      <c r="AC421" s="12" t="str">
        <f>IF(ABS(AB421-F421)&lt;1,"ok","err")</f>
        <v>ok</v>
      </c>
    </row>
    <row r="422" spans="1:29" x14ac:dyDescent="0.2">
      <c r="A422" s="2"/>
      <c r="F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12"/>
    </row>
    <row r="423" spans="1:29" x14ac:dyDescent="0.2">
      <c r="A423" s="3" t="s">
        <v>542</v>
      </c>
      <c r="C423" s="3" t="s">
        <v>508</v>
      </c>
      <c r="F423" s="41">
        <f>SUM(F417:F422)</f>
        <v>617809.77</v>
      </c>
      <c r="G423" s="41"/>
      <c r="H423" s="41">
        <f>SUM(H417:H422)</f>
        <v>0</v>
      </c>
      <c r="I423" s="41">
        <f>SUM(I417:I422)</f>
        <v>0</v>
      </c>
      <c r="J423" s="41"/>
      <c r="K423" s="41">
        <f>SUM(K417:K422)</f>
        <v>0</v>
      </c>
      <c r="L423" s="41"/>
      <c r="M423" s="41">
        <f>SUM(M417:M422)</f>
        <v>0</v>
      </c>
      <c r="N423" s="41"/>
      <c r="O423" s="41">
        <f>SUM(O417:O422)</f>
        <v>0</v>
      </c>
      <c r="P423" s="41">
        <f>SUM(P417:P422)</f>
        <v>0</v>
      </c>
      <c r="Q423" s="41"/>
      <c r="R423" s="41">
        <f>SUM(R417:R422)</f>
        <v>0</v>
      </c>
      <c r="S423" s="41">
        <f>SUM(S417:S422)</f>
        <v>0</v>
      </c>
      <c r="T423" s="41"/>
      <c r="U423" s="41">
        <f>SUM(U417:U422)</f>
        <v>0</v>
      </c>
      <c r="V423" s="41"/>
      <c r="W423" s="41">
        <f>SUM(W417:W422)</f>
        <v>0</v>
      </c>
      <c r="X423" s="41"/>
      <c r="Y423" s="41">
        <f>SUM(Y417:Y422)</f>
        <v>617809.77</v>
      </c>
      <c r="Z423" s="41"/>
      <c r="AA423" s="41">
        <f>SUM(AA417:AA422)</f>
        <v>0</v>
      </c>
      <c r="AB423" s="24">
        <f>SUM(H423:AA423)</f>
        <v>617809.77</v>
      </c>
      <c r="AC423" s="12" t="str">
        <f>IF(ABS(AB423-F423)&lt;1,"ok","err")</f>
        <v>ok</v>
      </c>
    </row>
    <row r="424" spans="1:29" x14ac:dyDescent="0.2">
      <c r="F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C424" s="12"/>
    </row>
    <row r="425" spans="1:29" x14ac:dyDescent="0.2">
      <c r="A425" s="2" t="s">
        <v>147</v>
      </c>
      <c r="F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C425" s="12"/>
    </row>
    <row r="426" spans="1:29" x14ac:dyDescent="0.2">
      <c r="A426" s="3">
        <v>907</v>
      </c>
      <c r="B426" s="3" t="s">
        <v>384</v>
      </c>
      <c r="C426" s="3" t="s">
        <v>509</v>
      </c>
      <c r="D426" s="3" t="s">
        <v>149</v>
      </c>
      <c r="F426" s="41">
        <v>0</v>
      </c>
      <c r="H426" s="24">
        <f t="shared" ref="H426:H436" si="242">IF(VLOOKUP($D426,$C$5:$AA$494,6,)=0,0,((VLOOKUP($D426,$C$5:$AA$494,6,)/VLOOKUP($D426,$C$5:$AA$494,4,))*$F426))</f>
        <v>0</v>
      </c>
      <c r="I426" s="24">
        <f t="shared" ref="I426:I436" si="243">IF(VLOOKUP($D426,$C$5:$AA$494,7,)=0,0,((VLOOKUP($D426,$C$5:$AA$494,7,)/VLOOKUP($D426,$C$5:$AA$494,4,))*$F426))</f>
        <v>0</v>
      </c>
      <c r="J426" s="24"/>
      <c r="K426" s="24">
        <f t="shared" ref="K426:K436" si="244">IF(VLOOKUP($D426,$C$5:$AA$494,9,)=0,0,((VLOOKUP($D426,$C$5:$AA$494,9,)/VLOOKUP($D426,$C$5:$AA$494,4,))*$F426))</f>
        <v>0</v>
      </c>
      <c r="L426" s="24"/>
      <c r="M426" s="24">
        <f t="shared" ref="M426:M436" si="245">IF(VLOOKUP($D426,$C$5:$AA$494,11,)=0,0,((VLOOKUP($D426,$C$5:$AA$494,11,)/VLOOKUP($D426,$C$5:$AA$494,4,))*$F426))</f>
        <v>0</v>
      </c>
      <c r="N426" s="24"/>
      <c r="O426" s="24">
        <f t="shared" ref="O426:O436" si="246">IF(VLOOKUP($D426,$C$5:$AA$494,13,)=0,0,((VLOOKUP($D426,$C$5:$AA$494,13,)/VLOOKUP($D426,$C$5:$AA$494,4,))*$F426))</f>
        <v>0</v>
      </c>
      <c r="P426" s="24">
        <f t="shared" ref="P426:P436" si="247">IF(VLOOKUP($D426,$C$5:$AA$494,14,)=0,0,((VLOOKUP($D426,$C$5:$AA$494,14,)/VLOOKUP($D426,$C$5:$AA$494,4,))*$F426))</f>
        <v>0</v>
      </c>
      <c r="Q426" s="24"/>
      <c r="R426" s="24">
        <f t="shared" ref="R426:R436" si="248">IF(VLOOKUP($D426,$C$5:$AA$494,16,)=0,0,((VLOOKUP($D426,$C$5:$AA$494,16,)/VLOOKUP($D426,$C$5:$AA$494,4,))*$F426))</f>
        <v>0</v>
      </c>
      <c r="S426" s="24">
        <f t="shared" ref="S426:S436" si="249">IF(VLOOKUP($D426,$C$5:$AA$494,17,)=0,0,((VLOOKUP($D426,$C$5:$AA$494,17,)/VLOOKUP($D426,$C$5:$AA$494,4,))*$F426))</f>
        <v>0</v>
      </c>
      <c r="T426" s="24"/>
      <c r="U426" s="24">
        <f t="shared" ref="U426:U436" si="250">IF(VLOOKUP($D426,$C$5:$AA$494,19,)=0,0,((VLOOKUP($D426,$C$5:$AA$494,19,)/VLOOKUP($D426,$C$5:$AA$494,4,))*$F426))</f>
        <v>0</v>
      </c>
      <c r="V426" s="24"/>
      <c r="W426" s="24">
        <f t="shared" ref="W426:W436" si="251">IF(VLOOKUP($D426,$C$5:$AA$494,21,)=0,0,((VLOOKUP($D426,$C$5:$AA$494,21,)/VLOOKUP($D426,$C$5:$AA$494,4,))*$F426))</f>
        <v>0</v>
      </c>
      <c r="X426" s="24"/>
      <c r="Y426" s="24">
        <f t="shared" ref="Y426:Y436" si="252">IF(VLOOKUP($D426,$C$5:$AA$494,23,)=0,0,((VLOOKUP($D426,$C$5:$AA$494,23,)/VLOOKUP($D426,$C$5:$AA$494,4,))*$F426))</f>
        <v>0</v>
      </c>
      <c r="Z426" s="24"/>
      <c r="AA426" s="24">
        <f t="shared" ref="AA426:AA436" si="253">IF(VLOOKUP($D426,$C$5:$AA$494,25,)=0,0,((VLOOKUP($D426,$C$5:$AA$494,25,)/VLOOKUP($D426,$C$5:$AA$494,4,))*$F426))</f>
        <v>0</v>
      </c>
      <c r="AB426" s="24">
        <f t="shared" ref="AB426:AB436" si="254">SUM(H426:AA426)</f>
        <v>0</v>
      </c>
      <c r="AC426" s="12" t="str">
        <f t="shared" ref="AC426:AC436" si="255">IF(ABS(AB426-F426)&lt;1,"ok","err")</f>
        <v>ok</v>
      </c>
    </row>
    <row r="427" spans="1:29" x14ac:dyDescent="0.2">
      <c r="A427" s="3">
        <v>908</v>
      </c>
      <c r="B427" s="3" t="s">
        <v>150</v>
      </c>
      <c r="C427" s="3" t="s">
        <v>510</v>
      </c>
      <c r="D427" s="3" t="s">
        <v>149</v>
      </c>
      <c r="F427" s="24">
        <f>99080.43</f>
        <v>99080.43</v>
      </c>
      <c r="H427" s="24">
        <f t="shared" si="242"/>
        <v>0</v>
      </c>
      <c r="I427" s="24">
        <f t="shared" si="243"/>
        <v>0</v>
      </c>
      <c r="J427" s="24"/>
      <c r="K427" s="24">
        <f t="shared" si="244"/>
        <v>0</v>
      </c>
      <c r="L427" s="24"/>
      <c r="M427" s="24">
        <f t="shared" si="245"/>
        <v>0</v>
      </c>
      <c r="N427" s="24"/>
      <c r="O427" s="24">
        <f t="shared" si="246"/>
        <v>0</v>
      </c>
      <c r="P427" s="24">
        <f t="shared" si="247"/>
        <v>0</v>
      </c>
      <c r="Q427" s="24"/>
      <c r="R427" s="24">
        <f t="shared" si="248"/>
        <v>0</v>
      </c>
      <c r="S427" s="24">
        <f t="shared" si="249"/>
        <v>0</v>
      </c>
      <c r="T427" s="24"/>
      <c r="U427" s="24">
        <f t="shared" si="250"/>
        <v>0</v>
      </c>
      <c r="V427" s="24"/>
      <c r="W427" s="24">
        <f t="shared" si="251"/>
        <v>0</v>
      </c>
      <c r="X427" s="24"/>
      <c r="Y427" s="24">
        <f t="shared" si="252"/>
        <v>99080.43</v>
      </c>
      <c r="Z427" s="24"/>
      <c r="AA427" s="24">
        <f t="shared" si="253"/>
        <v>0</v>
      </c>
      <c r="AB427" s="24">
        <f t="shared" si="254"/>
        <v>99080.43</v>
      </c>
      <c r="AC427" s="12" t="str">
        <f t="shared" si="255"/>
        <v>ok</v>
      </c>
    </row>
    <row r="428" spans="1:29" x14ac:dyDescent="0.2">
      <c r="A428" s="3">
        <v>908</v>
      </c>
      <c r="B428" s="3" t="s">
        <v>454</v>
      </c>
      <c r="C428" s="3" t="s">
        <v>511</v>
      </c>
      <c r="D428" s="3" t="s">
        <v>471</v>
      </c>
      <c r="F428" s="24">
        <v>0</v>
      </c>
      <c r="H428" s="24">
        <f t="shared" si="242"/>
        <v>0</v>
      </c>
      <c r="I428" s="24">
        <f t="shared" si="243"/>
        <v>0</v>
      </c>
      <c r="J428" s="24"/>
      <c r="K428" s="24">
        <f t="shared" si="244"/>
        <v>0</v>
      </c>
      <c r="L428" s="24"/>
      <c r="M428" s="24">
        <f t="shared" si="245"/>
        <v>0</v>
      </c>
      <c r="N428" s="24"/>
      <c r="O428" s="24">
        <f t="shared" si="246"/>
        <v>0</v>
      </c>
      <c r="P428" s="24">
        <f t="shared" si="247"/>
        <v>0</v>
      </c>
      <c r="Q428" s="24"/>
      <c r="R428" s="24">
        <f t="shared" si="248"/>
        <v>0</v>
      </c>
      <c r="S428" s="24">
        <f t="shared" si="249"/>
        <v>0</v>
      </c>
      <c r="T428" s="24"/>
      <c r="U428" s="24">
        <f t="shared" si="250"/>
        <v>0</v>
      </c>
      <c r="V428" s="24"/>
      <c r="W428" s="24">
        <f t="shared" si="251"/>
        <v>0</v>
      </c>
      <c r="X428" s="24"/>
      <c r="Y428" s="24">
        <f t="shared" si="252"/>
        <v>0</v>
      </c>
      <c r="Z428" s="24"/>
      <c r="AA428" s="24">
        <f t="shared" si="253"/>
        <v>0</v>
      </c>
      <c r="AB428" s="24">
        <f t="shared" si="254"/>
        <v>0</v>
      </c>
      <c r="AC428" s="12" t="str">
        <f t="shared" si="255"/>
        <v>ok</v>
      </c>
    </row>
    <row r="429" spans="1:29" x14ac:dyDescent="0.2">
      <c r="A429" s="3">
        <v>909</v>
      </c>
      <c r="B429" s="3" t="s">
        <v>152</v>
      </c>
      <c r="C429" s="3" t="s">
        <v>512</v>
      </c>
      <c r="D429" s="3" t="s">
        <v>149</v>
      </c>
      <c r="F429" s="24">
        <v>0</v>
      </c>
      <c r="H429" s="24">
        <f t="shared" si="242"/>
        <v>0</v>
      </c>
      <c r="I429" s="24">
        <f t="shared" si="243"/>
        <v>0</v>
      </c>
      <c r="J429" s="24"/>
      <c r="K429" s="24">
        <f t="shared" si="244"/>
        <v>0</v>
      </c>
      <c r="L429" s="24"/>
      <c r="M429" s="24">
        <f t="shared" si="245"/>
        <v>0</v>
      </c>
      <c r="N429" s="24"/>
      <c r="O429" s="24">
        <f t="shared" si="246"/>
        <v>0</v>
      </c>
      <c r="P429" s="24">
        <f t="shared" si="247"/>
        <v>0</v>
      </c>
      <c r="Q429" s="24"/>
      <c r="R429" s="24">
        <f t="shared" si="248"/>
        <v>0</v>
      </c>
      <c r="S429" s="24">
        <f t="shared" si="249"/>
        <v>0</v>
      </c>
      <c r="T429" s="24"/>
      <c r="U429" s="24">
        <f t="shared" si="250"/>
        <v>0</v>
      </c>
      <c r="V429" s="24"/>
      <c r="W429" s="24">
        <f t="shared" si="251"/>
        <v>0</v>
      </c>
      <c r="X429" s="24"/>
      <c r="Y429" s="24">
        <f t="shared" si="252"/>
        <v>0</v>
      </c>
      <c r="Z429" s="24"/>
      <c r="AA429" s="24">
        <f t="shared" si="253"/>
        <v>0</v>
      </c>
      <c r="AB429" s="24">
        <f t="shared" si="254"/>
        <v>0</v>
      </c>
      <c r="AC429" s="12" t="str">
        <f t="shared" si="255"/>
        <v>ok</v>
      </c>
    </row>
    <row r="430" spans="1:29" x14ac:dyDescent="0.2">
      <c r="A430" s="3">
        <v>909</v>
      </c>
      <c r="B430" s="3" t="s">
        <v>456</v>
      </c>
      <c r="C430" s="3" t="s">
        <v>513</v>
      </c>
      <c r="D430" s="3" t="s">
        <v>471</v>
      </c>
      <c r="F430" s="24">
        <v>0</v>
      </c>
      <c r="H430" s="24">
        <f t="shared" si="242"/>
        <v>0</v>
      </c>
      <c r="I430" s="24">
        <f t="shared" si="243"/>
        <v>0</v>
      </c>
      <c r="J430" s="24"/>
      <c r="K430" s="24">
        <f t="shared" si="244"/>
        <v>0</v>
      </c>
      <c r="L430" s="24"/>
      <c r="M430" s="24">
        <f t="shared" si="245"/>
        <v>0</v>
      </c>
      <c r="N430" s="24"/>
      <c r="O430" s="24">
        <f t="shared" si="246"/>
        <v>0</v>
      </c>
      <c r="P430" s="24">
        <f t="shared" si="247"/>
        <v>0</v>
      </c>
      <c r="Q430" s="24"/>
      <c r="R430" s="24">
        <f t="shared" si="248"/>
        <v>0</v>
      </c>
      <c r="S430" s="24">
        <f t="shared" si="249"/>
        <v>0</v>
      </c>
      <c r="T430" s="24"/>
      <c r="U430" s="24">
        <f t="shared" si="250"/>
        <v>0</v>
      </c>
      <c r="V430" s="24"/>
      <c r="W430" s="24">
        <f t="shared" si="251"/>
        <v>0</v>
      </c>
      <c r="X430" s="24"/>
      <c r="Y430" s="24">
        <f t="shared" si="252"/>
        <v>0</v>
      </c>
      <c r="Z430" s="24"/>
      <c r="AA430" s="24">
        <f t="shared" si="253"/>
        <v>0</v>
      </c>
      <c r="AB430" s="24">
        <f t="shared" si="254"/>
        <v>0</v>
      </c>
      <c r="AC430" s="12" t="str">
        <f t="shared" si="255"/>
        <v>ok</v>
      </c>
    </row>
    <row r="431" spans="1:29" x14ac:dyDescent="0.2">
      <c r="A431" s="3">
        <v>910</v>
      </c>
      <c r="B431" s="3" t="s">
        <v>154</v>
      </c>
      <c r="C431" s="3" t="s">
        <v>514</v>
      </c>
      <c r="D431" s="3" t="s">
        <v>149</v>
      </c>
      <c r="F431" s="24">
        <v>0</v>
      </c>
      <c r="H431" s="24">
        <f t="shared" si="242"/>
        <v>0</v>
      </c>
      <c r="I431" s="24">
        <f t="shared" si="243"/>
        <v>0</v>
      </c>
      <c r="J431" s="24"/>
      <c r="K431" s="24">
        <f t="shared" si="244"/>
        <v>0</v>
      </c>
      <c r="L431" s="24"/>
      <c r="M431" s="24">
        <f t="shared" si="245"/>
        <v>0</v>
      </c>
      <c r="N431" s="24"/>
      <c r="O431" s="24">
        <f t="shared" si="246"/>
        <v>0</v>
      </c>
      <c r="P431" s="24">
        <f t="shared" si="247"/>
        <v>0</v>
      </c>
      <c r="Q431" s="24"/>
      <c r="R431" s="24">
        <f t="shared" si="248"/>
        <v>0</v>
      </c>
      <c r="S431" s="24">
        <f t="shared" si="249"/>
        <v>0</v>
      </c>
      <c r="T431" s="24"/>
      <c r="U431" s="24">
        <f t="shared" si="250"/>
        <v>0</v>
      </c>
      <c r="V431" s="24"/>
      <c r="W431" s="24">
        <f t="shared" si="251"/>
        <v>0</v>
      </c>
      <c r="X431" s="24"/>
      <c r="Y431" s="24">
        <f t="shared" si="252"/>
        <v>0</v>
      </c>
      <c r="Z431" s="24"/>
      <c r="AA431" s="24">
        <f t="shared" si="253"/>
        <v>0</v>
      </c>
      <c r="AB431" s="24">
        <f t="shared" si="254"/>
        <v>0</v>
      </c>
      <c r="AC431" s="12" t="str">
        <f t="shared" si="255"/>
        <v>ok</v>
      </c>
    </row>
    <row r="432" spans="1:29" x14ac:dyDescent="0.2">
      <c r="A432" s="3">
        <v>911</v>
      </c>
      <c r="B432" s="3" t="s">
        <v>384</v>
      </c>
      <c r="C432" s="3" t="s">
        <v>710</v>
      </c>
      <c r="D432" s="3" t="s">
        <v>149</v>
      </c>
      <c r="F432" s="24">
        <v>0</v>
      </c>
      <c r="H432" s="24">
        <f t="shared" si="242"/>
        <v>0</v>
      </c>
      <c r="I432" s="24">
        <f t="shared" si="243"/>
        <v>0</v>
      </c>
      <c r="J432" s="24"/>
      <c r="K432" s="24">
        <f t="shared" si="244"/>
        <v>0</v>
      </c>
      <c r="L432" s="24"/>
      <c r="M432" s="24">
        <f t="shared" si="245"/>
        <v>0</v>
      </c>
      <c r="N432" s="24"/>
      <c r="O432" s="24">
        <f t="shared" si="246"/>
        <v>0</v>
      </c>
      <c r="P432" s="24">
        <f t="shared" si="247"/>
        <v>0</v>
      </c>
      <c r="Q432" s="24"/>
      <c r="R432" s="24">
        <f t="shared" si="248"/>
        <v>0</v>
      </c>
      <c r="S432" s="24">
        <f t="shared" si="249"/>
        <v>0</v>
      </c>
      <c r="T432" s="24"/>
      <c r="U432" s="24">
        <f t="shared" si="250"/>
        <v>0</v>
      </c>
      <c r="V432" s="24"/>
      <c r="W432" s="24">
        <f t="shared" si="251"/>
        <v>0</v>
      </c>
      <c r="X432" s="24"/>
      <c r="Y432" s="24">
        <f t="shared" si="252"/>
        <v>0</v>
      </c>
      <c r="Z432" s="24"/>
      <c r="AA432" s="24">
        <f t="shared" si="253"/>
        <v>0</v>
      </c>
      <c r="AB432" s="24">
        <f>SUM(H432:AA432)</f>
        <v>0</v>
      </c>
      <c r="AC432" s="12" t="str">
        <f>IF(ABS(AB432-F432)&lt;1,"ok","err")</f>
        <v>ok</v>
      </c>
    </row>
    <row r="433" spans="1:29" x14ac:dyDescent="0.2">
      <c r="A433" s="3">
        <v>912</v>
      </c>
      <c r="B433" s="3" t="s">
        <v>588</v>
      </c>
      <c r="C433" s="3" t="s">
        <v>591</v>
      </c>
      <c r="D433" s="3" t="s">
        <v>471</v>
      </c>
      <c r="F433" s="24">
        <v>0</v>
      </c>
      <c r="H433" s="24">
        <f t="shared" si="242"/>
        <v>0</v>
      </c>
      <c r="I433" s="24">
        <f t="shared" si="243"/>
        <v>0</v>
      </c>
      <c r="J433" s="24"/>
      <c r="K433" s="24">
        <f t="shared" si="244"/>
        <v>0</v>
      </c>
      <c r="L433" s="24"/>
      <c r="M433" s="24">
        <f t="shared" si="245"/>
        <v>0</v>
      </c>
      <c r="N433" s="24"/>
      <c r="O433" s="24">
        <f t="shared" si="246"/>
        <v>0</v>
      </c>
      <c r="P433" s="24">
        <f t="shared" si="247"/>
        <v>0</v>
      </c>
      <c r="Q433" s="24"/>
      <c r="R433" s="24">
        <f t="shared" si="248"/>
        <v>0</v>
      </c>
      <c r="S433" s="24">
        <f t="shared" si="249"/>
        <v>0</v>
      </c>
      <c r="T433" s="24"/>
      <c r="U433" s="24">
        <f t="shared" si="250"/>
        <v>0</v>
      </c>
      <c r="V433" s="24"/>
      <c r="W433" s="24">
        <f t="shared" si="251"/>
        <v>0</v>
      </c>
      <c r="X433" s="24"/>
      <c r="Y433" s="24">
        <f t="shared" si="252"/>
        <v>0</v>
      </c>
      <c r="Z433" s="24"/>
      <c r="AA433" s="24">
        <f t="shared" si="253"/>
        <v>0</v>
      </c>
      <c r="AB433" s="24">
        <f t="shared" si="254"/>
        <v>0</v>
      </c>
      <c r="AC433" s="12" t="str">
        <f t="shared" si="255"/>
        <v>ok</v>
      </c>
    </row>
    <row r="434" spans="1:29" x14ac:dyDescent="0.2">
      <c r="A434" s="3">
        <v>913</v>
      </c>
      <c r="B434" s="3" t="s">
        <v>576</v>
      </c>
      <c r="C434" s="3" t="s">
        <v>592</v>
      </c>
      <c r="D434" s="3" t="s">
        <v>471</v>
      </c>
      <c r="F434" s="24">
        <v>0</v>
      </c>
      <c r="H434" s="24">
        <f t="shared" si="242"/>
        <v>0</v>
      </c>
      <c r="I434" s="24">
        <f t="shared" si="243"/>
        <v>0</v>
      </c>
      <c r="J434" s="24"/>
      <c r="K434" s="24">
        <f t="shared" si="244"/>
        <v>0</v>
      </c>
      <c r="L434" s="24"/>
      <c r="M434" s="24">
        <f t="shared" si="245"/>
        <v>0</v>
      </c>
      <c r="N434" s="24"/>
      <c r="O434" s="24">
        <f t="shared" si="246"/>
        <v>0</v>
      </c>
      <c r="P434" s="24">
        <f t="shared" si="247"/>
        <v>0</v>
      </c>
      <c r="Q434" s="24"/>
      <c r="R434" s="24">
        <f t="shared" si="248"/>
        <v>0</v>
      </c>
      <c r="S434" s="24">
        <f t="shared" si="249"/>
        <v>0</v>
      </c>
      <c r="T434" s="24"/>
      <c r="U434" s="24">
        <f t="shared" si="250"/>
        <v>0</v>
      </c>
      <c r="V434" s="24"/>
      <c r="W434" s="24">
        <f t="shared" si="251"/>
        <v>0</v>
      </c>
      <c r="X434" s="24"/>
      <c r="Y434" s="24">
        <f t="shared" si="252"/>
        <v>0</v>
      </c>
      <c r="Z434" s="24"/>
      <c r="AA434" s="24">
        <f t="shared" si="253"/>
        <v>0</v>
      </c>
      <c r="AB434" s="24">
        <f t="shared" si="254"/>
        <v>0</v>
      </c>
      <c r="AC434" s="12" t="str">
        <f t="shared" si="255"/>
        <v>ok</v>
      </c>
    </row>
    <row r="435" spans="1:29" x14ac:dyDescent="0.2">
      <c r="A435" s="3">
        <v>915</v>
      </c>
      <c r="B435" s="3" t="s">
        <v>639</v>
      </c>
      <c r="C435" s="3" t="s">
        <v>642</v>
      </c>
      <c r="D435" s="3" t="s">
        <v>471</v>
      </c>
      <c r="F435" s="24">
        <v>0</v>
      </c>
      <c r="H435" s="24">
        <f t="shared" si="242"/>
        <v>0</v>
      </c>
      <c r="I435" s="24">
        <f t="shared" si="243"/>
        <v>0</v>
      </c>
      <c r="J435" s="24"/>
      <c r="K435" s="24">
        <f t="shared" si="244"/>
        <v>0</v>
      </c>
      <c r="L435" s="24"/>
      <c r="M435" s="24">
        <f t="shared" si="245"/>
        <v>0</v>
      </c>
      <c r="N435" s="24"/>
      <c r="O435" s="24">
        <f t="shared" si="246"/>
        <v>0</v>
      </c>
      <c r="P435" s="24">
        <f t="shared" si="247"/>
        <v>0</v>
      </c>
      <c r="Q435" s="24"/>
      <c r="R435" s="24">
        <f t="shared" si="248"/>
        <v>0</v>
      </c>
      <c r="S435" s="24">
        <f t="shared" si="249"/>
        <v>0</v>
      </c>
      <c r="T435" s="24"/>
      <c r="U435" s="24">
        <f t="shared" si="250"/>
        <v>0</v>
      </c>
      <c r="V435" s="24"/>
      <c r="W435" s="24">
        <f t="shared" si="251"/>
        <v>0</v>
      </c>
      <c r="X435" s="24"/>
      <c r="Y435" s="24">
        <f t="shared" si="252"/>
        <v>0</v>
      </c>
      <c r="Z435" s="24"/>
      <c r="AA435" s="24">
        <f t="shared" si="253"/>
        <v>0</v>
      </c>
      <c r="AB435" s="24">
        <f t="shared" si="254"/>
        <v>0</v>
      </c>
      <c r="AC435" s="12" t="str">
        <f t="shared" si="255"/>
        <v>ok</v>
      </c>
    </row>
    <row r="436" spans="1:29" x14ac:dyDescent="0.2">
      <c r="A436" s="3">
        <v>916</v>
      </c>
      <c r="B436" s="3" t="s">
        <v>640</v>
      </c>
      <c r="C436" s="3" t="s">
        <v>643</v>
      </c>
      <c r="D436" s="3" t="s">
        <v>471</v>
      </c>
      <c r="F436" s="24">
        <v>0</v>
      </c>
      <c r="H436" s="24">
        <f t="shared" si="242"/>
        <v>0</v>
      </c>
      <c r="I436" s="24">
        <f t="shared" si="243"/>
        <v>0</v>
      </c>
      <c r="J436" s="24"/>
      <c r="K436" s="24">
        <f t="shared" si="244"/>
        <v>0</v>
      </c>
      <c r="L436" s="24"/>
      <c r="M436" s="24">
        <f t="shared" si="245"/>
        <v>0</v>
      </c>
      <c r="N436" s="24"/>
      <c r="O436" s="24">
        <f t="shared" si="246"/>
        <v>0</v>
      </c>
      <c r="P436" s="24">
        <f t="shared" si="247"/>
        <v>0</v>
      </c>
      <c r="Q436" s="24"/>
      <c r="R436" s="24">
        <f t="shared" si="248"/>
        <v>0</v>
      </c>
      <c r="S436" s="24">
        <f t="shared" si="249"/>
        <v>0</v>
      </c>
      <c r="T436" s="24"/>
      <c r="U436" s="24">
        <f t="shared" si="250"/>
        <v>0</v>
      </c>
      <c r="V436" s="24"/>
      <c r="W436" s="24">
        <f t="shared" si="251"/>
        <v>0</v>
      </c>
      <c r="X436" s="24"/>
      <c r="Y436" s="24">
        <f t="shared" si="252"/>
        <v>0</v>
      </c>
      <c r="Z436" s="24"/>
      <c r="AA436" s="24">
        <f t="shared" si="253"/>
        <v>0</v>
      </c>
      <c r="AB436" s="24">
        <f t="shared" si="254"/>
        <v>0</v>
      </c>
      <c r="AC436" s="12" t="str">
        <f t="shared" si="255"/>
        <v>ok</v>
      </c>
    </row>
    <row r="437" spans="1:29" x14ac:dyDescent="0.2">
      <c r="F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12"/>
    </row>
    <row r="438" spans="1:29" x14ac:dyDescent="0.2">
      <c r="A438" s="3" t="s">
        <v>543</v>
      </c>
      <c r="C438" s="3" t="s">
        <v>515</v>
      </c>
      <c r="F438" s="41">
        <f>SUM(F426:F437)</f>
        <v>99080.43</v>
      </c>
      <c r="G438" s="41"/>
      <c r="H438" s="41">
        <f>SUM(H426:H437)</f>
        <v>0</v>
      </c>
      <c r="I438" s="41">
        <f>SUM(I426:I437)</f>
        <v>0</v>
      </c>
      <c r="J438" s="41"/>
      <c r="K438" s="41">
        <f>SUM(K426:K437)</f>
        <v>0</v>
      </c>
      <c r="L438" s="41"/>
      <c r="M438" s="41">
        <f>SUM(M426:M437)</f>
        <v>0</v>
      </c>
      <c r="N438" s="41"/>
      <c r="O438" s="41">
        <f>SUM(O426:O437)</f>
        <v>0</v>
      </c>
      <c r="P438" s="41">
        <f>SUM(P426:P437)</f>
        <v>0</v>
      </c>
      <c r="Q438" s="41"/>
      <c r="R438" s="41">
        <f>SUM(R426:R437)</f>
        <v>0</v>
      </c>
      <c r="S438" s="41">
        <f>SUM(S426:S437)</f>
        <v>0</v>
      </c>
      <c r="T438" s="41"/>
      <c r="U438" s="41">
        <f>SUM(U426:U437)</f>
        <v>0</v>
      </c>
      <c r="V438" s="41"/>
      <c r="W438" s="41">
        <f>SUM(W426:W437)</f>
        <v>0</v>
      </c>
      <c r="X438" s="41"/>
      <c r="Y438" s="41">
        <f>SUM(Y426:Y437)</f>
        <v>99080.43</v>
      </c>
      <c r="Z438" s="41"/>
      <c r="AA438" s="41">
        <f>SUM(AA426:AA437)</f>
        <v>0</v>
      </c>
      <c r="AB438" s="24">
        <f>SUM(H438:AA438)</f>
        <v>99080.43</v>
      </c>
      <c r="AC438" s="12" t="str">
        <f>IF(ABS(AB438-F438)&lt;1,"ok","err")</f>
        <v>ok</v>
      </c>
    </row>
    <row r="439" spans="1:29" x14ac:dyDescent="0.2">
      <c r="F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C439" s="12"/>
    </row>
    <row r="440" spans="1:29" x14ac:dyDescent="0.2">
      <c r="A440" s="3" t="s">
        <v>544</v>
      </c>
      <c r="C440" s="3" t="s">
        <v>516</v>
      </c>
      <c r="F440" s="24">
        <f>F412+F423+F438</f>
        <v>2458196.4300000002</v>
      </c>
      <c r="G440" s="24"/>
      <c r="H440" s="24">
        <f>H412+H423+H438</f>
        <v>0</v>
      </c>
      <c r="I440" s="24">
        <f>I412+I423+I438</f>
        <v>0</v>
      </c>
      <c r="J440" s="24"/>
      <c r="K440" s="24">
        <f>K412+K423+K438</f>
        <v>0</v>
      </c>
      <c r="L440" s="24"/>
      <c r="M440" s="24">
        <f>M412+M423+M438</f>
        <v>4510.2068246000363</v>
      </c>
      <c r="N440" s="24"/>
      <c r="O440" s="24">
        <f>O412+O423+O438</f>
        <v>706720.49226102978</v>
      </c>
      <c r="P440" s="24">
        <f>P412+P423+P438</f>
        <v>433587.22035514988</v>
      </c>
      <c r="Q440" s="24"/>
      <c r="R440" s="24">
        <f>R412+R423+R438</f>
        <v>0</v>
      </c>
      <c r="S440" s="24">
        <f>S412+S423+S438</f>
        <v>58298.500868228235</v>
      </c>
      <c r="T440" s="24"/>
      <c r="U440" s="24">
        <f>U412+U423+U438</f>
        <v>502902.33421858464</v>
      </c>
      <c r="V440" s="24"/>
      <c r="W440" s="24">
        <f>W412+W423+W438</f>
        <v>35287.475472407466</v>
      </c>
      <c r="X440" s="24"/>
      <c r="Y440" s="24">
        <f>Y412+Y423+Y438</f>
        <v>716890.2</v>
      </c>
      <c r="Z440" s="24"/>
      <c r="AA440" s="24">
        <f>AA412+AA423+AA438</f>
        <v>0</v>
      </c>
      <c r="AB440" s="24">
        <f>SUM(H440:AA440)</f>
        <v>2458196.4299999997</v>
      </c>
      <c r="AC440" s="12" t="str">
        <f>IF(ABS(AB440-F440)&lt;1,"ok","err")</f>
        <v>ok</v>
      </c>
    </row>
    <row r="441" spans="1:29" x14ac:dyDescent="0.2">
      <c r="F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C441" s="12"/>
    </row>
    <row r="442" spans="1:29" x14ac:dyDescent="0.2">
      <c r="F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C442" s="12"/>
    </row>
    <row r="443" spans="1:29" x14ac:dyDescent="0.2">
      <c r="A443" s="10" t="s">
        <v>473</v>
      </c>
      <c r="F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C443" s="12"/>
    </row>
    <row r="444" spans="1:29" x14ac:dyDescent="0.2">
      <c r="F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C444" s="12"/>
    </row>
    <row r="445" spans="1:29" x14ac:dyDescent="0.2">
      <c r="A445" s="2" t="s">
        <v>158</v>
      </c>
      <c r="F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C445" s="12"/>
    </row>
    <row r="446" spans="1:29" x14ac:dyDescent="0.2">
      <c r="A446" s="3">
        <v>920</v>
      </c>
      <c r="B446" s="3" t="s">
        <v>159</v>
      </c>
      <c r="C446" s="3" t="s">
        <v>517</v>
      </c>
      <c r="D446" s="3" t="s">
        <v>411</v>
      </c>
      <c r="F446" s="41">
        <v>723999.75</v>
      </c>
      <c r="H446" s="24">
        <f t="shared" ref="H446:H457" si="256">IF(VLOOKUP($D446,$C$5:$AA$494,6,)=0,0,((VLOOKUP($D446,$C$5:$AA$494,6,)/VLOOKUP($D446,$C$5:$AA$494,4,))*$F446))</f>
        <v>0</v>
      </c>
      <c r="I446" s="24">
        <f t="shared" ref="I446:I457" si="257">IF(VLOOKUP($D446,$C$5:$AA$494,7,)=0,0,((VLOOKUP($D446,$C$5:$AA$494,7,)/VLOOKUP($D446,$C$5:$AA$494,4,))*$F446))</f>
        <v>0</v>
      </c>
      <c r="J446" s="24"/>
      <c r="K446" s="24">
        <f t="shared" ref="K446:K457" si="258">IF(VLOOKUP($D446,$C$5:$AA$494,9,)=0,0,((VLOOKUP($D446,$C$5:$AA$494,9,)/VLOOKUP($D446,$C$5:$AA$494,4,))*$F446))</f>
        <v>0</v>
      </c>
      <c r="L446" s="24"/>
      <c r="M446" s="24">
        <f t="shared" ref="M446:M457" si="259">IF(VLOOKUP($D446,$C$5:$AA$494,11,)=0,0,((VLOOKUP($D446,$C$5:$AA$494,11,)/VLOOKUP($D446,$C$5:$AA$494,4,))*$F446))</f>
        <v>890.49629298456182</v>
      </c>
      <c r="N446" s="24"/>
      <c r="O446" s="24">
        <f t="shared" ref="O446:O457" si="260">IF(VLOOKUP($D446,$C$5:$AA$494,13,)=0,0,((VLOOKUP($D446,$C$5:$AA$494,13,)/VLOOKUP($D446,$C$5:$AA$494,4,))*$F446))</f>
        <v>249300.38993358612</v>
      </c>
      <c r="P446" s="24">
        <f t="shared" ref="P446:P457" si="261">IF(VLOOKUP($D446,$C$5:$AA$494,14,)=0,0,((VLOOKUP($D446,$C$5:$AA$494,14,)/VLOOKUP($D446,$C$5:$AA$494,4,))*$F446))</f>
        <v>150654.63020985672</v>
      </c>
      <c r="Q446" s="24"/>
      <c r="R446" s="24">
        <f t="shared" ref="R446:R457" si="262">IF(VLOOKUP($D446,$C$5:$AA$494,16,)=0,0,((VLOOKUP($D446,$C$5:$AA$494,16,)/VLOOKUP($D446,$C$5:$AA$494,4,))*$F446))</f>
        <v>0</v>
      </c>
      <c r="S446" s="24">
        <f t="shared" ref="S446:S457" si="263">IF(VLOOKUP($D446,$C$5:$AA$494,17,)=0,0,((VLOOKUP($D446,$C$5:$AA$494,17,)/VLOOKUP($D446,$C$5:$AA$494,4,))*$F446))</f>
        <v>12640.150903282822</v>
      </c>
      <c r="T446" s="24"/>
      <c r="U446" s="24">
        <f t="shared" ref="U446:U457" si="264">IF(VLOOKUP($D446,$C$5:$AA$494,19,)=0,0,((VLOOKUP($D446,$C$5:$AA$494,19,)/VLOOKUP($D446,$C$5:$AA$494,4,))*$F446))</f>
        <v>125215.44328764544</v>
      </c>
      <c r="V446" s="24"/>
      <c r="W446" s="24">
        <f t="shared" ref="W446:W457" si="265">IF(VLOOKUP($D446,$C$5:$AA$494,21,)=0,0,((VLOOKUP($D446,$C$5:$AA$494,21,)/VLOOKUP($D446,$C$5:$AA$494,4,))*$F446))</f>
        <v>6967.1674313403819</v>
      </c>
      <c r="X446" s="24"/>
      <c r="Y446" s="24">
        <f t="shared" ref="Y446:Y457" si="266">IF(VLOOKUP($D446,$C$5:$AA$494,23,)=0,0,((VLOOKUP($D446,$C$5:$AA$494,23,)/VLOOKUP($D446,$C$5:$AA$494,4,))*$F446))</f>
        <v>178325.8688911651</v>
      </c>
      <c r="Z446" s="24"/>
      <c r="AA446" s="24">
        <f t="shared" ref="AA446:AA457" si="267">IF(VLOOKUP($D446,$C$5:$AA$494,25,)=0,0,((VLOOKUP($D446,$C$5:$AA$494,25,)/VLOOKUP($D446,$C$5:$AA$494,4,))*$F446))</f>
        <v>5.6030501387515406</v>
      </c>
      <c r="AB446" s="24">
        <f t="shared" ref="AB446:AB457" si="268">SUM(H446:AA446)</f>
        <v>723999.75</v>
      </c>
      <c r="AC446" s="12" t="str">
        <f t="shared" ref="AC446:AC457" si="269">IF(ABS(AB446-F446)&lt;1,"ok","err")</f>
        <v>ok</v>
      </c>
    </row>
    <row r="447" spans="1:29" x14ac:dyDescent="0.2">
      <c r="A447" s="3">
        <v>921</v>
      </c>
      <c r="B447" s="3" t="s">
        <v>161</v>
      </c>
      <c r="C447" s="3" t="s">
        <v>518</v>
      </c>
      <c r="D447" s="3" t="s">
        <v>516</v>
      </c>
      <c r="F447" s="24">
        <v>0</v>
      </c>
      <c r="H447" s="24">
        <f t="shared" si="256"/>
        <v>0</v>
      </c>
      <c r="I447" s="24">
        <f t="shared" si="257"/>
        <v>0</v>
      </c>
      <c r="J447" s="24"/>
      <c r="K447" s="24">
        <f t="shared" si="258"/>
        <v>0</v>
      </c>
      <c r="L447" s="24"/>
      <c r="M447" s="24">
        <f t="shared" si="259"/>
        <v>0</v>
      </c>
      <c r="N447" s="24"/>
      <c r="O447" s="24">
        <f t="shared" si="260"/>
        <v>0</v>
      </c>
      <c r="P447" s="24">
        <f t="shared" si="261"/>
        <v>0</v>
      </c>
      <c r="Q447" s="24"/>
      <c r="R447" s="24">
        <f t="shared" si="262"/>
        <v>0</v>
      </c>
      <c r="S447" s="24">
        <f t="shared" si="263"/>
        <v>0</v>
      </c>
      <c r="T447" s="24"/>
      <c r="U447" s="24">
        <f t="shared" si="264"/>
        <v>0</v>
      </c>
      <c r="V447" s="24"/>
      <c r="W447" s="24">
        <f t="shared" si="265"/>
        <v>0</v>
      </c>
      <c r="X447" s="24"/>
      <c r="Y447" s="24">
        <f t="shared" si="266"/>
        <v>0</v>
      </c>
      <c r="Z447" s="24"/>
      <c r="AA447" s="24">
        <f t="shared" si="267"/>
        <v>0</v>
      </c>
      <c r="AB447" s="24">
        <f t="shared" si="268"/>
        <v>0</v>
      </c>
      <c r="AC447" s="12" t="str">
        <f t="shared" si="269"/>
        <v>ok</v>
      </c>
    </row>
    <row r="448" spans="1:29" x14ac:dyDescent="0.2">
      <c r="A448" s="3">
        <v>923</v>
      </c>
      <c r="B448" s="3" t="s">
        <v>163</v>
      </c>
      <c r="C448" s="3" t="s">
        <v>519</v>
      </c>
      <c r="D448" s="3" t="s">
        <v>411</v>
      </c>
      <c r="F448" s="24">
        <v>0</v>
      </c>
      <c r="H448" s="24">
        <f t="shared" si="256"/>
        <v>0</v>
      </c>
      <c r="I448" s="24">
        <f t="shared" si="257"/>
        <v>0</v>
      </c>
      <c r="J448" s="24"/>
      <c r="K448" s="24">
        <f t="shared" si="258"/>
        <v>0</v>
      </c>
      <c r="L448" s="24"/>
      <c r="M448" s="24">
        <f t="shared" si="259"/>
        <v>0</v>
      </c>
      <c r="N448" s="24"/>
      <c r="O448" s="24">
        <f t="shared" si="260"/>
        <v>0</v>
      </c>
      <c r="P448" s="24">
        <f t="shared" si="261"/>
        <v>0</v>
      </c>
      <c r="Q448" s="24"/>
      <c r="R448" s="24">
        <f t="shared" si="262"/>
        <v>0</v>
      </c>
      <c r="S448" s="24">
        <f t="shared" si="263"/>
        <v>0</v>
      </c>
      <c r="T448" s="24"/>
      <c r="U448" s="24">
        <f t="shared" si="264"/>
        <v>0</v>
      </c>
      <c r="V448" s="24"/>
      <c r="W448" s="24">
        <f t="shared" si="265"/>
        <v>0</v>
      </c>
      <c r="X448" s="24"/>
      <c r="Y448" s="24">
        <f t="shared" si="266"/>
        <v>0</v>
      </c>
      <c r="Z448" s="24"/>
      <c r="AA448" s="24">
        <f t="shared" si="267"/>
        <v>0</v>
      </c>
      <c r="AB448" s="24">
        <f t="shared" si="268"/>
        <v>0</v>
      </c>
      <c r="AC448" s="12" t="str">
        <f t="shared" si="269"/>
        <v>ok</v>
      </c>
    </row>
    <row r="449" spans="1:29" x14ac:dyDescent="0.2">
      <c r="A449" s="3">
        <v>924</v>
      </c>
      <c r="B449" s="3" t="s">
        <v>165</v>
      </c>
      <c r="C449" s="3" t="s">
        <v>520</v>
      </c>
      <c r="D449" s="3" t="s">
        <v>84</v>
      </c>
      <c r="F449" s="24">
        <v>0</v>
      </c>
      <c r="H449" s="24">
        <f t="shared" si="256"/>
        <v>0</v>
      </c>
      <c r="I449" s="24">
        <f t="shared" si="257"/>
        <v>0</v>
      </c>
      <c r="J449" s="24"/>
      <c r="K449" s="24">
        <f t="shared" si="258"/>
        <v>0</v>
      </c>
      <c r="L449" s="24"/>
      <c r="M449" s="24">
        <f t="shared" si="259"/>
        <v>0</v>
      </c>
      <c r="N449" s="24"/>
      <c r="O449" s="24">
        <f t="shared" si="260"/>
        <v>0</v>
      </c>
      <c r="P449" s="24">
        <f t="shared" si="261"/>
        <v>0</v>
      </c>
      <c r="Q449" s="24"/>
      <c r="R449" s="24">
        <f t="shared" si="262"/>
        <v>0</v>
      </c>
      <c r="S449" s="24">
        <f t="shared" si="263"/>
        <v>0</v>
      </c>
      <c r="T449" s="24"/>
      <c r="U449" s="24">
        <f t="shared" si="264"/>
        <v>0</v>
      </c>
      <c r="V449" s="24"/>
      <c r="W449" s="24">
        <f t="shared" si="265"/>
        <v>0</v>
      </c>
      <c r="X449" s="24"/>
      <c r="Y449" s="24">
        <f t="shared" si="266"/>
        <v>0</v>
      </c>
      <c r="Z449" s="24"/>
      <c r="AA449" s="24">
        <f t="shared" si="267"/>
        <v>0</v>
      </c>
      <c r="AB449" s="24">
        <f t="shared" si="268"/>
        <v>0</v>
      </c>
      <c r="AC449" s="12" t="str">
        <f t="shared" si="269"/>
        <v>ok</v>
      </c>
    </row>
    <row r="450" spans="1:29" x14ac:dyDescent="0.2">
      <c r="A450" s="3">
        <v>925</v>
      </c>
      <c r="B450" s="3" t="s">
        <v>167</v>
      </c>
      <c r="C450" s="3" t="s">
        <v>521</v>
      </c>
      <c r="D450" s="3" t="s">
        <v>516</v>
      </c>
      <c r="F450" s="24">
        <v>0</v>
      </c>
      <c r="H450" s="24">
        <f t="shared" si="256"/>
        <v>0</v>
      </c>
      <c r="I450" s="24">
        <f t="shared" si="257"/>
        <v>0</v>
      </c>
      <c r="J450" s="24"/>
      <c r="K450" s="24">
        <f t="shared" si="258"/>
        <v>0</v>
      </c>
      <c r="L450" s="24"/>
      <c r="M450" s="24">
        <f t="shared" si="259"/>
        <v>0</v>
      </c>
      <c r="N450" s="24"/>
      <c r="O450" s="24">
        <f t="shared" si="260"/>
        <v>0</v>
      </c>
      <c r="P450" s="24">
        <f t="shared" si="261"/>
        <v>0</v>
      </c>
      <c r="Q450" s="24"/>
      <c r="R450" s="24">
        <f t="shared" si="262"/>
        <v>0</v>
      </c>
      <c r="S450" s="24">
        <f t="shared" si="263"/>
        <v>0</v>
      </c>
      <c r="T450" s="24"/>
      <c r="U450" s="24">
        <f t="shared" si="264"/>
        <v>0</v>
      </c>
      <c r="V450" s="24"/>
      <c r="W450" s="24">
        <f t="shared" si="265"/>
        <v>0</v>
      </c>
      <c r="X450" s="24"/>
      <c r="Y450" s="24">
        <f t="shared" si="266"/>
        <v>0</v>
      </c>
      <c r="Z450" s="24"/>
      <c r="AA450" s="24">
        <f t="shared" si="267"/>
        <v>0</v>
      </c>
      <c r="AB450" s="24">
        <f t="shared" si="268"/>
        <v>0</v>
      </c>
      <c r="AC450" s="12" t="str">
        <f t="shared" si="269"/>
        <v>ok</v>
      </c>
    </row>
    <row r="451" spans="1:29" x14ac:dyDescent="0.2">
      <c r="A451" s="3">
        <v>926</v>
      </c>
      <c r="B451" s="3" t="s">
        <v>169</v>
      </c>
      <c r="C451" s="3" t="s">
        <v>522</v>
      </c>
      <c r="D451" s="3" t="s">
        <v>516</v>
      </c>
      <c r="F451" s="24">
        <v>400022.57</v>
      </c>
      <c r="H451" s="24">
        <f t="shared" si="256"/>
        <v>0</v>
      </c>
      <c r="I451" s="24">
        <f t="shared" si="257"/>
        <v>0</v>
      </c>
      <c r="J451" s="24"/>
      <c r="K451" s="24">
        <f t="shared" si="258"/>
        <v>0</v>
      </c>
      <c r="L451" s="24"/>
      <c r="M451" s="24">
        <f t="shared" si="259"/>
        <v>733.94644268035393</v>
      </c>
      <c r="N451" s="24"/>
      <c r="O451" s="24">
        <f t="shared" si="260"/>
        <v>115004.70187645753</v>
      </c>
      <c r="P451" s="24">
        <f t="shared" si="261"/>
        <v>70557.69510072202</v>
      </c>
      <c r="Q451" s="24"/>
      <c r="R451" s="24">
        <f t="shared" si="262"/>
        <v>0</v>
      </c>
      <c r="S451" s="24">
        <f t="shared" si="263"/>
        <v>9486.9213297392544</v>
      </c>
      <c r="T451" s="24"/>
      <c r="U451" s="24">
        <f t="shared" si="264"/>
        <v>81837.351050549347</v>
      </c>
      <c r="V451" s="24"/>
      <c r="W451" s="24">
        <f t="shared" si="265"/>
        <v>5742.3346869332154</v>
      </c>
      <c r="X451" s="24"/>
      <c r="Y451" s="24">
        <f t="shared" si="266"/>
        <v>116659.61951291823</v>
      </c>
      <c r="Z451" s="24"/>
      <c r="AA451" s="24">
        <f t="shared" si="267"/>
        <v>0</v>
      </c>
      <c r="AB451" s="24">
        <f t="shared" si="268"/>
        <v>400022.56999999995</v>
      </c>
      <c r="AC451" s="12" t="str">
        <f t="shared" si="269"/>
        <v>ok</v>
      </c>
    </row>
    <row r="452" spans="1:29" x14ac:dyDescent="0.2">
      <c r="A452" s="3">
        <v>928</v>
      </c>
      <c r="B452" s="3" t="s">
        <v>171</v>
      </c>
      <c r="C452" s="3" t="s">
        <v>523</v>
      </c>
      <c r="D452" s="3" t="s">
        <v>411</v>
      </c>
      <c r="F452" s="24">
        <v>0</v>
      </c>
      <c r="H452" s="24">
        <f t="shared" si="256"/>
        <v>0</v>
      </c>
      <c r="I452" s="24">
        <f t="shared" si="257"/>
        <v>0</v>
      </c>
      <c r="J452" s="24"/>
      <c r="K452" s="24">
        <f t="shared" si="258"/>
        <v>0</v>
      </c>
      <c r="L452" s="24"/>
      <c r="M452" s="24">
        <f t="shared" si="259"/>
        <v>0</v>
      </c>
      <c r="N452" s="24"/>
      <c r="O452" s="24">
        <f t="shared" si="260"/>
        <v>0</v>
      </c>
      <c r="P452" s="24">
        <f t="shared" si="261"/>
        <v>0</v>
      </c>
      <c r="Q452" s="24"/>
      <c r="R452" s="24">
        <f t="shared" si="262"/>
        <v>0</v>
      </c>
      <c r="S452" s="24">
        <f t="shared" si="263"/>
        <v>0</v>
      </c>
      <c r="T452" s="24"/>
      <c r="U452" s="24">
        <f t="shared" si="264"/>
        <v>0</v>
      </c>
      <c r="V452" s="24"/>
      <c r="W452" s="24">
        <f t="shared" si="265"/>
        <v>0</v>
      </c>
      <c r="X452" s="24"/>
      <c r="Y452" s="24">
        <f t="shared" si="266"/>
        <v>0</v>
      </c>
      <c r="Z452" s="24"/>
      <c r="AA452" s="24">
        <f t="shared" si="267"/>
        <v>0</v>
      </c>
      <c r="AB452" s="24">
        <f t="shared" si="268"/>
        <v>0</v>
      </c>
      <c r="AC452" s="12" t="str">
        <f t="shared" si="269"/>
        <v>ok</v>
      </c>
    </row>
    <row r="453" spans="1:29" x14ac:dyDescent="0.2">
      <c r="A453" s="3">
        <v>929</v>
      </c>
      <c r="B453" s="3" t="s">
        <v>385</v>
      </c>
      <c r="C453" s="3" t="s">
        <v>524</v>
      </c>
      <c r="D453" s="3" t="s">
        <v>411</v>
      </c>
      <c r="F453" s="24">
        <v>0</v>
      </c>
      <c r="H453" s="24">
        <f t="shared" si="256"/>
        <v>0</v>
      </c>
      <c r="I453" s="24">
        <f t="shared" si="257"/>
        <v>0</v>
      </c>
      <c r="J453" s="24"/>
      <c r="K453" s="24">
        <f t="shared" si="258"/>
        <v>0</v>
      </c>
      <c r="L453" s="24"/>
      <c r="M453" s="24">
        <f t="shared" si="259"/>
        <v>0</v>
      </c>
      <c r="N453" s="24"/>
      <c r="O453" s="24">
        <f t="shared" si="260"/>
        <v>0</v>
      </c>
      <c r="P453" s="24">
        <f t="shared" si="261"/>
        <v>0</v>
      </c>
      <c r="Q453" s="24"/>
      <c r="R453" s="24">
        <f t="shared" si="262"/>
        <v>0</v>
      </c>
      <c r="S453" s="24">
        <f t="shared" si="263"/>
        <v>0</v>
      </c>
      <c r="T453" s="24"/>
      <c r="U453" s="24">
        <f t="shared" si="264"/>
        <v>0</v>
      </c>
      <c r="V453" s="24"/>
      <c r="W453" s="24">
        <f t="shared" si="265"/>
        <v>0</v>
      </c>
      <c r="X453" s="24"/>
      <c r="Y453" s="24">
        <f t="shared" si="266"/>
        <v>0</v>
      </c>
      <c r="Z453" s="24"/>
      <c r="AA453" s="24">
        <f t="shared" si="267"/>
        <v>0</v>
      </c>
      <c r="AB453" s="24">
        <f t="shared" si="268"/>
        <v>0</v>
      </c>
      <c r="AC453" s="12" t="str">
        <f t="shared" si="269"/>
        <v>ok</v>
      </c>
    </row>
    <row r="454" spans="1:29" x14ac:dyDescent="0.2">
      <c r="A454" s="3">
        <v>930</v>
      </c>
      <c r="B454" s="3" t="s">
        <v>173</v>
      </c>
      <c r="C454" s="3" t="s">
        <v>525</v>
      </c>
      <c r="D454" s="3" t="s">
        <v>411</v>
      </c>
      <c r="F454" s="24">
        <v>3714.25</v>
      </c>
      <c r="H454" s="24">
        <f t="shared" si="256"/>
        <v>0</v>
      </c>
      <c r="I454" s="24">
        <f t="shared" si="257"/>
        <v>0</v>
      </c>
      <c r="J454" s="24"/>
      <c r="K454" s="24">
        <f t="shared" si="258"/>
        <v>0</v>
      </c>
      <c r="L454" s="24"/>
      <c r="M454" s="24">
        <f t="shared" si="259"/>
        <v>4.5684074562427801</v>
      </c>
      <c r="N454" s="24"/>
      <c r="O454" s="24">
        <f t="shared" si="260"/>
        <v>1278.9562058699914</v>
      </c>
      <c r="P454" s="24">
        <f t="shared" si="261"/>
        <v>772.88557110269767</v>
      </c>
      <c r="Q454" s="24"/>
      <c r="R454" s="24">
        <f t="shared" si="262"/>
        <v>0</v>
      </c>
      <c r="S454" s="24">
        <f t="shared" si="263"/>
        <v>64.846266165862929</v>
      </c>
      <c r="T454" s="24"/>
      <c r="U454" s="24">
        <f t="shared" si="264"/>
        <v>642.37792931715387</v>
      </c>
      <c r="V454" s="24"/>
      <c r="W454" s="24">
        <f t="shared" si="265"/>
        <v>35.742832275641</v>
      </c>
      <c r="X454" s="24"/>
      <c r="Y454" s="24">
        <f t="shared" si="266"/>
        <v>914.84404314919993</v>
      </c>
      <c r="Z454" s="24"/>
      <c r="AA454" s="24">
        <f t="shared" si="267"/>
        <v>2.8744663209977501E-2</v>
      </c>
      <c r="AB454" s="24">
        <f t="shared" si="268"/>
        <v>3714.2499999999991</v>
      </c>
      <c r="AC454" s="12" t="str">
        <f t="shared" si="269"/>
        <v>ok</v>
      </c>
    </row>
    <row r="455" spans="1:29" x14ac:dyDescent="0.2">
      <c r="A455" s="3">
        <v>931</v>
      </c>
      <c r="B455" s="3" t="s">
        <v>175</v>
      </c>
      <c r="C455" s="3" t="s">
        <v>526</v>
      </c>
      <c r="D455" s="3" t="s">
        <v>84</v>
      </c>
      <c r="F455" s="24">
        <v>0</v>
      </c>
      <c r="H455" s="24">
        <f t="shared" si="256"/>
        <v>0</v>
      </c>
      <c r="I455" s="24">
        <f t="shared" si="257"/>
        <v>0</v>
      </c>
      <c r="J455" s="24"/>
      <c r="K455" s="24">
        <f t="shared" si="258"/>
        <v>0</v>
      </c>
      <c r="L455" s="24"/>
      <c r="M455" s="24">
        <f t="shared" si="259"/>
        <v>0</v>
      </c>
      <c r="N455" s="24"/>
      <c r="O455" s="24">
        <f t="shared" si="260"/>
        <v>0</v>
      </c>
      <c r="P455" s="24">
        <f t="shared" si="261"/>
        <v>0</v>
      </c>
      <c r="Q455" s="24"/>
      <c r="R455" s="24">
        <f t="shared" si="262"/>
        <v>0</v>
      </c>
      <c r="S455" s="24">
        <f t="shared" si="263"/>
        <v>0</v>
      </c>
      <c r="T455" s="24"/>
      <c r="U455" s="24">
        <f t="shared" si="264"/>
        <v>0</v>
      </c>
      <c r="V455" s="24"/>
      <c r="W455" s="24">
        <f t="shared" si="265"/>
        <v>0</v>
      </c>
      <c r="X455" s="24"/>
      <c r="Y455" s="24">
        <f t="shared" si="266"/>
        <v>0</v>
      </c>
      <c r="Z455" s="24"/>
      <c r="AA455" s="24">
        <f t="shared" si="267"/>
        <v>0</v>
      </c>
      <c r="AB455" s="24">
        <f t="shared" si="268"/>
        <v>0</v>
      </c>
      <c r="AC455" s="12" t="str">
        <f t="shared" si="269"/>
        <v>ok</v>
      </c>
    </row>
    <row r="456" spans="1:29" x14ac:dyDescent="0.2">
      <c r="A456" s="3">
        <v>935</v>
      </c>
      <c r="B456" s="3" t="s">
        <v>177</v>
      </c>
      <c r="C456" s="3" t="s">
        <v>711</v>
      </c>
      <c r="D456" s="3" t="s">
        <v>70</v>
      </c>
      <c r="F456" s="24">
        <v>0</v>
      </c>
      <c r="H456" s="24">
        <f t="shared" si="256"/>
        <v>0</v>
      </c>
      <c r="I456" s="24">
        <f t="shared" si="257"/>
        <v>0</v>
      </c>
      <c r="J456" s="24"/>
      <c r="K456" s="24">
        <f t="shared" si="258"/>
        <v>0</v>
      </c>
      <c r="L456" s="24"/>
      <c r="M456" s="24">
        <f t="shared" si="259"/>
        <v>0</v>
      </c>
      <c r="N456" s="24"/>
      <c r="O456" s="24">
        <f t="shared" si="260"/>
        <v>0</v>
      </c>
      <c r="P456" s="24">
        <f t="shared" si="261"/>
        <v>0</v>
      </c>
      <c r="Q456" s="24"/>
      <c r="R456" s="24">
        <f t="shared" si="262"/>
        <v>0</v>
      </c>
      <c r="S456" s="24">
        <f t="shared" si="263"/>
        <v>0</v>
      </c>
      <c r="T456" s="24"/>
      <c r="U456" s="24">
        <f t="shared" si="264"/>
        <v>0</v>
      </c>
      <c r="V456" s="24"/>
      <c r="W456" s="24">
        <f t="shared" si="265"/>
        <v>0</v>
      </c>
      <c r="X456" s="24"/>
      <c r="Y456" s="24">
        <f t="shared" si="266"/>
        <v>0</v>
      </c>
      <c r="Z456" s="24"/>
      <c r="AA456" s="24">
        <f t="shared" si="267"/>
        <v>0</v>
      </c>
      <c r="AB456" s="24">
        <f t="shared" si="268"/>
        <v>0</v>
      </c>
      <c r="AC456" s="12" t="str">
        <f t="shared" si="269"/>
        <v>ok</v>
      </c>
    </row>
    <row r="457" spans="1:29" x14ac:dyDescent="0.2">
      <c r="A457" s="3">
        <v>950</v>
      </c>
      <c r="B457" s="3" t="s">
        <v>593</v>
      </c>
      <c r="C457" s="3" t="s">
        <v>594</v>
      </c>
      <c r="D457" s="3" t="s">
        <v>70</v>
      </c>
      <c r="F457" s="24">
        <v>0</v>
      </c>
      <c r="H457" s="24">
        <f t="shared" si="256"/>
        <v>0</v>
      </c>
      <c r="I457" s="24">
        <f t="shared" si="257"/>
        <v>0</v>
      </c>
      <c r="J457" s="24"/>
      <c r="K457" s="24">
        <f t="shared" si="258"/>
        <v>0</v>
      </c>
      <c r="L457" s="24"/>
      <c r="M457" s="24">
        <f t="shared" si="259"/>
        <v>0</v>
      </c>
      <c r="N457" s="24"/>
      <c r="O457" s="24">
        <f t="shared" si="260"/>
        <v>0</v>
      </c>
      <c r="P457" s="24">
        <f t="shared" si="261"/>
        <v>0</v>
      </c>
      <c r="Q457" s="24"/>
      <c r="R457" s="24">
        <f t="shared" si="262"/>
        <v>0</v>
      </c>
      <c r="S457" s="24">
        <f t="shared" si="263"/>
        <v>0</v>
      </c>
      <c r="T457" s="24"/>
      <c r="U457" s="24">
        <f t="shared" si="264"/>
        <v>0</v>
      </c>
      <c r="V457" s="24"/>
      <c r="W457" s="24">
        <f t="shared" si="265"/>
        <v>0</v>
      </c>
      <c r="X457" s="24"/>
      <c r="Y457" s="24">
        <f t="shared" si="266"/>
        <v>0</v>
      </c>
      <c r="Z457" s="24"/>
      <c r="AA457" s="24">
        <f t="shared" si="267"/>
        <v>0</v>
      </c>
      <c r="AB457" s="24">
        <f t="shared" si="268"/>
        <v>0</v>
      </c>
      <c r="AC457" s="12" t="str">
        <f t="shared" si="269"/>
        <v>ok</v>
      </c>
    </row>
    <row r="458" spans="1:29" x14ac:dyDescent="0.2">
      <c r="F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12"/>
    </row>
    <row r="459" spans="1:29" x14ac:dyDescent="0.2">
      <c r="A459" s="3" t="s">
        <v>178</v>
      </c>
      <c r="C459" s="3" t="s">
        <v>527</v>
      </c>
      <c r="F459" s="41">
        <f>SUM(F446:F458)</f>
        <v>1127736.57</v>
      </c>
      <c r="G459" s="41"/>
      <c r="H459" s="41">
        <f>SUM(H446:H458)</f>
        <v>0</v>
      </c>
      <c r="I459" s="41">
        <f>SUM(I446:I458)</f>
        <v>0</v>
      </c>
      <c r="J459" s="41"/>
      <c r="K459" s="41">
        <f>SUM(K446:K458)</f>
        <v>0</v>
      </c>
      <c r="L459" s="41"/>
      <c r="M459" s="41">
        <f>SUM(M446:M458)</f>
        <v>1629.0111431211585</v>
      </c>
      <c r="N459" s="41"/>
      <c r="O459" s="41">
        <f>SUM(O446:O458)</f>
        <v>365584.04801591364</v>
      </c>
      <c r="P459" s="41">
        <f>SUM(P446:P458)</f>
        <v>221985.21088168144</v>
      </c>
      <c r="Q459" s="41"/>
      <c r="R459" s="41">
        <f>SUM(R446:R458)</f>
        <v>0</v>
      </c>
      <c r="S459" s="41">
        <f>SUM(S446:S458)</f>
        <v>22191.918499187937</v>
      </c>
      <c r="T459" s="41"/>
      <c r="U459" s="41">
        <f>SUM(U446:U458)</f>
        <v>207695.17226751192</v>
      </c>
      <c r="V459" s="41"/>
      <c r="W459" s="41">
        <f>SUM(W446:W458)</f>
        <v>12745.244950549239</v>
      </c>
      <c r="X459" s="41"/>
      <c r="Y459" s="41">
        <f>SUM(Y446:Y458)</f>
        <v>295900.3324472325</v>
      </c>
      <c r="Z459" s="41"/>
      <c r="AA459" s="41">
        <f>SUM(AA446:AA458)</f>
        <v>5.6317948019615178</v>
      </c>
      <c r="AB459" s="24">
        <f>SUM(H459:AA459)</f>
        <v>1127736.5699999998</v>
      </c>
      <c r="AC459" s="12" t="str">
        <f>IF(ABS(AB459-F459)&lt;1,"ok","err")</f>
        <v>ok</v>
      </c>
    </row>
    <row r="460" spans="1:29" x14ac:dyDescent="0.2">
      <c r="F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12"/>
    </row>
    <row r="461" spans="1:29" x14ac:dyDescent="0.2">
      <c r="A461" s="3" t="s">
        <v>180</v>
      </c>
      <c r="C461" s="3" t="s">
        <v>528</v>
      </c>
      <c r="F461" s="41">
        <f>F356+F414+F423+F438+F459</f>
        <v>3585933</v>
      </c>
      <c r="G461" s="41"/>
      <c r="H461" s="41">
        <f>H356+H414+H423+H438+H459</f>
        <v>0</v>
      </c>
      <c r="I461" s="41">
        <f>I356+I414+I423+I438+I459</f>
        <v>0</v>
      </c>
      <c r="J461" s="41"/>
      <c r="K461" s="41">
        <f>K356+K414+K423+K438+K459</f>
        <v>0</v>
      </c>
      <c r="L461" s="41"/>
      <c r="M461" s="41">
        <f>M356+M414+M423+M438+M459</f>
        <v>6139.2179677211952</v>
      </c>
      <c r="N461" s="41"/>
      <c r="O461" s="41">
        <f>O356+O414+O423+O438+O459</f>
        <v>1072304.5402769435</v>
      </c>
      <c r="P461" s="41">
        <f>P356+P414+P423+P438+P459</f>
        <v>655572.43123683135</v>
      </c>
      <c r="Q461" s="41"/>
      <c r="R461" s="41">
        <f>R356+R414+R423+R438+R459</f>
        <v>0</v>
      </c>
      <c r="S461" s="41">
        <f>S356+S414+S423+S438+S459</f>
        <v>80490.41936741618</v>
      </c>
      <c r="T461" s="41"/>
      <c r="U461" s="41">
        <f>U356+U414+U423+U438+U459</f>
        <v>710597.50648609654</v>
      </c>
      <c r="V461" s="41"/>
      <c r="W461" s="41">
        <f>W356+W414+W423+W438+W459</f>
        <v>48032.720422956707</v>
      </c>
      <c r="X461" s="41"/>
      <c r="Y461" s="41">
        <f>Y356+Y414+Y423+Y438+Y459</f>
        <v>1012790.5324472324</v>
      </c>
      <c r="Z461" s="41"/>
      <c r="AA461" s="41">
        <f>AA356+AA414+AA423+AA438+AA459</f>
        <v>5.6317948019615178</v>
      </c>
      <c r="AB461" s="24">
        <f>SUM(H461:AA461)</f>
        <v>3585932.9999999995</v>
      </c>
      <c r="AC461" s="12" t="str">
        <f>IF(ABS(AB461-F461)&lt;1,"ok","err")</f>
        <v>ok</v>
      </c>
    </row>
    <row r="462" spans="1:29" x14ac:dyDescent="0.2">
      <c r="F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12"/>
    </row>
    <row r="463" spans="1:29" x14ac:dyDescent="0.2">
      <c r="A463" s="3" t="s">
        <v>412</v>
      </c>
      <c r="C463" s="3" t="s">
        <v>529</v>
      </c>
      <c r="F463" s="65">
        <f>F461-F362</f>
        <v>3585933</v>
      </c>
      <c r="G463" s="65"/>
      <c r="H463" s="65">
        <f>H461-H362</f>
        <v>0</v>
      </c>
      <c r="I463" s="65">
        <f>I461-I362</f>
        <v>0</v>
      </c>
      <c r="J463" s="65"/>
      <c r="K463" s="65">
        <f>K461-K362</f>
        <v>0</v>
      </c>
      <c r="L463" s="65"/>
      <c r="M463" s="65">
        <f>M461-M362</f>
        <v>6139.2179677211952</v>
      </c>
      <c r="N463" s="65"/>
      <c r="O463" s="65">
        <f>O461-O362</f>
        <v>1072304.5402769435</v>
      </c>
      <c r="P463" s="65">
        <f>P461-P362</f>
        <v>655572.43123683135</v>
      </c>
      <c r="Q463" s="65"/>
      <c r="R463" s="65">
        <f>R461-R362</f>
        <v>0</v>
      </c>
      <c r="S463" s="65">
        <f>S461-S362</f>
        <v>80490.41936741618</v>
      </c>
      <c r="T463" s="65"/>
      <c r="U463" s="65">
        <f>U461-U362</f>
        <v>710597.50648609654</v>
      </c>
      <c r="V463" s="65"/>
      <c r="W463" s="65">
        <f>W461-W362</f>
        <v>48032.720422956707</v>
      </c>
      <c r="X463" s="65"/>
      <c r="Y463" s="65">
        <f>Y461-Y362</f>
        <v>1012790.5324472324</v>
      </c>
      <c r="Z463" s="65"/>
      <c r="AA463" s="65">
        <f>AA461-AA362</f>
        <v>5.6317948019615178</v>
      </c>
      <c r="AB463" s="24">
        <f>SUM(H463:AA463)</f>
        <v>3585932.9999999995</v>
      </c>
      <c r="AC463" s="12" t="str">
        <f>IF(ABS(AB463-F463)&lt;1,"ok","err")</f>
        <v>ok</v>
      </c>
    </row>
    <row r="464" spans="1:29" x14ac:dyDescent="0.2"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24"/>
      <c r="AC464" s="12"/>
    </row>
    <row r="465" spans="1:29" x14ac:dyDescent="0.2">
      <c r="A465" s="10" t="s">
        <v>198</v>
      </c>
      <c r="AC465" s="12"/>
    </row>
    <row r="466" spans="1:29" x14ac:dyDescent="0.2">
      <c r="AC466" s="12"/>
    </row>
    <row r="467" spans="1:29" x14ac:dyDescent="0.2">
      <c r="A467" s="3" t="s">
        <v>1</v>
      </c>
      <c r="C467" s="3" t="s">
        <v>24</v>
      </c>
      <c r="F467" s="69">
        <v>1</v>
      </c>
      <c r="G467" s="69"/>
      <c r="H467" s="70">
        <v>0</v>
      </c>
      <c r="I467" s="70">
        <v>0</v>
      </c>
      <c r="J467" s="70"/>
      <c r="K467" s="70">
        <v>0</v>
      </c>
      <c r="L467" s="69"/>
      <c r="M467" s="70">
        <v>1</v>
      </c>
      <c r="N467" s="69"/>
      <c r="O467" s="70">
        <v>0</v>
      </c>
      <c r="P467" s="70">
        <v>0</v>
      </c>
      <c r="Q467" s="210"/>
      <c r="R467" s="69">
        <v>0</v>
      </c>
      <c r="S467" s="69">
        <v>0</v>
      </c>
      <c r="T467" s="69"/>
      <c r="U467" s="69">
        <v>0</v>
      </c>
      <c r="V467" s="69"/>
      <c r="W467" s="69">
        <v>0</v>
      </c>
      <c r="X467" s="69"/>
      <c r="Y467" s="69">
        <v>0</v>
      </c>
      <c r="Z467" s="69"/>
      <c r="AA467" s="69">
        <v>0</v>
      </c>
      <c r="AB467" s="70">
        <f>SUM(H467:AA467)</f>
        <v>1</v>
      </c>
      <c r="AC467" s="12" t="str">
        <f t="shared" ref="AC467:AC477" si="270">IF(ABS(AB467-F467)&lt;0.0000001,"ok","err")</f>
        <v>ok</v>
      </c>
    </row>
    <row r="468" spans="1:29" x14ac:dyDescent="0.2">
      <c r="A468" s="3" t="s">
        <v>199</v>
      </c>
      <c r="C468" s="3" t="s">
        <v>27</v>
      </c>
      <c r="F468" s="69">
        <v>1</v>
      </c>
      <c r="G468" s="69"/>
      <c r="H468" s="70">
        <v>0</v>
      </c>
      <c r="I468" s="70">
        <v>0</v>
      </c>
      <c r="J468" s="70"/>
      <c r="K468" s="70">
        <v>0</v>
      </c>
      <c r="L468" s="69"/>
      <c r="M468" s="70">
        <v>0</v>
      </c>
      <c r="N468" s="69"/>
      <c r="O468" s="70">
        <f>O469</f>
        <v>0.63091437024006614</v>
      </c>
      <c r="P468" s="70">
        <f>P469</f>
        <v>0.36908562975993381</v>
      </c>
      <c r="Q468" s="210"/>
      <c r="R468" s="69">
        <v>0</v>
      </c>
      <c r="S468" s="69">
        <v>0</v>
      </c>
      <c r="T468" s="69"/>
      <c r="U468" s="69">
        <v>0</v>
      </c>
      <c r="V468" s="69"/>
      <c r="W468" s="69">
        <v>0</v>
      </c>
      <c r="X468" s="69"/>
      <c r="Y468" s="69">
        <v>0</v>
      </c>
      <c r="Z468" s="69"/>
      <c r="AA468" s="69">
        <v>0</v>
      </c>
      <c r="AB468" s="70">
        <f t="shared" ref="AB468:AB476" si="271">SUM(H468:AA468)</f>
        <v>1</v>
      </c>
      <c r="AC468" s="12" t="str">
        <f t="shared" si="270"/>
        <v>ok</v>
      </c>
    </row>
    <row r="469" spans="1:29" x14ac:dyDescent="0.2">
      <c r="A469" s="3" t="s">
        <v>200</v>
      </c>
      <c r="C469" s="3" t="s">
        <v>30</v>
      </c>
      <c r="F469" s="69">
        <v>1</v>
      </c>
      <c r="G469" s="69"/>
      <c r="H469" s="70">
        <v>0</v>
      </c>
      <c r="I469" s="70">
        <v>0</v>
      </c>
      <c r="J469" s="70"/>
      <c r="K469" s="70">
        <v>0</v>
      </c>
      <c r="L469" s="69"/>
      <c r="M469" s="70">
        <v>0</v>
      </c>
      <c r="N469" s="69"/>
      <c r="O469" s="70">
        <f>ZeroInt!D131</f>
        <v>0.63091437024006614</v>
      </c>
      <c r="P469" s="70">
        <f>ZeroInt!E131</f>
        <v>0.36908562975993381</v>
      </c>
      <c r="Q469" s="210"/>
      <c r="R469" s="69">
        <v>0</v>
      </c>
      <c r="S469" s="69">
        <v>0</v>
      </c>
      <c r="T469" s="69"/>
      <c r="U469" s="69">
        <v>0</v>
      </c>
      <c r="V469" s="69"/>
      <c r="W469" s="69">
        <v>0</v>
      </c>
      <c r="X469" s="69"/>
      <c r="Y469" s="69">
        <v>0</v>
      </c>
      <c r="Z469" s="69"/>
      <c r="AA469" s="69">
        <v>0</v>
      </c>
      <c r="AB469" s="70">
        <f t="shared" si="271"/>
        <v>1</v>
      </c>
      <c r="AC469" s="12" t="str">
        <f t="shared" si="270"/>
        <v>ok</v>
      </c>
    </row>
    <row r="470" spans="1:29" x14ac:dyDescent="0.2">
      <c r="A470" s="3" t="s">
        <v>201</v>
      </c>
      <c r="C470" s="3" t="s">
        <v>33</v>
      </c>
      <c r="F470" s="69">
        <v>1</v>
      </c>
      <c r="G470" s="69"/>
      <c r="H470" s="70">
        <v>0</v>
      </c>
      <c r="I470" s="70">
        <v>0</v>
      </c>
      <c r="J470" s="70"/>
      <c r="K470" s="70">
        <v>0</v>
      </c>
      <c r="L470" s="69"/>
      <c r="M470" s="70">
        <v>0</v>
      </c>
      <c r="N470" s="69"/>
      <c r="O470" s="70">
        <f>ZeroInt!D132</f>
        <v>4.7273879996576063E-2</v>
      </c>
      <c r="P470" s="70">
        <f>ZeroInt!E132</f>
        <v>0.95272612000342394</v>
      </c>
      <c r="Q470" s="210"/>
      <c r="R470" s="69">
        <v>0</v>
      </c>
      <c r="S470" s="69">
        <v>0</v>
      </c>
      <c r="T470" s="69"/>
      <c r="U470" s="69">
        <v>0</v>
      </c>
      <c r="V470" s="69"/>
      <c r="W470" s="69">
        <v>0</v>
      </c>
      <c r="X470" s="69"/>
      <c r="Y470" s="69">
        <v>0</v>
      </c>
      <c r="Z470" s="69"/>
      <c r="AA470" s="69">
        <v>0</v>
      </c>
      <c r="AB470" s="70">
        <f t="shared" si="271"/>
        <v>1</v>
      </c>
      <c r="AC470" s="12" t="str">
        <f t="shared" si="270"/>
        <v>ok</v>
      </c>
    </row>
    <row r="471" spans="1:29" x14ac:dyDescent="0.2">
      <c r="A471" s="3" t="s">
        <v>202</v>
      </c>
      <c r="C471" s="3" t="s">
        <v>38</v>
      </c>
      <c r="F471" s="69">
        <v>1</v>
      </c>
      <c r="G471" s="69"/>
      <c r="H471" s="70">
        <v>0</v>
      </c>
      <c r="I471" s="70">
        <v>0</v>
      </c>
      <c r="J471" s="70"/>
      <c r="K471" s="70">
        <v>0</v>
      </c>
      <c r="L471" s="69"/>
      <c r="M471" s="70">
        <v>0</v>
      </c>
      <c r="N471" s="69"/>
      <c r="O471" s="70">
        <f>ZeroInt!D133</f>
        <v>0.54092999204602843</v>
      </c>
      <c r="P471" s="70">
        <f>ZeroInt!E133</f>
        <v>0.45907000795397163</v>
      </c>
      <c r="Q471" s="210"/>
      <c r="R471" s="69">
        <v>0</v>
      </c>
      <c r="S471" s="69">
        <v>0</v>
      </c>
      <c r="T471" s="69"/>
      <c r="U471" s="69">
        <v>0</v>
      </c>
      <c r="V471" s="69"/>
      <c r="W471" s="69">
        <v>0</v>
      </c>
      <c r="X471" s="69"/>
      <c r="Y471" s="69">
        <v>0</v>
      </c>
      <c r="Z471" s="69"/>
      <c r="AA471" s="69">
        <v>0</v>
      </c>
      <c r="AB471" s="70">
        <f t="shared" si="271"/>
        <v>1</v>
      </c>
      <c r="AC471" s="12" t="str">
        <f t="shared" si="270"/>
        <v>ok</v>
      </c>
    </row>
    <row r="472" spans="1:29" x14ac:dyDescent="0.2">
      <c r="A472" s="3" t="s">
        <v>203</v>
      </c>
      <c r="C472" s="3" t="s">
        <v>41</v>
      </c>
      <c r="F472" s="69">
        <v>1</v>
      </c>
      <c r="G472" s="69"/>
      <c r="H472" s="70">
        <v>0</v>
      </c>
      <c r="I472" s="70">
        <v>0</v>
      </c>
      <c r="J472" s="70"/>
      <c r="K472" s="70">
        <v>0</v>
      </c>
      <c r="L472" s="69"/>
      <c r="M472" s="70">
        <v>0</v>
      </c>
      <c r="N472" s="69"/>
      <c r="O472" s="70">
        <v>0</v>
      </c>
      <c r="P472" s="70">
        <v>0</v>
      </c>
      <c r="Q472" s="210"/>
      <c r="R472" s="69">
        <v>0</v>
      </c>
      <c r="S472" s="69">
        <v>1</v>
      </c>
      <c r="T472" s="69"/>
      <c r="U472" s="69">
        <v>0</v>
      </c>
      <c r="V472" s="69"/>
      <c r="W472" s="69">
        <v>0</v>
      </c>
      <c r="X472" s="69"/>
      <c r="Y472" s="69">
        <v>0</v>
      </c>
      <c r="Z472" s="69"/>
      <c r="AA472" s="69">
        <v>0</v>
      </c>
      <c r="AB472" s="70">
        <f t="shared" si="271"/>
        <v>1</v>
      </c>
      <c r="AC472" s="12" t="str">
        <f t="shared" si="270"/>
        <v>ok</v>
      </c>
    </row>
    <row r="473" spans="1:29" x14ac:dyDescent="0.2">
      <c r="A473" s="3" t="s">
        <v>4</v>
      </c>
      <c r="C473" s="3" t="s">
        <v>44</v>
      </c>
      <c r="F473" s="69">
        <v>1</v>
      </c>
      <c r="G473" s="69"/>
      <c r="H473" s="70">
        <v>0</v>
      </c>
      <c r="I473" s="70">
        <v>0</v>
      </c>
      <c r="J473" s="70"/>
      <c r="K473" s="70">
        <v>0</v>
      </c>
      <c r="L473" s="69"/>
      <c r="M473" s="70">
        <v>0</v>
      </c>
      <c r="N473" s="69"/>
      <c r="O473" s="70">
        <v>0</v>
      </c>
      <c r="P473" s="70">
        <v>0</v>
      </c>
      <c r="Q473" s="210"/>
      <c r="R473" s="69">
        <v>0</v>
      </c>
      <c r="S473" s="69">
        <v>0</v>
      </c>
      <c r="T473" s="69"/>
      <c r="U473" s="69">
        <v>1</v>
      </c>
      <c r="V473" s="69"/>
      <c r="W473" s="69">
        <v>0</v>
      </c>
      <c r="X473" s="69"/>
      <c r="Y473" s="69">
        <v>0</v>
      </c>
      <c r="Z473" s="69"/>
      <c r="AA473" s="69">
        <v>0</v>
      </c>
      <c r="AB473" s="70">
        <f t="shared" si="271"/>
        <v>1</v>
      </c>
      <c r="AC473" s="12" t="str">
        <f t="shared" si="270"/>
        <v>ok</v>
      </c>
    </row>
    <row r="474" spans="1:29" x14ac:dyDescent="0.2">
      <c r="A474" s="3" t="s">
        <v>204</v>
      </c>
      <c r="C474" s="3" t="s">
        <v>49</v>
      </c>
      <c r="F474" s="69">
        <v>1</v>
      </c>
      <c r="G474" s="69"/>
      <c r="H474" s="70">
        <v>0</v>
      </c>
      <c r="I474" s="70">
        <v>0</v>
      </c>
      <c r="J474" s="70"/>
      <c r="K474" s="70">
        <v>0</v>
      </c>
      <c r="L474" s="69"/>
      <c r="M474" s="70">
        <v>0</v>
      </c>
      <c r="N474" s="69"/>
      <c r="O474" s="70">
        <v>0</v>
      </c>
      <c r="P474" s="70">
        <v>0</v>
      </c>
      <c r="Q474" s="210"/>
      <c r="R474" s="69">
        <v>0</v>
      </c>
      <c r="S474" s="69">
        <v>0</v>
      </c>
      <c r="T474" s="69"/>
      <c r="U474" s="69">
        <v>0</v>
      </c>
      <c r="V474" s="69"/>
      <c r="W474" s="69">
        <v>1</v>
      </c>
      <c r="X474" s="69"/>
      <c r="Y474" s="69">
        <v>0</v>
      </c>
      <c r="Z474" s="69"/>
      <c r="AA474" s="69">
        <v>0</v>
      </c>
      <c r="AB474" s="70">
        <f t="shared" si="271"/>
        <v>1</v>
      </c>
      <c r="AC474" s="12" t="str">
        <f t="shared" si="270"/>
        <v>ok</v>
      </c>
    </row>
    <row r="475" spans="1:29" x14ac:dyDescent="0.2">
      <c r="A475" s="3" t="s">
        <v>205</v>
      </c>
      <c r="C475" s="3" t="s">
        <v>139</v>
      </c>
      <c r="F475" s="69">
        <v>1</v>
      </c>
      <c r="G475" s="69"/>
      <c r="H475" s="70">
        <v>0</v>
      </c>
      <c r="I475" s="70">
        <v>0</v>
      </c>
      <c r="J475" s="70"/>
      <c r="K475" s="70">
        <v>0</v>
      </c>
      <c r="L475" s="69"/>
      <c r="M475" s="70">
        <v>0</v>
      </c>
      <c r="N475" s="69"/>
      <c r="O475" s="70">
        <v>0</v>
      </c>
      <c r="P475" s="70">
        <v>0</v>
      </c>
      <c r="Q475" s="210"/>
      <c r="R475" s="69">
        <v>0</v>
      </c>
      <c r="S475" s="69">
        <v>0</v>
      </c>
      <c r="T475" s="69"/>
      <c r="U475" s="69">
        <v>0</v>
      </c>
      <c r="V475" s="69"/>
      <c r="W475" s="69">
        <v>0</v>
      </c>
      <c r="X475" s="69"/>
      <c r="Y475" s="69">
        <v>1</v>
      </c>
      <c r="Z475" s="69"/>
      <c r="AA475" s="69">
        <v>0</v>
      </c>
      <c r="AB475" s="70">
        <f t="shared" si="271"/>
        <v>1</v>
      </c>
      <c r="AC475" s="12" t="str">
        <f t="shared" si="270"/>
        <v>ok</v>
      </c>
    </row>
    <row r="476" spans="1:29" x14ac:dyDescent="0.2">
      <c r="A476" s="3" t="s">
        <v>206</v>
      </c>
      <c r="C476" s="3" t="s">
        <v>149</v>
      </c>
      <c r="F476" s="69">
        <v>1</v>
      </c>
      <c r="G476" s="69"/>
      <c r="H476" s="70">
        <v>0</v>
      </c>
      <c r="I476" s="70">
        <v>0</v>
      </c>
      <c r="J476" s="70"/>
      <c r="K476" s="70">
        <v>0</v>
      </c>
      <c r="L476" s="69"/>
      <c r="M476" s="70">
        <v>0</v>
      </c>
      <c r="N476" s="69"/>
      <c r="O476" s="70">
        <v>0</v>
      </c>
      <c r="P476" s="70">
        <v>0</v>
      </c>
      <c r="Q476" s="210"/>
      <c r="R476" s="69">
        <v>0</v>
      </c>
      <c r="S476" s="69">
        <v>0</v>
      </c>
      <c r="T476" s="69"/>
      <c r="U476" s="69">
        <v>0</v>
      </c>
      <c r="V476" s="69"/>
      <c r="W476" s="69">
        <v>0</v>
      </c>
      <c r="X476" s="69"/>
      <c r="Y476" s="69">
        <v>1</v>
      </c>
      <c r="Z476" s="69"/>
      <c r="AA476" s="69">
        <v>0</v>
      </c>
      <c r="AB476" s="70">
        <f t="shared" si="271"/>
        <v>1</v>
      </c>
      <c r="AC476" s="12" t="str">
        <f t="shared" si="270"/>
        <v>ok</v>
      </c>
    </row>
    <row r="477" spans="1:29" x14ac:dyDescent="0.2">
      <c r="A477" s="3" t="s">
        <v>349</v>
      </c>
      <c r="C477" s="3" t="s">
        <v>391</v>
      </c>
      <c r="F477" s="69">
        <v>1</v>
      </c>
      <c r="G477" s="69"/>
      <c r="H477" s="70">
        <v>0</v>
      </c>
      <c r="I477" s="70">
        <v>0</v>
      </c>
      <c r="J477" s="70"/>
      <c r="K477" s="70">
        <v>1</v>
      </c>
      <c r="L477" s="69"/>
      <c r="M477" s="70">
        <v>0</v>
      </c>
      <c r="N477" s="69"/>
      <c r="O477" s="70">
        <v>0</v>
      </c>
      <c r="P477" s="70">
        <v>0</v>
      </c>
      <c r="Q477" s="210"/>
      <c r="R477" s="69">
        <v>0</v>
      </c>
      <c r="S477" s="69">
        <v>0</v>
      </c>
      <c r="T477" s="69"/>
      <c r="U477" s="69">
        <v>0</v>
      </c>
      <c r="V477" s="69"/>
      <c r="W477" s="69">
        <v>0</v>
      </c>
      <c r="X477" s="69"/>
      <c r="Y477" s="69">
        <v>0</v>
      </c>
      <c r="Z477" s="69"/>
      <c r="AA477" s="69">
        <v>0</v>
      </c>
      <c r="AB477" s="70">
        <f>SUM(H477:AA477)</f>
        <v>1</v>
      </c>
      <c r="AC477" s="12" t="str">
        <f t="shared" si="270"/>
        <v>ok</v>
      </c>
    </row>
    <row r="478" spans="1:29" x14ac:dyDescent="0.2">
      <c r="A478" s="3" t="s">
        <v>470</v>
      </c>
      <c r="C478" s="3" t="s">
        <v>471</v>
      </c>
      <c r="F478" s="69">
        <v>1</v>
      </c>
      <c r="G478" s="69"/>
      <c r="H478" s="70">
        <v>0</v>
      </c>
      <c r="I478" s="70">
        <v>0</v>
      </c>
      <c r="J478" s="70"/>
      <c r="K478" s="70">
        <v>0</v>
      </c>
      <c r="L478" s="69"/>
      <c r="M478" s="70">
        <v>0</v>
      </c>
      <c r="N478" s="69"/>
      <c r="O478" s="70">
        <v>0</v>
      </c>
      <c r="P478" s="70">
        <v>0</v>
      </c>
      <c r="Q478" s="210"/>
      <c r="R478" s="69">
        <v>0</v>
      </c>
      <c r="S478" s="69">
        <v>0</v>
      </c>
      <c r="T478" s="69"/>
      <c r="U478" s="69">
        <v>0</v>
      </c>
      <c r="V478" s="69"/>
      <c r="W478" s="69">
        <v>0</v>
      </c>
      <c r="X478" s="69"/>
      <c r="Y478" s="69">
        <v>0</v>
      </c>
      <c r="Z478" s="69"/>
      <c r="AA478" s="69">
        <v>1</v>
      </c>
      <c r="AB478" s="70">
        <f>SUM(H478:AA478)</f>
        <v>1</v>
      </c>
      <c r="AC478" s="12" t="str">
        <f>IF(ABS(AB478-F478)&lt;0.0000001,"ok","err")</f>
        <v>ok</v>
      </c>
    </row>
    <row r="479" spans="1:29" x14ac:dyDescent="0.2">
      <c r="F479" s="69"/>
      <c r="H479" s="70"/>
      <c r="I479" s="70"/>
      <c r="J479" s="70"/>
      <c r="K479" s="70"/>
      <c r="L479" s="70"/>
      <c r="M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  <c r="Z479" s="70"/>
      <c r="AA479" s="70"/>
      <c r="AB479" s="70"/>
      <c r="AC479" s="12"/>
    </row>
    <row r="480" spans="1:29" x14ac:dyDescent="0.2">
      <c r="H480" s="267"/>
      <c r="I480" s="267"/>
      <c r="AC480" s="12"/>
    </row>
    <row r="481" spans="1:29" x14ac:dyDescent="0.2">
      <c r="A481" s="2" t="s">
        <v>402</v>
      </c>
      <c r="C481" s="3" t="s">
        <v>96</v>
      </c>
      <c r="F481" s="69">
        <v>1</v>
      </c>
      <c r="G481" s="24"/>
      <c r="H481" s="234">
        <f>'Purchased Power'!O42</f>
        <v>0.2812675244099988</v>
      </c>
      <c r="I481" s="234">
        <f>'Purchased Power'!O43</f>
        <v>0.7187324755900012</v>
      </c>
      <c r="J481" s="24"/>
      <c r="K481" s="24">
        <v>0</v>
      </c>
      <c r="L481" s="24"/>
      <c r="M481" s="24">
        <v>0</v>
      </c>
      <c r="N481" s="24"/>
      <c r="O481" s="24">
        <v>0</v>
      </c>
      <c r="P481" s="24">
        <v>0</v>
      </c>
      <c r="Q481" s="71"/>
      <c r="R481" s="24">
        <v>0</v>
      </c>
      <c r="S481" s="24">
        <v>0</v>
      </c>
      <c r="T481" s="24"/>
      <c r="U481" s="24">
        <v>0</v>
      </c>
      <c r="V481" s="24"/>
      <c r="W481" s="24">
        <v>0</v>
      </c>
      <c r="X481" s="24"/>
      <c r="Y481" s="24">
        <v>0</v>
      </c>
      <c r="Z481" s="24"/>
      <c r="AA481" s="24">
        <v>0</v>
      </c>
      <c r="AB481" s="23">
        <f>SUM(H481:AA481)</f>
        <v>1</v>
      </c>
      <c r="AC481" s="12" t="str">
        <f>IF(ABS(AB481-F481)&lt;1,"ok","err")</f>
        <v>ok</v>
      </c>
    </row>
    <row r="482" spans="1:29" x14ac:dyDescent="0.2">
      <c r="F482" s="69"/>
      <c r="AC482" s="12"/>
    </row>
    <row r="483" spans="1:29" x14ac:dyDescent="0.2">
      <c r="A483" s="3" t="s">
        <v>548</v>
      </c>
      <c r="C483" s="3" t="s">
        <v>546</v>
      </c>
      <c r="F483" s="69">
        <v>1</v>
      </c>
      <c r="H483" s="70">
        <v>0</v>
      </c>
      <c r="I483" s="70">
        <v>0</v>
      </c>
      <c r="J483" s="70"/>
      <c r="K483" s="70">
        <v>0</v>
      </c>
      <c r="L483" s="70"/>
      <c r="M483" s="70">
        <v>0</v>
      </c>
      <c r="N483" s="70"/>
      <c r="O483" s="70">
        <v>0</v>
      </c>
      <c r="P483" s="70">
        <v>0</v>
      </c>
      <c r="Q483" s="70"/>
      <c r="R483" s="70">
        <v>0</v>
      </c>
      <c r="S483" s="70">
        <v>0</v>
      </c>
      <c r="T483" s="70"/>
      <c r="U483" s="70">
        <v>0</v>
      </c>
      <c r="V483" s="70"/>
      <c r="W483" s="70">
        <v>1</v>
      </c>
      <c r="X483" s="70"/>
      <c r="Y483" s="70">
        <v>0</v>
      </c>
      <c r="Z483" s="70"/>
      <c r="AA483" s="70">
        <v>0</v>
      </c>
      <c r="AB483" s="70">
        <f>SUM(H483:AA483)</f>
        <v>1</v>
      </c>
      <c r="AC483" s="12" t="str">
        <f>IF(ABS(AB483-F483)&lt;1,"ok","err")</f>
        <v>ok</v>
      </c>
    </row>
    <row r="484" spans="1:29" x14ac:dyDescent="0.2">
      <c r="A484" s="3" t="s">
        <v>549</v>
      </c>
      <c r="C484" s="3" t="s">
        <v>547</v>
      </c>
      <c r="F484" s="69">
        <v>1</v>
      </c>
      <c r="H484" s="70">
        <v>0</v>
      </c>
      <c r="I484" s="70">
        <v>0</v>
      </c>
      <c r="J484" s="70"/>
      <c r="K484" s="70">
        <v>0</v>
      </c>
      <c r="L484" s="70"/>
      <c r="M484" s="70">
        <v>0</v>
      </c>
      <c r="N484" s="70"/>
      <c r="O484" s="70">
        <v>0</v>
      </c>
      <c r="P484" s="70">
        <v>0</v>
      </c>
      <c r="Q484" s="70"/>
      <c r="R484" s="70">
        <v>0</v>
      </c>
      <c r="S484" s="70">
        <v>0</v>
      </c>
      <c r="T484" s="70"/>
      <c r="U484" s="70">
        <v>0</v>
      </c>
      <c r="V484" s="70"/>
      <c r="W484" s="70">
        <v>1</v>
      </c>
      <c r="X484" s="70"/>
      <c r="Y484" s="70">
        <v>0</v>
      </c>
      <c r="Z484" s="70"/>
      <c r="AA484" s="70">
        <v>0</v>
      </c>
      <c r="AB484" s="70">
        <f>SUM(H484:AA484)</f>
        <v>1</v>
      </c>
      <c r="AC484" s="12" t="str">
        <f>IF(ABS(AB484-F484)&lt;1,"ok","err")</f>
        <v>ok</v>
      </c>
    </row>
    <row r="485" spans="1:29" x14ac:dyDescent="0.2">
      <c r="A485" s="3" t="s">
        <v>706</v>
      </c>
      <c r="C485" s="3" t="s">
        <v>551</v>
      </c>
      <c r="F485" s="69">
        <v>1</v>
      </c>
      <c r="G485" s="69"/>
      <c r="H485" s="70">
        <v>0</v>
      </c>
      <c r="I485" s="70">
        <v>0</v>
      </c>
      <c r="J485" s="70"/>
      <c r="K485" s="70">
        <v>0</v>
      </c>
      <c r="L485" s="69"/>
      <c r="M485" s="70">
        <v>0</v>
      </c>
      <c r="N485" s="69"/>
      <c r="O485" s="70">
        <v>0</v>
      </c>
      <c r="P485" s="70">
        <v>1</v>
      </c>
      <c r="Q485" s="210"/>
      <c r="R485" s="69">
        <v>0</v>
      </c>
      <c r="S485" s="69">
        <v>0</v>
      </c>
      <c r="T485" s="69"/>
      <c r="U485" s="69">
        <v>0</v>
      </c>
      <c r="V485" s="69"/>
      <c r="W485" s="69">
        <v>0</v>
      </c>
      <c r="X485" s="69"/>
      <c r="Y485" s="69">
        <v>0</v>
      </c>
      <c r="Z485" s="69"/>
      <c r="AA485" s="69">
        <v>0</v>
      </c>
      <c r="AB485" s="70">
        <f>SUM(H485:AA485)</f>
        <v>1</v>
      </c>
      <c r="AC485" s="12" t="str">
        <f>IF(ABS(AB485-F485)&lt;0.0000001,"ok","err")</f>
        <v>ok</v>
      </c>
    </row>
    <row r="486" spans="1:29" x14ac:dyDescent="0.2">
      <c r="A486" s="3" t="s">
        <v>794</v>
      </c>
      <c r="C486" s="3" t="s">
        <v>552</v>
      </c>
      <c r="F486" s="69">
        <v>1</v>
      </c>
      <c r="G486" s="69"/>
      <c r="H486" s="70">
        <v>1</v>
      </c>
      <c r="I486" s="70">
        <v>0</v>
      </c>
      <c r="J486" s="70"/>
      <c r="K486" s="70">
        <v>0</v>
      </c>
      <c r="L486" s="69"/>
      <c r="M486" s="70">
        <v>0</v>
      </c>
      <c r="N486" s="69"/>
      <c r="O486" s="70">
        <v>0</v>
      </c>
      <c r="P486" s="70">
        <v>0</v>
      </c>
      <c r="Q486" s="210"/>
      <c r="R486" s="69">
        <v>0</v>
      </c>
      <c r="S486" s="69">
        <v>0</v>
      </c>
      <c r="T486" s="69"/>
      <c r="U486" s="69">
        <v>0</v>
      </c>
      <c r="V486" s="69"/>
      <c r="W486" s="69">
        <v>0</v>
      </c>
      <c r="X486" s="69"/>
      <c r="Y486" s="69">
        <v>0</v>
      </c>
      <c r="Z486" s="69"/>
      <c r="AA486" s="69">
        <v>0</v>
      </c>
      <c r="AB486" s="70">
        <f>SUM(H486:AA486)</f>
        <v>1</v>
      </c>
      <c r="AC486" s="12" t="str">
        <f>IF(ABS(AB486-F486)&lt;0.0000001,"ok","err")</f>
        <v>ok</v>
      </c>
    </row>
    <row r="487" spans="1:29" x14ac:dyDescent="0.2">
      <c r="A487" s="3" t="s">
        <v>795</v>
      </c>
      <c r="C487" s="3" t="s">
        <v>758</v>
      </c>
      <c r="F487" s="69">
        <v>1</v>
      </c>
      <c r="G487" s="69"/>
      <c r="H487" s="70">
        <v>0</v>
      </c>
      <c r="I487" s="70">
        <v>1</v>
      </c>
      <c r="J487" s="70"/>
      <c r="K487" s="70">
        <v>0</v>
      </c>
      <c r="L487" s="69"/>
      <c r="M487" s="70">
        <v>0</v>
      </c>
      <c r="N487" s="69"/>
      <c r="O487" s="70">
        <v>0</v>
      </c>
      <c r="P487" s="70">
        <v>0</v>
      </c>
      <c r="Q487" s="210"/>
      <c r="R487" s="69">
        <v>0</v>
      </c>
      <c r="S487" s="69">
        <v>0</v>
      </c>
      <c r="T487" s="69"/>
      <c r="U487" s="69">
        <v>0</v>
      </c>
      <c r="V487" s="69"/>
      <c r="W487" s="69">
        <v>0</v>
      </c>
      <c r="X487" s="69"/>
      <c r="Y487" s="69">
        <v>0</v>
      </c>
      <c r="Z487" s="69"/>
      <c r="AA487" s="69">
        <v>0</v>
      </c>
      <c r="AB487" s="70">
        <f>SUM(H487:AA487)</f>
        <v>1</v>
      </c>
      <c r="AC487" s="12" t="str">
        <f>IF(ABS(AB487-F487)&lt;0.0000001,"ok","err")</f>
        <v>ok</v>
      </c>
    </row>
    <row r="488" spans="1:29" x14ac:dyDescent="0.2">
      <c r="F488" s="69"/>
      <c r="AC488" s="12"/>
    </row>
    <row r="489" spans="1:29" x14ac:dyDescent="0.2">
      <c r="AC489" s="12"/>
    </row>
    <row r="490" spans="1:29" x14ac:dyDescent="0.2"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24"/>
      <c r="AC490" s="12"/>
    </row>
    <row r="491" spans="1:29" x14ac:dyDescent="0.2"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24"/>
      <c r="AC491" s="12"/>
    </row>
    <row r="492" spans="1:29" x14ac:dyDescent="0.2">
      <c r="AC492" s="12"/>
    </row>
    <row r="493" spans="1:29" x14ac:dyDescent="0.2">
      <c r="F493" s="24"/>
      <c r="AC493" s="12"/>
    </row>
    <row r="494" spans="1:29" x14ac:dyDescent="0.2">
      <c r="F494" s="24"/>
      <c r="AC494" s="12"/>
    </row>
    <row r="495" spans="1:29" x14ac:dyDescent="0.2">
      <c r="F495" s="24"/>
      <c r="AC495" s="12"/>
    </row>
    <row r="496" spans="1:29" x14ac:dyDescent="0.2">
      <c r="F496" s="24"/>
      <c r="AC496" s="12"/>
    </row>
    <row r="497" spans="6:29" x14ac:dyDescent="0.2">
      <c r="F497" s="24"/>
      <c r="AC497" s="12"/>
    </row>
    <row r="498" spans="6:29" x14ac:dyDescent="0.2">
      <c r="F498" s="24"/>
      <c r="AC498" s="12"/>
    </row>
    <row r="499" spans="6:29" x14ac:dyDescent="0.2">
      <c r="F499" s="24"/>
      <c r="AC499" s="12"/>
    </row>
    <row r="500" spans="6:29" x14ac:dyDescent="0.2">
      <c r="F500" s="24"/>
      <c r="AC500" s="12"/>
    </row>
    <row r="501" spans="6:29" x14ac:dyDescent="0.2">
      <c r="F501" s="15"/>
      <c r="AC501" s="12"/>
    </row>
    <row r="502" spans="6:29" x14ac:dyDescent="0.2">
      <c r="AC502" s="12"/>
    </row>
    <row r="503" spans="6:29" x14ac:dyDescent="0.2">
      <c r="F503" s="41"/>
      <c r="AC503" s="12"/>
    </row>
    <row r="504" spans="6:29" x14ac:dyDescent="0.2">
      <c r="AC504" s="12"/>
    </row>
    <row r="505" spans="6:29" x14ac:dyDescent="0.2">
      <c r="AC505" s="12"/>
    </row>
    <row r="506" spans="6:29" x14ac:dyDescent="0.2">
      <c r="AC506" s="12"/>
    </row>
  </sheetData>
  <phoneticPr fontId="0" type="noConversion"/>
  <conditionalFormatting sqref="AC1:AC65534">
    <cfRule type="cellIs" dxfId="6" priority="2" operator="equal">
      <formula>"err"</formula>
    </cfRule>
  </conditionalFormatting>
  <conditionalFormatting sqref="AC8:AC491">
    <cfRule type="containsText" dxfId="5" priority="1" operator="containsText" text="err">
      <formula>NOT(ISERROR(SEARCH("err",AC8)))</formula>
    </cfRule>
  </conditionalFormatting>
  <pageMargins left="0.25" right="0.25" top="1.25" bottom="0.5" header="0.5" footer="0.2"/>
  <pageSetup scale="60" fitToWidth="3" pageOrder="overThenDown" orientation="landscape" r:id="rId1"/>
  <headerFooter alignWithMargins="0">
    <oddHeader>&amp;C&amp;"Times New Roman,Bold"BIG SANDY RECC
Cost of Service Study
Functional Assignment and Classification
12 Months Ended December 31, 2023</oddHeader>
    <oddFooter>&amp;RExhibit JW-4
Page &amp;P of &amp;N</oddFooter>
  </headerFooter>
  <rowBreaks count="13" manualBreakCount="13">
    <brk id="36" max="26" man="1"/>
    <brk id="59" max="16383" man="1"/>
    <brk id="94" max="16383" man="1"/>
    <brk id="145" max="16383" man="1"/>
    <brk id="171" max="26" man="1"/>
    <brk id="216" max="16383" man="1"/>
    <brk id="265" max="26" man="1"/>
    <brk id="289" max="16383" man="1"/>
    <brk id="331" max="16383" man="1"/>
    <brk id="358" max="26" man="1"/>
    <brk id="395" max="16383" man="1"/>
    <brk id="442" max="26" man="1"/>
    <brk id="464" max="16383" man="1"/>
  </rowBreaks>
  <colBreaks count="1" manualBreakCount="1">
    <brk id="14" max="497" man="1"/>
  </colBreaks>
  <ignoredErrors>
    <ignoredError sqref="W270 P270 H270:I270 K270 M270 O270 R270:S270 U270 Y270 AA27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667"/>
  <sheetViews>
    <sheetView view="pageBreakPreview" zoomScale="85" zoomScaleNormal="100" zoomScaleSheetLayoutView="85" workbookViewId="0">
      <pane xSplit="2" ySplit="3" topLeftCell="C329" activePane="bottomRight" state="frozen"/>
      <selection activeCell="K26" sqref="K26"/>
      <selection pane="topRight" activeCell="K26" sqref="K26"/>
      <selection pane="bottomLeft" activeCell="K26" sqref="K26"/>
      <selection pane="bottomRight" activeCell="AJ349" sqref="AJ349"/>
    </sheetView>
  </sheetViews>
  <sheetFormatPr defaultColWidth="9.140625" defaultRowHeight="12.75" x14ac:dyDescent="0.2"/>
  <cols>
    <col min="1" max="1" width="7.7109375" style="3" customWidth="1"/>
    <col min="2" max="2" width="45.140625" style="3" customWidth="1"/>
    <col min="3" max="3" width="14" style="3" customWidth="1"/>
    <col min="4" max="5" width="14.5703125" style="3" bestFit="1" customWidth="1"/>
    <col min="6" max="6" width="14.5703125" style="3" customWidth="1"/>
    <col min="7" max="7" width="20" style="3" customWidth="1"/>
    <col min="8" max="8" width="17.7109375" style="3" customWidth="1"/>
    <col min="9" max="9" width="14.85546875" style="3" customWidth="1"/>
    <col min="10" max="10" width="13.28515625" style="3" customWidth="1"/>
    <col min="11" max="11" width="15.28515625" style="3" customWidth="1"/>
    <col min="12" max="12" width="16.28515625" style="3" hidden="1" customWidth="1"/>
    <col min="13" max="13" width="15.42578125" style="3" hidden="1" customWidth="1"/>
    <col min="14" max="14" width="11.42578125" style="3" hidden="1" customWidth="1"/>
    <col min="15" max="15" width="20.7109375" style="3" hidden="1" customWidth="1"/>
    <col min="16" max="16" width="16.140625" style="3" hidden="1" customWidth="1"/>
    <col min="17" max="17" width="15.7109375" style="3" hidden="1" customWidth="1"/>
    <col min="18" max="18" width="20.7109375" style="3" hidden="1" customWidth="1"/>
    <col min="19" max="22" width="14.5703125" style="73" hidden="1" customWidth="1"/>
    <col min="23" max="23" width="13.5703125" style="73" hidden="1" customWidth="1"/>
    <col min="24" max="24" width="12" style="73" hidden="1" customWidth="1"/>
    <col min="25" max="30" width="17.7109375" style="73" hidden="1" customWidth="1"/>
    <col min="31" max="31" width="17.42578125" style="73" hidden="1" customWidth="1"/>
    <col min="32" max="32" width="18" style="73" hidden="1" customWidth="1"/>
    <col min="33" max="33" width="21.7109375" style="3" bestFit="1" customWidth="1"/>
    <col min="34" max="34" width="10.7109375" style="3" customWidth="1"/>
    <col min="35" max="35" width="11.5703125" style="3" bestFit="1" customWidth="1"/>
    <col min="36" max="36" width="11.85546875" style="3" customWidth="1"/>
    <col min="37" max="37" width="17.28515625" style="7" bestFit="1" customWidth="1"/>
    <col min="38" max="38" width="9.28515625" style="3" bestFit="1" customWidth="1"/>
    <col min="39" max="39" width="10.28515625" style="3" bestFit="1" customWidth="1"/>
    <col min="40" max="40" width="9.5703125" style="3" bestFit="1" customWidth="1"/>
    <col min="41" max="41" width="11.28515625" style="3" bestFit="1" customWidth="1"/>
    <col min="42" max="16384" width="9.140625" style="3"/>
  </cols>
  <sheetData>
    <row r="1" spans="1:37" x14ac:dyDescent="0.2">
      <c r="A1" s="55"/>
      <c r="B1" s="55"/>
      <c r="C1" s="55"/>
      <c r="D1" s="55"/>
      <c r="AH1" s="12" t="str">
        <f>IF(COUNTIF(AH4:AH550,"err"),"err","ok")</f>
        <v>ok</v>
      </c>
    </row>
    <row r="2" spans="1:37" s="77" customFormat="1" ht="77.25" customHeight="1" x14ac:dyDescent="0.2">
      <c r="A2" s="74"/>
      <c r="B2" s="74"/>
      <c r="C2" s="58"/>
      <c r="D2" s="75" t="s">
        <v>207</v>
      </c>
      <c r="E2" s="58" t="s">
        <v>0</v>
      </c>
      <c r="F2" s="58" t="str">
        <f>'Summary of Returns'!B10</f>
        <v>A1 - Farm &amp; Home</v>
      </c>
      <c r="G2" s="58" t="str">
        <f>'Summary of Returns'!B11</f>
        <v>A2 - Commercial &amp; Small Power</v>
      </c>
      <c r="H2" s="58" t="str">
        <f>'Summary of Returns'!B12</f>
        <v xml:space="preserve">LP - Large Power </v>
      </c>
      <c r="I2" s="58" t="str">
        <f>'Summary of Returns'!B13</f>
        <v>LPR - Large Power</v>
      </c>
      <c r="J2" s="58" t="str">
        <f>'Summary of Returns'!B14</f>
        <v>IND 1-B - Industrial</v>
      </c>
      <c r="K2" s="58" t="str">
        <f>'Summary of Returns'!B15</f>
        <v>Lighting</v>
      </c>
      <c r="L2" s="58">
        <f>'Summary of Returns'!B16</f>
        <v>0</v>
      </c>
      <c r="M2" s="76" t="s">
        <v>701</v>
      </c>
      <c r="N2" s="76" t="s">
        <v>701</v>
      </c>
      <c r="O2" s="76" t="s">
        <v>701</v>
      </c>
      <c r="P2" s="76" t="s">
        <v>701</v>
      </c>
      <c r="Q2" s="76" t="s">
        <v>701</v>
      </c>
      <c r="R2" s="76" t="s">
        <v>701</v>
      </c>
      <c r="S2" s="76" t="s">
        <v>701</v>
      </c>
      <c r="T2" s="76" t="s">
        <v>701</v>
      </c>
      <c r="U2" s="76" t="s">
        <v>701</v>
      </c>
      <c r="V2" s="76" t="s">
        <v>701</v>
      </c>
      <c r="W2" s="76" t="s">
        <v>701</v>
      </c>
      <c r="X2" s="76" t="s">
        <v>701</v>
      </c>
      <c r="Y2" s="76" t="s">
        <v>701</v>
      </c>
      <c r="Z2" s="76" t="s">
        <v>701</v>
      </c>
      <c r="AA2" s="76" t="s">
        <v>701</v>
      </c>
      <c r="AB2" s="76" t="s">
        <v>701</v>
      </c>
      <c r="AC2" s="76" t="s">
        <v>701</v>
      </c>
      <c r="AD2" s="76" t="s">
        <v>701</v>
      </c>
      <c r="AE2" s="76" t="s">
        <v>701</v>
      </c>
      <c r="AF2" s="76" t="s">
        <v>701</v>
      </c>
      <c r="AG2" s="74"/>
      <c r="AH2" s="74"/>
      <c r="AK2" s="78"/>
    </row>
    <row r="3" spans="1:37" ht="13.5" thickBot="1" x14ac:dyDescent="0.25">
      <c r="A3" s="60" t="s">
        <v>6</v>
      </c>
      <c r="B3" s="60"/>
      <c r="C3" s="61" t="s">
        <v>7</v>
      </c>
      <c r="D3" s="61" t="s">
        <v>8</v>
      </c>
      <c r="E3" s="59" t="s">
        <v>9</v>
      </c>
      <c r="F3" s="59" t="str">
        <f>'Summary of Returns'!C10</f>
        <v>A1</v>
      </c>
      <c r="G3" s="59" t="str">
        <f>'Summary of Returns'!C11</f>
        <v>A2</v>
      </c>
      <c r="H3" s="59" t="str">
        <f>'Summary of Returns'!C12</f>
        <v>LP</v>
      </c>
      <c r="I3" s="59" t="str">
        <f>'Summary of Returns'!C13</f>
        <v>LPR</v>
      </c>
      <c r="J3" s="59" t="str">
        <f>'Summary of Returns'!C14</f>
        <v>IND-1B</v>
      </c>
      <c r="K3" s="59" t="str">
        <f>'Summary of Returns'!C15</f>
        <v>YL</v>
      </c>
      <c r="L3" s="59">
        <f>'Summary of Returns'!C16</f>
        <v>0</v>
      </c>
      <c r="M3" s="59">
        <f>'Summary of Returns'!C17</f>
        <v>0</v>
      </c>
      <c r="N3" s="59">
        <f>'Summary of Returns'!C18</f>
        <v>0</v>
      </c>
      <c r="O3" s="59">
        <f>'Summary of Returns'!C19</f>
        <v>0</v>
      </c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59" t="s">
        <v>13</v>
      </c>
      <c r="AH3" s="59" t="s">
        <v>14</v>
      </c>
    </row>
    <row r="5" spans="1:37" x14ac:dyDescent="0.2">
      <c r="A5" s="10" t="s">
        <v>15</v>
      </c>
    </row>
    <row r="7" spans="1:37" x14ac:dyDescent="0.2">
      <c r="A7" s="2" t="s">
        <v>864</v>
      </c>
    </row>
    <row r="8" spans="1:37" x14ac:dyDescent="0.2">
      <c r="A8" s="68" t="s">
        <v>208</v>
      </c>
      <c r="C8" s="3" t="s">
        <v>209</v>
      </c>
      <c r="D8" s="3" t="s">
        <v>657</v>
      </c>
      <c r="E8" s="19">
        <f>'Func &amp; Classif'!H82</f>
        <v>0</v>
      </c>
      <c r="F8" s="41">
        <f>IF(VLOOKUP($D8,$C$5:$AU$516,3,)=0,0,(VLOOKUP($D8,$C$5:$AU$516,4,)/VLOOKUP($D8,$C$5:$AU$516,3,))*$E8)</f>
        <v>0</v>
      </c>
      <c r="G8" s="41">
        <f>IF(VLOOKUP($D8,$C$5:$AU$516,3,)=0,0,(VLOOKUP($D8,$C$5:$AU$516,5,)/VLOOKUP($D8,$C$5:$AU$516,3,))*$E8)</f>
        <v>0</v>
      </c>
      <c r="H8" s="19">
        <f>IF(VLOOKUP($D8,$C$5:$AU$516,3,)=0,0,(VLOOKUP($D8,$C$5:$AU$516,6,)/VLOOKUP($D8,$C$5:$AU$516,3,))*$E8)</f>
        <v>0</v>
      </c>
      <c r="I8" s="19">
        <f>IF(VLOOKUP($D8,$C$5:$AU$516,3,)=0,0,(VLOOKUP($D8,$C$5:$AU$516,7,)/VLOOKUP($D8,$C$5:$AU$516,3,))*$E8)</f>
        <v>0</v>
      </c>
      <c r="J8" s="19">
        <f>IF(VLOOKUP($D8,$C$5:$AU$516,3,)=0,0,(VLOOKUP($D8,$C$5:$AU$516,8,)/VLOOKUP($D8,$C$5:$AU$516,3,))*$E8)</f>
        <v>0</v>
      </c>
      <c r="K8" s="19">
        <f>IF(VLOOKUP($D8,$C$5:$AU$516,3,)=0,0,(VLOOKUP($D8,$C$5:$AU$516,9,)/VLOOKUP($D8,$C$5:$AU$516,3,))*$E8)</f>
        <v>0</v>
      </c>
      <c r="L8" s="41">
        <f>IF(VLOOKUP($D8,$C$5:$AU$516,3,)=0,0,(VLOOKUP($D8,$C$5:$AU$516,10,)/VLOOKUP($D8,$C$5:$AU$516,3,))*$E8)</f>
        <v>0</v>
      </c>
      <c r="M8" s="19">
        <f>IF(VLOOKUP($D8,$C$5:$AU$516,3,)=0,0,(VLOOKUP($D8,$C$5:$AU$516,11,)/VLOOKUP($D8,$C$5:$AU$516,3,))*$E8)</f>
        <v>0</v>
      </c>
      <c r="N8" s="19">
        <f>IF(VLOOKUP($D8,$C$5:$AU$516,3,)=0,0,(VLOOKUP($D8,$C$5:$AU$516,12,)/VLOOKUP($D8,$C$5:$AU$516,3,))*$E8)</f>
        <v>0</v>
      </c>
      <c r="O8" s="19">
        <f>IF(VLOOKUP($D8,$C$5:$AU$516,3,)=0,0,(VLOOKUP($D8,$C$5:$AU$516,13,)/VLOOKUP($D8,$C$5:$AU$516,3,))*$E8)</f>
        <v>0</v>
      </c>
      <c r="P8" s="19">
        <f>IF(VLOOKUP($D8,$C$5:$AU$516,3,)=0,0,(VLOOKUP($D8,$C$5:$AU$516,14,)/VLOOKUP($D8,$C$5:$AU$516,3,))*$E8)</f>
        <v>0</v>
      </c>
      <c r="Q8" s="19">
        <f>IF(VLOOKUP($D8,$C$5:$AU$516,3,)=0,0,(VLOOKUP($D8,$C$5:$AU$516,15,)/VLOOKUP($D8,$C$5:$AU$516,3,))*$E8)</f>
        <v>0</v>
      </c>
      <c r="R8" s="19">
        <f>IF(VLOOKUP($D8,$C$5:$AU$516,3,)=0,0,(VLOOKUP($D8,$C$5:$AU$516,16,)/VLOOKUP($D8,$C$5:$AU$516,3,))*$E8)</f>
        <v>0</v>
      </c>
      <c r="S8" s="80">
        <f>IF(VLOOKUP($D8,$C$5:$AU$516,3,)=0,0,(VLOOKUP($D8,$C$5:$AU$516,17,)/VLOOKUP($D8,$C$5:$AU$516,3,))*$E8)</f>
        <v>0</v>
      </c>
      <c r="T8" s="80">
        <f>IF(VLOOKUP($D8,$C$5:$AU$516,3,)=0,0,(VLOOKUP($D8,$C$5:$AU$516,18,)/VLOOKUP($D8,$C$5:$AU$516,3,))*$E8)</f>
        <v>0</v>
      </c>
      <c r="U8" s="80">
        <f>IF(VLOOKUP($D8,$C$5:$AU$516,3,)=0,0,(VLOOKUP($D8,$C$5:$AU$516,19,)/VLOOKUP($D8,$C$5:$AU$516,3,))*$E8)</f>
        <v>0</v>
      </c>
      <c r="V8" s="80">
        <f>IF(VLOOKUP($D8,$C$5:$AU$516,3,)=0,0,(VLOOKUP($D8,$C$5:$AU$516,20,)/VLOOKUP($D8,$C$5:$AU$516,3,))*$E8)</f>
        <v>0</v>
      </c>
      <c r="W8" s="80">
        <f>IF(VLOOKUP($D8,$C$5:$AU$516,3,)=0,0,(VLOOKUP($D8,$C$5:$AU$516,21,)/VLOOKUP($D8,$C$5:$AU$516,3,))*$E8)</f>
        <v>0</v>
      </c>
      <c r="X8" s="80">
        <f>IF(VLOOKUP($D8,$C$5:$AU$516,3,)=0,0,(VLOOKUP($D8,$C$5:$AU$516,22,)/VLOOKUP($D8,$C$5:$AU$516,3,))*$E8)</f>
        <v>0</v>
      </c>
      <c r="Y8" s="80">
        <f>IF(VLOOKUP($D8,$C$5:$AU$516,3,)=0,0,(VLOOKUP($D8,$C$5:$AU$516,23,)/VLOOKUP($D8,$C$5:$AU$516,3,))*$E8)</f>
        <v>0</v>
      </c>
      <c r="Z8" s="80">
        <f>IF(VLOOKUP($D8,$C$5:$AU$516,3,)=0,0,(VLOOKUP($D8,$C$5:$AU$516,24,)/VLOOKUP($D8,$C$5:$AU$516,3,))*$E8)</f>
        <v>0</v>
      </c>
      <c r="AA8" s="80">
        <f>IF(VLOOKUP($D8,$C$5:$AU$516,3,)=0,0,(VLOOKUP($D8,$C$5:$AU$516,25,)/VLOOKUP($D8,$C$5:$AU$516,3,))*$E8)</f>
        <v>0</v>
      </c>
      <c r="AB8" s="80">
        <f>IF(VLOOKUP($D8,$C$5:$AU$516,3,)=0,0,(VLOOKUP($D8,$C$5:$AU$516,26,)/VLOOKUP($D8,$C$5:$AU$516,3,))*$E8)</f>
        <v>0</v>
      </c>
      <c r="AC8" s="80">
        <f>IF(VLOOKUP($D8,$C$5:$AU$516,3,)=0,0,(VLOOKUP($D8,$C$5:$AU$516,27,)/VLOOKUP($D8,$C$5:$AU$516,3,))*$E8)</f>
        <v>0</v>
      </c>
      <c r="AD8" s="80">
        <f>IF(VLOOKUP($D8,$C$5:$AU$516,3,)=0,0,(VLOOKUP($D8,$C$5:$AU$516,28,)/VLOOKUP($D8,$C$5:$AU$516,3,))*$E8)</f>
        <v>0</v>
      </c>
      <c r="AE8" s="80">
        <f>IF(VLOOKUP($D8,$C$5:$AU$516,3,)=0,0,(VLOOKUP($D8,$C$5:$AU$516,29,)/VLOOKUP($D8,$C$5:$AU$516,3,))*$E8)</f>
        <v>0</v>
      </c>
      <c r="AF8" s="80">
        <f>IF(VLOOKUP($D8,$C$5:$AU$516,3,)=0,0,(VLOOKUP($D8,$C$5:$AU$516,30,)/VLOOKUP($D8,$C$5:$AU$516,3,))*$E8)</f>
        <v>0</v>
      </c>
      <c r="AG8" s="65">
        <f>SUM(F8:AF8)</f>
        <v>0</v>
      </c>
      <c r="AH8" s="12" t="str">
        <f>IF(ABS(E8-AG8)&lt;0.01,"ok","err")</f>
        <v>ok</v>
      </c>
    </row>
    <row r="9" spans="1:37" x14ac:dyDescent="0.2">
      <c r="A9" s="68" t="s">
        <v>211</v>
      </c>
      <c r="C9" s="3" t="s">
        <v>212</v>
      </c>
      <c r="D9" s="3" t="s">
        <v>666</v>
      </c>
      <c r="E9" s="7">
        <f>'Func &amp; Classif'!I82</f>
        <v>0</v>
      </c>
      <c r="F9" s="41">
        <f>IF(VLOOKUP($D9,$C$5:$AU$516,3,)=0,0,(VLOOKUP($D9,$C$5:$AU$516,4,)/VLOOKUP($D9,$C$5:$AU$516,3,))*$E9)</f>
        <v>0</v>
      </c>
      <c r="G9" s="41">
        <f>IF(VLOOKUP($D9,$C$5:$AU$516,3,)=0,0,(VLOOKUP($D9,$C$5:$AU$516,5,)/VLOOKUP($D9,$C$5:$AU$516,3,))*$E9)</f>
        <v>0</v>
      </c>
      <c r="H9" s="19">
        <f>IF(VLOOKUP($D9,$C$5:$AU$516,3,)=0,0,(VLOOKUP($D9,$C$5:$AU$516,6,)/VLOOKUP($D9,$C$5:$AU$516,3,))*$E9)</f>
        <v>0</v>
      </c>
      <c r="I9" s="19">
        <f>IF(VLOOKUP($D9,$C$5:$AU$516,3,)=0,0,(VLOOKUP($D9,$C$5:$AU$516,7,)/VLOOKUP($D9,$C$5:$AU$516,3,))*$E9)</f>
        <v>0</v>
      </c>
      <c r="J9" s="19">
        <f>IF(VLOOKUP($D9,$C$5:$AU$516,3,)=0,0,(VLOOKUP($D9,$C$5:$AU$516,8,)/VLOOKUP($D9,$C$5:$AU$516,3,))*$E9)</f>
        <v>0</v>
      </c>
      <c r="K9" s="19">
        <f>IF(VLOOKUP($D9,$C$5:$AU$516,3,)=0,0,(VLOOKUP($D9,$C$5:$AU$516,9,)/VLOOKUP($D9,$C$5:$AU$516,3,))*$E9)</f>
        <v>0</v>
      </c>
      <c r="L9" s="41">
        <f>IF(VLOOKUP($D9,$C$5:$AU$516,3,)=0,0,(VLOOKUP($D9,$C$5:$AU$516,10,)/VLOOKUP($D9,$C$5:$AU$516,3,))*$E9)</f>
        <v>0</v>
      </c>
      <c r="M9" s="19">
        <f>IF(VLOOKUP($D9,$C$5:$AU$516,3,)=0,0,(VLOOKUP($D9,$C$5:$AU$516,11,)/VLOOKUP($D9,$C$5:$AU$516,3,))*$E9)</f>
        <v>0</v>
      </c>
      <c r="N9" s="19">
        <f>IF(VLOOKUP($D9,$C$5:$AU$516,3,)=0,0,(VLOOKUP($D9,$C$5:$AU$516,12,)/VLOOKUP($D9,$C$5:$AU$516,3,))*$E9)</f>
        <v>0</v>
      </c>
      <c r="O9" s="19">
        <f>IF(VLOOKUP($D9,$C$5:$AU$516,3,)=0,0,(VLOOKUP($D9,$C$5:$AU$516,13,)/VLOOKUP($D9,$C$5:$AU$516,3,))*$E9)</f>
        <v>0</v>
      </c>
      <c r="P9" s="19">
        <f>IF(VLOOKUP($D9,$C$5:$AU$516,3,)=0,0,(VLOOKUP($D9,$C$5:$AU$516,14,)/VLOOKUP($D9,$C$5:$AU$516,3,))*$E9)</f>
        <v>0</v>
      </c>
      <c r="Q9" s="19">
        <f>IF(VLOOKUP($D9,$C$5:$AU$516,3,)=0,0,(VLOOKUP($D9,$C$5:$AU$516,15,)/VLOOKUP($D9,$C$5:$AU$516,3,))*$E9)</f>
        <v>0</v>
      </c>
      <c r="R9" s="19">
        <f>IF(VLOOKUP($D9,$C$5:$AU$516,3,)=0,0,(VLOOKUP($D9,$C$5:$AU$516,16,)/VLOOKUP($D9,$C$5:$AU$516,3,))*$E9)</f>
        <v>0</v>
      </c>
      <c r="S9" s="80">
        <f>IF(VLOOKUP($D9,$C$5:$AU$516,3,)=0,0,(VLOOKUP($D9,$C$5:$AU$516,17,)/VLOOKUP($D9,$C$5:$AU$516,3,))*$E9)</f>
        <v>0</v>
      </c>
      <c r="T9" s="80">
        <f>IF(VLOOKUP($D9,$C$5:$AU$516,3,)=0,0,(VLOOKUP($D9,$C$5:$AU$516,18,)/VLOOKUP($D9,$C$5:$AU$516,3,))*$E9)</f>
        <v>0</v>
      </c>
      <c r="U9" s="80">
        <f>IF(VLOOKUP($D9,$C$5:$AU$516,3,)=0,0,(VLOOKUP($D9,$C$5:$AU$516,19,)/VLOOKUP($D9,$C$5:$AU$516,3,))*$E9)</f>
        <v>0</v>
      </c>
      <c r="V9" s="80">
        <f>IF(VLOOKUP($D9,$C$5:$AU$516,3,)=0,0,(VLOOKUP($D9,$C$5:$AU$516,20,)/VLOOKUP($D9,$C$5:$AU$516,3,))*$E9)</f>
        <v>0</v>
      </c>
      <c r="W9" s="80">
        <f>IF(VLOOKUP($D9,$C$5:$AU$516,3,)=0,0,(VLOOKUP($D9,$C$5:$AU$516,21,)/VLOOKUP($D9,$C$5:$AU$516,3,))*$E9)</f>
        <v>0</v>
      </c>
      <c r="X9" s="80">
        <f>IF(VLOOKUP($D9,$C$5:$AU$516,3,)=0,0,(VLOOKUP($D9,$C$5:$AU$516,22,)/VLOOKUP($D9,$C$5:$AU$516,3,))*$E9)</f>
        <v>0</v>
      </c>
      <c r="Y9" s="80">
        <f>IF(VLOOKUP($D9,$C$5:$AU$516,3,)=0,0,(VLOOKUP($D9,$C$5:$AU$516,23,)/VLOOKUP($D9,$C$5:$AU$516,3,))*$E9)</f>
        <v>0</v>
      </c>
      <c r="Z9" s="80">
        <f>IF(VLOOKUP($D9,$C$5:$AU$516,3,)=0,0,(VLOOKUP($D9,$C$5:$AU$516,24,)/VLOOKUP($D9,$C$5:$AU$516,3,))*$E9)</f>
        <v>0</v>
      </c>
      <c r="AA9" s="80">
        <f>IF(VLOOKUP($D9,$C$5:$AU$516,3,)=0,0,(VLOOKUP($D9,$C$5:$AU$516,25,)/VLOOKUP($D9,$C$5:$AU$516,3,))*$E9)</f>
        <v>0</v>
      </c>
      <c r="AB9" s="80">
        <f>IF(VLOOKUP($D9,$C$5:$AU$516,3,)=0,0,(VLOOKUP($D9,$C$5:$AU$516,26,)/VLOOKUP($D9,$C$5:$AU$516,3,))*$E9)</f>
        <v>0</v>
      </c>
      <c r="AC9" s="80">
        <f>IF(VLOOKUP($D9,$C$5:$AU$516,3,)=0,0,(VLOOKUP($D9,$C$5:$AU$516,27,)/VLOOKUP($D9,$C$5:$AU$516,3,))*$E9)</f>
        <v>0</v>
      </c>
      <c r="AD9" s="80">
        <f>IF(VLOOKUP($D9,$C$5:$AU$516,3,)=0,0,(VLOOKUP($D9,$C$5:$AU$516,28,)/VLOOKUP($D9,$C$5:$AU$516,3,))*$E9)</f>
        <v>0</v>
      </c>
      <c r="AE9" s="80">
        <f>IF(VLOOKUP($D9,$C$5:$AU$516,3,)=0,0,(VLOOKUP($D9,$C$5:$AU$516,29,)/VLOOKUP($D9,$C$5:$AU$516,3,))*$E9)</f>
        <v>0</v>
      </c>
      <c r="AF9" s="80">
        <f>IF(VLOOKUP($D9,$C$5:$AU$516,3,)=0,0,(VLOOKUP($D9,$C$5:$AU$516,30,)/VLOOKUP($D9,$C$5:$AU$516,3,))*$E9)</f>
        <v>0</v>
      </c>
      <c r="AG9" s="65">
        <f>SUM(F9:AF9)</f>
        <v>0</v>
      </c>
      <c r="AH9" s="12" t="str">
        <f>IF(ABS(E9-AG9)&lt;0.01,"ok","err")</f>
        <v>ok</v>
      </c>
    </row>
    <row r="10" spans="1:37" x14ac:dyDescent="0.2">
      <c r="A10" s="3" t="s">
        <v>214</v>
      </c>
      <c r="C10" s="3" t="s">
        <v>215</v>
      </c>
      <c r="E10" s="19">
        <f t="shared" ref="E10:T10" si="0">E8+E9</f>
        <v>0</v>
      </c>
      <c r="F10" s="41">
        <f t="shared" si="0"/>
        <v>0</v>
      </c>
      <c r="G10" s="41">
        <f t="shared" si="0"/>
        <v>0</v>
      </c>
      <c r="H10" s="19">
        <f t="shared" si="0"/>
        <v>0</v>
      </c>
      <c r="I10" s="19">
        <f t="shared" si="0"/>
        <v>0</v>
      </c>
      <c r="J10" s="19">
        <f t="shared" si="0"/>
        <v>0</v>
      </c>
      <c r="K10" s="19">
        <f t="shared" si="0"/>
        <v>0</v>
      </c>
      <c r="L10" s="41">
        <f t="shared" si="0"/>
        <v>0</v>
      </c>
      <c r="M10" s="19">
        <f t="shared" si="0"/>
        <v>0</v>
      </c>
      <c r="N10" s="19">
        <f t="shared" si="0"/>
        <v>0</v>
      </c>
      <c r="O10" s="19">
        <f t="shared" si="0"/>
        <v>0</v>
      </c>
      <c r="P10" s="19">
        <f t="shared" si="0"/>
        <v>0</v>
      </c>
      <c r="Q10" s="19">
        <f t="shared" si="0"/>
        <v>0</v>
      </c>
      <c r="R10" s="19">
        <f t="shared" si="0"/>
        <v>0</v>
      </c>
      <c r="S10" s="80">
        <f t="shared" si="0"/>
        <v>0</v>
      </c>
      <c r="T10" s="80">
        <f t="shared" si="0"/>
        <v>0</v>
      </c>
      <c r="U10" s="80">
        <f t="shared" ref="U10:AF10" si="1">U8+U9</f>
        <v>0</v>
      </c>
      <c r="V10" s="80">
        <f t="shared" si="1"/>
        <v>0</v>
      </c>
      <c r="W10" s="80">
        <f t="shared" si="1"/>
        <v>0</v>
      </c>
      <c r="X10" s="80">
        <f t="shared" si="1"/>
        <v>0</v>
      </c>
      <c r="Y10" s="80">
        <f t="shared" si="1"/>
        <v>0</v>
      </c>
      <c r="Z10" s="80">
        <f t="shared" si="1"/>
        <v>0</v>
      </c>
      <c r="AA10" s="80">
        <f t="shared" si="1"/>
        <v>0</v>
      </c>
      <c r="AB10" s="80">
        <f t="shared" si="1"/>
        <v>0</v>
      </c>
      <c r="AC10" s="80">
        <f t="shared" si="1"/>
        <v>0</v>
      </c>
      <c r="AD10" s="80">
        <f t="shared" si="1"/>
        <v>0</v>
      </c>
      <c r="AE10" s="80">
        <f t="shared" si="1"/>
        <v>0</v>
      </c>
      <c r="AF10" s="80">
        <f t="shared" si="1"/>
        <v>0</v>
      </c>
      <c r="AG10" s="65">
        <f>SUM(F10:AF10)</f>
        <v>0</v>
      </c>
      <c r="AH10" s="12" t="str">
        <f>IF(ABS(E10-AG10)&lt;0.01,"ok","err")</f>
        <v>ok</v>
      </c>
    </row>
    <row r="11" spans="1:37" x14ac:dyDescent="0.2">
      <c r="E11" s="7"/>
      <c r="F11" s="24"/>
    </row>
    <row r="12" spans="1:37" x14ac:dyDescent="0.2">
      <c r="A12" s="2" t="s">
        <v>349</v>
      </c>
      <c r="E12" s="7"/>
      <c r="F12" s="24"/>
    </row>
    <row r="13" spans="1:37" x14ac:dyDescent="0.2">
      <c r="A13" s="68" t="s">
        <v>208</v>
      </c>
      <c r="C13" s="3" t="s">
        <v>854</v>
      </c>
      <c r="D13" s="3" t="s">
        <v>600</v>
      </c>
      <c r="E13" s="19">
        <f>'Func &amp; Classif'!K82</f>
        <v>0</v>
      </c>
      <c r="F13" s="41">
        <f>IF(VLOOKUP($D13,$C$5:$AU$516,3,)=0,0,(VLOOKUP($D13,$C$5:$AU$516,4,)/VLOOKUP($D13,$C$5:$AU$516,3,))*$E13)</f>
        <v>0</v>
      </c>
      <c r="G13" s="41">
        <f>IF(VLOOKUP($D13,$C$5:$AU$516,3,)=0,0,(VLOOKUP($D13,$C$5:$AU$516,5,)/VLOOKUP($D13,$C$5:$AU$516,3,))*$E13)</f>
        <v>0</v>
      </c>
      <c r="H13" s="19">
        <f>IF(VLOOKUP($D13,$C$5:$AU$516,3,)=0,0,(VLOOKUP($D13,$C$5:$AU$516,6,)/VLOOKUP($D13,$C$5:$AU$516,3,))*$E13)</f>
        <v>0</v>
      </c>
      <c r="I13" s="19">
        <f>IF(VLOOKUP($D13,$C$5:$AU$516,3,)=0,0,(VLOOKUP($D13,$C$5:$AU$516,7,)/VLOOKUP($D13,$C$5:$AU$516,3,))*$E13)</f>
        <v>0</v>
      </c>
      <c r="J13" s="19">
        <f>IF(VLOOKUP($D13,$C$5:$AU$516,3,)=0,0,(VLOOKUP($D13,$C$5:$AU$516,8,)/VLOOKUP($D13,$C$5:$AU$516,3,))*$E13)</f>
        <v>0</v>
      </c>
      <c r="K13" s="19">
        <f>IF(VLOOKUP($D13,$C$5:$AU$516,3,)=0,0,(VLOOKUP($D13,$C$5:$AU$516,9,)/VLOOKUP($D13,$C$5:$AU$516,3,))*$E13)</f>
        <v>0</v>
      </c>
      <c r="L13" s="41">
        <f>IF(VLOOKUP($D13,$C$5:$AU$516,3,)=0,0,(VLOOKUP($D13,$C$5:$AU$516,10,)/VLOOKUP($D13,$C$5:$AU$516,3,))*$E13)</f>
        <v>0</v>
      </c>
      <c r="M13" s="19">
        <f>IF(VLOOKUP($D13,$C$5:$AU$516,3,)=0,0,(VLOOKUP($D13,$C$5:$AU$516,11,)/VLOOKUP($D13,$C$5:$AU$516,3,))*$E13)</f>
        <v>0</v>
      </c>
      <c r="N13" s="19">
        <f>IF(VLOOKUP($D13,$C$5:$AU$516,3,)=0,0,(VLOOKUP($D13,$C$5:$AU$516,12,)/VLOOKUP($D13,$C$5:$AU$516,3,))*$E13)</f>
        <v>0</v>
      </c>
      <c r="O13" s="19">
        <f>IF(VLOOKUP($D13,$C$5:$AU$516,3,)=0,0,(VLOOKUP($D13,$C$5:$AU$516,13,)/VLOOKUP($D13,$C$5:$AU$516,3,))*$E13)</f>
        <v>0</v>
      </c>
      <c r="P13" s="19">
        <f>IF(VLOOKUP($D13,$C$5:$AU$516,3,)=0,0,(VLOOKUP($D13,$C$5:$AU$516,14,)/VLOOKUP($D13,$C$5:$AU$516,3,))*$E13)</f>
        <v>0</v>
      </c>
      <c r="Q13" s="19">
        <f>IF(VLOOKUP($D13,$C$5:$AU$516,3,)=0,0,(VLOOKUP($D13,$C$5:$AU$516,15,)/VLOOKUP($D13,$C$5:$AU$516,3,))*$E13)</f>
        <v>0</v>
      </c>
      <c r="R13" s="19">
        <f>IF(VLOOKUP($D13,$C$5:$AU$516,3,)=0,0,(VLOOKUP($D13,$C$5:$AU$516,16,)/VLOOKUP($D13,$C$5:$AU$516,3,))*$E13)</f>
        <v>0</v>
      </c>
      <c r="S13" s="80">
        <f>IF(VLOOKUP($D13,$C$5:$AU$516,3,)=0,0,(VLOOKUP($D13,$C$5:$AU$516,17,)/VLOOKUP($D13,$C$5:$AU$516,3,))*$E13)</f>
        <v>0</v>
      </c>
      <c r="T13" s="80">
        <f>IF(VLOOKUP($D13,$C$5:$AU$516,3,)=0,0,(VLOOKUP($D13,$C$5:$AU$516,18,)/VLOOKUP($D13,$C$5:$AU$516,3,))*$E13)</f>
        <v>0</v>
      </c>
      <c r="U13" s="80">
        <f>IF(VLOOKUP($D13,$C$5:$AU$516,3,)=0,0,(VLOOKUP($D13,$C$5:$AU$516,19,)/VLOOKUP($D13,$C$5:$AU$516,3,))*$E13)</f>
        <v>0</v>
      </c>
      <c r="V13" s="80">
        <f>IF(VLOOKUP($D13,$C$5:$AU$516,3,)=0,0,(VLOOKUP($D13,$C$5:$AU$516,20,)/VLOOKUP($D13,$C$5:$AU$516,3,))*$E13)</f>
        <v>0</v>
      </c>
      <c r="W13" s="80">
        <f>IF(VLOOKUP($D13,$C$5:$AU$516,3,)=0,0,(VLOOKUP($D13,$C$5:$AU$516,21,)/VLOOKUP($D13,$C$5:$AU$516,3,))*$E13)</f>
        <v>0</v>
      </c>
      <c r="X13" s="80">
        <f>IF(VLOOKUP($D13,$C$5:$AU$516,3,)=0,0,(VLOOKUP($D13,$C$5:$AU$516,22,)/VLOOKUP($D13,$C$5:$AU$516,3,))*$E13)</f>
        <v>0</v>
      </c>
      <c r="Y13" s="80">
        <f>IF(VLOOKUP($D13,$C$5:$AU$516,3,)=0,0,(VLOOKUP($D13,$C$5:$AU$516,23,)/VLOOKUP($D13,$C$5:$AU$516,3,))*$E13)</f>
        <v>0</v>
      </c>
      <c r="Z13" s="80">
        <f>IF(VLOOKUP($D13,$C$5:$AU$516,3,)=0,0,(VLOOKUP($D13,$C$5:$AU$516,24,)/VLOOKUP($D13,$C$5:$AU$516,3,))*$E13)</f>
        <v>0</v>
      </c>
      <c r="AA13" s="80">
        <f>IF(VLOOKUP($D13,$C$5:$AU$516,3,)=0,0,(VLOOKUP($D13,$C$5:$AU$516,25,)/VLOOKUP($D13,$C$5:$AU$516,3,))*$E13)</f>
        <v>0</v>
      </c>
      <c r="AB13" s="80">
        <f>IF(VLOOKUP($D13,$C$5:$AU$516,3,)=0,0,(VLOOKUP($D13,$C$5:$AU$516,26,)/VLOOKUP($D13,$C$5:$AU$516,3,))*$E13)</f>
        <v>0</v>
      </c>
      <c r="AC13" s="80">
        <f>IF(VLOOKUP($D13,$C$5:$AU$516,3,)=0,0,(VLOOKUP($D13,$C$5:$AU$516,27,)/VLOOKUP($D13,$C$5:$AU$516,3,))*$E13)</f>
        <v>0</v>
      </c>
      <c r="AD13" s="80">
        <f>IF(VLOOKUP($D13,$C$5:$AU$516,3,)=0,0,(VLOOKUP($D13,$C$5:$AU$516,28,)/VLOOKUP($D13,$C$5:$AU$516,3,))*$E13)</f>
        <v>0</v>
      </c>
      <c r="AE13" s="80">
        <f>IF(VLOOKUP($D13,$C$5:$AU$516,3,)=0,0,(VLOOKUP($D13,$C$5:$AU$516,29,)/VLOOKUP($D13,$C$5:$AU$516,3,))*$E13)</f>
        <v>0</v>
      </c>
      <c r="AF13" s="80">
        <f>IF(VLOOKUP($D13,$C$5:$AU$516,3,)=0,0,(VLOOKUP($D13,$C$5:$AU$516,30,)/VLOOKUP($D13,$C$5:$AU$516,3,))*$E13)</f>
        <v>0</v>
      </c>
      <c r="AG13" s="65">
        <f>SUM(F13:AF13)</f>
        <v>0</v>
      </c>
      <c r="AH13" s="12" t="str">
        <f>IF(ABS(E13-AG13)&lt;0.01,"ok","err")</f>
        <v>ok</v>
      </c>
    </row>
    <row r="14" spans="1:37" x14ac:dyDescent="0.2">
      <c r="E14" s="7"/>
    </row>
    <row r="15" spans="1:37" x14ac:dyDescent="0.2">
      <c r="A15" s="2" t="s">
        <v>1</v>
      </c>
      <c r="E15" s="7"/>
      <c r="F15" s="24"/>
    </row>
    <row r="16" spans="1:37" x14ac:dyDescent="0.2">
      <c r="A16" s="68" t="s">
        <v>208</v>
      </c>
      <c r="C16" s="3" t="s">
        <v>216</v>
      </c>
      <c r="D16" s="3" t="s">
        <v>616</v>
      </c>
      <c r="E16" s="19">
        <f>'Func &amp; Classif'!M82</f>
        <v>549556.60838481085</v>
      </c>
      <c r="F16" s="41">
        <f>IF(VLOOKUP($D16,$C$5:$AU$516,3,)=0,0,(VLOOKUP($D16,$C$5:$AU$516,4,)/VLOOKUP($D16,$C$5:$AU$516,3,))*$E16)</f>
        <v>436790.83158272336</v>
      </c>
      <c r="G16" s="41">
        <f>IF(VLOOKUP($D16,$C$5:$AU$516,3,)=0,0,(VLOOKUP($D16,$C$5:$AU$516,5,)/VLOOKUP($D16,$C$5:$AU$516,3,))*$E16)</f>
        <v>28159.70749259647</v>
      </c>
      <c r="H16" s="19">
        <f>IF(VLOOKUP($D16,$C$5:$AU$516,3,)=0,0,(VLOOKUP($D16,$C$5:$AU$516,6,)/VLOOKUP($D16,$C$5:$AU$516,3,))*$E16)</f>
        <v>57489.890762784744</v>
      </c>
      <c r="I16" s="19">
        <f>IF(VLOOKUP($D16,$C$5:$AU$516,3,)=0,0,(VLOOKUP($D16,$C$5:$AU$516,7,)/VLOOKUP($D16,$C$5:$AU$516,3,))*$E16)</f>
        <v>9163.2577936883463</v>
      </c>
      <c r="J16" s="19">
        <f>IF(VLOOKUP($D16,$C$5:$AU$516,3,)=0,0,(VLOOKUP($D16,$C$5:$AU$516,8,)/VLOOKUP($D16,$C$5:$AU$516,3,))*$E16)</f>
        <v>12291.406525992925</v>
      </c>
      <c r="K16" s="19">
        <f>IF(VLOOKUP($D16,$C$5:$AU$516,3,)=0,0,(VLOOKUP($D16,$C$5:$AU$516,9,)/VLOOKUP($D16,$C$5:$AU$516,3,))*$E16)</f>
        <v>5661.5142270249507</v>
      </c>
      <c r="L16" s="41">
        <f>IF(VLOOKUP($D16,$C$5:$AU$516,3,)=0,0,(VLOOKUP($D16,$C$5:$AU$516,10,)/VLOOKUP($D16,$C$5:$AU$516,3,))*$E16)</f>
        <v>0</v>
      </c>
      <c r="M16" s="19">
        <f>IF(VLOOKUP($D16,$C$5:$AU$516,3,)=0,0,(VLOOKUP($D16,$C$5:$AU$516,11,)/VLOOKUP($D16,$C$5:$AU$516,3,))*$E16)</f>
        <v>0</v>
      </c>
      <c r="N16" s="19">
        <f>IF(VLOOKUP($D16,$C$5:$AU$516,3,)=0,0,(VLOOKUP($D16,$C$5:$AU$516,12,)/VLOOKUP($D16,$C$5:$AU$516,3,))*$E16)</f>
        <v>0</v>
      </c>
      <c r="O16" s="19">
        <f>IF(VLOOKUP($D16,$C$5:$AU$516,3,)=0,0,(VLOOKUP($D16,$C$5:$AU$516,13,)/VLOOKUP($D16,$C$5:$AU$516,3,))*$E16)</f>
        <v>0</v>
      </c>
      <c r="P16" s="19">
        <f>IF(VLOOKUP($D16,$C$5:$AU$516,3,)=0,0,(VLOOKUP($D16,$C$5:$AU$516,14,)/VLOOKUP($D16,$C$5:$AU$516,3,))*$E16)</f>
        <v>0</v>
      </c>
      <c r="Q16" s="19">
        <f>IF(VLOOKUP($D16,$C$5:$AU$516,3,)=0,0,(VLOOKUP($D16,$C$5:$AU$516,15,)/VLOOKUP($D16,$C$5:$AU$516,3,))*$E16)</f>
        <v>0</v>
      </c>
      <c r="R16" s="19">
        <f>IF(VLOOKUP($D16,$C$5:$AU$516,3,)=0,0,(VLOOKUP($D16,$C$5:$AU$516,16,)/VLOOKUP($D16,$C$5:$AU$516,3,))*$E16)</f>
        <v>0</v>
      </c>
      <c r="S16" s="80">
        <f>IF(VLOOKUP($D16,$C$5:$AU$516,3,)=0,0,(VLOOKUP($D16,$C$5:$AU$516,17,)/VLOOKUP($D16,$C$5:$AU$516,3,))*$E16)</f>
        <v>0</v>
      </c>
      <c r="T16" s="80">
        <f>IF(VLOOKUP($D16,$C$5:$AU$516,3,)=0,0,(VLOOKUP($D16,$C$5:$AU$516,18,)/VLOOKUP($D16,$C$5:$AU$516,3,))*$E16)</f>
        <v>0</v>
      </c>
      <c r="U16" s="80">
        <f>IF(VLOOKUP($D16,$C$5:$AU$516,3,)=0,0,(VLOOKUP($D16,$C$5:$AU$516,19,)/VLOOKUP($D16,$C$5:$AU$516,3,))*$E16)</f>
        <v>0</v>
      </c>
      <c r="V16" s="80">
        <f>IF(VLOOKUP($D16,$C$5:$AU$516,3,)=0,0,(VLOOKUP($D16,$C$5:$AU$516,20,)/VLOOKUP($D16,$C$5:$AU$516,3,))*$E16)</f>
        <v>0</v>
      </c>
      <c r="W16" s="80">
        <f>IF(VLOOKUP($D16,$C$5:$AU$516,3,)=0,0,(VLOOKUP($D16,$C$5:$AU$516,21,)/VLOOKUP($D16,$C$5:$AU$516,3,))*$E16)</f>
        <v>0</v>
      </c>
      <c r="X16" s="80">
        <f>IF(VLOOKUP($D16,$C$5:$AU$516,3,)=0,0,(VLOOKUP($D16,$C$5:$AU$516,22,)/VLOOKUP($D16,$C$5:$AU$516,3,))*$E16)</f>
        <v>0</v>
      </c>
      <c r="Y16" s="80">
        <f>IF(VLOOKUP($D16,$C$5:$AU$516,3,)=0,0,(VLOOKUP($D16,$C$5:$AU$516,23,)/VLOOKUP($D16,$C$5:$AU$516,3,))*$E16)</f>
        <v>0</v>
      </c>
      <c r="Z16" s="80">
        <f>IF(VLOOKUP($D16,$C$5:$AU$516,3,)=0,0,(VLOOKUP($D16,$C$5:$AU$516,24,)/VLOOKUP($D16,$C$5:$AU$516,3,))*$E16)</f>
        <v>0</v>
      </c>
      <c r="AA16" s="80">
        <f>IF(VLOOKUP($D16,$C$5:$AU$516,3,)=0,0,(VLOOKUP($D16,$C$5:$AU$516,25,)/VLOOKUP($D16,$C$5:$AU$516,3,))*$E16)</f>
        <v>0</v>
      </c>
      <c r="AB16" s="80">
        <f>IF(VLOOKUP($D16,$C$5:$AU$516,3,)=0,0,(VLOOKUP($D16,$C$5:$AU$516,26,)/VLOOKUP($D16,$C$5:$AU$516,3,))*$E16)</f>
        <v>0</v>
      </c>
      <c r="AC16" s="80">
        <f>IF(VLOOKUP($D16,$C$5:$AU$516,3,)=0,0,(VLOOKUP($D16,$C$5:$AU$516,27,)/VLOOKUP($D16,$C$5:$AU$516,3,))*$E16)</f>
        <v>0</v>
      </c>
      <c r="AD16" s="80">
        <f>IF(VLOOKUP($D16,$C$5:$AU$516,3,)=0,0,(VLOOKUP($D16,$C$5:$AU$516,28,)/VLOOKUP($D16,$C$5:$AU$516,3,))*$E16)</f>
        <v>0</v>
      </c>
      <c r="AE16" s="80">
        <f>IF(VLOOKUP($D16,$C$5:$AU$516,3,)=0,0,(VLOOKUP($D16,$C$5:$AU$516,29,)/VLOOKUP($D16,$C$5:$AU$516,3,))*$E16)</f>
        <v>0</v>
      </c>
      <c r="AF16" s="80">
        <f>IF(VLOOKUP($D16,$C$5:$AU$516,3,)=0,0,(VLOOKUP($D16,$C$5:$AU$516,30,)/VLOOKUP($D16,$C$5:$AU$516,3,))*$E16)</f>
        <v>0</v>
      </c>
      <c r="AG16" s="65">
        <f>SUM(F16:AF16)</f>
        <v>549556.60838481085</v>
      </c>
      <c r="AH16" s="12" t="str">
        <f>IF(ABS(E16-AG16)&lt;0.01,"ok","err")</f>
        <v>ok</v>
      </c>
    </row>
    <row r="17" spans="1:35" x14ac:dyDescent="0.2">
      <c r="E17" s="7"/>
    </row>
    <row r="18" spans="1:35" x14ac:dyDescent="0.2">
      <c r="A18" s="2" t="s">
        <v>356</v>
      </c>
      <c r="E18" s="7"/>
    </row>
    <row r="19" spans="1:35" x14ac:dyDescent="0.2">
      <c r="A19" s="68" t="s">
        <v>208</v>
      </c>
      <c r="C19" s="3" t="s">
        <v>218</v>
      </c>
      <c r="D19" s="3" t="s">
        <v>608</v>
      </c>
      <c r="E19" s="19">
        <f>'Func &amp; Classif'!O82</f>
        <v>28106604.79102426</v>
      </c>
      <c r="F19" s="41">
        <f>IF(VLOOKUP($D19,$C$5:$AU$516,3,)=0,0,(VLOOKUP($D19,$C$5:$AU$516,4,)/VLOOKUP($D19,$C$5:$AU$516,3,))*$E19)</f>
        <v>20162272.493467759</v>
      </c>
      <c r="G19" s="41">
        <f>IF(VLOOKUP($D19,$C$5:$AU$516,3,)=0,0,(VLOOKUP($D19,$C$5:$AU$516,5,)/VLOOKUP($D19,$C$5:$AU$516,3,))*$E19)</f>
        <v>728980.34707017231</v>
      </c>
      <c r="H19" s="19">
        <f>IF(VLOOKUP($D19,$C$5:$AU$516,3,)=0,0,(VLOOKUP($D19,$C$5:$AU$516,6,)/VLOOKUP($D19,$C$5:$AU$516,3,))*$E19)</f>
        <v>3127977.8211920955</v>
      </c>
      <c r="I19" s="19">
        <f>IF(VLOOKUP($D19,$C$5:$AU$516,3,)=0,0,(VLOOKUP($D19,$C$5:$AU$516,7,)/VLOOKUP($D19,$C$5:$AU$516,3,))*$E19)</f>
        <v>1518962.7242674441</v>
      </c>
      <c r="J19" s="19">
        <f>IF(VLOOKUP($D19,$C$5:$AU$516,3,)=0,0,(VLOOKUP($D19,$C$5:$AU$516,8,)/VLOOKUP($D19,$C$5:$AU$516,3,))*$E19)</f>
        <v>530986.89229335485</v>
      </c>
      <c r="K19" s="19">
        <f>IF(VLOOKUP($D19,$C$5:$AU$516,3,)=0,0,(VLOOKUP($D19,$C$5:$AU$516,9,)/VLOOKUP($D19,$C$5:$AU$516,3,))*$E19)</f>
        <v>2037424.5127334348</v>
      </c>
      <c r="L19" s="41">
        <f>IF(VLOOKUP($D19,$C$5:$AU$516,3,)=0,0,(VLOOKUP($D19,$C$5:$AU$516,10,)/VLOOKUP($D19,$C$5:$AU$516,3,))*$E19)</f>
        <v>0</v>
      </c>
      <c r="M19" s="19">
        <f>IF(VLOOKUP($D19,$C$5:$AU$516,3,)=0,0,(VLOOKUP($D19,$C$5:$AU$516,11,)/VLOOKUP($D19,$C$5:$AU$516,3,))*$E19)</f>
        <v>0</v>
      </c>
      <c r="N19" s="19">
        <f>IF(VLOOKUP($D19,$C$5:$AU$516,3,)=0,0,(VLOOKUP($D19,$C$5:$AU$516,12,)/VLOOKUP($D19,$C$5:$AU$516,3,))*$E19)</f>
        <v>0</v>
      </c>
      <c r="O19" s="19">
        <f>IF(VLOOKUP($D19,$C$5:$AU$516,3,)=0,0,(VLOOKUP($D19,$C$5:$AU$516,13,)/VLOOKUP($D19,$C$5:$AU$516,3,))*$E19)</f>
        <v>0</v>
      </c>
      <c r="P19" s="19">
        <f>IF(VLOOKUP($D19,$C$5:$AU$516,3,)=0,0,(VLOOKUP($D19,$C$5:$AU$516,14,)/VLOOKUP($D19,$C$5:$AU$516,3,))*$E19)</f>
        <v>0</v>
      </c>
      <c r="Q19" s="19">
        <f>IF(VLOOKUP($D19,$C$5:$AU$516,3,)=0,0,(VLOOKUP($D19,$C$5:$AU$516,15,)/VLOOKUP($D19,$C$5:$AU$516,3,))*$E19)</f>
        <v>0</v>
      </c>
      <c r="R19" s="19">
        <f>IF(VLOOKUP($D19,$C$5:$AU$516,3,)=0,0,(VLOOKUP($D19,$C$5:$AU$516,16,)/VLOOKUP($D19,$C$5:$AU$516,3,))*$E19)</f>
        <v>0</v>
      </c>
      <c r="S19" s="80">
        <f>IF(VLOOKUP($D19,$C$5:$AU$516,3,)=0,0,(VLOOKUP($D19,$C$5:$AU$516,17,)/VLOOKUP($D19,$C$5:$AU$516,3,))*$E19)</f>
        <v>0</v>
      </c>
      <c r="T19" s="80">
        <f>IF(VLOOKUP($D19,$C$5:$AU$516,3,)=0,0,(VLOOKUP($D19,$C$5:$AU$516,18,)/VLOOKUP($D19,$C$5:$AU$516,3,))*$E19)</f>
        <v>0</v>
      </c>
      <c r="U19" s="80">
        <f>IF(VLOOKUP($D19,$C$5:$AU$516,3,)=0,0,(VLOOKUP($D19,$C$5:$AU$516,19,)/VLOOKUP($D19,$C$5:$AU$516,3,))*$E19)</f>
        <v>0</v>
      </c>
      <c r="V19" s="80">
        <f>IF(VLOOKUP($D19,$C$5:$AU$516,3,)=0,0,(VLOOKUP($D19,$C$5:$AU$516,20,)/VLOOKUP($D19,$C$5:$AU$516,3,))*$E19)</f>
        <v>0</v>
      </c>
      <c r="W19" s="80">
        <f>IF(VLOOKUP($D19,$C$5:$AU$516,3,)=0,0,(VLOOKUP($D19,$C$5:$AU$516,21,)/VLOOKUP($D19,$C$5:$AU$516,3,))*$E19)</f>
        <v>0</v>
      </c>
      <c r="X19" s="80">
        <f>IF(VLOOKUP($D19,$C$5:$AU$516,3,)=0,0,(VLOOKUP($D19,$C$5:$AU$516,22,)/VLOOKUP($D19,$C$5:$AU$516,3,))*$E19)</f>
        <v>0</v>
      </c>
      <c r="Y19" s="80">
        <f>IF(VLOOKUP($D19,$C$5:$AU$516,3,)=0,0,(VLOOKUP($D19,$C$5:$AU$516,23,)/VLOOKUP($D19,$C$5:$AU$516,3,))*$E19)</f>
        <v>0</v>
      </c>
      <c r="Z19" s="80">
        <f>IF(VLOOKUP($D19,$C$5:$AU$516,3,)=0,0,(VLOOKUP($D19,$C$5:$AU$516,24,)/VLOOKUP($D19,$C$5:$AU$516,3,))*$E19)</f>
        <v>0</v>
      </c>
      <c r="AA19" s="80">
        <f>IF(VLOOKUP($D19,$C$5:$AU$516,3,)=0,0,(VLOOKUP($D19,$C$5:$AU$516,25,)/VLOOKUP($D19,$C$5:$AU$516,3,))*$E19)</f>
        <v>0</v>
      </c>
      <c r="AB19" s="80">
        <f>IF(VLOOKUP($D19,$C$5:$AU$516,3,)=0,0,(VLOOKUP($D19,$C$5:$AU$516,26,)/VLOOKUP($D19,$C$5:$AU$516,3,))*$E19)</f>
        <v>0</v>
      </c>
      <c r="AC19" s="80">
        <f>IF(VLOOKUP($D19,$C$5:$AU$516,3,)=0,0,(VLOOKUP($D19,$C$5:$AU$516,27,)/VLOOKUP($D19,$C$5:$AU$516,3,))*$E19)</f>
        <v>0</v>
      </c>
      <c r="AD19" s="80">
        <f>IF(VLOOKUP($D19,$C$5:$AU$516,3,)=0,0,(VLOOKUP($D19,$C$5:$AU$516,28,)/VLOOKUP($D19,$C$5:$AU$516,3,))*$E19)</f>
        <v>0</v>
      </c>
      <c r="AE19" s="80">
        <f>IF(VLOOKUP($D19,$C$5:$AU$516,3,)=0,0,(VLOOKUP($D19,$C$5:$AU$516,29,)/VLOOKUP($D19,$C$5:$AU$516,3,))*$E19)</f>
        <v>0</v>
      </c>
      <c r="AF19" s="80">
        <f>IF(VLOOKUP($D19,$C$5:$AU$516,3,)=0,0,(VLOOKUP($D19,$C$5:$AU$516,30,)/VLOOKUP($D19,$C$5:$AU$516,3,))*$E19)</f>
        <v>0</v>
      </c>
      <c r="AG19" s="65">
        <f>SUM(F19:AF19)</f>
        <v>28106604.791024264</v>
      </c>
      <c r="AH19" s="12" t="str">
        <f>IF(ABS(E19-AG19)&lt;0.01,"ok","err")</f>
        <v>ok</v>
      </c>
      <c r="AI19" s="65"/>
    </row>
    <row r="20" spans="1:35" x14ac:dyDescent="0.2">
      <c r="A20" s="68" t="s">
        <v>220</v>
      </c>
      <c r="C20" s="3" t="s">
        <v>221</v>
      </c>
      <c r="D20" s="3" t="s">
        <v>222</v>
      </c>
      <c r="E20" s="7">
        <f>'Func &amp; Classif'!P82</f>
        <v>18871957.023947261</v>
      </c>
      <c r="F20" s="41">
        <f>IF(VLOOKUP($D20,$C$5:$AU$516,3,)=0,0,(VLOOKUP($D20,$C$5:$AU$516,4,)/VLOOKUP($D20,$C$5:$AU$516,3,))*$E20)</f>
        <v>17268180.770320531</v>
      </c>
      <c r="G20" s="41">
        <f>IF(VLOOKUP($D20,$C$5:$AU$516,3,)=0,0,(VLOOKUP($D20,$C$5:$AU$516,5,)/VLOOKUP($D20,$C$5:$AU$516,3,))*$E20)</f>
        <v>1300919.3494514169</v>
      </c>
      <c r="H20" s="19">
        <f>IF(VLOOKUP($D20,$C$5:$AU$516,3,)=0,0,(VLOOKUP($D20,$C$5:$AU$516,6,)/VLOOKUP($D20,$C$5:$AU$516,3,))*$E20)</f>
        <v>238685.99456111772</v>
      </c>
      <c r="I20" s="19">
        <f>IF(VLOOKUP($D20,$C$5:$AU$516,3,)=0,0,(VLOOKUP($D20,$C$5:$AU$516,7,)/VLOOKUP($D20,$C$5:$AU$516,3,))*$E20)</f>
        <v>12660.411567984404</v>
      </c>
      <c r="J20" s="19">
        <f>IF(VLOOKUP($D20,$C$5:$AU$516,3,)=0,0,(VLOOKUP($D20,$C$5:$AU$516,8,)/VLOOKUP($D20,$C$5:$AU$516,3,))*$E20)</f>
        <v>1489.4601844687531</v>
      </c>
      <c r="K20" s="19">
        <f>IF(VLOOKUP($D20,$C$5:$AU$516,3,)=0,0,(VLOOKUP($D20,$C$5:$AU$516,9,)/VLOOKUP($D20,$C$5:$AU$516,3,))*$E20)</f>
        <v>50021.037861742298</v>
      </c>
      <c r="L20" s="41">
        <f>IF(VLOOKUP($D20,$C$5:$AU$516,3,)=0,0,(VLOOKUP($D20,$C$5:$AU$516,10,)/VLOOKUP($D20,$C$5:$AU$516,3,))*$E20)</f>
        <v>0</v>
      </c>
      <c r="M20" s="19">
        <f>IF(VLOOKUP($D20,$C$5:$AU$516,3,)=0,0,(VLOOKUP($D20,$C$5:$AU$516,11,)/VLOOKUP($D20,$C$5:$AU$516,3,))*$E20)</f>
        <v>0</v>
      </c>
      <c r="N20" s="19">
        <f>IF(VLOOKUP($D20,$C$5:$AU$516,3,)=0,0,(VLOOKUP($D20,$C$5:$AU$516,12,)/VLOOKUP($D20,$C$5:$AU$516,3,))*$E20)</f>
        <v>0</v>
      </c>
      <c r="O20" s="19">
        <f>IF(VLOOKUP($D20,$C$5:$AU$516,3,)=0,0,(VLOOKUP($D20,$C$5:$AU$516,13,)/VLOOKUP($D20,$C$5:$AU$516,3,))*$E20)</f>
        <v>0</v>
      </c>
      <c r="P20" s="19">
        <f>IF(VLOOKUP($D20,$C$5:$AU$516,3,)=0,0,(VLOOKUP($D20,$C$5:$AU$516,14,)/VLOOKUP($D20,$C$5:$AU$516,3,))*$E20)</f>
        <v>0</v>
      </c>
      <c r="Q20" s="19">
        <f>IF(VLOOKUP($D20,$C$5:$AU$516,3,)=0,0,(VLOOKUP($D20,$C$5:$AU$516,15,)/VLOOKUP($D20,$C$5:$AU$516,3,))*$E20)</f>
        <v>0</v>
      </c>
      <c r="R20" s="19">
        <f>IF(VLOOKUP($D20,$C$5:$AU$516,3,)=0,0,(VLOOKUP($D20,$C$5:$AU$516,16,)/VLOOKUP($D20,$C$5:$AU$516,3,))*$E20)</f>
        <v>0</v>
      </c>
      <c r="S20" s="80">
        <f>IF(VLOOKUP($D20,$C$5:$AU$516,3,)=0,0,(VLOOKUP($D20,$C$5:$AU$516,17,)/VLOOKUP($D20,$C$5:$AU$516,3,))*$E20)</f>
        <v>0</v>
      </c>
      <c r="T20" s="80">
        <f>IF(VLOOKUP($D20,$C$5:$AU$516,3,)=0,0,(VLOOKUP($D20,$C$5:$AU$516,18,)/VLOOKUP($D20,$C$5:$AU$516,3,))*$E20)</f>
        <v>0</v>
      </c>
      <c r="U20" s="80">
        <f>IF(VLOOKUP($D20,$C$5:$AU$516,3,)=0,0,(VLOOKUP($D20,$C$5:$AU$516,19,)/VLOOKUP($D20,$C$5:$AU$516,3,))*$E20)</f>
        <v>0</v>
      </c>
      <c r="V20" s="80">
        <f>IF(VLOOKUP($D20,$C$5:$AU$516,3,)=0,0,(VLOOKUP($D20,$C$5:$AU$516,20,)/VLOOKUP($D20,$C$5:$AU$516,3,))*$E20)</f>
        <v>0</v>
      </c>
      <c r="W20" s="80">
        <f>IF(VLOOKUP($D20,$C$5:$AU$516,3,)=0,0,(VLOOKUP($D20,$C$5:$AU$516,21,)/VLOOKUP($D20,$C$5:$AU$516,3,))*$E20)</f>
        <v>0</v>
      </c>
      <c r="X20" s="80">
        <f>IF(VLOOKUP($D20,$C$5:$AU$516,3,)=0,0,(VLOOKUP($D20,$C$5:$AU$516,22,)/VLOOKUP($D20,$C$5:$AU$516,3,))*$E20)</f>
        <v>0</v>
      </c>
      <c r="Y20" s="80">
        <f>IF(VLOOKUP($D20,$C$5:$AU$516,3,)=0,0,(VLOOKUP($D20,$C$5:$AU$516,23,)/VLOOKUP($D20,$C$5:$AU$516,3,))*$E20)</f>
        <v>0</v>
      </c>
      <c r="Z20" s="80">
        <f>IF(VLOOKUP($D20,$C$5:$AU$516,3,)=0,0,(VLOOKUP($D20,$C$5:$AU$516,24,)/VLOOKUP($D20,$C$5:$AU$516,3,))*$E20)</f>
        <v>0</v>
      </c>
      <c r="AA20" s="80">
        <f>IF(VLOOKUP($D20,$C$5:$AU$516,3,)=0,0,(VLOOKUP($D20,$C$5:$AU$516,25,)/VLOOKUP($D20,$C$5:$AU$516,3,))*$E20)</f>
        <v>0</v>
      </c>
      <c r="AB20" s="80">
        <f>IF(VLOOKUP($D20,$C$5:$AU$516,3,)=0,0,(VLOOKUP($D20,$C$5:$AU$516,26,)/VLOOKUP($D20,$C$5:$AU$516,3,))*$E20)</f>
        <v>0</v>
      </c>
      <c r="AC20" s="80">
        <f>IF(VLOOKUP($D20,$C$5:$AU$516,3,)=0,0,(VLOOKUP($D20,$C$5:$AU$516,27,)/VLOOKUP($D20,$C$5:$AU$516,3,))*$E20)</f>
        <v>0</v>
      </c>
      <c r="AD20" s="80">
        <f>IF(VLOOKUP($D20,$C$5:$AU$516,3,)=0,0,(VLOOKUP($D20,$C$5:$AU$516,28,)/VLOOKUP($D20,$C$5:$AU$516,3,))*$E20)</f>
        <v>0</v>
      </c>
      <c r="AE20" s="80">
        <f>IF(VLOOKUP($D20,$C$5:$AU$516,3,)=0,0,(VLOOKUP($D20,$C$5:$AU$516,29,)/VLOOKUP($D20,$C$5:$AU$516,3,))*$E20)</f>
        <v>0</v>
      </c>
      <c r="AF20" s="80">
        <f>IF(VLOOKUP($D20,$C$5:$AU$516,3,)=0,0,(VLOOKUP($D20,$C$5:$AU$516,30,)/VLOOKUP($D20,$C$5:$AU$516,3,))*$E20)</f>
        <v>0</v>
      </c>
      <c r="AG20" s="65">
        <f>SUM(F20:AF20)</f>
        <v>18871957.023947261</v>
      </c>
      <c r="AH20" s="12" t="str">
        <f>IF(ABS(E20-AG20)&lt;0.01,"ok","err")</f>
        <v>ok</v>
      </c>
    </row>
    <row r="21" spans="1:35" x14ac:dyDescent="0.2">
      <c r="A21" s="3" t="s">
        <v>223</v>
      </c>
      <c r="C21" s="3" t="s">
        <v>472</v>
      </c>
      <c r="E21" s="19">
        <f t="shared" ref="E21:T21" si="2">E19+E20</f>
        <v>46978561.814971521</v>
      </c>
      <c r="F21" s="41">
        <f t="shared" si="2"/>
        <v>37430453.26378829</v>
      </c>
      <c r="G21" s="41">
        <f t="shared" si="2"/>
        <v>2029899.6965215891</v>
      </c>
      <c r="H21" s="19">
        <f t="shared" si="2"/>
        <v>3366663.8157532131</v>
      </c>
      <c r="I21" s="19">
        <f t="shared" si="2"/>
        <v>1531623.1358354285</v>
      </c>
      <c r="J21" s="19">
        <f t="shared" si="2"/>
        <v>532476.35247782362</v>
      </c>
      <c r="K21" s="19">
        <f t="shared" si="2"/>
        <v>2087445.5505951771</v>
      </c>
      <c r="L21" s="41">
        <f t="shared" si="2"/>
        <v>0</v>
      </c>
      <c r="M21" s="19">
        <f t="shared" si="2"/>
        <v>0</v>
      </c>
      <c r="N21" s="19">
        <f t="shared" si="2"/>
        <v>0</v>
      </c>
      <c r="O21" s="19">
        <f t="shared" si="2"/>
        <v>0</v>
      </c>
      <c r="P21" s="19">
        <f t="shared" si="2"/>
        <v>0</v>
      </c>
      <c r="Q21" s="19">
        <f t="shared" si="2"/>
        <v>0</v>
      </c>
      <c r="R21" s="19">
        <f t="shared" si="2"/>
        <v>0</v>
      </c>
      <c r="S21" s="80">
        <f t="shared" si="2"/>
        <v>0</v>
      </c>
      <c r="T21" s="80">
        <f t="shared" si="2"/>
        <v>0</v>
      </c>
      <c r="U21" s="80">
        <f t="shared" ref="U21:AF21" si="3">U19+U20</f>
        <v>0</v>
      </c>
      <c r="V21" s="80">
        <f t="shared" si="3"/>
        <v>0</v>
      </c>
      <c r="W21" s="80">
        <f t="shared" si="3"/>
        <v>0</v>
      </c>
      <c r="X21" s="80">
        <f t="shared" si="3"/>
        <v>0</v>
      </c>
      <c r="Y21" s="80">
        <f t="shared" si="3"/>
        <v>0</v>
      </c>
      <c r="Z21" s="80">
        <f t="shared" si="3"/>
        <v>0</v>
      </c>
      <c r="AA21" s="80">
        <f t="shared" si="3"/>
        <v>0</v>
      </c>
      <c r="AB21" s="80">
        <f t="shared" si="3"/>
        <v>0</v>
      </c>
      <c r="AC21" s="80">
        <f t="shared" si="3"/>
        <v>0</v>
      </c>
      <c r="AD21" s="80">
        <f t="shared" si="3"/>
        <v>0</v>
      </c>
      <c r="AE21" s="80">
        <f t="shared" si="3"/>
        <v>0</v>
      </c>
      <c r="AF21" s="80">
        <f t="shared" si="3"/>
        <v>0</v>
      </c>
      <c r="AG21" s="65">
        <f>SUM(F21:AF21)</f>
        <v>46978561.814971529</v>
      </c>
      <c r="AH21" s="12" t="str">
        <f>IF(ABS(E21-AG21)&lt;0.01,"ok","err")</f>
        <v>ok</v>
      </c>
    </row>
    <row r="22" spans="1:35" x14ac:dyDescent="0.2">
      <c r="E22" s="7"/>
    </row>
    <row r="23" spans="1:35" x14ac:dyDescent="0.2">
      <c r="A23" s="2" t="s">
        <v>3</v>
      </c>
      <c r="E23" s="7"/>
    </row>
    <row r="24" spans="1:35" x14ac:dyDescent="0.2">
      <c r="A24" s="68" t="s">
        <v>208</v>
      </c>
      <c r="C24" s="3" t="s">
        <v>224</v>
      </c>
      <c r="D24" s="3" t="s">
        <v>619</v>
      </c>
      <c r="E24" s="19">
        <f>'Func &amp; Classif'!R82</f>
        <v>0</v>
      </c>
      <c r="F24" s="41">
        <f>IF(VLOOKUP($D24,$C$5:$AU$516,3,)=0,0,(VLOOKUP($D24,$C$5:$AU$516,4,)/VLOOKUP($D24,$C$5:$AU$516,3,))*$E24)</f>
        <v>0</v>
      </c>
      <c r="G24" s="41">
        <f>IF(VLOOKUP($D24,$C$5:$AU$516,3,)=0,0,(VLOOKUP($D24,$C$5:$AU$516,5,)/VLOOKUP($D24,$C$5:$AU$516,3,))*$E24)</f>
        <v>0</v>
      </c>
      <c r="H24" s="19">
        <f>IF(VLOOKUP($D24,$C$5:$AU$516,3,)=0,0,(VLOOKUP($D24,$C$5:$AU$516,6,)/VLOOKUP($D24,$C$5:$AU$516,3,))*$E24)</f>
        <v>0</v>
      </c>
      <c r="I24" s="19">
        <f>IF(VLOOKUP($D24,$C$5:$AU$516,3,)=0,0,(VLOOKUP($D24,$C$5:$AU$516,7,)/VLOOKUP($D24,$C$5:$AU$516,3,))*$E24)</f>
        <v>0</v>
      </c>
      <c r="J24" s="19">
        <f>IF(VLOOKUP($D24,$C$5:$AU$516,3,)=0,0,(VLOOKUP($D24,$C$5:$AU$516,8,)/VLOOKUP($D24,$C$5:$AU$516,3,))*$E24)</f>
        <v>0</v>
      </c>
      <c r="K24" s="19">
        <f>IF(VLOOKUP($D24,$C$5:$AU$516,3,)=0,0,(VLOOKUP($D24,$C$5:$AU$516,9,)/VLOOKUP($D24,$C$5:$AU$516,3,))*$E24)</f>
        <v>0</v>
      </c>
      <c r="L24" s="41">
        <f>IF(VLOOKUP($D24,$C$5:$AU$516,3,)=0,0,(VLOOKUP($D24,$C$5:$AU$516,10,)/VLOOKUP($D24,$C$5:$AU$516,3,))*$E24)</f>
        <v>0</v>
      </c>
      <c r="M24" s="19">
        <f>IF(VLOOKUP($D24,$C$5:$AU$516,3,)=0,0,(VLOOKUP($D24,$C$5:$AU$516,11,)/VLOOKUP($D24,$C$5:$AU$516,3,))*$E24)</f>
        <v>0</v>
      </c>
      <c r="N24" s="19">
        <f>IF(VLOOKUP($D24,$C$5:$AU$516,3,)=0,0,(VLOOKUP($D24,$C$5:$AU$516,12,)/VLOOKUP($D24,$C$5:$AU$516,3,))*$E24)</f>
        <v>0</v>
      </c>
      <c r="O24" s="19">
        <f>IF(VLOOKUP($D24,$C$5:$AU$516,3,)=0,0,(VLOOKUP($D24,$C$5:$AU$516,13,)/VLOOKUP($D24,$C$5:$AU$516,3,))*$E24)</f>
        <v>0</v>
      </c>
      <c r="P24" s="19">
        <f>IF(VLOOKUP($D24,$C$5:$AU$516,3,)=0,0,(VLOOKUP($D24,$C$5:$AU$516,14,)/VLOOKUP($D24,$C$5:$AU$516,3,))*$E24)</f>
        <v>0</v>
      </c>
      <c r="Q24" s="19">
        <f>IF(VLOOKUP($D24,$C$5:$AU$516,3,)=0,0,(VLOOKUP($D24,$C$5:$AU$516,15,)/VLOOKUP($D24,$C$5:$AU$516,3,))*$E24)</f>
        <v>0</v>
      </c>
      <c r="R24" s="19">
        <f>IF(VLOOKUP($D24,$C$5:$AU$516,3,)=0,0,(VLOOKUP($D24,$C$5:$AU$516,16,)/VLOOKUP($D24,$C$5:$AU$516,3,))*$E24)</f>
        <v>0</v>
      </c>
      <c r="S24" s="80">
        <f>IF(VLOOKUP($D24,$C$5:$AU$516,3,)=0,0,(VLOOKUP($D24,$C$5:$AU$516,17,)/VLOOKUP($D24,$C$5:$AU$516,3,))*$E24)</f>
        <v>0</v>
      </c>
      <c r="T24" s="80">
        <f>IF(VLOOKUP($D24,$C$5:$AU$516,3,)=0,0,(VLOOKUP($D24,$C$5:$AU$516,18,)/VLOOKUP($D24,$C$5:$AU$516,3,))*$E24)</f>
        <v>0</v>
      </c>
      <c r="U24" s="80">
        <f>IF(VLOOKUP($D24,$C$5:$AU$516,3,)=0,0,(VLOOKUP($D24,$C$5:$AU$516,19,)/VLOOKUP($D24,$C$5:$AU$516,3,))*$E24)</f>
        <v>0</v>
      </c>
      <c r="V24" s="80">
        <f>IF(VLOOKUP($D24,$C$5:$AU$516,3,)=0,0,(VLOOKUP($D24,$C$5:$AU$516,20,)/VLOOKUP($D24,$C$5:$AU$516,3,))*$E24)</f>
        <v>0</v>
      </c>
      <c r="W24" s="80">
        <f>IF(VLOOKUP($D24,$C$5:$AU$516,3,)=0,0,(VLOOKUP($D24,$C$5:$AU$516,21,)/VLOOKUP($D24,$C$5:$AU$516,3,))*$E24)</f>
        <v>0</v>
      </c>
      <c r="X24" s="80">
        <f>IF(VLOOKUP($D24,$C$5:$AU$516,3,)=0,0,(VLOOKUP($D24,$C$5:$AU$516,22,)/VLOOKUP($D24,$C$5:$AU$516,3,))*$E24)</f>
        <v>0</v>
      </c>
      <c r="Y24" s="80">
        <f>IF(VLOOKUP($D24,$C$5:$AU$516,3,)=0,0,(VLOOKUP($D24,$C$5:$AU$516,23,)/VLOOKUP($D24,$C$5:$AU$516,3,))*$E24)</f>
        <v>0</v>
      </c>
      <c r="Z24" s="80">
        <f>IF(VLOOKUP($D24,$C$5:$AU$516,3,)=0,0,(VLOOKUP($D24,$C$5:$AU$516,24,)/VLOOKUP($D24,$C$5:$AU$516,3,))*$E24)</f>
        <v>0</v>
      </c>
      <c r="AA24" s="80">
        <f>IF(VLOOKUP($D24,$C$5:$AU$516,3,)=0,0,(VLOOKUP($D24,$C$5:$AU$516,25,)/VLOOKUP($D24,$C$5:$AU$516,3,))*$E24)</f>
        <v>0</v>
      </c>
      <c r="AB24" s="80">
        <f>IF(VLOOKUP($D24,$C$5:$AU$516,3,)=0,0,(VLOOKUP($D24,$C$5:$AU$516,26,)/VLOOKUP($D24,$C$5:$AU$516,3,))*$E24)</f>
        <v>0</v>
      </c>
      <c r="AC24" s="80">
        <f>IF(VLOOKUP($D24,$C$5:$AU$516,3,)=0,0,(VLOOKUP($D24,$C$5:$AU$516,27,)/VLOOKUP($D24,$C$5:$AU$516,3,))*$E24)</f>
        <v>0</v>
      </c>
      <c r="AD24" s="80">
        <f>IF(VLOOKUP($D24,$C$5:$AU$516,3,)=0,0,(VLOOKUP($D24,$C$5:$AU$516,28,)/VLOOKUP($D24,$C$5:$AU$516,3,))*$E24)</f>
        <v>0</v>
      </c>
      <c r="AE24" s="80">
        <f>IF(VLOOKUP($D24,$C$5:$AU$516,3,)=0,0,(VLOOKUP($D24,$C$5:$AU$516,29,)/VLOOKUP($D24,$C$5:$AU$516,3,))*$E24)</f>
        <v>0</v>
      </c>
      <c r="AF24" s="80">
        <f>IF(VLOOKUP($D24,$C$5:$AU$516,3,)=0,0,(VLOOKUP($D24,$C$5:$AU$516,30,)/VLOOKUP($D24,$C$5:$AU$516,3,))*$E24)</f>
        <v>0</v>
      </c>
      <c r="AG24" s="65">
        <f>SUM(F24:AF24)</f>
        <v>0</v>
      </c>
      <c r="AH24" s="12" t="str">
        <f>IF(ABS(E24-AG24)&lt;0.01,"ok","err")</f>
        <v>ok</v>
      </c>
    </row>
    <row r="25" spans="1:35" x14ac:dyDescent="0.2">
      <c r="A25" s="68" t="s">
        <v>220</v>
      </c>
      <c r="C25" s="3" t="s">
        <v>225</v>
      </c>
      <c r="D25" s="3" t="s">
        <v>700</v>
      </c>
      <c r="E25" s="7">
        <f>'Func &amp; Classif'!S82</f>
        <v>7103516.015344508</v>
      </c>
      <c r="F25" s="41">
        <f>IF(VLOOKUP($D25,$C$5:$AU$516,3,)=0,0,(VLOOKUP($D25,$C$5:$AU$516,4,)/VLOOKUP($D25,$C$5:$AU$516,3,))*$E25)</f>
        <v>6318786.2009472987</v>
      </c>
      <c r="G25" s="41">
        <f>IF(VLOOKUP($D25,$C$5:$AU$516,3,)=0,0,(VLOOKUP($D25,$C$5:$AU$516,5,)/VLOOKUP($D25,$C$5:$AU$516,3,))*$E25)</f>
        <v>476033.42489831743</v>
      </c>
      <c r="H25" s="19">
        <f>IF(VLOOKUP($D25,$C$5:$AU$516,3,)=0,0,(VLOOKUP($D25,$C$5:$AU$516,6,)/VLOOKUP($D25,$C$5:$AU$516,3,))*$E25)</f>
        <v>196515.37269142212</v>
      </c>
      <c r="I25" s="19">
        <f>IF(VLOOKUP($D25,$C$5:$AU$516,3,)=0,0,(VLOOKUP($D25,$C$5:$AU$516,7,)/VLOOKUP($D25,$C$5:$AU$516,3,))*$E25)</f>
        <v>112181.01680747079</v>
      </c>
      <c r="J25" s="19">
        <f>IF(VLOOKUP($D25,$C$5:$AU$516,3,)=0,0,(VLOOKUP($D25,$C$5:$AU$516,8,)/VLOOKUP($D25,$C$5:$AU$516,3,))*$E25)</f>
        <v>0</v>
      </c>
      <c r="K25" s="19">
        <f>IF(VLOOKUP($D25,$C$5:$AU$516,3,)=0,0,(VLOOKUP($D25,$C$5:$AU$516,9,)/VLOOKUP($D25,$C$5:$AU$516,3,))*$E25)</f>
        <v>0</v>
      </c>
      <c r="L25" s="41">
        <f>IF(VLOOKUP($D25,$C$5:$AU$516,3,)=0,0,(VLOOKUP($D25,$C$5:$AU$516,10,)/VLOOKUP($D25,$C$5:$AU$516,3,))*$E25)</f>
        <v>0</v>
      </c>
      <c r="M25" s="19">
        <f>IF(VLOOKUP($D25,$C$5:$AU$516,3,)=0,0,(VLOOKUP($D25,$C$5:$AU$516,11,)/VLOOKUP($D25,$C$5:$AU$516,3,))*$E25)</f>
        <v>0</v>
      </c>
      <c r="N25" s="19">
        <f>IF(VLOOKUP($D25,$C$5:$AU$516,3,)=0,0,(VLOOKUP($D25,$C$5:$AU$516,12,)/VLOOKUP($D25,$C$5:$AU$516,3,))*$E25)</f>
        <v>0</v>
      </c>
      <c r="O25" s="19">
        <f>IF(VLOOKUP($D25,$C$5:$AU$516,3,)=0,0,(VLOOKUP($D25,$C$5:$AU$516,13,)/VLOOKUP($D25,$C$5:$AU$516,3,))*$E25)</f>
        <v>0</v>
      </c>
      <c r="P25" s="19">
        <f>IF(VLOOKUP($D25,$C$5:$AU$516,3,)=0,0,(VLOOKUP($D25,$C$5:$AU$516,14,)/VLOOKUP($D25,$C$5:$AU$516,3,))*$E25)</f>
        <v>0</v>
      </c>
      <c r="Q25" s="19">
        <f>IF(VLOOKUP($D25,$C$5:$AU$516,3,)=0,0,(VLOOKUP($D25,$C$5:$AU$516,15,)/VLOOKUP($D25,$C$5:$AU$516,3,))*$E25)</f>
        <v>0</v>
      </c>
      <c r="R25" s="19">
        <f>IF(VLOOKUP($D25,$C$5:$AU$516,3,)=0,0,(VLOOKUP($D25,$C$5:$AU$516,16,)/VLOOKUP($D25,$C$5:$AU$516,3,))*$E25)</f>
        <v>0</v>
      </c>
      <c r="S25" s="80">
        <f>IF(VLOOKUP($D25,$C$5:$AU$516,3,)=0,0,(VLOOKUP($D25,$C$5:$AU$516,17,)/VLOOKUP($D25,$C$5:$AU$516,3,))*$E25)</f>
        <v>0</v>
      </c>
      <c r="T25" s="80">
        <f>IF(VLOOKUP($D25,$C$5:$AU$516,3,)=0,0,(VLOOKUP($D25,$C$5:$AU$516,18,)/VLOOKUP($D25,$C$5:$AU$516,3,))*$E25)</f>
        <v>0</v>
      </c>
      <c r="U25" s="80">
        <f>IF(VLOOKUP($D25,$C$5:$AU$516,3,)=0,0,(VLOOKUP($D25,$C$5:$AU$516,19,)/VLOOKUP($D25,$C$5:$AU$516,3,))*$E25)</f>
        <v>0</v>
      </c>
      <c r="V25" s="80">
        <f>IF(VLOOKUP($D25,$C$5:$AU$516,3,)=0,0,(VLOOKUP($D25,$C$5:$AU$516,20,)/VLOOKUP($D25,$C$5:$AU$516,3,))*$E25)</f>
        <v>0</v>
      </c>
      <c r="W25" s="80">
        <f>IF(VLOOKUP($D25,$C$5:$AU$516,3,)=0,0,(VLOOKUP($D25,$C$5:$AU$516,21,)/VLOOKUP($D25,$C$5:$AU$516,3,))*$E25)</f>
        <v>0</v>
      </c>
      <c r="X25" s="80">
        <f>IF(VLOOKUP($D25,$C$5:$AU$516,3,)=0,0,(VLOOKUP($D25,$C$5:$AU$516,22,)/VLOOKUP($D25,$C$5:$AU$516,3,))*$E25)</f>
        <v>0</v>
      </c>
      <c r="Y25" s="80">
        <f>IF(VLOOKUP($D25,$C$5:$AU$516,3,)=0,0,(VLOOKUP($D25,$C$5:$AU$516,23,)/VLOOKUP($D25,$C$5:$AU$516,3,))*$E25)</f>
        <v>0</v>
      </c>
      <c r="Z25" s="80">
        <f>IF(VLOOKUP($D25,$C$5:$AU$516,3,)=0,0,(VLOOKUP($D25,$C$5:$AU$516,24,)/VLOOKUP($D25,$C$5:$AU$516,3,))*$E25)</f>
        <v>0</v>
      </c>
      <c r="AA25" s="80">
        <f>IF(VLOOKUP($D25,$C$5:$AU$516,3,)=0,0,(VLOOKUP($D25,$C$5:$AU$516,25,)/VLOOKUP($D25,$C$5:$AU$516,3,))*$E25)</f>
        <v>0</v>
      </c>
      <c r="AB25" s="80">
        <f>IF(VLOOKUP($D25,$C$5:$AU$516,3,)=0,0,(VLOOKUP($D25,$C$5:$AU$516,26,)/VLOOKUP($D25,$C$5:$AU$516,3,))*$E25)</f>
        <v>0</v>
      </c>
      <c r="AC25" s="80">
        <f>IF(VLOOKUP($D25,$C$5:$AU$516,3,)=0,0,(VLOOKUP($D25,$C$5:$AU$516,27,)/VLOOKUP($D25,$C$5:$AU$516,3,))*$E25)</f>
        <v>0</v>
      </c>
      <c r="AD25" s="80">
        <f>IF(VLOOKUP($D25,$C$5:$AU$516,3,)=0,0,(VLOOKUP($D25,$C$5:$AU$516,28,)/VLOOKUP($D25,$C$5:$AU$516,3,))*$E25)</f>
        <v>0</v>
      </c>
      <c r="AE25" s="80">
        <f>IF(VLOOKUP($D25,$C$5:$AU$516,3,)=0,0,(VLOOKUP($D25,$C$5:$AU$516,29,)/VLOOKUP($D25,$C$5:$AU$516,3,))*$E25)</f>
        <v>0</v>
      </c>
      <c r="AF25" s="80">
        <f>IF(VLOOKUP($D25,$C$5:$AU$516,3,)=0,0,(VLOOKUP($D25,$C$5:$AU$516,30,)/VLOOKUP($D25,$C$5:$AU$516,3,))*$E25)</f>
        <v>0</v>
      </c>
      <c r="AG25" s="65">
        <f>SUM(F25:AF25)</f>
        <v>7103516.015344508</v>
      </c>
      <c r="AH25" s="12" t="str">
        <f>IF(ABS(E25-AG25)&lt;0.01,"ok","err")</f>
        <v>ok</v>
      </c>
    </row>
    <row r="26" spans="1:35" x14ac:dyDescent="0.2">
      <c r="A26" s="3" t="s">
        <v>227</v>
      </c>
      <c r="E26" s="19">
        <f t="shared" ref="E26:T26" si="4">E24+E25</f>
        <v>7103516.015344508</v>
      </c>
      <c r="F26" s="41">
        <f t="shared" si="4"/>
        <v>6318786.2009472987</v>
      </c>
      <c r="G26" s="41">
        <f t="shared" si="4"/>
        <v>476033.42489831743</v>
      </c>
      <c r="H26" s="19">
        <f t="shared" si="4"/>
        <v>196515.37269142212</v>
      </c>
      <c r="I26" s="19">
        <f t="shared" si="4"/>
        <v>112181.01680747079</v>
      </c>
      <c r="J26" s="19">
        <f t="shared" si="4"/>
        <v>0</v>
      </c>
      <c r="K26" s="19">
        <f t="shared" si="4"/>
        <v>0</v>
      </c>
      <c r="L26" s="41">
        <f t="shared" si="4"/>
        <v>0</v>
      </c>
      <c r="M26" s="19">
        <f t="shared" si="4"/>
        <v>0</v>
      </c>
      <c r="N26" s="19">
        <f t="shared" si="4"/>
        <v>0</v>
      </c>
      <c r="O26" s="19">
        <f t="shared" si="4"/>
        <v>0</v>
      </c>
      <c r="P26" s="19">
        <f t="shared" si="4"/>
        <v>0</v>
      </c>
      <c r="Q26" s="19">
        <f t="shared" si="4"/>
        <v>0</v>
      </c>
      <c r="R26" s="19">
        <f t="shared" si="4"/>
        <v>0</v>
      </c>
      <c r="S26" s="80">
        <f t="shared" si="4"/>
        <v>0</v>
      </c>
      <c r="T26" s="80">
        <f t="shared" si="4"/>
        <v>0</v>
      </c>
      <c r="U26" s="80">
        <f t="shared" ref="U26:AF26" si="5">U24+U25</f>
        <v>0</v>
      </c>
      <c r="V26" s="80">
        <f t="shared" si="5"/>
        <v>0</v>
      </c>
      <c r="W26" s="80">
        <f t="shared" si="5"/>
        <v>0</v>
      </c>
      <c r="X26" s="80">
        <f t="shared" si="5"/>
        <v>0</v>
      </c>
      <c r="Y26" s="80">
        <f t="shared" si="5"/>
        <v>0</v>
      </c>
      <c r="Z26" s="80">
        <f t="shared" si="5"/>
        <v>0</v>
      </c>
      <c r="AA26" s="80">
        <f t="shared" si="5"/>
        <v>0</v>
      </c>
      <c r="AB26" s="80">
        <f t="shared" si="5"/>
        <v>0</v>
      </c>
      <c r="AC26" s="80">
        <f t="shared" si="5"/>
        <v>0</v>
      </c>
      <c r="AD26" s="80">
        <f t="shared" si="5"/>
        <v>0</v>
      </c>
      <c r="AE26" s="80">
        <f t="shared" si="5"/>
        <v>0</v>
      </c>
      <c r="AF26" s="80">
        <f t="shared" si="5"/>
        <v>0</v>
      </c>
      <c r="AG26" s="65">
        <f>SUM(F26:AF26)</f>
        <v>7103516.015344508</v>
      </c>
      <c r="AH26" s="12" t="str">
        <f>IF(ABS(E26-AG26)&lt;0.01,"ok","err")</f>
        <v>ok</v>
      </c>
    </row>
    <row r="27" spans="1:35" x14ac:dyDescent="0.2">
      <c r="E27" s="7"/>
    </row>
    <row r="28" spans="1:35" x14ac:dyDescent="0.2">
      <c r="A28" s="2" t="s">
        <v>4</v>
      </c>
      <c r="E28" s="7"/>
    </row>
    <row r="29" spans="1:35" x14ac:dyDescent="0.2">
      <c r="A29" s="68" t="s">
        <v>220</v>
      </c>
      <c r="C29" s="3" t="s">
        <v>228</v>
      </c>
      <c r="D29" s="3" t="s">
        <v>229</v>
      </c>
      <c r="E29" s="19">
        <f>'Func &amp; Classif'!U82</f>
        <v>4287838.1210998334</v>
      </c>
      <c r="F29" s="41">
        <f>IF(VLOOKUP($D29,$C$5:$AU$516,3,)=0,0,(VLOOKUP($D29,$C$5:$AU$516,4,)/VLOOKUP($D29,$C$5:$AU$516,3,))*$E29)</f>
        <v>3845849.2377856267</v>
      </c>
      <c r="G29" s="41">
        <f>IF(VLOOKUP($D29,$C$5:$AU$516,3,)=0,0,(VLOOKUP($D29,$C$5:$AU$516,5,)/VLOOKUP($D29,$C$5:$AU$516,3,))*$E29)</f>
        <v>289731.71841630177</v>
      </c>
      <c r="H29" s="19">
        <f>IF(VLOOKUP($D29,$C$5:$AU$516,3,)=0,0,(VLOOKUP($D29,$C$5:$AU$516,6,)/VLOOKUP($D29,$C$5:$AU$516,3,))*$E29)</f>
        <v>142077.3737718729</v>
      </c>
      <c r="I29" s="19">
        <f>IF(VLOOKUP($D29,$C$5:$AU$516,3,)=0,0,(VLOOKUP($D29,$C$5:$AU$516,7,)/VLOOKUP($D29,$C$5:$AU$516,3,))*$E29)</f>
        <v>9108.234165397047</v>
      </c>
      <c r="J29" s="19">
        <f>IF(VLOOKUP($D29,$C$5:$AU$516,3,)=0,0,(VLOOKUP($D29,$C$5:$AU$516,8,)/VLOOKUP($D29,$C$5:$AU$516,3,))*$E29)</f>
        <v>1071.5569606349468</v>
      </c>
      <c r="K29" s="19">
        <f>IF(VLOOKUP($D29,$C$5:$AU$516,3,)=0,0,(VLOOKUP($D29,$C$5:$AU$516,9,)/VLOOKUP($D29,$C$5:$AU$516,3,))*$E29)</f>
        <v>0</v>
      </c>
      <c r="L29" s="41">
        <f>IF(VLOOKUP($D29,$C$5:$AU$516,3,)=0,0,(VLOOKUP($D29,$C$5:$AU$516,10,)/VLOOKUP($D29,$C$5:$AU$516,3,))*$E29)</f>
        <v>0</v>
      </c>
      <c r="M29" s="19">
        <f>IF(VLOOKUP($D29,$C$5:$AU$516,3,)=0,0,(VLOOKUP($D29,$C$5:$AU$516,11,)/VLOOKUP($D29,$C$5:$AU$516,3,))*$E29)</f>
        <v>0</v>
      </c>
      <c r="N29" s="19">
        <f>IF(VLOOKUP($D29,$C$5:$AU$516,3,)=0,0,(VLOOKUP($D29,$C$5:$AU$516,12,)/VLOOKUP($D29,$C$5:$AU$516,3,))*$E29)</f>
        <v>0</v>
      </c>
      <c r="O29" s="19">
        <f>IF(VLOOKUP($D29,$C$5:$AU$516,3,)=0,0,(VLOOKUP($D29,$C$5:$AU$516,13,)/VLOOKUP($D29,$C$5:$AU$516,3,))*$E29)</f>
        <v>0</v>
      </c>
      <c r="P29" s="19">
        <f>IF(VLOOKUP($D29,$C$5:$AU$516,3,)=0,0,(VLOOKUP($D29,$C$5:$AU$516,14,)/VLOOKUP($D29,$C$5:$AU$516,3,))*$E29)</f>
        <v>0</v>
      </c>
      <c r="Q29" s="19">
        <f>IF(VLOOKUP($D29,$C$5:$AU$516,3,)=0,0,(VLOOKUP($D29,$C$5:$AU$516,15,)/VLOOKUP($D29,$C$5:$AU$516,3,))*$E29)</f>
        <v>0</v>
      </c>
      <c r="R29" s="19">
        <f>IF(VLOOKUP($D29,$C$5:$AU$516,3,)=0,0,(VLOOKUP($D29,$C$5:$AU$516,16,)/VLOOKUP($D29,$C$5:$AU$516,3,))*$E29)</f>
        <v>0</v>
      </c>
      <c r="S29" s="80">
        <f>IF(VLOOKUP($D29,$C$5:$AU$516,3,)=0,0,(VLOOKUP($D29,$C$5:$AU$516,17,)/VLOOKUP($D29,$C$5:$AU$516,3,))*$E29)</f>
        <v>0</v>
      </c>
      <c r="T29" s="80">
        <f>IF(VLOOKUP($D29,$C$5:$AU$516,3,)=0,0,(VLOOKUP($D29,$C$5:$AU$516,18,)/VLOOKUP($D29,$C$5:$AU$516,3,))*$E29)</f>
        <v>0</v>
      </c>
      <c r="U29" s="80">
        <f>IF(VLOOKUP($D29,$C$5:$AU$516,3,)=0,0,(VLOOKUP($D29,$C$5:$AU$516,19,)/VLOOKUP($D29,$C$5:$AU$516,3,))*$E29)</f>
        <v>0</v>
      </c>
      <c r="V29" s="80">
        <f>IF(VLOOKUP($D29,$C$5:$AU$516,3,)=0,0,(VLOOKUP($D29,$C$5:$AU$516,20,)/VLOOKUP($D29,$C$5:$AU$516,3,))*$E29)</f>
        <v>0</v>
      </c>
      <c r="W29" s="80">
        <f>IF(VLOOKUP($D29,$C$5:$AU$516,3,)=0,0,(VLOOKUP($D29,$C$5:$AU$516,21,)/VLOOKUP($D29,$C$5:$AU$516,3,))*$E29)</f>
        <v>0</v>
      </c>
      <c r="X29" s="80">
        <f>IF(VLOOKUP($D29,$C$5:$AU$516,3,)=0,0,(VLOOKUP($D29,$C$5:$AU$516,22,)/VLOOKUP($D29,$C$5:$AU$516,3,))*$E29)</f>
        <v>0</v>
      </c>
      <c r="Y29" s="80">
        <f>IF(VLOOKUP($D29,$C$5:$AU$516,3,)=0,0,(VLOOKUP($D29,$C$5:$AU$516,23,)/VLOOKUP($D29,$C$5:$AU$516,3,))*$E29)</f>
        <v>0</v>
      </c>
      <c r="Z29" s="80">
        <f>IF(VLOOKUP($D29,$C$5:$AU$516,3,)=0,0,(VLOOKUP($D29,$C$5:$AU$516,24,)/VLOOKUP($D29,$C$5:$AU$516,3,))*$E29)</f>
        <v>0</v>
      </c>
      <c r="AA29" s="80">
        <f>IF(VLOOKUP($D29,$C$5:$AU$516,3,)=0,0,(VLOOKUP($D29,$C$5:$AU$516,25,)/VLOOKUP($D29,$C$5:$AU$516,3,))*$E29)</f>
        <v>0</v>
      </c>
      <c r="AB29" s="80">
        <f>IF(VLOOKUP($D29,$C$5:$AU$516,3,)=0,0,(VLOOKUP($D29,$C$5:$AU$516,26,)/VLOOKUP($D29,$C$5:$AU$516,3,))*$E29)</f>
        <v>0</v>
      </c>
      <c r="AC29" s="80">
        <f>IF(VLOOKUP($D29,$C$5:$AU$516,3,)=0,0,(VLOOKUP($D29,$C$5:$AU$516,27,)/VLOOKUP($D29,$C$5:$AU$516,3,))*$E29)</f>
        <v>0</v>
      </c>
      <c r="AD29" s="80">
        <f>IF(VLOOKUP($D29,$C$5:$AU$516,3,)=0,0,(VLOOKUP($D29,$C$5:$AU$516,28,)/VLOOKUP($D29,$C$5:$AU$516,3,))*$E29)</f>
        <v>0</v>
      </c>
      <c r="AE29" s="80">
        <f>IF(VLOOKUP($D29,$C$5:$AU$516,3,)=0,0,(VLOOKUP($D29,$C$5:$AU$516,29,)/VLOOKUP($D29,$C$5:$AU$516,3,))*$E29)</f>
        <v>0</v>
      </c>
      <c r="AF29" s="80">
        <f>IF(VLOOKUP($D29,$C$5:$AU$516,3,)=0,0,(VLOOKUP($D29,$C$5:$AU$516,30,)/VLOOKUP($D29,$C$5:$AU$516,3,))*$E29)</f>
        <v>0</v>
      </c>
      <c r="AG29" s="65">
        <f>SUM(F29:AF29)</f>
        <v>4287838.1210998343</v>
      </c>
      <c r="AH29" s="12" t="str">
        <f>IF(ABS(E29-AG29)&lt;0.01,"ok","err")</f>
        <v>ok</v>
      </c>
    </row>
    <row r="30" spans="1:35" x14ac:dyDescent="0.2">
      <c r="E30" s="7"/>
    </row>
    <row r="31" spans="1:35" x14ac:dyDescent="0.2">
      <c r="A31" s="2" t="s">
        <v>5</v>
      </c>
      <c r="E31" s="7"/>
    </row>
    <row r="32" spans="1:35" x14ac:dyDescent="0.2">
      <c r="A32" s="68" t="s">
        <v>220</v>
      </c>
      <c r="C32" s="3" t="s">
        <v>230</v>
      </c>
      <c r="D32" s="3" t="s">
        <v>231</v>
      </c>
      <c r="E32" s="19">
        <f>'Func &amp; Classif'!W82</f>
        <v>4299684.2701993305</v>
      </c>
      <c r="F32" s="41">
        <f>IF(VLOOKUP($D32,$C$5:$AU$516,3,)=0,0,(VLOOKUP($D32,$C$5:$AU$516,4,)/VLOOKUP($D32,$C$5:$AU$516,3,))*$E32)</f>
        <v>0</v>
      </c>
      <c r="G32" s="41">
        <f>IF(VLOOKUP($D32,$C$5:$AU$516,3,)=0,0,(VLOOKUP($D32,$C$5:$AU$516,5,)/VLOOKUP($D32,$C$5:$AU$516,3,))*$E32)</f>
        <v>0</v>
      </c>
      <c r="H32" s="19">
        <f>IF(VLOOKUP($D32,$C$5:$AU$516,3,)=0,0,(VLOOKUP($D32,$C$5:$AU$516,6,)/VLOOKUP($D32,$C$5:$AU$516,3,))*$E32)</f>
        <v>0</v>
      </c>
      <c r="I32" s="19">
        <f>IF(VLOOKUP($D32,$C$5:$AU$516,3,)=0,0,(VLOOKUP($D32,$C$5:$AU$516,7,)/VLOOKUP($D32,$C$5:$AU$516,3,))*$E32)</f>
        <v>0</v>
      </c>
      <c r="J32" s="19">
        <f>IF(VLOOKUP($D32,$C$5:$AU$516,3,)=0,0,(VLOOKUP($D32,$C$5:$AU$516,8,)/VLOOKUP($D32,$C$5:$AU$516,3,))*$E32)</f>
        <v>0</v>
      </c>
      <c r="K32" s="19">
        <f>IF(VLOOKUP($D32,$C$5:$AU$516,3,)=0,0,(VLOOKUP($D32,$C$5:$AU$516,9,)/VLOOKUP($D32,$C$5:$AU$516,3,))*$E32)</f>
        <v>4299684.2701993305</v>
      </c>
      <c r="L32" s="41">
        <f>IF(VLOOKUP($D32,$C$5:$AU$516,3,)=0,0,(VLOOKUP($D32,$C$5:$AU$516,10,)/VLOOKUP($D32,$C$5:$AU$516,3,))*$E32)</f>
        <v>0</v>
      </c>
      <c r="M32" s="19">
        <f>IF(VLOOKUP($D32,$C$5:$AU$516,3,)=0,0,(VLOOKUP($D32,$C$5:$AU$516,11,)/VLOOKUP($D32,$C$5:$AU$516,3,))*$E32)</f>
        <v>0</v>
      </c>
      <c r="N32" s="19">
        <f>IF(VLOOKUP($D32,$C$5:$AU$516,3,)=0,0,(VLOOKUP($D32,$C$5:$AU$516,12,)/VLOOKUP($D32,$C$5:$AU$516,3,))*$E32)</f>
        <v>0</v>
      </c>
      <c r="O32" s="19">
        <f>IF(VLOOKUP($D32,$C$5:$AU$516,3,)=0,0,(VLOOKUP($D32,$C$5:$AU$516,13,)/VLOOKUP($D32,$C$5:$AU$516,3,))*$E32)</f>
        <v>0</v>
      </c>
      <c r="P32" s="19">
        <f>IF(VLOOKUP($D32,$C$5:$AU$516,3,)=0,0,(VLOOKUP($D32,$C$5:$AU$516,14,)/VLOOKUP($D32,$C$5:$AU$516,3,))*$E32)</f>
        <v>0</v>
      </c>
      <c r="Q32" s="19">
        <f>IF(VLOOKUP($D32,$C$5:$AU$516,3,)=0,0,(VLOOKUP($D32,$C$5:$AU$516,15,)/VLOOKUP($D32,$C$5:$AU$516,3,))*$E32)</f>
        <v>0</v>
      </c>
      <c r="R32" s="19">
        <f>IF(VLOOKUP($D32,$C$5:$AU$516,3,)=0,0,(VLOOKUP($D32,$C$5:$AU$516,16,)/VLOOKUP($D32,$C$5:$AU$516,3,))*$E32)</f>
        <v>0</v>
      </c>
      <c r="S32" s="80">
        <f>IF(VLOOKUP($D32,$C$5:$AU$516,3,)=0,0,(VLOOKUP($D32,$C$5:$AU$516,17,)/VLOOKUP($D32,$C$5:$AU$516,3,))*$E32)</f>
        <v>0</v>
      </c>
      <c r="T32" s="80">
        <f>IF(VLOOKUP($D32,$C$5:$AU$516,3,)=0,0,(VLOOKUP($D32,$C$5:$AU$516,18,)/VLOOKUP($D32,$C$5:$AU$516,3,))*$E32)</f>
        <v>0</v>
      </c>
      <c r="U32" s="80">
        <f>IF(VLOOKUP($D32,$C$5:$AU$516,3,)=0,0,(VLOOKUP($D32,$C$5:$AU$516,19,)/VLOOKUP($D32,$C$5:$AU$516,3,))*$E32)</f>
        <v>0</v>
      </c>
      <c r="V32" s="80">
        <f>IF(VLOOKUP($D32,$C$5:$AU$516,3,)=0,0,(VLOOKUP($D32,$C$5:$AU$516,20,)/VLOOKUP($D32,$C$5:$AU$516,3,))*$E32)</f>
        <v>0</v>
      </c>
      <c r="W32" s="80">
        <f>IF(VLOOKUP($D32,$C$5:$AU$516,3,)=0,0,(VLOOKUP($D32,$C$5:$AU$516,21,)/VLOOKUP($D32,$C$5:$AU$516,3,))*$E32)</f>
        <v>0</v>
      </c>
      <c r="X32" s="80">
        <f>IF(VLOOKUP($D32,$C$5:$AU$516,3,)=0,0,(VLOOKUP($D32,$C$5:$AU$516,22,)/VLOOKUP($D32,$C$5:$AU$516,3,))*$E32)</f>
        <v>0</v>
      </c>
      <c r="Y32" s="80">
        <f>IF(VLOOKUP($D32,$C$5:$AU$516,3,)=0,0,(VLOOKUP($D32,$C$5:$AU$516,23,)/VLOOKUP($D32,$C$5:$AU$516,3,))*$E32)</f>
        <v>0</v>
      </c>
      <c r="Z32" s="80">
        <f>IF(VLOOKUP($D32,$C$5:$AU$516,3,)=0,0,(VLOOKUP($D32,$C$5:$AU$516,24,)/VLOOKUP($D32,$C$5:$AU$516,3,))*$E32)</f>
        <v>0</v>
      </c>
      <c r="AA32" s="80">
        <f>IF(VLOOKUP($D32,$C$5:$AU$516,3,)=0,0,(VLOOKUP($D32,$C$5:$AU$516,25,)/VLOOKUP($D32,$C$5:$AU$516,3,))*$E32)</f>
        <v>0</v>
      </c>
      <c r="AB32" s="80">
        <f>IF(VLOOKUP($D32,$C$5:$AU$516,3,)=0,0,(VLOOKUP($D32,$C$5:$AU$516,26,)/VLOOKUP($D32,$C$5:$AU$516,3,))*$E32)</f>
        <v>0</v>
      </c>
      <c r="AC32" s="80">
        <f>IF(VLOOKUP($D32,$C$5:$AU$516,3,)=0,0,(VLOOKUP($D32,$C$5:$AU$516,27,)/VLOOKUP($D32,$C$5:$AU$516,3,))*$E32)</f>
        <v>0</v>
      </c>
      <c r="AD32" s="80">
        <f>IF(VLOOKUP($D32,$C$5:$AU$516,3,)=0,0,(VLOOKUP($D32,$C$5:$AU$516,28,)/VLOOKUP($D32,$C$5:$AU$516,3,))*$E32)</f>
        <v>0</v>
      </c>
      <c r="AE32" s="80">
        <f>IF(VLOOKUP($D32,$C$5:$AU$516,3,)=0,0,(VLOOKUP($D32,$C$5:$AU$516,29,)/VLOOKUP($D32,$C$5:$AU$516,3,))*$E32)</f>
        <v>0</v>
      </c>
      <c r="AF32" s="80">
        <f>IF(VLOOKUP($D32,$C$5:$AU$516,3,)=0,0,(VLOOKUP($D32,$C$5:$AU$516,30,)/VLOOKUP($D32,$C$5:$AU$516,3,))*$E32)</f>
        <v>0</v>
      </c>
      <c r="AG32" s="65">
        <f>SUM(F32:AF32)</f>
        <v>4299684.2701993305</v>
      </c>
      <c r="AH32" s="12" t="str">
        <f>IF(ABS(E32-AG32)&lt;0.01,"ok","err")</f>
        <v>ok</v>
      </c>
    </row>
    <row r="33" spans="1:35" x14ac:dyDescent="0.2">
      <c r="E33" s="7"/>
    </row>
    <row r="34" spans="1:35" x14ac:dyDescent="0.2">
      <c r="A34" s="2" t="s">
        <v>545</v>
      </c>
      <c r="E34" s="7"/>
    </row>
    <row r="35" spans="1:35" x14ac:dyDescent="0.2">
      <c r="A35" s="68" t="s">
        <v>220</v>
      </c>
      <c r="C35" s="3" t="s">
        <v>232</v>
      </c>
      <c r="D35" s="3" t="s">
        <v>233</v>
      </c>
      <c r="E35" s="19">
        <f>'Func &amp; Classif'!Y82</f>
        <v>0</v>
      </c>
      <c r="F35" s="41">
        <f>IF(VLOOKUP($D35,$C$5:$AU$516,3,)=0,0,(VLOOKUP($D35,$C$5:$AU$516,4,)/VLOOKUP($D35,$C$5:$AU$516,3,))*$E35)</f>
        <v>0</v>
      </c>
      <c r="G35" s="41">
        <f>IF(VLOOKUP($D35,$C$5:$AU$516,3,)=0,0,(VLOOKUP($D35,$C$5:$AU$516,5,)/VLOOKUP($D35,$C$5:$AU$516,3,))*$E35)</f>
        <v>0</v>
      </c>
      <c r="H35" s="19">
        <f>IF(VLOOKUP($D35,$C$5:$AU$516,3,)=0,0,(VLOOKUP($D35,$C$5:$AU$516,6,)/VLOOKUP($D35,$C$5:$AU$516,3,))*$E35)</f>
        <v>0</v>
      </c>
      <c r="I35" s="19">
        <f>IF(VLOOKUP($D35,$C$5:$AU$516,3,)=0,0,(VLOOKUP($D35,$C$5:$AU$516,7,)/VLOOKUP($D35,$C$5:$AU$516,3,))*$E35)</f>
        <v>0</v>
      </c>
      <c r="J35" s="19">
        <f>IF(VLOOKUP($D35,$C$5:$AU$516,3,)=0,0,(VLOOKUP($D35,$C$5:$AU$516,8,)/VLOOKUP($D35,$C$5:$AU$516,3,))*$E35)</f>
        <v>0</v>
      </c>
      <c r="K35" s="19">
        <f>IF(VLOOKUP($D35,$C$5:$AU$516,3,)=0,0,(VLOOKUP($D35,$C$5:$AU$516,9,)/VLOOKUP($D35,$C$5:$AU$516,3,))*$E35)</f>
        <v>0</v>
      </c>
      <c r="L35" s="41">
        <f>IF(VLOOKUP($D35,$C$5:$AU$516,3,)=0,0,(VLOOKUP($D35,$C$5:$AU$516,10,)/VLOOKUP($D35,$C$5:$AU$516,3,))*$E35)</f>
        <v>0</v>
      </c>
      <c r="M35" s="19">
        <f>IF(VLOOKUP($D35,$C$5:$AU$516,3,)=0,0,(VLOOKUP($D35,$C$5:$AU$516,11,)/VLOOKUP($D35,$C$5:$AU$516,3,))*$E35)</f>
        <v>0</v>
      </c>
      <c r="N35" s="19">
        <f>IF(VLOOKUP($D35,$C$5:$AU$516,3,)=0,0,(VLOOKUP($D35,$C$5:$AU$516,12,)/VLOOKUP($D35,$C$5:$AU$516,3,))*$E35)</f>
        <v>0</v>
      </c>
      <c r="O35" s="19">
        <f>IF(VLOOKUP($D35,$C$5:$AU$516,3,)=0,0,(VLOOKUP($D35,$C$5:$AU$516,13,)/VLOOKUP($D35,$C$5:$AU$516,3,))*$E35)</f>
        <v>0</v>
      </c>
      <c r="P35" s="19">
        <f>IF(VLOOKUP($D35,$C$5:$AU$516,3,)=0,0,(VLOOKUP($D35,$C$5:$AU$516,14,)/VLOOKUP($D35,$C$5:$AU$516,3,))*$E35)</f>
        <v>0</v>
      </c>
      <c r="Q35" s="19">
        <f>IF(VLOOKUP($D35,$C$5:$AU$516,3,)=0,0,(VLOOKUP($D35,$C$5:$AU$516,15,)/VLOOKUP($D35,$C$5:$AU$516,3,))*$E35)</f>
        <v>0</v>
      </c>
      <c r="R35" s="19">
        <f>IF(VLOOKUP($D35,$C$5:$AU$516,3,)=0,0,(VLOOKUP($D35,$C$5:$AU$516,16,)/VLOOKUP($D35,$C$5:$AU$516,3,))*$E35)</f>
        <v>0</v>
      </c>
      <c r="S35" s="80">
        <f>IF(VLOOKUP($D35,$C$5:$AU$516,3,)=0,0,(VLOOKUP($D35,$C$5:$AU$516,17,)/VLOOKUP($D35,$C$5:$AU$516,3,))*$E35)</f>
        <v>0</v>
      </c>
      <c r="T35" s="80">
        <f>IF(VLOOKUP($D35,$C$5:$AU$516,3,)=0,0,(VLOOKUP($D35,$C$5:$AU$516,18,)/VLOOKUP($D35,$C$5:$AU$516,3,))*$E35)</f>
        <v>0</v>
      </c>
      <c r="U35" s="80">
        <f>IF(VLOOKUP($D35,$C$5:$AU$516,3,)=0,0,(VLOOKUP($D35,$C$5:$AU$516,19,)/VLOOKUP($D35,$C$5:$AU$516,3,))*$E35)</f>
        <v>0</v>
      </c>
      <c r="V35" s="80">
        <f>IF(VLOOKUP($D35,$C$5:$AU$516,3,)=0,0,(VLOOKUP($D35,$C$5:$AU$516,20,)/VLOOKUP($D35,$C$5:$AU$516,3,))*$E35)</f>
        <v>0</v>
      </c>
      <c r="W35" s="80">
        <f>IF(VLOOKUP($D35,$C$5:$AU$516,3,)=0,0,(VLOOKUP($D35,$C$5:$AU$516,21,)/VLOOKUP($D35,$C$5:$AU$516,3,))*$E35)</f>
        <v>0</v>
      </c>
      <c r="X35" s="80">
        <f>IF(VLOOKUP($D35,$C$5:$AU$516,3,)=0,0,(VLOOKUP($D35,$C$5:$AU$516,22,)/VLOOKUP($D35,$C$5:$AU$516,3,))*$E35)</f>
        <v>0</v>
      </c>
      <c r="Y35" s="80">
        <f>IF(VLOOKUP($D35,$C$5:$AU$516,3,)=0,0,(VLOOKUP($D35,$C$5:$AU$516,23,)/VLOOKUP($D35,$C$5:$AU$516,3,))*$E35)</f>
        <v>0</v>
      </c>
      <c r="Z35" s="80">
        <f>IF(VLOOKUP($D35,$C$5:$AU$516,3,)=0,0,(VLOOKUP($D35,$C$5:$AU$516,24,)/VLOOKUP($D35,$C$5:$AU$516,3,))*$E35)</f>
        <v>0</v>
      </c>
      <c r="AA35" s="80">
        <f>IF(VLOOKUP($D35,$C$5:$AU$516,3,)=0,0,(VLOOKUP($D35,$C$5:$AU$516,25,)/VLOOKUP($D35,$C$5:$AU$516,3,))*$E35)</f>
        <v>0</v>
      </c>
      <c r="AB35" s="80">
        <f>IF(VLOOKUP($D35,$C$5:$AU$516,3,)=0,0,(VLOOKUP($D35,$C$5:$AU$516,26,)/VLOOKUP($D35,$C$5:$AU$516,3,))*$E35)</f>
        <v>0</v>
      </c>
      <c r="AC35" s="80">
        <f>IF(VLOOKUP($D35,$C$5:$AU$516,3,)=0,0,(VLOOKUP($D35,$C$5:$AU$516,27,)/VLOOKUP($D35,$C$5:$AU$516,3,))*$E35)</f>
        <v>0</v>
      </c>
      <c r="AD35" s="80">
        <f>IF(VLOOKUP($D35,$C$5:$AU$516,3,)=0,0,(VLOOKUP($D35,$C$5:$AU$516,28,)/VLOOKUP($D35,$C$5:$AU$516,3,))*$E35)</f>
        <v>0</v>
      </c>
      <c r="AE35" s="80">
        <f>IF(VLOOKUP($D35,$C$5:$AU$516,3,)=0,0,(VLOOKUP($D35,$C$5:$AU$516,29,)/VLOOKUP($D35,$C$5:$AU$516,3,))*$E35)</f>
        <v>0</v>
      </c>
      <c r="AF35" s="80">
        <f>IF(VLOOKUP($D35,$C$5:$AU$516,3,)=0,0,(VLOOKUP($D35,$C$5:$AU$516,30,)/VLOOKUP($D35,$C$5:$AU$516,3,))*$E35)</f>
        <v>0</v>
      </c>
      <c r="AG35" s="65">
        <f>SUM(F35:AF35)</f>
        <v>0</v>
      </c>
      <c r="AH35" s="12" t="str">
        <f>IF(ABS(E35-AG35)&lt;0.01,"ok","err")</f>
        <v>ok</v>
      </c>
    </row>
    <row r="36" spans="1:35" x14ac:dyDescent="0.2">
      <c r="E36" s="7"/>
    </row>
    <row r="37" spans="1:35" x14ac:dyDescent="0.2">
      <c r="A37" s="2" t="s">
        <v>470</v>
      </c>
      <c r="E37" s="7"/>
    </row>
    <row r="38" spans="1:35" x14ac:dyDescent="0.2">
      <c r="A38" s="68" t="s">
        <v>220</v>
      </c>
      <c r="C38" s="3" t="s">
        <v>225</v>
      </c>
      <c r="D38" s="3" t="s">
        <v>234</v>
      </c>
      <c r="E38" s="19">
        <f>'Func &amp; Classif'!AA82</f>
        <v>0</v>
      </c>
      <c r="F38" s="41">
        <f>IF(VLOOKUP($D38,$C$5:$AU$516,3,)=0,0,(VLOOKUP($D38,$C$5:$AU$516,4,)/VLOOKUP($D38,$C$5:$AU$516,3,))*$E38)</f>
        <v>0</v>
      </c>
      <c r="G38" s="41">
        <f>IF(VLOOKUP($D38,$C$5:$AU$516,3,)=0,0,(VLOOKUP($D38,$C$5:$AU$516,5,)/VLOOKUP($D38,$C$5:$AU$516,3,))*$E38)</f>
        <v>0</v>
      </c>
      <c r="H38" s="19">
        <f>IF(VLOOKUP($D38,$C$5:$AU$516,3,)=0,0,(VLOOKUP($D38,$C$5:$AU$516,6,)/VLOOKUP($D38,$C$5:$AU$516,3,))*$E38)</f>
        <v>0</v>
      </c>
      <c r="I38" s="19">
        <f>IF(VLOOKUP($D38,$C$5:$AU$516,3,)=0,0,(VLOOKUP($D38,$C$5:$AU$516,7,)/VLOOKUP($D38,$C$5:$AU$516,3,))*$E38)</f>
        <v>0</v>
      </c>
      <c r="J38" s="19">
        <f>IF(VLOOKUP($D38,$C$5:$AU$516,3,)=0,0,(VLOOKUP($D38,$C$5:$AU$516,8,)/VLOOKUP($D38,$C$5:$AU$516,3,))*$E38)</f>
        <v>0</v>
      </c>
      <c r="K38" s="19">
        <f>IF(VLOOKUP($D38,$C$5:$AU$516,3,)=0,0,(VLOOKUP($D38,$C$5:$AU$516,9,)/VLOOKUP($D38,$C$5:$AU$516,3,))*$E38)</f>
        <v>0</v>
      </c>
      <c r="L38" s="41">
        <f>IF(VLOOKUP($D38,$C$5:$AU$516,3,)=0,0,(VLOOKUP($D38,$C$5:$AU$516,10,)/VLOOKUP($D38,$C$5:$AU$516,3,))*$E38)</f>
        <v>0</v>
      </c>
      <c r="M38" s="19">
        <f>IF(VLOOKUP($D38,$C$5:$AU$516,3,)=0,0,(VLOOKUP($D38,$C$5:$AU$516,11,)/VLOOKUP($D38,$C$5:$AU$516,3,))*$E38)</f>
        <v>0</v>
      </c>
      <c r="N38" s="19">
        <f>IF(VLOOKUP($D38,$C$5:$AU$516,3,)=0,0,(VLOOKUP($D38,$C$5:$AU$516,12,)/VLOOKUP($D38,$C$5:$AU$516,3,))*$E38)</f>
        <v>0</v>
      </c>
      <c r="O38" s="19">
        <f>IF(VLOOKUP($D38,$C$5:$AU$516,3,)=0,0,(VLOOKUP($D38,$C$5:$AU$516,13,)/VLOOKUP($D38,$C$5:$AU$516,3,))*$E38)</f>
        <v>0</v>
      </c>
      <c r="P38" s="19">
        <f>IF(VLOOKUP($D38,$C$5:$AU$516,3,)=0,0,(VLOOKUP($D38,$C$5:$AU$516,14,)/VLOOKUP($D38,$C$5:$AU$516,3,))*$E38)</f>
        <v>0</v>
      </c>
      <c r="Q38" s="19">
        <f>IF(VLOOKUP($D38,$C$5:$AU$516,3,)=0,0,(VLOOKUP($D38,$C$5:$AU$516,15,)/VLOOKUP($D38,$C$5:$AU$516,3,))*$E38)</f>
        <v>0</v>
      </c>
      <c r="R38" s="19">
        <f>IF(VLOOKUP($D38,$C$5:$AU$516,3,)=0,0,(VLOOKUP($D38,$C$5:$AU$516,16,)/VLOOKUP($D38,$C$5:$AU$516,3,))*$E38)</f>
        <v>0</v>
      </c>
      <c r="S38" s="80">
        <f>IF(VLOOKUP($D38,$C$5:$AU$516,3,)=0,0,(VLOOKUP($D38,$C$5:$AU$516,17,)/VLOOKUP($D38,$C$5:$AU$516,3,))*$E38)</f>
        <v>0</v>
      </c>
      <c r="T38" s="80">
        <f>IF(VLOOKUP($D38,$C$5:$AU$516,3,)=0,0,(VLOOKUP($D38,$C$5:$AU$516,18,)/VLOOKUP($D38,$C$5:$AU$516,3,))*$E38)</f>
        <v>0</v>
      </c>
      <c r="U38" s="80">
        <f>IF(VLOOKUP($D38,$C$5:$AU$516,3,)=0,0,(VLOOKUP($D38,$C$5:$AU$516,19,)/VLOOKUP($D38,$C$5:$AU$516,3,))*$E38)</f>
        <v>0</v>
      </c>
      <c r="V38" s="80">
        <f>IF(VLOOKUP($D38,$C$5:$AU$516,3,)=0,0,(VLOOKUP($D38,$C$5:$AU$516,20,)/VLOOKUP($D38,$C$5:$AU$516,3,))*$E38)</f>
        <v>0</v>
      </c>
      <c r="W38" s="80">
        <f>IF(VLOOKUP($D38,$C$5:$AU$516,3,)=0,0,(VLOOKUP($D38,$C$5:$AU$516,21,)/VLOOKUP($D38,$C$5:$AU$516,3,))*$E38)</f>
        <v>0</v>
      </c>
      <c r="X38" s="80">
        <f>IF(VLOOKUP($D38,$C$5:$AU$516,3,)=0,0,(VLOOKUP($D38,$C$5:$AU$516,22,)/VLOOKUP($D38,$C$5:$AU$516,3,))*$E38)</f>
        <v>0</v>
      </c>
      <c r="Y38" s="80">
        <f>IF(VLOOKUP($D38,$C$5:$AU$516,3,)=0,0,(VLOOKUP($D38,$C$5:$AU$516,23,)/VLOOKUP($D38,$C$5:$AU$516,3,))*$E38)</f>
        <v>0</v>
      </c>
      <c r="Z38" s="80">
        <f>IF(VLOOKUP($D38,$C$5:$AU$516,3,)=0,0,(VLOOKUP($D38,$C$5:$AU$516,24,)/VLOOKUP($D38,$C$5:$AU$516,3,))*$E38)</f>
        <v>0</v>
      </c>
      <c r="AA38" s="80">
        <f>IF(VLOOKUP($D38,$C$5:$AU$516,3,)=0,0,(VLOOKUP($D38,$C$5:$AU$516,25,)/VLOOKUP($D38,$C$5:$AU$516,3,))*$E38)</f>
        <v>0</v>
      </c>
      <c r="AB38" s="80">
        <f>IF(VLOOKUP($D38,$C$5:$AU$516,3,)=0,0,(VLOOKUP($D38,$C$5:$AU$516,26,)/VLOOKUP($D38,$C$5:$AU$516,3,))*$E38)</f>
        <v>0</v>
      </c>
      <c r="AC38" s="80">
        <f>IF(VLOOKUP($D38,$C$5:$AU$516,3,)=0,0,(VLOOKUP($D38,$C$5:$AU$516,27,)/VLOOKUP($D38,$C$5:$AU$516,3,))*$E38)</f>
        <v>0</v>
      </c>
      <c r="AD38" s="80">
        <f>IF(VLOOKUP($D38,$C$5:$AU$516,3,)=0,0,(VLOOKUP($D38,$C$5:$AU$516,28,)/VLOOKUP($D38,$C$5:$AU$516,3,))*$E38)</f>
        <v>0</v>
      </c>
      <c r="AE38" s="80">
        <f>IF(VLOOKUP($D38,$C$5:$AU$516,3,)=0,0,(VLOOKUP($D38,$C$5:$AU$516,29,)/VLOOKUP($D38,$C$5:$AU$516,3,))*$E38)</f>
        <v>0</v>
      </c>
      <c r="AF38" s="80">
        <f>IF(VLOOKUP($D38,$C$5:$AU$516,3,)=0,0,(VLOOKUP($D38,$C$5:$AU$516,30,)/VLOOKUP($D38,$C$5:$AU$516,3,))*$E38)</f>
        <v>0</v>
      </c>
      <c r="AG38" s="65">
        <f>SUM(F38:AF38)</f>
        <v>0</v>
      </c>
      <c r="AH38" s="12" t="str">
        <f>IF(ABS(E38-AG38)&lt;0.01,"ok","err")</f>
        <v>ok</v>
      </c>
    </row>
    <row r="39" spans="1:35" x14ac:dyDescent="0.2">
      <c r="E39" s="7"/>
    </row>
    <row r="40" spans="1:35" x14ac:dyDescent="0.2">
      <c r="A40" s="3" t="s">
        <v>0</v>
      </c>
      <c r="C40" s="3" t="s">
        <v>235</v>
      </c>
      <c r="E40" s="19">
        <f>E10+E13+E16+E21+E26+E29+E32+E35+E38</f>
        <v>63219156.829999998</v>
      </c>
      <c r="F40" s="19">
        <f t="shared" ref="F40:R40" si="6">F10+F13+F16+F21+F26+F29+F32+F35+F38</f>
        <v>48031879.534103945</v>
      </c>
      <c r="G40" s="19">
        <f t="shared" si="6"/>
        <v>2823824.5473288046</v>
      </c>
      <c r="H40" s="19">
        <f t="shared" si="6"/>
        <v>3762746.4529792927</v>
      </c>
      <c r="I40" s="19">
        <f t="shared" si="6"/>
        <v>1662075.6446019846</v>
      </c>
      <c r="J40" s="19">
        <f t="shared" si="6"/>
        <v>545839.31596445153</v>
      </c>
      <c r="K40" s="19">
        <f t="shared" si="6"/>
        <v>6392791.3350215331</v>
      </c>
      <c r="L40" s="19">
        <f t="shared" si="6"/>
        <v>0</v>
      </c>
      <c r="M40" s="19">
        <f t="shared" si="6"/>
        <v>0</v>
      </c>
      <c r="N40" s="19">
        <f t="shared" si="6"/>
        <v>0</v>
      </c>
      <c r="O40" s="19">
        <f t="shared" si="6"/>
        <v>0</v>
      </c>
      <c r="P40" s="19">
        <f t="shared" si="6"/>
        <v>0</v>
      </c>
      <c r="Q40" s="19">
        <f t="shared" si="6"/>
        <v>0</v>
      </c>
      <c r="R40" s="19">
        <f t="shared" si="6"/>
        <v>0</v>
      </c>
      <c r="S40" s="80">
        <f t="shared" ref="S40:AF40" si="7">S10+S16+S21+S26+S29+S32+S35+S38</f>
        <v>0</v>
      </c>
      <c r="T40" s="80">
        <f t="shared" si="7"/>
        <v>0</v>
      </c>
      <c r="U40" s="80">
        <f t="shared" si="7"/>
        <v>0</v>
      </c>
      <c r="V40" s="80">
        <f t="shared" si="7"/>
        <v>0</v>
      </c>
      <c r="W40" s="80">
        <f t="shared" si="7"/>
        <v>0</v>
      </c>
      <c r="X40" s="80">
        <f t="shared" si="7"/>
        <v>0</v>
      </c>
      <c r="Y40" s="80">
        <f t="shared" si="7"/>
        <v>0</v>
      </c>
      <c r="Z40" s="80">
        <f t="shared" si="7"/>
        <v>0</v>
      </c>
      <c r="AA40" s="80">
        <f t="shared" si="7"/>
        <v>0</v>
      </c>
      <c r="AB40" s="80">
        <f t="shared" si="7"/>
        <v>0</v>
      </c>
      <c r="AC40" s="80">
        <f t="shared" si="7"/>
        <v>0</v>
      </c>
      <c r="AD40" s="80">
        <f t="shared" si="7"/>
        <v>0</v>
      </c>
      <c r="AE40" s="80">
        <f t="shared" si="7"/>
        <v>0</v>
      </c>
      <c r="AF40" s="80">
        <f t="shared" si="7"/>
        <v>0</v>
      </c>
      <c r="AG40" s="65">
        <f>SUM(F40:AF40)</f>
        <v>63219156.830000013</v>
      </c>
      <c r="AH40" s="12" t="str">
        <f>IF(ABS(E40-AG40)&lt;0.01,"ok","err")</f>
        <v>ok</v>
      </c>
      <c r="AI40" s="65"/>
    </row>
    <row r="44" spans="1:35" x14ac:dyDescent="0.2">
      <c r="A44" s="10" t="s">
        <v>83</v>
      </c>
    </row>
    <row r="46" spans="1:35" x14ac:dyDescent="0.2">
      <c r="A46" s="2" t="s">
        <v>864</v>
      </c>
    </row>
    <row r="47" spans="1:35" x14ac:dyDescent="0.2">
      <c r="A47" s="68" t="s">
        <v>208</v>
      </c>
      <c r="C47" s="3" t="s">
        <v>236</v>
      </c>
      <c r="D47" s="3" t="s">
        <v>657</v>
      </c>
      <c r="E47" s="19">
        <f>'Func &amp; Classif'!H126</f>
        <v>0</v>
      </c>
      <c r="F47" s="41">
        <f>IF(VLOOKUP($D47,$C$5:$AU$516,3,)=0,0,(VLOOKUP($D47,$C$5:$AU$516,4,)/VLOOKUP($D47,$C$5:$AU$516,3,))*$E47)</f>
        <v>0</v>
      </c>
      <c r="G47" s="41">
        <f>IF(VLOOKUP($D47,$C$5:$AU$516,3,)=0,0,(VLOOKUP($D47,$C$5:$AU$516,5,)/VLOOKUP($D47,$C$5:$AU$516,3,))*$E47)</f>
        <v>0</v>
      </c>
      <c r="H47" s="19">
        <f>IF(VLOOKUP($D47,$C$5:$AU$516,3,)=0,0,(VLOOKUP($D47,$C$5:$AU$516,6,)/VLOOKUP($D47,$C$5:$AU$516,3,))*$E47)</f>
        <v>0</v>
      </c>
      <c r="I47" s="19">
        <f>IF(VLOOKUP($D47,$C$5:$AU$516,3,)=0,0,(VLOOKUP($D47,$C$5:$AU$516,7,)/VLOOKUP($D47,$C$5:$AU$516,3,))*$E47)</f>
        <v>0</v>
      </c>
      <c r="J47" s="19">
        <f>IF(VLOOKUP($D47,$C$5:$AU$516,3,)=0,0,(VLOOKUP($D47,$C$5:$AU$516,8,)/VLOOKUP($D47,$C$5:$AU$516,3,))*$E47)</f>
        <v>0</v>
      </c>
      <c r="K47" s="19">
        <f>IF(VLOOKUP($D47,$C$5:$AU$516,3,)=0,0,(VLOOKUP($D47,$C$5:$AU$516,9,)/VLOOKUP($D47,$C$5:$AU$516,3,))*$E47)</f>
        <v>0</v>
      </c>
      <c r="L47" s="41">
        <f>IF(VLOOKUP($D47,$C$5:$AU$516,3,)=0,0,(VLOOKUP($D47,$C$5:$AU$516,10,)/VLOOKUP($D47,$C$5:$AU$516,3,))*$E47)</f>
        <v>0</v>
      </c>
      <c r="M47" s="19">
        <f>IF(VLOOKUP($D47,$C$5:$AU$516,3,)=0,0,(VLOOKUP($D47,$C$5:$AU$516,11,)/VLOOKUP($D47,$C$5:$AU$516,3,))*$E47)</f>
        <v>0</v>
      </c>
      <c r="N47" s="19">
        <f>IF(VLOOKUP($D47,$C$5:$AU$516,3,)=0,0,(VLOOKUP($D47,$C$5:$AU$516,12,)/VLOOKUP($D47,$C$5:$AU$516,3,))*$E47)</f>
        <v>0</v>
      </c>
      <c r="O47" s="19">
        <f>IF(VLOOKUP($D47,$C$5:$AU$516,3,)=0,0,(VLOOKUP($D47,$C$5:$AU$516,13,)/VLOOKUP($D47,$C$5:$AU$516,3,))*$E47)</f>
        <v>0</v>
      </c>
      <c r="P47" s="19">
        <f>IF(VLOOKUP($D47,$C$5:$AU$516,3,)=0,0,(VLOOKUP($D47,$C$5:$AU$516,14,)/VLOOKUP($D47,$C$5:$AU$516,3,))*$E47)</f>
        <v>0</v>
      </c>
      <c r="Q47" s="19">
        <f>IF(VLOOKUP($D47,$C$5:$AU$516,3,)=0,0,(VLOOKUP($D47,$C$5:$AU$516,15,)/VLOOKUP($D47,$C$5:$AU$516,3,))*$E47)</f>
        <v>0</v>
      </c>
      <c r="R47" s="19">
        <f>IF(VLOOKUP($D47,$C$5:$AU$516,3,)=0,0,(VLOOKUP($D47,$C$5:$AU$516,16,)/VLOOKUP($D47,$C$5:$AU$516,3,))*$E47)</f>
        <v>0</v>
      </c>
      <c r="S47" s="80">
        <f>IF(VLOOKUP($D47,$C$5:$AU$516,3,)=0,0,(VLOOKUP($D47,$C$5:$AU$516,17,)/VLOOKUP($D47,$C$5:$AU$516,3,))*$E47)</f>
        <v>0</v>
      </c>
      <c r="T47" s="80">
        <f>IF(VLOOKUP($D47,$C$5:$AU$516,3,)=0,0,(VLOOKUP($D47,$C$5:$AU$516,18,)/VLOOKUP($D47,$C$5:$AU$516,3,))*$E47)</f>
        <v>0</v>
      </c>
      <c r="U47" s="80">
        <f>IF(VLOOKUP($D47,$C$5:$AU$516,3,)=0,0,(VLOOKUP($D47,$C$5:$AU$516,19,)/VLOOKUP($D47,$C$5:$AU$516,3,))*$E47)</f>
        <v>0</v>
      </c>
      <c r="V47" s="80">
        <f>IF(VLOOKUP($D47,$C$5:$AU$516,3,)=0,0,(VLOOKUP($D47,$C$5:$AU$516,20,)/VLOOKUP($D47,$C$5:$AU$516,3,))*$E47)</f>
        <v>0</v>
      </c>
      <c r="W47" s="80">
        <f>IF(VLOOKUP($D47,$C$5:$AU$516,3,)=0,0,(VLOOKUP($D47,$C$5:$AU$516,21,)/VLOOKUP($D47,$C$5:$AU$516,3,))*$E47)</f>
        <v>0</v>
      </c>
      <c r="X47" s="80">
        <f>IF(VLOOKUP($D47,$C$5:$AU$516,3,)=0,0,(VLOOKUP($D47,$C$5:$AU$516,22,)/VLOOKUP($D47,$C$5:$AU$516,3,))*$E47)</f>
        <v>0</v>
      </c>
      <c r="Y47" s="80">
        <f>IF(VLOOKUP($D47,$C$5:$AU$516,3,)=0,0,(VLOOKUP($D47,$C$5:$AU$516,23,)/VLOOKUP($D47,$C$5:$AU$516,3,))*$E47)</f>
        <v>0</v>
      </c>
      <c r="Z47" s="80">
        <f>IF(VLOOKUP($D47,$C$5:$AU$516,3,)=0,0,(VLOOKUP($D47,$C$5:$AU$516,24,)/VLOOKUP($D47,$C$5:$AU$516,3,))*$E47)</f>
        <v>0</v>
      </c>
      <c r="AA47" s="80">
        <f>IF(VLOOKUP($D47,$C$5:$AU$516,3,)=0,0,(VLOOKUP($D47,$C$5:$AU$516,25,)/VLOOKUP($D47,$C$5:$AU$516,3,))*$E47)</f>
        <v>0</v>
      </c>
      <c r="AB47" s="80">
        <f>IF(VLOOKUP($D47,$C$5:$AU$516,3,)=0,0,(VLOOKUP($D47,$C$5:$AU$516,26,)/VLOOKUP($D47,$C$5:$AU$516,3,))*$E47)</f>
        <v>0</v>
      </c>
      <c r="AC47" s="80">
        <f>IF(VLOOKUP($D47,$C$5:$AU$516,3,)=0,0,(VLOOKUP($D47,$C$5:$AU$516,27,)/VLOOKUP($D47,$C$5:$AU$516,3,))*$E47)</f>
        <v>0</v>
      </c>
      <c r="AD47" s="80">
        <f>IF(VLOOKUP($D47,$C$5:$AU$516,3,)=0,0,(VLOOKUP($D47,$C$5:$AU$516,28,)/VLOOKUP($D47,$C$5:$AU$516,3,))*$E47)</f>
        <v>0</v>
      </c>
      <c r="AE47" s="80">
        <f>IF(VLOOKUP($D47,$C$5:$AU$516,3,)=0,0,(VLOOKUP($D47,$C$5:$AU$516,29,)/VLOOKUP($D47,$C$5:$AU$516,3,))*$E47)</f>
        <v>0</v>
      </c>
      <c r="AF47" s="80">
        <f>IF(VLOOKUP($D47,$C$5:$AU$516,3,)=0,0,(VLOOKUP($D47,$C$5:$AU$516,30,)/VLOOKUP($D47,$C$5:$AU$516,3,))*$E47)</f>
        <v>0</v>
      </c>
      <c r="AG47" s="65">
        <f>SUM(F47:AF47)</f>
        <v>0</v>
      </c>
      <c r="AH47" s="12" t="str">
        <f>IF(ABS(E47-AG47)&lt;0.01,"ok","err")</f>
        <v>ok</v>
      </c>
    </row>
    <row r="48" spans="1:35" x14ac:dyDescent="0.2">
      <c r="A48" s="68" t="s">
        <v>211</v>
      </c>
      <c r="C48" s="3" t="s">
        <v>237</v>
      </c>
      <c r="D48" s="3" t="s">
        <v>666</v>
      </c>
      <c r="E48" s="7">
        <f>'Func &amp; Classif'!I126</f>
        <v>0</v>
      </c>
      <c r="F48" s="41">
        <f>IF(VLOOKUP($D48,$C$5:$AU$516,3,)=0,0,(VLOOKUP($D48,$C$5:$AU$516,4,)/VLOOKUP($D48,$C$5:$AU$516,3,))*$E48)</f>
        <v>0</v>
      </c>
      <c r="G48" s="41">
        <f>IF(VLOOKUP($D48,$C$5:$AU$516,3,)=0,0,(VLOOKUP($D48,$C$5:$AU$516,5,)/VLOOKUP($D48,$C$5:$AU$516,3,))*$E48)</f>
        <v>0</v>
      </c>
      <c r="H48" s="19">
        <f>IF(VLOOKUP($D48,$C$5:$AU$516,3,)=0,0,(VLOOKUP($D48,$C$5:$AU$516,6,)/VLOOKUP($D48,$C$5:$AU$516,3,))*$E48)</f>
        <v>0</v>
      </c>
      <c r="I48" s="19">
        <f>IF(VLOOKUP($D48,$C$5:$AU$516,3,)=0,0,(VLOOKUP($D48,$C$5:$AU$516,7,)/VLOOKUP($D48,$C$5:$AU$516,3,))*$E48)</f>
        <v>0</v>
      </c>
      <c r="J48" s="19">
        <f>IF(VLOOKUP($D48,$C$5:$AU$516,3,)=0,0,(VLOOKUP($D48,$C$5:$AU$516,8,)/VLOOKUP($D48,$C$5:$AU$516,3,))*$E48)</f>
        <v>0</v>
      </c>
      <c r="K48" s="19">
        <f>IF(VLOOKUP($D48,$C$5:$AU$516,3,)=0,0,(VLOOKUP($D48,$C$5:$AU$516,9,)/VLOOKUP($D48,$C$5:$AU$516,3,))*$E48)</f>
        <v>0</v>
      </c>
      <c r="L48" s="41">
        <f>IF(VLOOKUP($D48,$C$5:$AU$516,3,)=0,0,(VLOOKUP($D48,$C$5:$AU$516,10,)/VLOOKUP($D48,$C$5:$AU$516,3,))*$E48)</f>
        <v>0</v>
      </c>
      <c r="M48" s="19">
        <f>IF(VLOOKUP($D48,$C$5:$AU$516,3,)=0,0,(VLOOKUP($D48,$C$5:$AU$516,11,)/VLOOKUP($D48,$C$5:$AU$516,3,))*$E48)</f>
        <v>0</v>
      </c>
      <c r="N48" s="19">
        <f>IF(VLOOKUP($D48,$C$5:$AU$516,3,)=0,0,(VLOOKUP($D48,$C$5:$AU$516,12,)/VLOOKUP($D48,$C$5:$AU$516,3,))*$E48)</f>
        <v>0</v>
      </c>
      <c r="O48" s="19">
        <f>IF(VLOOKUP($D48,$C$5:$AU$516,3,)=0,0,(VLOOKUP($D48,$C$5:$AU$516,13,)/VLOOKUP($D48,$C$5:$AU$516,3,))*$E48)</f>
        <v>0</v>
      </c>
      <c r="P48" s="19">
        <f>IF(VLOOKUP($D48,$C$5:$AU$516,3,)=0,0,(VLOOKUP($D48,$C$5:$AU$516,14,)/VLOOKUP($D48,$C$5:$AU$516,3,))*$E48)</f>
        <v>0</v>
      </c>
      <c r="Q48" s="19">
        <f>IF(VLOOKUP($D48,$C$5:$AU$516,3,)=0,0,(VLOOKUP($D48,$C$5:$AU$516,15,)/VLOOKUP($D48,$C$5:$AU$516,3,))*$E48)</f>
        <v>0</v>
      </c>
      <c r="R48" s="19">
        <f>IF(VLOOKUP($D48,$C$5:$AU$516,3,)=0,0,(VLOOKUP($D48,$C$5:$AU$516,16,)/VLOOKUP($D48,$C$5:$AU$516,3,))*$E48)</f>
        <v>0</v>
      </c>
      <c r="S48" s="80">
        <f>IF(VLOOKUP($D48,$C$5:$AU$516,3,)=0,0,(VLOOKUP($D48,$C$5:$AU$516,17,)/VLOOKUP($D48,$C$5:$AU$516,3,))*$E48)</f>
        <v>0</v>
      </c>
      <c r="T48" s="80">
        <f>IF(VLOOKUP($D48,$C$5:$AU$516,3,)=0,0,(VLOOKUP($D48,$C$5:$AU$516,18,)/VLOOKUP($D48,$C$5:$AU$516,3,))*$E48)</f>
        <v>0</v>
      </c>
      <c r="U48" s="80">
        <f>IF(VLOOKUP($D48,$C$5:$AU$516,3,)=0,0,(VLOOKUP($D48,$C$5:$AU$516,19,)/VLOOKUP($D48,$C$5:$AU$516,3,))*$E48)</f>
        <v>0</v>
      </c>
      <c r="V48" s="80">
        <f>IF(VLOOKUP($D48,$C$5:$AU$516,3,)=0,0,(VLOOKUP($D48,$C$5:$AU$516,20,)/VLOOKUP($D48,$C$5:$AU$516,3,))*$E48)</f>
        <v>0</v>
      </c>
      <c r="W48" s="80">
        <f>IF(VLOOKUP($D48,$C$5:$AU$516,3,)=0,0,(VLOOKUP($D48,$C$5:$AU$516,21,)/VLOOKUP($D48,$C$5:$AU$516,3,))*$E48)</f>
        <v>0</v>
      </c>
      <c r="X48" s="80">
        <f>IF(VLOOKUP($D48,$C$5:$AU$516,3,)=0,0,(VLOOKUP($D48,$C$5:$AU$516,22,)/VLOOKUP($D48,$C$5:$AU$516,3,))*$E48)</f>
        <v>0</v>
      </c>
      <c r="Y48" s="80">
        <f>IF(VLOOKUP($D48,$C$5:$AU$516,3,)=0,0,(VLOOKUP($D48,$C$5:$AU$516,23,)/VLOOKUP($D48,$C$5:$AU$516,3,))*$E48)</f>
        <v>0</v>
      </c>
      <c r="Z48" s="80">
        <f>IF(VLOOKUP($D48,$C$5:$AU$516,3,)=0,0,(VLOOKUP($D48,$C$5:$AU$516,24,)/VLOOKUP($D48,$C$5:$AU$516,3,))*$E48)</f>
        <v>0</v>
      </c>
      <c r="AA48" s="80">
        <f>IF(VLOOKUP($D48,$C$5:$AU$516,3,)=0,0,(VLOOKUP($D48,$C$5:$AU$516,25,)/VLOOKUP($D48,$C$5:$AU$516,3,))*$E48)</f>
        <v>0</v>
      </c>
      <c r="AB48" s="80">
        <f>IF(VLOOKUP($D48,$C$5:$AU$516,3,)=0,0,(VLOOKUP($D48,$C$5:$AU$516,26,)/VLOOKUP($D48,$C$5:$AU$516,3,))*$E48)</f>
        <v>0</v>
      </c>
      <c r="AC48" s="80">
        <f>IF(VLOOKUP($D48,$C$5:$AU$516,3,)=0,0,(VLOOKUP($D48,$C$5:$AU$516,27,)/VLOOKUP($D48,$C$5:$AU$516,3,))*$E48)</f>
        <v>0</v>
      </c>
      <c r="AD48" s="80">
        <f>IF(VLOOKUP($D48,$C$5:$AU$516,3,)=0,0,(VLOOKUP($D48,$C$5:$AU$516,28,)/VLOOKUP($D48,$C$5:$AU$516,3,))*$E48)</f>
        <v>0</v>
      </c>
      <c r="AE48" s="80">
        <f>IF(VLOOKUP($D48,$C$5:$AU$516,3,)=0,0,(VLOOKUP($D48,$C$5:$AU$516,29,)/VLOOKUP($D48,$C$5:$AU$516,3,))*$E48)</f>
        <v>0</v>
      </c>
      <c r="AF48" s="80">
        <f>IF(VLOOKUP($D48,$C$5:$AU$516,3,)=0,0,(VLOOKUP($D48,$C$5:$AU$516,30,)/VLOOKUP($D48,$C$5:$AU$516,3,))*$E48)</f>
        <v>0</v>
      </c>
      <c r="AG48" s="65">
        <f>SUM(F48:AF48)</f>
        <v>0</v>
      </c>
      <c r="AH48" s="12" t="str">
        <f>IF(ABS(E48-AG48)&lt;0.01,"ok","err")</f>
        <v>ok</v>
      </c>
    </row>
    <row r="49" spans="1:34" x14ac:dyDescent="0.2">
      <c r="A49" s="3" t="s">
        <v>214</v>
      </c>
      <c r="C49" s="3" t="s">
        <v>238</v>
      </c>
      <c r="E49" s="7">
        <f t="shared" ref="E49:T49" si="8">E47+E48</f>
        <v>0</v>
      </c>
      <c r="F49" s="41">
        <f t="shared" si="8"/>
        <v>0</v>
      </c>
      <c r="G49" s="41">
        <f t="shared" si="8"/>
        <v>0</v>
      </c>
      <c r="H49" s="19">
        <f t="shared" si="8"/>
        <v>0</v>
      </c>
      <c r="I49" s="19">
        <f t="shared" si="8"/>
        <v>0</v>
      </c>
      <c r="J49" s="19">
        <f t="shared" si="8"/>
        <v>0</v>
      </c>
      <c r="K49" s="19">
        <f t="shared" si="8"/>
        <v>0</v>
      </c>
      <c r="L49" s="41">
        <f t="shared" si="8"/>
        <v>0</v>
      </c>
      <c r="M49" s="19">
        <f t="shared" si="8"/>
        <v>0</v>
      </c>
      <c r="N49" s="19">
        <f t="shared" si="8"/>
        <v>0</v>
      </c>
      <c r="O49" s="19">
        <f t="shared" si="8"/>
        <v>0</v>
      </c>
      <c r="P49" s="19">
        <f t="shared" si="8"/>
        <v>0</v>
      </c>
      <c r="Q49" s="19">
        <f t="shared" si="8"/>
        <v>0</v>
      </c>
      <c r="R49" s="19">
        <f t="shared" si="8"/>
        <v>0</v>
      </c>
      <c r="S49" s="80">
        <f t="shared" si="8"/>
        <v>0</v>
      </c>
      <c r="T49" s="80">
        <f t="shared" si="8"/>
        <v>0</v>
      </c>
      <c r="U49" s="80">
        <f t="shared" ref="U49:AF49" si="9">U47+U48</f>
        <v>0</v>
      </c>
      <c r="V49" s="80">
        <f t="shared" si="9"/>
        <v>0</v>
      </c>
      <c r="W49" s="80">
        <f t="shared" si="9"/>
        <v>0</v>
      </c>
      <c r="X49" s="80">
        <f t="shared" si="9"/>
        <v>0</v>
      </c>
      <c r="Y49" s="80">
        <f t="shared" si="9"/>
        <v>0</v>
      </c>
      <c r="Z49" s="80">
        <f t="shared" si="9"/>
        <v>0</v>
      </c>
      <c r="AA49" s="80">
        <f t="shared" si="9"/>
        <v>0</v>
      </c>
      <c r="AB49" s="80">
        <f t="shared" si="9"/>
        <v>0</v>
      </c>
      <c r="AC49" s="80">
        <f t="shared" si="9"/>
        <v>0</v>
      </c>
      <c r="AD49" s="80">
        <f t="shared" si="9"/>
        <v>0</v>
      </c>
      <c r="AE49" s="80">
        <f t="shared" si="9"/>
        <v>0</v>
      </c>
      <c r="AF49" s="80">
        <f t="shared" si="9"/>
        <v>0</v>
      </c>
      <c r="AG49" s="65">
        <f>SUM(F49:AF49)</f>
        <v>0</v>
      </c>
      <c r="AH49" s="12" t="str">
        <f>IF(ABS(E49-AG49)&lt;0.01,"ok","err")</f>
        <v>ok</v>
      </c>
    </row>
    <row r="50" spans="1:34" x14ac:dyDescent="0.2">
      <c r="E50" s="7"/>
      <c r="F50" s="24"/>
    </row>
    <row r="51" spans="1:34" x14ac:dyDescent="0.2">
      <c r="A51" s="2" t="s">
        <v>349</v>
      </c>
      <c r="E51" s="7"/>
      <c r="F51" s="24"/>
    </row>
    <row r="52" spans="1:34" x14ac:dyDescent="0.2">
      <c r="A52" s="68" t="s">
        <v>208</v>
      </c>
      <c r="C52" s="3" t="s">
        <v>853</v>
      </c>
      <c r="D52" s="3" t="s">
        <v>600</v>
      </c>
      <c r="E52" s="19">
        <f>'Func &amp; Classif'!K126</f>
        <v>0</v>
      </c>
      <c r="F52" s="41">
        <f>IF(VLOOKUP($D52,$C$5:$AU$516,3,)=0,0,(VLOOKUP($D52,$C$5:$AU$516,4,)/VLOOKUP($D52,$C$5:$AU$516,3,))*$E52)</f>
        <v>0</v>
      </c>
      <c r="G52" s="41">
        <f>IF(VLOOKUP($D52,$C$5:$AU$516,3,)=0,0,(VLOOKUP($D52,$C$5:$AU$516,5,)/VLOOKUP($D52,$C$5:$AU$516,3,))*$E52)</f>
        <v>0</v>
      </c>
      <c r="H52" s="19">
        <f>IF(VLOOKUP($D52,$C$5:$AU$516,3,)=0,0,(VLOOKUP($D52,$C$5:$AU$516,6,)/VLOOKUP($D52,$C$5:$AU$516,3,))*$E52)</f>
        <v>0</v>
      </c>
      <c r="I52" s="19">
        <f>IF(VLOOKUP($D52,$C$5:$AU$516,3,)=0,0,(VLOOKUP($D52,$C$5:$AU$516,7,)/VLOOKUP($D52,$C$5:$AU$516,3,))*$E52)</f>
        <v>0</v>
      </c>
      <c r="J52" s="19">
        <f>IF(VLOOKUP($D52,$C$5:$AU$516,3,)=0,0,(VLOOKUP($D52,$C$5:$AU$516,8,)/VLOOKUP($D52,$C$5:$AU$516,3,))*$E52)</f>
        <v>0</v>
      </c>
      <c r="K52" s="19">
        <f>IF(VLOOKUP($D52,$C$5:$AU$516,3,)=0,0,(VLOOKUP($D52,$C$5:$AU$516,9,)/VLOOKUP($D52,$C$5:$AU$516,3,))*$E52)</f>
        <v>0</v>
      </c>
      <c r="L52" s="41">
        <f>IF(VLOOKUP($D52,$C$5:$AU$516,3,)=0,0,(VLOOKUP($D52,$C$5:$AU$516,10,)/VLOOKUP($D52,$C$5:$AU$516,3,))*$E52)</f>
        <v>0</v>
      </c>
      <c r="M52" s="19">
        <f>IF(VLOOKUP($D52,$C$5:$AU$516,3,)=0,0,(VLOOKUP($D52,$C$5:$AU$516,11,)/VLOOKUP($D52,$C$5:$AU$516,3,))*$E52)</f>
        <v>0</v>
      </c>
      <c r="N52" s="19">
        <f>IF(VLOOKUP($D52,$C$5:$AU$516,3,)=0,0,(VLOOKUP($D52,$C$5:$AU$516,12,)/VLOOKUP($D52,$C$5:$AU$516,3,))*$E52)</f>
        <v>0</v>
      </c>
      <c r="O52" s="19">
        <f>IF(VLOOKUP($D52,$C$5:$AU$516,3,)=0,0,(VLOOKUP($D52,$C$5:$AU$516,13,)/VLOOKUP($D52,$C$5:$AU$516,3,))*$E52)</f>
        <v>0</v>
      </c>
      <c r="P52" s="19">
        <f>IF(VLOOKUP($D52,$C$5:$AU$516,3,)=0,0,(VLOOKUP($D52,$C$5:$AU$516,14,)/VLOOKUP($D52,$C$5:$AU$516,3,))*$E52)</f>
        <v>0</v>
      </c>
      <c r="Q52" s="19">
        <f>IF(VLOOKUP($D52,$C$5:$AU$516,3,)=0,0,(VLOOKUP($D52,$C$5:$AU$516,15,)/VLOOKUP($D52,$C$5:$AU$516,3,))*$E52)</f>
        <v>0</v>
      </c>
      <c r="R52" s="19">
        <f>IF(VLOOKUP($D52,$C$5:$AU$516,3,)=0,0,(VLOOKUP($D52,$C$5:$AU$516,16,)/VLOOKUP($D52,$C$5:$AU$516,3,))*$E52)</f>
        <v>0</v>
      </c>
      <c r="S52" s="80">
        <f>IF(VLOOKUP($D52,$C$5:$AU$516,3,)=0,0,(VLOOKUP($D52,$C$5:$AU$516,17,)/VLOOKUP($D52,$C$5:$AU$516,3,))*$E52)</f>
        <v>0</v>
      </c>
      <c r="T52" s="80">
        <f>IF(VLOOKUP($D52,$C$5:$AU$516,3,)=0,0,(VLOOKUP($D52,$C$5:$AU$516,18,)/VLOOKUP($D52,$C$5:$AU$516,3,))*$E52)</f>
        <v>0</v>
      </c>
      <c r="U52" s="80">
        <f>IF(VLOOKUP($D52,$C$5:$AU$516,3,)=0,0,(VLOOKUP($D52,$C$5:$AU$516,19,)/VLOOKUP($D52,$C$5:$AU$516,3,))*$E52)</f>
        <v>0</v>
      </c>
      <c r="V52" s="80">
        <f>IF(VLOOKUP($D52,$C$5:$AU$516,3,)=0,0,(VLOOKUP($D52,$C$5:$AU$516,20,)/VLOOKUP($D52,$C$5:$AU$516,3,))*$E52)</f>
        <v>0</v>
      </c>
      <c r="W52" s="80">
        <f>IF(VLOOKUP($D52,$C$5:$AU$516,3,)=0,0,(VLOOKUP($D52,$C$5:$AU$516,21,)/VLOOKUP($D52,$C$5:$AU$516,3,))*$E52)</f>
        <v>0</v>
      </c>
      <c r="X52" s="80">
        <f>IF(VLOOKUP($D52,$C$5:$AU$516,3,)=0,0,(VLOOKUP($D52,$C$5:$AU$516,22,)/VLOOKUP($D52,$C$5:$AU$516,3,))*$E52)</f>
        <v>0</v>
      </c>
      <c r="Y52" s="80">
        <f>IF(VLOOKUP($D52,$C$5:$AU$516,3,)=0,0,(VLOOKUP($D52,$C$5:$AU$516,23,)/VLOOKUP($D52,$C$5:$AU$516,3,))*$E52)</f>
        <v>0</v>
      </c>
      <c r="Z52" s="80">
        <f>IF(VLOOKUP($D52,$C$5:$AU$516,3,)=0,0,(VLOOKUP($D52,$C$5:$AU$516,24,)/VLOOKUP($D52,$C$5:$AU$516,3,))*$E52)</f>
        <v>0</v>
      </c>
      <c r="AA52" s="80">
        <f>IF(VLOOKUP($D52,$C$5:$AU$516,3,)=0,0,(VLOOKUP($D52,$C$5:$AU$516,25,)/VLOOKUP($D52,$C$5:$AU$516,3,))*$E52)</f>
        <v>0</v>
      </c>
      <c r="AB52" s="80">
        <f>IF(VLOOKUP($D52,$C$5:$AU$516,3,)=0,0,(VLOOKUP($D52,$C$5:$AU$516,26,)/VLOOKUP($D52,$C$5:$AU$516,3,))*$E52)</f>
        <v>0</v>
      </c>
      <c r="AC52" s="80">
        <f>IF(VLOOKUP($D52,$C$5:$AU$516,3,)=0,0,(VLOOKUP($D52,$C$5:$AU$516,27,)/VLOOKUP($D52,$C$5:$AU$516,3,))*$E52)</f>
        <v>0</v>
      </c>
      <c r="AD52" s="80">
        <f>IF(VLOOKUP($D52,$C$5:$AU$516,3,)=0,0,(VLOOKUP($D52,$C$5:$AU$516,28,)/VLOOKUP($D52,$C$5:$AU$516,3,))*$E52)</f>
        <v>0</v>
      </c>
      <c r="AE52" s="80">
        <f>IF(VLOOKUP($D52,$C$5:$AU$516,3,)=0,0,(VLOOKUP($D52,$C$5:$AU$516,29,)/VLOOKUP($D52,$C$5:$AU$516,3,))*$E52)</f>
        <v>0</v>
      </c>
      <c r="AF52" s="80">
        <f>IF(VLOOKUP($D52,$C$5:$AU$516,3,)=0,0,(VLOOKUP($D52,$C$5:$AU$516,30,)/VLOOKUP($D52,$C$5:$AU$516,3,))*$E52)</f>
        <v>0</v>
      </c>
      <c r="AG52" s="65">
        <f>SUM(F52:AF52)</f>
        <v>0</v>
      </c>
      <c r="AH52" s="12" t="str">
        <f>IF(ABS(E52-AG52)&lt;0.01,"ok","err")</f>
        <v>ok</v>
      </c>
    </row>
    <row r="53" spans="1:34" x14ac:dyDescent="0.2">
      <c r="E53" s="7"/>
    </row>
    <row r="54" spans="1:34" x14ac:dyDescent="0.2">
      <c r="A54" s="2" t="s">
        <v>1</v>
      </c>
      <c r="E54" s="7"/>
      <c r="F54" s="24"/>
    </row>
    <row r="55" spans="1:34" x14ac:dyDescent="0.2">
      <c r="A55" s="68" t="s">
        <v>208</v>
      </c>
      <c r="C55" s="3" t="s">
        <v>239</v>
      </c>
      <c r="D55" s="3" t="s">
        <v>616</v>
      </c>
      <c r="E55" s="19">
        <f>'Func &amp; Classif'!M126</f>
        <v>301362.86366389622</v>
      </c>
      <c r="F55" s="41">
        <f>IF(VLOOKUP($D55,$C$5:$AU$516,3,)=0,0,(VLOOKUP($D55,$C$5:$AU$516,4,)/VLOOKUP($D55,$C$5:$AU$516,3,))*$E55)</f>
        <v>239524.98035604061</v>
      </c>
      <c r="G55" s="41">
        <f>IF(VLOOKUP($D55,$C$5:$AU$516,3,)=0,0,(VLOOKUP($D55,$C$5:$AU$516,5,)/VLOOKUP($D55,$C$5:$AU$516,3,))*$E55)</f>
        <v>15442.067223699494</v>
      </c>
      <c r="H55" s="19">
        <f>IF(VLOOKUP($D55,$C$5:$AU$516,3,)=0,0,(VLOOKUP($D55,$C$5:$AU$516,6,)/VLOOKUP($D55,$C$5:$AU$516,3,))*$E55)</f>
        <v>31525.993587663022</v>
      </c>
      <c r="I55" s="19">
        <f>IF(VLOOKUP($D55,$C$5:$AU$516,3,)=0,0,(VLOOKUP($D55,$C$5:$AU$516,7,)/VLOOKUP($D55,$C$5:$AU$516,3,))*$E55)</f>
        <v>5024.8974665459764</v>
      </c>
      <c r="J55" s="19">
        <f>IF(VLOOKUP($D55,$C$5:$AU$516,3,)=0,0,(VLOOKUP($D55,$C$5:$AU$516,8,)/VLOOKUP($D55,$C$5:$AU$516,3,))*$E55)</f>
        <v>6740.2946532063015</v>
      </c>
      <c r="K55" s="19">
        <f>IF(VLOOKUP($D55,$C$5:$AU$516,3,)=0,0,(VLOOKUP($D55,$C$5:$AU$516,9,)/VLOOKUP($D55,$C$5:$AU$516,3,))*$E55)</f>
        <v>3104.6303767407949</v>
      </c>
      <c r="L55" s="41">
        <f>IF(VLOOKUP($D55,$C$5:$AU$516,3,)=0,0,(VLOOKUP($D55,$C$5:$AU$516,10,)/VLOOKUP($D55,$C$5:$AU$516,3,))*$E55)</f>
        <v>0</v>
      </c>
      <c r="M55" s="19">
        <f>IF(VLOOKUP($D55,$C$5:$AU$516,3,)=0,0,(VLOOKUP($D55,$C$5:$AU$516,11,)/VLOOKUP($D55,$C$5:$AU$516,3,))*$E55)</f>
        <v>0</v>
      </c>
      <c r="N55" s="19">
        <f>IF(VLOOKUP($D55,$C$5:$AU$516,3,)=0,0,(VLOOKUP($D55,$C$5:$AU$516,12,)/VLOOKUP($D55,$C$5:$AU$516,3,))*$E55)</f>
        <v>0</v>
      </c>
      <c r="O55" s="19">
        <f>IF(VLOOKUP($D55,$C$5:$AU$516,3,)=0,0,(VLOOKUP($D55,$C$5:$AU$516,13,)/VLOOKUP($D55,$C$5:$AU$516,3,))*$E55)</f>
        <v>0</v>
      </c>
      <c r="P55" s="19">
        <f>IF(VLOOKUP($D55,$C$5:$AU$516,3,)=0,0,(VLOOKUP($D55,$C$5:$AU$516,14,)/VLOOKUP($D55,$C$5:$AU$516,3,))*$E55)</f>
        <v>0</v>
      </c>
      <c r="Q55" s="19">
        <f>IF(VLOOKUP($D55,$C$5:$AU$516,3,)=0,0,(VLOOKUP($D55,$C$5:$AU$516,15,)/VLOOKUP($D55,$C$5:$AU$516,3,))*$E55)</f>
        <v>0</v>
      </c>
      <c r="R55" s="19">
        <f>IF(VLOOKUP($D55,$C$5:$AU$516,3,)=0,0,(VLOOKUP($D55,$C$5:$AU$516,16,)/VLOOKUP($D55,$C$5:$AU$516,3,))*$E55)</f>
        <v>0</v>
      </c>
      <c r="S55" s="80">
        <f>IF(VLOOKUP($D55,$C$5:$AU$516,3,)=0,0,(VLOOKUP($D55,$C$5:$AU$516,17,)/VLOOKUP($D55,$C$5:$AU$516,3,))*$E55)</f>
        <v>0</v>
      </c>
      <c r="T55" s="80">
        <f>IF(VLOOKUP($D55,$C$5:$AU$516,3,)=0,0,(VLOOKUP($D55,$C$5:$AU$516,18,)/VLOOKUP($D55,$C$5:$AU$516,3,))*$E55)</f>
        <v>0</v>
      </c>
      <c r="U55" s="80">
        <f>IF(VLOOKUP($D55,$C$5:$AU$516,3,)=0,0,(VLOOKUP($D55,$C$5:$AU$516,19,)/VLOOKUP($D55,$C$5:$AU$516,3,))*$E55)</f>
        <v>0</v>
      </c>
      <c r="V55" s="80">
        <f>IF(VLOOKUP($D55,$C$5:$AU$516,3,)=0,0,(VLOOKUP($D55,$C$5:$AU$516,20,)/VLOOKUP($D55,$C$5:$AU$516,3,))*$E55)</f>
        <v>0</v>
      </c>
      <c r="W55" s="80">
        <f>IF(VLOOKUP($D55,$C$5:$AU$516,3,)=0,0,(VLOOKUP($D55,$C$5:$AU$516,21,)/VLOOKUP($D55,$C$5:$AU$516,3,))*$E55)</f>
        <v>0</v>
      </c>
      <c r="X55" s="80">
        <f>IF(VLOOKUP($D55,$C$5:$AU$516,3,)=0,0,(VLOOKUP($D55,$C$5:$AU$516,22,)/VLOOKUP($D55,$C$5:$AU$516,3,))*$E55)</f>
        <v>0</v>
      </c>
      <c r="Y55" s="80">
        <f>IF(VLOOKUP($D55,$C$5:$AU$516,3,)=0,0,(VLOOKUP($D55,$C$5:$AU$516,23,)/VLOOKUP($D55,$C$5:$AU$516,3,))*$E55)</f>
        <v>0</v>
      </c>
      <c r="Z55" s="80">
        <f>IF(VLOOKUP($D55,$C$5:$AU$516,3,)=0,0,(VLOOKUP($D55,$C$5:$AU$516,24,)/VLOOKUP($D55,$C$5:$AU$516,3,))*$E55)</f>
        <v>0</v>
      </c>
      <c r="AA55" s="80">
        <f>IF(VLOOKUP($D55,$C$5:$AU$516,3,)=0,0,(VLOOKUP($D55,$C$5:$AU$516,25,)/VLOOKUP($D55,$C$5:$AU$516,3,))*$E55)</f>
        <v>0</v>
      </c>
      <c r="AB55" s="80">
        <f>IF(VLOOKUP($D55,$C$5:$AU$516,3,)=0,0,(VLOOKUP($D55,$C$5:$AU$516,26,)/VLOOKUP($D55,$C$5:$AU$516,3,))*$E55)</f>
        <v>0</v>
      </c>
      <c r="AC55" s="80">
        <f>IF(VLOOKUP($D55,$C$5:$AU$516,3,)=0,0,(VLOOKUP($D55,$C$5:$AU$516,27,)/VLOOKUP($D55,$C$5:$AU$516,3,))*$E55)</f>
        <v>0</v>
      </c>
      <c r="AD55" s="80">
        <f>IF(VLOOKUP($D55,$C$5:$AU$516,3,)=0,0,(VLOOKUP($D55,$C$5:$AU$516,28,)/VLOOKUP($D55,$C$5:$AU$516,3,))*$E55)</f>
        <v>0</v>
      </c>
      <c r="AE55" s="80">
        <f>IF(VLOOKUP($D55,$C$5:$AU$516,3,)=0,0,(VLOOKUP($D55,$C$5:$AU$516,29,)/VLOOKUP($D55,$C$5:$AU$516,3,))*$E55)</f>
        <v>0</v>
      </c>
      <c r="AF55" s="80">
        <f>IF(VLOOKUP($D55,$C$5:$AU$516,3,)=0,0,(VLOOKUP($D55,$C$5:$AU$516,30,)/VLOOKUP($D55,$C$5:$AU$516,3,))*$E55)</f>
        <v>0</v>
      </c>
      <c r="AG55" s="65">
        <f>SUM(F55:AF55)</f>
        <v>301362.86366389622</v>
      </c>
      <c r="AH55" s="12" t="str">
        <f>IF(ABS(E55-AG55)&lt;0.01,"ok","err")</f>
        <v>ok</v>
      </c>
    </row>
    <row r="56" spans="1:34" x14ac:dyDescent="0.2">
      <c r="E56" s="7"/>
    </row>
    <row r="57" spans="1:34" x14ac:dyDescent="0.2">
      <c r="A57" s="2" t="s">
        <v>2</v>
      </c>
      <c r="E57" s="7"/>
    </row>
    <row r="58" spans="1:34" x14ac:dyDescent="0.2">
      <c r="A58" s="68" t="s">
        <v>208</v>
      </c>
      <c r="C58" s="3" t="s">
        <v>240</v>
      </c>
      <c r="D58" s="3" t="s">
        <v>608</v>
      </c>
      <c r="E58" s="19">
        <f>'Func &amp; Classif'!O126</f>
        <v>15412947.053056614</v>
      </c>
      <c r="F58" s="41">
        <f>IF(VLOOKUP($D58,$C$5:$AU$516,3,)=0,0,(VLOOKUP($D58,$C$5:$AU$516,4,)/VLOOKUP($D58,$C$5:$AU$516,3,))*$E58)</f>
        <v>11056477.319891671</v>
      </c>
      <c r="G58" s="41">
        <f>IF(VLOOKUP($D58,$C$5:$AU$516,3,)=0,0,(VLOOKUP($D58,$C$5:$AU$516,5,)/VLOOKUP($D58,$C$5:$AU$516,3,))*$E58)</f>
        <v>399754.27753193054</v>
      </c>
      <c r="H58" s="19">
        <f>IF(VLOOKUP($D58,$C$5:$AU$516,3,)=0,0,(VLOOKUP($D58,$C$5:$AU$516,6,)/VLOOKUP($D58,$C$5:$AU$516,3,))*$E58)</f>
        <v>1715303.4633541107</v>
      </c>
      <c r="I58" s="19">
        <f>IF(VLOOKUP($D58,$C$5:$AU$516,3,)=0,0,(VLOOKUP($D58,$C$5:$AU$516,7,)/VLOOKUP($D58,$C$5:$AU$516,3,))*$E58)</f>
        <v>832960.51653229864</v>
      </c>
      <c r="J58" s="19">
        <f>IF(VLOOKUP($D58,$C$5:$AU$516,3,)=0,0,(VLOOKUP($D58,$C$5:$AU$516,8,)/VLOOKUP($D58,$C$5:$AU$516,3,))*$E58)</f>
        <v>291179.70376123505</v>
      </c>
      <c r="K58" s="19">
        <f>IF(VLOOKUP($D58,$C$5:$AU$516,3,)=0,0,(VLOOKUP($D58,$C$5:$AU$516,9,)/VLOOKUP($D58,$C$5:$AU$516,3,))*$E58)</f>
        <v>1117271.7719853679</v>
      </c>
      <c r="L58" s="41">
        <f>IF(VLOOKUP($D58,$C$5:$AU$516,3,)=0,0,(VLOOKUP($D58,$C$5:$AU$516,10,)/VLOOKUP($D58,$C$5:$AU$516,3,))*$E58)</f>
        <v>0</v>
      </c>
      <c r="M58" s="19">
        <f>IF(VLOOKUP($D58,$C$5:$AU$516,3,)=0,0,(VLOOKUP($D58,$C$5:$AU$516,11,)/VLOOKUP($D58,$C$5:$AU$516,3,))*$E58)</f>
        <v>0</v>
      </c>
      <c r="N58" s="19">
        <f>IF(VLOOKUP($D58,$C$5:$AU$516,3,)=0,0,(VLOOKUP($D58,$C$5:$AU$516,12,)/VLOOKUP($D58,$C$5:$AU$516,3,))*$E58)</f>
        <v>0</v>
      </c>
      <c r="O58" s="19">
        <f>IF(VLOOKUP($D58,$C$5:$AU$516,3,)=0,0,(VLOOKUP($D58,$C$5:$AU$516,13,)/VLOOKUP($D58,$C$5:$AU$516,3,))*$E58)</f>
        <v>0</v>
      </c>
      <c r="P58" s="19">
        <f>IF(VLOOKUP($D58,$C$5:$AU$516,3,)=0,0,(VLOOKUP($D58,$C$5:$AU$516,14,)/VLOOKUP($D58,$C$5:$AU$516,3,))*$E58)</f>
        <v>0</v>
      </c>
      <c r="Q58" s="19">
        <f>IF(VLOOKUP($D58,$C$5:$AU$516,3,)=0,0,(VLOOKUP($D58,$C$5:$AU$516,15,)/VLOOKUP($D58,$C$5:$AU$516,3,))*$E58)</f>
        <v>0</v>
      </c>
      <c r="R58" s="19">
        <f>IF(VLOOKUP($D58,$C$5:$AU$516,3,)=0,0,(VLOOKUP($D58,$C$5:$AU$516,16,)/VLOOKUP($D58,$C$5:$AU$516,3,))*$E58)</f>
        <v>0</v>
      </c>
      <c r="S58" s="80">
        <f>IF(VLOOKUP($D58,$C$5:$AU$516,3,)=0,0,(VLOOKUP($D58,$C$5:$AU$516,17,)/VLOOKUP($D58,$C$5:$AU$516,3,))*$E58)</f>
        <v>0</v>
      </c>
      <c r="T58" s="80">
        <f>IF(VLOOKUP($D58,$C$5:$AU$516,3,)=0,0,(VLOOKUP($D58,$C$5:$AU$516,18,)/VLOOKUP($D58,$C$5:$AU$516,3,))*$E58)</f>
        <v>0</v>
      </c>
      <c r="U58" s="80">
        <f>IF(VLOOKUP($D58,$C$5:$AU$516,3,)=0,0,(VLOOKUP($D58,$C$5:$AU$516,19,)/VLOOKUP($D58,$C$5:$AU$516,3,))*$E58)</f>
        <v>0</v>
      </c>
      <c r="V58" s="80">
        <f>IF(VLOOKUP($D58,$C$5:$AU$516,3,)=0,0,(VLOOKUP($D58,$C$5:$AU$516,20,)/VLOOKUP($D58,$C$5:$AU$516,3,))*$E58)</f>
        <v>0</v>
      </c>
      <c r="W58" s="80">
        <f>IF(VLOOKUP($D58,$C$5:$AU$516,3,)=0,0,(VLOOKUP($D58,$C$5:$AU$516,21,)/VLOOKUP($D58,$C$5:$AU$516,3,))*$E58)</f>
        <v>0</v>
      </c>
      <c r="X58" s="80">
        <f>IF(VLOOKUP($D58,$C$5:$AU$516,3,)=0,0,(VLOOKUP($D58,$C$5:$AU$516,22,)/VLOOKUP($D58,$C$5:$AU$516,3,))*$E58)</f>
        <v>0</v>
      </c>
      <c r="Y58" s="80">
        <f>IF(VLOOKUP($D58,$C$5:$AU$516,3,)=0,0,(VLOOKUP($D58,$C$5:$AU$516,23,)/VLOOKUP($D58,$C$5:$AU$516,3,))*$E58)</f>
        <v>0</v>
      </c>
      <c r="Z58" s="80">
        <f>IF(VLOOKUP($D58,$C$5:$AU$516,3,)=0,0,(VLOOKUP($D58,$C$5:$AU$516,24,)/VLOOKUP($D58,$C$5:$AU$516,3,))*$E58)</f>
        <v>0</v>
      </c>
      <c r="AA58" s="80">
        <f>IF(VLOOKUP($D58,$C$5:$AU$516,3,)=0,0,(VLOOKUP($D58,$C$5:$AU$516,25,)/VLOOKUP($D58,$C$5:$AU$516,3,))*$E58)</f>
        <v>0</v>
      </c>
      <c r="AB58" s="80">
        <f>IF(VLOOKUP($D58,$C$5:$AU$516,3,)=0,0,(VLOOKUP($D58,$C$5:$AU$516,26,)/VLOOKUP($D58,$C$5:$AU$516,3,))*$E58)</f>
        <v>0</v>
      </c>
      <c r="AC58" s="80">
        <f>IF(VLOOKUP($D58,$C$5:$AU$516,3,)=0,0,(VLOOKUP($D58,$C$5:$AU$516,27,)/VLOOKUP($D58,$C$5:$AU$516,3,))*$E58)</f>
        <v>0</v>
      </c>
      <c r="AD58" s="80">
        <f>IF(VLOOKUP($D58,$C$5:$AU$516,3,)=0,0,(VLOOKUP($D58,$C$5:$AU$516,28,)/VLOOKUP($D58,$C$5:$AU$516,3,))*$E58)</f>
        <v>0</v>
      </c>
      <c r="AE58" s="80">
        <f>IF(VLOOKUP($D58,$C$5:$AU$516,3,)=0,0,(VLOOKUP($D58,$C$5:$AU$516,29,)/VLOOKUP($D58,$C$5:$AU$516,3,))*$E58)</f>
        <v>0</v>
      </c>
      <c r="AF58" s="80">
        <f>IF(VLOOKUP($D58,$C$5:$AU$516,3,)=0,0,(VLOOKUP($D58,$C$5:$AU$516,30,)/VLOOKUP($D58,$C$5:$AU$516,3,))*$E58)</f>
        <v>0</v>
      </c>
      <c r="AG58" s="65">
        <f>SUM(F58:AF58)</f>
        <v>15412947.053056613</v>
      </c>
      <c r="AH58" s="12" t="str">
        <f>IF(ABS(E58-AG58)&lt;0.01,"ok","err")</f>
        <v>ok</v>
      </c>
    </row>
    <row r="59" spans="1:34" x14ac:dyDescent="0.2">
      <c r="A59" s="68" t="s">
        <v>220</v>
      </c>
      <c r="C59" s="3" t="s">
        <v>241</v>
      </c>
      <c r="D59" s="3" t="s">
        <v>222</v>
      </c>
      <c r="E59" s="7">
        <f>'Func &amp; Classif'!P126</f>
        <v>10348901.141220303</v>
      </c>
      <c r="F59" s="41">
        <f>IF(VLOOKUP($D59,$C$5:$AU$516,3,)=0,0,(VLOOKUP($D59,$C$5:$AU$516,4,)/VLOOKUP($D59,$C$5:$AU$516,3,))*$E59)</f>
        <v>9469431.042790195</v>
      </c>
      <c r="G59" s="41">
        <f>IF(VLOOKUP($D59,$C$5:$AU$516,3,)=0,0,(VLOOKUP($D59,$C$5:$AU$516,5,)/VLOOKUP($D59,$C$5:$AU$516,3,))*$E59)</f>
        <v>713391.07666945085</v>
      </c>
      <c r="H59" s="19">
        <f>IF(VLOOKUP($D59,$C$5:$AU$516,3,)=0,0,(VLOOKUP($D59,$C$5:$AU$516,6,)/VLOOKUP($D59,$C$5:$AU$516,3,))*$E59)</f>
        <v>130889.32739579755</v>
      </c>
      <c r="I59" s="19">
        <f>IF(VLOOKUP($D59,$C$5:$AU$516,3,)=0,0,(VLOOKUP($D59,$C$5:$AU$516,7,)/VLOOKUP($D59,$C$5:$AU$516,3,))*$E59)</f>
        <v>6942.6476309783411</v>
      </c>
      <c r="J59" s="19">
        <f>IF(VLOOKUP($D59,$C$5:$AU$516,3,)=0,0,(VLOOKUP($D59,$C$5:$AU$516,8,)/VLOOKUP($D59,$C$5:$AU$516,3,))*$E59)</f>
        <v>816.78207423274591</v>
      </c>
      <c r="K59" s="19">
        <f>IF(VLOOKUP($D59,$C$5:$AU$516,3,)=0,0,(VLOOKUP($D59,$C$5:$AU$516,9,)/VLOOKUP($D59,$C$5:$AU$516,3,))*$E59)</f>
        <v>27430.264659649722</v>
      </c>
      <c r="L59" s="41">
        <f>IF(VLOOKUP($D59,$C$5:$AU$516,3,)=0,0,(VLOOKUP($D59,$C$5:$AU$516,10,)/VLOOKUP($D59,$C$5:$AU$516,3,))*$E59)</f>
        <v>0</v>
      </c>
      <c r="M59" s="19">
        <f>IF(VLOOKUP($D59,$C$5:$AU$516,3,)=0,0,(VLOOKUP($D59,$C$5:$AU$516,11,)/VLOOKUP($D59,$C$5:$AU$516,3,))*$E59)</f>
        <v>0</v>
      </c>
      <c r="N59" s="19">
        <f>IF(VLOOKUP($D59,$C$5:$AU$516,3,)=0,0,(VLOOKUP($D59,$C$5:$AU$516,12,)/VLOOKUP($D59,$C$5:$AU$516,3,))*$E59)</f>
        <v>0</v>
      </c>
      <c r="O59" s="19">
        <f>IF(VLOOKUP($D59,$C$5:$AU$516,3,)=0,0,(VLOOKUP($D59,$C$5:$AU$516,13,)/VLOOKUP($D59,$C$5:$AU$516,3,))*$E59)</f>
        <v>0</v>
      </c>
      <c r="P59" s="19">
        <f>IF(VLOOKUP($D59,$C$5:$AU$516,3,)=0,0,(VLOOKUP($D59,$C$5:$AU$516,14,)/VLOOKUP($D59,$C$5:$AU$516,3,))*$E59)</f>
        <v>0</v>
      </c>
      <c r="Q59" s="19">
        <f>IF(VLOOKUP($D59,$C$5:$AU$516,3,)=0,0,(VLOOKUP($D59,$C$5:$AU$516,15,)/VLOOKUP($D59,$C$5:$AU$516,3,))*$E59)</f>
        <v>0</v>
      </c>
      <c r="R59" s="19">
        <f>IF(VLOOKUP($D59,$C$5:$AU$516,3,)=0,0,(VLOOKUP($D59,$C$5:$AU$516,16,)/VLOOKUP($D59,$C$5:$AU$516,3,))*$E59)</f>
        <v>0</v>
      </c>
      <c r="S59" s="80">
        <f>IF(VLOOKUP($D59,$C$5:$AU$516,3,)=0,0,(VLOOKUP($D59,$C$5:$AU$516,17,)/VLOOKUP($D59,$C$5:$AU$516,3,))*$E59)</f>
        <v>0</v>
      </c>
      <c r="T59" s="80">
        <f>IF(VLOOKUP($D59,$C$5:$AU$516,3,)=0,0,(VLOOKUP($D59,$C$5:$AU$516,18,)/VLOOKUP($D59,$C$5:$AU$516,3,))*$E59)</f>
        <v>0</v>
      </c>
      <c r="U59" s="80">
        <f>IF(VLOOKUP($D59,$C$5:$AU$516,3,)=0,0,(VLOOKUP($D59,$C$5:$AU$516,19,)/VLOOKUP($D59,$C$5:$AU$516,3,))*$E59)</f>
        <v>0</v>
      </c>
      <c r="V59" s="80">
        <f>IF(VLOOKUP($D59,$C$5:$AU$516,3,)=0,0,(VLOOKUP($D59,$C$5:$AU$516,20,)/VLOOKUP($D59,$C$5:$AU$516,3,))*$E59)</f>
        <v>0</v>
      </c>
      <c r="W59" s="80">
        <f>IF(VLOOKUP($D59,$C$5:$AU$516,3,)=0,0,(VLOOKUP($D59,$C$5:$AU$516,21,)/VLOOKUP($D59,$C$5:$AU$516,3,))*$E59)</f>
        <v>0</v>
      </c>
      <c r="X59" s="80">
        <f>IF(VLOOKUP($D59,$C$5:$AU$516,3,)=0,0,(VLOOKUP($D59,$C$5:$AU$516,22,)/VLOOKUP($D59,$C$5:$AU$516,3,))*$E59)</f>
        <v>0</v>
      </c>
      <c r="Y59" s="80">
        <f>IF(VLOOKUP($D59,$C$5:$AU$516,3,)=0,0,(VLOOKUP($D59,$C$5:$AU$516,23,)/VLOOKUP($D59,$C$5:$AU$516,3,))*$E59)</f>
        <v>0</v>
      </c>
      <c r="Z59" s="80">
        <f>IF(VLOOKUP($D59,$C$5:$AU$516,3,)=0,0,(VLOOKUP($D59,$C$5:$AU$516,24,)/VLOOKUP($D59,$C$5:$AU$516,3,))*$E59)</f>
        <v>0</v>
      </c>
      <c r="AA59" s="80">
        <f>IF(VLOOKUP($D59,$C$5:$AU$516,3,)=0,0,(VLOOKUP($D59,$C$5:$AU$516,25,)/VLOOKUP($D59,$C$5:$AU$516,3,))*$E59)</f>
        <v>0</v>
      </c>
      <c r="AB59" s="80">
        <f>IF(VLOOKUP($D59,$C$5:$AU$516,3,)=0,0,(VLOOKUP($D59,$C$5:$AU$516,26,)/VLOOKUP($D59,$C$5:$AU$516,3,))*$E59)</f>
        <v>0</v>
      </c>
      <c r="AC59" s="80">
        <f>IF(VLOOKUP($D59,$C$5:$AU$516,3,)=0,0,(VLOOKUP($D59,$C$5:$AU$516,27,)/VLOOKUP($D59,$C$5:$AU$516,3,))*$E59)</f>
        <v>0</v>
      </c>
      <c r="AD59" s="80">
        <f>IF(VLOOKUP($D59,$C$5:$AU$516,3,)=0,0,(VLOOKUP($D59,$C$5:$AU$516,28,)/VLOOKUP($D59,$C$5:$AU$516,3,))*$E59)</f>
        <v>0</v>
      </c>
      <c r="AE59" s="80">
        <f>IF(VLOOKUP($D59,$C$5:$AU$516,3,)=0,0,(VLOOKUP($D59,$C$5:$AU$516,29,)/VLOOKUP($D59,$C$5:$AU$516,3,))*$E59)</f>
        <v>0</v>
      </c>
      <c r="AF59" s="80">
        <f>IF(VLOOKUP($D59,$C$5:$AU$516,3,)=0,0,(VLOOKUP($D59,$C$5:$AU$516,30,)/VLOOKUP($D59,$C$5:$AU$516,3,))*$E59)</f>
        <v>0</v>
      </c>
      <c r="AG59" s="65">
        <f>SUM(F59:AF59)</f>
        <v>10348901.141220305</v>
      </c>
      <c r="AH59" s="12" t="str">
        <f>IF(ABS(E59-AG59)&lt;0.01,"ok","err")</f>
        <v>ok</v>
      </c>
    </row>
    <row r="60" spans="1:34" x14ac:dyDescent="0.2">
      <c r="A60" s="3" t="s">
        <v>223</v>
      </c>
      <c r="E60" s="19">
        <f t="shared" ref="E60:T60" si="10">E58+E59</f>
        <v>25761848.194276918</v>
      </c>
      <c r="F60" s="41">
        <f t="shared" si="10"/>
        <v>20525908.362681866</v>
      </c>
      <c r="G60" s="41">
        <f t="shared" si="10"/>
        <v>1113145.3542013813</v>
      </c>
      <c r="H60" s="19">
        <f t="shared" si="10"/>
        <v>1846192.7907499082</v>
      </c>
      <c r="I60" s="19">
        <f t="shared" si="10"/>
        <v>839903.16416327702</v>
      </c>
      <c r="J60" s="19">
        <f t="shared" si="10"/>
        <v>291996.48583546781</v>
      </c>
      <c r="K60" s="19">
        <f t="shared" si="10"/>
        <v>1144702.0366450176</v>
      </c>
      <c r="L60" s="41">
        <f t="shared" si="10"/>
        <v>0</v>
      </c>
      <c r="M60" s="19">
        <f t="shared" si="10"/>
        <v>0</v>
      </c>
      <c r="N60" s="19">
        <f t="shared" si="10"/>
        <v>0</v>
      </c>
      <c r="O60" s="19">
        <f t="shared" si="10"/>
        <v>0</v>
      </c>
      <c r="P60" s="19">
        <f t="shared" si="10"/>
        <v>0</v>
      </c>
      <c r="Q60" s="19">
        <f t="shared" si="10"/>
        <v>0</v>
      </c>
      <c r="R60" s="19">
        <f t="shared" si="10"/>
        <v>0</v>
      </c>
      <c r="S60" s="80">
        <f t="shared" si="10"/>
        <v>0</v>
      </c>
      <c r="T60" s="80">
        <f t="shared" si="10"/>
        <v>0</v>
      </c>
      <c r="U60" s="80">
        <f t="shared" ref="U60:AF60" si="11">U58+U59</f>
        <v>0</v>
      </c>
      <c r="V60" s="80">
        <f t="shared" si="11"/>
        <v>0</v>
      </c>
      <c r="W60" s="80">
        <f t="shared" si="11"/>
        <v>0</v>
      </c>
      <c r="X60" s="80">
        <f t="shared" si="11"/>
        <v>0</v>
      </c>
      <c r="Y60" s="80">
        <f t="shared" si="11"/>
        <v>0</v>
      </c>
      <c r="Z60" s="80">
        <f t="shared" si="11"/>
        <v>0</v>
      </c>
      <c r="AA60" s="80">
        <f t="shared" si="11"/>
        <v>0</v>
      </c>
      <c r="AB60" s="80">
        <f t="shared" si="11"/>
        <v>0</v>
      </c>
      <c r="AC60" s="80">
        <f t="shared" si="11"/>
        <v>0</v>
      </c>
      <c r="AD60" s="80">
        <f t="shared" si="11"/>
        <v>0</v>
      </c>
      <c r="AE60" s="80">
        <f t="shared" si="11"/>
        <v>0</v>
      </c>
      <c r="AF60" s="80">
        <f t="shared" si="11"/>
        <v>0</v>
      </c>
      <c r="AG60" s="65">
        <f>SUM(F60:AF60)</f>
        <v>25761848.194276914</v>
      </c>
      <c r="AH60" s="12" t="str">
        <f>IF(ABS(E60-AG60)&lt;0.01,"ok","err")</f>
        <v>ok</v>
      </c>
    </row>
    <row r="61" spans="1:34" x14ac:dyDescent="0.2">
      <c r="E61" s="7"/>
    </row>
    <row r="62" spans="1:34" x14ac:dyDescent="0.2">
      <c r="A62" s="2" t="s">
        <v>3</v>
      </c>
      <c r="E62" s="7"/>
    </row>
    <row r="63" spans="1:34" x14ac:dyDescent="0.2">
      <c r="A63" s="68" t="s">
        <v>208</v>
      </c>
      <c r="C63" s="3" t="s">
        <v>242</v>
      </c>
      <c r="D63" s="3" t="s">
        <v>619</v>
      </c>
      <c r="E63" s="19">
        <f>'Func &amp; Classif'!R126</f>
        <v>0</v>
      </c>
      <c r="F63" s="41">
        <f>IF(VLOOKUP($D63,$C$5:$AU$516,3,)=0,0,(VLOOKUP($D63,$C$5:$AU$516,4,)/VLOOKUP($D63,$C$5:$AU$516,3,))*$E63)</f>
        <v>0</v>
      </c>
      <c r="G63" s="41">
        <f>IF(VLOOKUP($D63,$C$5:$AU$516,3,)=0,0,(VLOOKUP($D63,$C$5:$AU$516,5,)/VLOOKUP($D63,$C$5:$AU$516,3,))*$E63)</f>
        <v>0</v>
      </c>
      <c r="H63" s="19">
        <f>IF(VLOOKUP($D63,$C$5:$AU$516,3,)=0,0,(VLOOKUP($D63,$C$5:$AU$516,6,)/VLOOKUP($D63,$C$5:$AU$516,3,))*$E63)</f>
        <v>0</v>
      </c>
      <c r="I63" s="19">
        <f>IF(VLOOKUP($D63,$C$5:$AU$516,3,)=0,0,(VLOOKUP($D63,$C$5:$AU$516,7,)/VLOOKUP($D63,$C$5:$AU$516,3,))*$E63)</f>
        <v>0</v>
      </c>
      <c r="J63" s="19">
        <f>IF(VLOOKUP($D63,$C$5:$AU$516,3,)=0,0,(VLOOKUP($D63,$C$5:$AU$516,8,)/VLOOKUP($D63,$C$5:$AU$516,3,))*$E63)</f>
        <v>0</v>
      </c>
      <c r="K63" s="19">
        <f>IF(VLOOKUP($D63,$C$5:$AU$516,3,)=0,0,(VLOOKUP($D63,$C$5:$AU$516,9,)/VLOOKUP($D63,$C$5:$AU$516,3,))*$E63)</f>
        <v>0</v>
      </c>
      <c r="L63" s="41">
        <f>IF(VLOOKUP($D63,$C$5:$AU$516,3,)=0,0,(VLOOKUP($D63,$C$5:$AU$516,10,)/VLOOKUP($D63,$C$5:$AU$516,3,))*$E63)</f>
        <v>0</v>
      </c>
      <c r="M63" s="19">
        <f>IF(VLOOKUP($D63,$C$5:$AU$516,3,)=0,0,(VLOOKUP($D63,$C$5:$AU$516,11,)/VLOOKUP($D63,$C$5:$AU$516,3,))*$E63)</f>
        <v>0</v>
      </c>
      <c r="N63" s="19">
        <f>IF(VLOOKUP($D63,$C$5:$AU$516,3,)=0,0,(VLOOKUP($D63,$C$5:$AU$516,12,)/VLOOKUP($D63,$C$5:$AU$516,3,))*$E63)</f>
        <v>0</v>
      </c>
      <c r="O63" s="19">
        <f>IF(VLOOKUP($D63,$C$5:$AU$516,3,)=0,0,(VLOOKUP($D63,$C$5:$AU$516,13,)/VLOOKUP($D63,$C$5:$AU$516,3,))*$E63)</f>
        <v>0</v>
      </c>
      <c r="P63" s="19">
        <f>IF(VLOOKUP($D63,$C$5:$AU$516,3,)=0,0,(VLOOKUP($D63,$C$5:$AU$516,14,)/VLOOKUP($D63,$C$5:$AU$516,3,))*$E63)</f>
        <v>0</v>
      </c>
      <c r="Q63" s="19">
        <f>IF(VLOOKUP($D63,$C$5:$AU$516,3,)=0,0,(VLOOKUP($D63,$C$5:$AU$516,15,)/VLOOKUP($D63,$C$5:$AU$516,3,))*$E63)</f>
        <v>0</v>
      </c>
      <c r="R63" s="19">
        <f>IF(VLOOKUP($D63,$C$5:$AU$516,3,)=0,0,(VLOOKUP($D63,$C$5:$AU$516,16,)/VLOOKUP($D63,$C$5:$AU$516,3,))*$E63)</f>
        <v>0</v>
      </c>
      <c r="S63" s="80">
        <f>IF(VLOOKUP($D63,$C$5:$AU$516,3,)=0,0,(VLOOKUP($D63,$C$5:$AU$516,17,)/VLOOKUP($D63,$C$5:$AU$516,3,))*$E63)</f>
        <v>0</v>
      </c>
      <c r="T63" s="80">
        <f>IF(VLOOKUP($D63,$C$5:$AU$516,3,)=0,0,(VLOOKUP($D63,$C$5:$AU$516,18,)/VLOOKUP($D63,$C$5:$AU$516,3,))*$E63)</f>
        <v>0</v>
      </c>
      <c r="U63" s="80">
        <f>IF(VLOOKUP($D63,$C$5:$AU$516,3,)=0,0,(VLOOKUP($D63,$C$5:$AU$516,19,)/VLOOKUP($D63,$C$5:$AU$516,3,))*$E63)</f>
        <v>0</v>
      </c>
      <c r="V63" s="80">
        <f>IF(VLOOKUP($D63,$C$5:$AU$516,3,)=0,0,(VLOOKUP($D63,$C$5:$AU$516,20,)/VLOOKUP($D63,$C$5:$AU$516,3,))*$E63)</f>
        <v>0</v>
      </c>
      <c r="W63" s="80">
        <f>IF(VLOOKUP($D63,$C$5:$AU$516,3,)=0,0,(VLOOKUP($D63,$C$5:$AU$516,21,)/VLOOKUP($D63,$C$5:$AU$516,3,))*$E63)</f>
        <v>0</v>
      </c>
      <c r="X63" s="80">
        <f>IF(VLOOKUP($D63,$C$5:$AU$516,3,)=0,0,(VLOOKUP($D63,$C$5:$AU$516,22,)/VLOOKUP($D63,$C$5:$AU$516,3,))*$E63)</f>
        <v>0</v>
      </c>
      <c r="Y63" s="80">
        <f>IF(VLOOKUP($D63,$C$5:$AU$516,3,)=0,0,(VLOOKUP($D63,$C$5:$AU$516,23,)/VLOOKUP($D63,$C$5:$AU$516,3,))*$E63)</f>
        <v>0</v>
      </c>
      <c r="Z63" s="80">
        <f>IF(VLOOKUP($D63,$C$5:$AU$516,3,)=0,0,(VLOOKUP($D63,$C$5:$AU$516,24,)/VLOOKUP($D63,$C$5:$AU$516,3,))*$E63)</f>
        <v>0</v>
      </c>
      <c r="AA63" s="80">
        <f>IF(VLOOKUP($D63,$C$5:$AU$516,3,)=0,0,(VLOOKUP($D63,$C$5:$AU$516,25,)/VLOOKUP($D63,$C$5:$AU$516,3,))*$E63)</f>
        <v>0</v>
      </c>
      <c r="AB63" s="80">
        <f>IF(VLOOKUP($D63,$C$5:$AU$516,3,)=0,0,(VLOOKUP($D63,$C$5:$AU$516,26,)/VLOOKUP($D63,$C$5:$AU$516,3,))*$E63)</f>
        <v>0</v>
      </c>
      <c r="AC63" s="80">
        <f>IF(VLOOKUP($D63,$C$5:$AU$516,3,)=0,0,(VLOOKUP($D63,$C$5:$AU$516,27,)/VLOOKUP($D63,$C$5:$AU$516,3,))*$E63)</f>
        <v>0</v>
      </c>
      <c r="AD63" s="80">
        <f>IF(VLOOKUP($D63,$C$5:$AU$516,3,)=0,0,(VLOOKUP($D63,$C$5:$AU$516,28,)/VLOOKUP($D63,$C$5:$AU$516,3,))*$E63)</f>
        <v>0</v>
      </c>
      <c r="AE63" s="80">
        <f>IF(VLOOKUP($D63,$C$5:$AU$516,3,)=0,0,(VLOOKUP($D63,$C$5:$AU$516,29,)/VLOOKUP($D63,$C$5:$AU$516,3,))*$E63)</f>
        <v>0</v>
      </c>
      <c r="AF63" s="80">
        <f>IF(VLOOKUP($D63,$C$5:$AU$516,3,)=0,0,(VLOOKUP($D63,$C$5:$AU$516,30,)/VLOOKUP($D63,$C$5:$AU$516,3,))*$E63)</f>
        <v>0</v>
      </c>
      <c r="AG63" s="65">
        <f>SUM(F63:AF63)</f>
        <v>0</v>
      </c>
      <c r="AH63" s="12" t="str">
        <f>IF(ABS(E63-AG63)&lt;0.01,"ok","err")</f>
        <v>ok</v>
      </c>
    </row>
    <row r="64" spans="1:34" x14ac:dyDescent="0.2">
      <c r="A64" s="68" t="s">
        <v>220</v>
      </c>
      <c r="C64" s="3" t="s">
        <v>243</v>
      </c>
      <c r="D64" s="3" t="s">
        <v>700</v>
      </c>
      <c r="E64" s="7">
        <f>'Func &amp; Classif'!S126</f>
        <v>3895387.473837059</v>
      </c>
      <c r="F64" s="41">
        <f>IF(VLOOKUP($D64,$C$5:$AU$516,3,)=0,0,(VLOOKUP($D64,$C$5:$AU$516,4,)/VLOOKUP($D64,$C$5:$AU$516,3,))*$E64)</f>
        <v>3465061.6066543525</v>
      </c>
      <c r="G64" s="41">
        <f>IF(VLOOKUP($D64,$C$5:$AU$516,3,)=0,0,(VLOOKUP($D64,$C$5:$AU$516,5,)/VLOOKUP($D64,$C$5:$AU$516,3,))*$E64)</f>
        <v>261044.62022343004</v>
      </c>
      <c r="H64" s="19">
        <f>IF(VLOOKUP($D64,$C$5:$AU$516,3,)=0,0,(VLOOKUP($D64,$C$5:$AU$516,6,)/VLOOKUP($D64,$C$5:$AU$516,3,))*$E64)</f>
        <v>107764.03115654289</v>
      </c>
      <c r="I64" s="19">
        <f>IF(VLOOKUP($D64,$C$5:$AU$516,3,)=0,0,(VLOOKUP($D64,$C$5:$AU$516,7,)/VLOOKUP($D64,$C$5:$AU$516,3,))*$E64)</f>
        <v>61517.215802734157</v>
      </c>
      <c r="J64" s="19">
        <f>IF(VLOOKUP($D64,$C$5:$AU$516,3,)=0,0,(VLOOKUP($D64,$C$5:$AU$516,8,)/VLOOKUP($D64,$C$5:$AU$516,3,))*$E64)</f>
        <v>0</v>
      </c>
      <c r="K64" s="19">
        <f>IF(VLOOKUP($D64,$C$5:$AU$516,3,)=0,0,(VLOOKUP($D64,$C$5:$AU$516,9,)/VLOOKUP($D64,$C$5:$AU$516,3,))*$E64)</f>
        <v>0</v>
      </c>
      <c r="L64" s="41">
        <f>IF(VLOOKUP($D64,$C$5:$AU$516,3,)=0,0,(VLOOKUP($D64,$C$5:$AU$516,10,)/VLOOKUP($D64,$C$5:$AU$516,3,))*$E64)</f>
        <v>0</v>
      </c>
      <c r="M64" s="19">
        <f>IF(VLOOKUP($D64,$C$5:$AU$516,3,)=0,0,(VLOOKUP($D64,$C$5:$AU$516,11,)/VLOOKUP($D64,$C$5:$AU$516,3,))*$E64)</f>
        <v>0</v>
      </c>
      <c r="N64" s="19">
        <f>IF(VLOOKUP($D64,$C$5:$AU$516,3,)=0,0,(VLOOKUP($D64,$C$5:$AU$516,12,)/VLOOKUP($D64,$C$5:$AU$516,3,))*$E64)</f>
        <v>0</v>
      </c>
      <c r="O64" s="19">
        <f>IF(VLOOKUP($D64,$C$5:$AU$516,3,)=0,0,(VLOOKUP($D64,$C$5:$AU$516,13,)/VLOOKUP($D64,$C$5:$AU$516,3,))*$E64)</f>
        <v>0</v>
      </c>
      <c r="P64" s="19">
        <f>IF(VLOOKUP($D64,$C$5:$AU$516,3,)=0,0,(VLOOKUP($D64,$C$5:$AU$516,14,)/VLOOKUP($D64,$C$5:$AU$516,3,))*$E64)</f>
        <v>0</v>
      </c>
      <c r="Q64" s="19">
        <f>IF(VLOOKUP($D64,$C$5:$AU$516,3,)=0,0,(VLOOKUP($D64,$C$5:$AU$516,15,)/VLOOKUP($D64,$C$5:$AU$516,3,))*$E64)</f>
        <v>0</v>
      </c>
      <c r="R64" s="19">
        <f>IF(VLOOKUP($D64,$C$5:$AU$516,3,)=0,0,(VLOOKUP($D64,$C$5:$AU$516,16,)/VLOOKUP($D64,$C$5:$AU$516,3,))*$E64)</f>
        <v>0</v>
      </c>
      <c r="S64" s="80">
        <f>IF(VLOOKUP($D64,$C$5:$AU$516,3,)=0,0,(VLOOKUP($D64,$C$5:$AU$516,17,)/VLOOKUP($D64,$C$5:$AU$516,3,))*$E64)</f>
        <v>0</v>
      </c>
      <c r="T64" s="80">
        <f>IF(VLOOKUP($D64,$C$5:$AU$516,3,)=0,0,(VLOOKUP($D64,$C$5:$AU$516,18,)/VLOOKUP($D64,$C$5:$AU$516,3,))*$E64)</f>
        <v>0</v>
      </c>
      <c r="U64" s="80">
        <f>IF(VLOOKUP($D64,$C$5:$AU$516,3,)=0,0,(VLOOKUP($D64,$C$5:$AU$516,19,)/VLOOKUP($D64,$C$5:$AU$516,3,))*$E64)</f>
        <v>0</v>
      </c>
      <c r="V64" s="80">
        <f>IF(VLOOKUP($D64,$C$5:$AU$516,3,)=0,0,(VLOOKUP($D64,$C$5:$AU$516,20,)/VLOOKUP($D64,$C$5:$AU$516,3,))*$E64)</f>
        <v>0</v>
      </c>
      <c r="W64" s="80">
        <f>IF(VLOOKUP($D64,$C$5:$AU$516,3,)=0,0,(VLOOKUP($D64,$C$5:$AU$516,21,)/VLOOKUP($D64,$C$5:$AU$516,3,))*$E64)</f>
        <v>0</v>
      </c>
      <c r="X64" s="80">
        <f>IF(VLOOKUP($D64,$C$5:$AU$516,3,)=0,0,(VLOOKUP($D64,$C$5:$AU$516,22,)/VLOOKUP($D64,$C$5:$AU$516,3,))*$E64)</f>
        <v>0</v>
      </c>
      <c r="Y64" s="80">
        <f>IF(VLOOKUP($D64,$C$5:$AU$516,3,)=0,0,(VLOOKUP($D64,$C$5:$AU$516,23,)/VLOOKUP($D64,$C$5:$AU$516,3,))*$E64)</f>
        <v>0</v>
      </c>
      <c r="Z64" s="80">
        <f>IF(VLOOKUP($D64,$C$5:$AU$516,3,)=0,0,(VLOOKUP($D64,$C$5:$AU$516,24,)/VLOOKUP($D64,$C$5:$AU$516,3,))*$E64)</f>
        <v>0</v>
      </c>
      <c r="AA64" s="80">
        <f>IF(VLOOKUP($D64,$C$5:$AU$516,3,)=0,0,(VLOOKUP($D64,$C$5:$AU$516,25,)/VLOOKUP($D64,$C$5:$AU$516,3,))*$E64)</f>
        <v>0</v>
      </c>
      <c r="AB64" s="80">
        <f>IF(VLOOKUP($D64,$C$5:$AU$516,3,)=0,0,(VLOOKUP($D64,$C$5:$AU$516,26,)/VLOOKUP($D64,$C$5:$AU$516,3,))*$E64)</f>
        <v>0</v>
      </c>
      <c r="AC64" s="80">
        <f>IF(VLOOKUP($D64,$C$5:$AU$516,3,)=0,0,(VLOOKUP($D64,$C$5:$AU$516,27,)/VLOOKUP($D64,$C$5:$AU$516,3,))*$E64)</f>
        <v>0</v>
      </c>
      <c r="AD64" s="80">
        <f>IF(VLOOKUP($D64,$C$5:$AU$516,3,)=0,0,(VLOOKUP($D64,$C$5:$AU$516,28,)/VLOOKUP($D64,$C$5:$AU$516,3,))*$E64)</f>
        <v>0</v>
      </c>
      <c r="AE64" s="80">
        <f>IF(VLOOKUP($D64,$C$5:$AU$516,3,)=0,0,(VLOOKUP($D64,$C$5:$AU$516,29,)/VLOOKUP($D64,$C$5:$AU$516,3,))*$E64)</f>
        <v>0</v>
      </c>
      <c r="AF64" s="80">
        <f>IF(VLOOKUP($D64,$C$5:$AU$516,3,)=0,0,(VLOOKUP($D64,$C$5:$AU$516,30,)/VLOOKUP($D64,$C$5:$AU$516,3,))*$E64)</f>
        <v>0</v>
      </c>
      <c r="AG64" s="65">
        <f>SUM(F64:AF64)</f>
        <v>3895387.4738370595</v>
      </c>
      <c r="AH64" s="12" t="str">
        <f>IF(ABS(E64-AG64)&lt;0.01,"ok","err")</f>
        <v>ok</v>
      </c>
    </row>
    <row r="65" spans="1:34" x14ac:dyDescent="0.2">
      <c r="A65" s="3" t="s">
        <v>227</v>
      </c>
      <c r="E65" s="19">
        <f t="shared" ref="E65:T65" si="12">E63+E64</f>
        <v>3895387.473837059</v>
      </c>
      <c r="F65" s="41">
        <f t="shared" si="12"/>
        <v>3465061.6066543525</v>
      </c>
      <c r="G65" s="41">
        <f t="shared" si="12"/>
        <v>261044.62022343004</v>
      </c>
      <c r="H65" s="19">
        <f t="shared" si="12"/>
        <v>107764.03115654289</v>
      </c>
      <c r="I65" s="19">
        <f t="shared" si="12"/>
        <v>61517.215802734157</v>
      </c>
      <c r="J65" s="19">
        <f t="shared" si="12"/>
        <v>0</v>
      </c>
      <c r="K65" s="19">
        <f t="shared" si="12"/>
        <v>0</v>
      </c>
      <c r="L65" s="41">
        <f t="shared" si="12"/>
        <v>0</v>
      </c>
      <c r="M65" s="19">
        <f t="shared" si="12"/>
        <v>0</v>
      </c>
      <c r="N65" s="19">
        <f t="shared" si="12"/>
        <v>0</v>
      </c>
      <c r="O65" s="19">
        <f t="shared" si="12"/>
        <v>0</v>
      </c>
      <c r="P65" s="19">
        <f t="shared" si="12"/>
        <v>0</v>
      </c>
      <c r="Q65" s="19">
        <f t="shared" si="12"/>
        <v>0</v>
      </c>
      <c r="R65" s="19">
        <f t="shared" si="12"/>
        <v>0</v>
      </c>
      <c r="S65" s="80">
        <f t="shared" si="12"/>
        <v>0</v>
      </c>
      <c r="T65" s="80">
        <f t="shared" si="12"/>
        <v>0</v>
      </c>
      <c r="U65" s="80">
        <f t="shared" ref="U65:AF65" si="13">U63+U64</f>
        <v>0</v>
      </c>
      <c r="V65" s="80">
        <f t="shared" si="13"/>
        <v>0</v>
      </c>
      <c r="W65" s="80">
        <f t="shared" si="13"/>
        <v>0</v>
      </c>
      <c r="X65" s="80">
        <f t="shared" si="13"/>
        <v>0</v>
      </c>
      <c r="Y65" s="80">
        <f t="shared" si="13"/>
        <v>0</v>
      </c>
      <c r="Z65" s="80">
        <f t="shared" si="13"/>
        <v>0</v>
      </c>
      <c r="AA65" s="80">
        <f t="shared" si="13"/>
        <v>0</v>
      </c>
      <c r="AB65" s="80">
        <f t="shared" si="13"/>
        <v>0</v>
      </c>
      <c r="AC65" s="80">
        <f t="shared" si="13"/>
        <v>0</v>
      </c>
      <c r="AD65" s="80">
        <f t="shared" si="13"/>
        <v>0</v>
      </c>
      <c r="AE65" s="80">
        <f t="shared" si="13"/>
        <v>0</v>
      </c>
      <c r="AF65" s="80">
        <f t="shared" si="13"/>
        <v>0</v>
      </c>
      <c r="AG65" s="65">
        <f>SUM(F65:AF65)</f>
        <v>3895387.4738370595</v>
      </c>
      <c r="AH65" s="12" t="str">
        <f>IF(ABS(E65-AG65)&lt;0.01,"ok","err")</f>
        <v>ok</v>
      </c>
    </row>
    <row r="66" spans="1:34" x14ac:dyDescent="0.2">
      <c r="E66" s="7"/>
    </row>
    <row r="67" spans="1:34" x14ac:dyDescent="0.2">
      <c r="A67" s="2" t="s">
        <v>4</v>
      </c>
      <c r="E67" s="7"/>
    </row>
    <row r="68" spans="1:34" x14ac:dyDescent="0.2">
      <c r="A68" s="68" t="s">
        <v>220</v>
      </c>
      <c r="C68" s="3" t="s">
        <v>244</v>
      </c>
      <c r="D68" s="3" t="s">
        <v>229</v>
      </c>
      <c r="E68" s="19">
        <f>'Func &amp; Classif'!U126</f>
        <v>2351341.3457072726</v>
      </c>
      <c r="F68" s="41">
        <f>IF(VLOOKUP($D68,$C$5:$AU$516,3,)=0,0,(VLOOKUP($D68,$C$5:$AU$516,4,)/VLOOKUP($D68,$C$5:$AU$516,3,))*$E68)</f>
        <v>2108965.8860168522</v>
      </c>
      <c r="G68" s="41">
        <f>IF(VLOOKUP($D68,$C$5:$AU$516,3,)=0,0,(VLOOKUP($D68,$C$5:$AU$516,5,)/VLOOKUP($D68,$C$5:$AU$516,3,))*$E68)</f>
        <v>158881.50378688372</v>
      </c>
      <c r="H68" s="19">
        <f>IF(VLOOKUP($D68,$C$5:$AU$516,3,)=0,0,(VLOOKUP($D68,$C$5:$AU$516,6,)/VLOOKUP($D68,$C$5:$AU$516,3,))*$E68)</f>
        <v>77911.617417501999</v>
      </c>
      <c r="I68" s="19">
        <f>IF(VLOOKUP($D68,$C$5:$AU$516,3,)=0,0,(VLOOKUP($D68,$C$5:$AU$516,7,)/VLOOKUP($D68,$C$5:$AU$516,3,))*$E68)</f>
        <v>4994.7239085575102</v>
      </c>
      <c r="J68" s="19">
        <f>IF(VLOOKUP($D68,$C$5:$AU$516,3,)=0,0,(VLOOKUP($D68,$C$5:$AU$516,8,)/VLOOKUP($D68,$C$5:$AU$516,3,))*$E68)</f>
        <v>587.61457747735415</v>
      </c>
      <c r="K68" s="19">
        <f>IF(VLOOKUP($D68,$C$5:$AU$516,3,)=0,0,(VLOOKUP($D68,$C$5:$AU$516,9,)/VLOOKUP($D68,$C$5:$AU$516,3,))*$E68)</f>
        <v>0</v>
      </c>
      <c r="L68" s="41">
        <f>IF(VLOOKUP($D68,$C$5:$AU$516,3,)=0,0,(VLOOKUP($D68,$C$5:$AU$516,10,)/VLOOKUP($D68,$C$5:$AU$516,3,))*$E68)</f>
        <v>0</v>
      </c>
      <c r="M68" s="19">
        <f>IF(VLOOKUP($D68,$C$5:$AU$516,3,)=0,0,(VLOOKUP($D68,$C$5:$AU$516,11,)/VLOOKUP($D68,$C$5:$AU$516,3,))*$E68)</f>
        <v>0</v>
      </c>
      <c r="N68" s="19">
        <f>IF(VLOOKUP($D68,$C$5:$AU$516,3,)=0,0,(VLOOKUP($D68,$C$5:$AU$516,12,)/VLOOKUP($D68,$C$5:$AU$516,3,))*$E68)</f>
        <v>0</v>
      </c>
      <c r="O68" s="19">
        <f>IF(VLOOKUP($D68,$C$5:$AU$516,3,)=0,0,(VLOOKUP($D68,$C$5:$AU$516,13,)/VLOOKUP($D68,$C$5:$AU$516,3,))*$E68)</f>
        <v>0</v>
      </c>
      <c r="P68" s="19">
        <f>IF(VLOOKUP($D68,$C$5:$AU$516,3,)=0,0,(VLOOKUP($D68,$C$5:$AU$516,14,)/VLOOKUP($D68,$C$5:$AU$516,3,))*$E68)</f>
        <v>0</v>
      </c>
      <c r="Q68" s="19">
        <f>IF(VLOOKUP($D68,$C$5:$AU$516,3,)=0,0,(VLOOKUP($D68,$C$5:$AU$516,15,)/VLOOKUP($D68,$C$5:$AU$516,3,))*$E68)</f>
        <v>0</v>
      </c>
      <c r="R68" s="19">
        <f>IF(VLOOKUP($D68,$C$5:$AU$516,3,)=0,0,(VLOOKUP($D68,$C$5:$AU$516,16,)/VLOOKUP($D68,$C$5:$AU$516,3,))*$E68)</f>
        <v>0</v>
      </c>
      <c r="S68" s="80">
        <f>IF(VLOOKUP($D68,$C$5:$AU$516,3,)=0,0,(VLOOKUP($D68,$C$5:$AU$516,17,)/VLOOKUP($D68,$C$5:$AU$516,3,))*$E68)</f>
        <v>0</v>
      </c>
      <c r="T68" s="80">
        <f>IF(VLOOKUP($D68,$C$5:$AU$516,3,)=0,0,(VLOOKUP($D68,$C$5:$AU$516,18,)/VLOOKUP($D68,$C$5:$AU$516,3,))*$E68)</f>
        <v>0</v>
      </c>
      <c r="U68" s="80">
        <f>IF(VLOOKUP($D68,$C$5:$AU$516,3,)=0,0,(VLOOKUP($D68,$C$5:$AU$516,19,)/VLOOKUP($D68,$C$5:$AU$516,3,))*$E68)</f>
        <v>0</v>
      </c>
      <c r="V68" s="80">
        <f>IF(VLOOKUP($D68,$C$5:$AU$516,3,)=0,0,(VLOOKUP($D68,$C$5:$AU$516,20,)/VLOOKUP($D68,$C$5:$AU$516,3,))*$E68)</f>
        <v>0</v>
      </c>
      <c r="W68" s="80">
        <f>IF(VLOOKUP($D68,$C$5:$AU$516,3,)=0,0,(VLOOKUP($D68,$C$5:$AU$516,21,)/VLOOKUP($D68,$C$5:$AU$516,3,))*$E68)</f>
        <v>0</v>
      </c>
      <c r="X68" s="80">
        <f>IF(VLOOKUP($D68,$C$5:$AU$516,3,)=0,0,(VLOOKUP($D68,$C$5:$AU$516,22,)/VLOOKUP($D68,$C$5:$AU$516,3,))*$E68)</f>
        <v>0</v>
      </c>
      <c r="Y68" s="80">
        <f>IF(VLOOKUP($D68,$C$5:$AU$516,3,)=0,0,(VLOOKUP($D68,$C$5:$AU$516,23,)/VLOOKUP($D68,$C$5:$AU$516,3,))*$E68)</f>
        <v>0</v>
      </c>
      <c r="Z68" s="80">
        <f>IF(VLOOKUP($D68,$C$5:$AU$516,3,)=0,0,(VLOOKUP($D68,$C$5:$AU$516,24,)/VLOOKUP($D68,$C$5:$AU$516,3,))*$E68)</f>
        <v>0</v>
      </c>
      <c r="AA68" s="80">
        <f>IF(VLOOKUP($D68,$C$5:$AU$516,3,)=0,0,(VLOOKUP($D68,$C$5:$AU$516,25,)/VLOOKUP($D68,$C$5:$AU$516,3,))*$E68)</f>
        <v>0</v>
      </c>
      <c r="AB68" s="80">
        <f>IF(VLOOKUP($D68,$C$5:$AU$516,3,)=0,0,(VLOOKUP($D68,$C$5:$AU$516,26,)/VLOOKUP($D68,$C$5:$AU$516,3,))*$E68)</f>
        <v>0</v>
      </c>
      <c r="AC68" s="80">
        <f>IF(VLOOKUP($D68,$C$5:$AU$516,3,)=0,0,(VLOOKUP($D68,$C$5:$AU$516,27,)/VLOOKUP($D68,$C$5:$AU$516,3,))*$E68)</f>
        <v>0</v>
      </c>
      <c r="AD68" s="80">
        <f>IF(VLOOKUP($D68,$C$5:$AU$516,3,)=0,0,(VLOOKUP($D68,$C$5:$AU$516,28,)/VLOOKUP($D68,$C$5:$AU$516,3,))*$E68)</f>
        <v>0</v>
      </c>
      <c r="AE68" s="80">
        <f>IF(VLOOKUP($D68,$C$5:$AU$516,3,)=0,0,(VLOOKUP($D68,$C$5:$AU$516,29,)/VLOOKUP($D68,$C$5:$AU$516,3,))*$E68)</f>
        <v>0</v>
      </c>
      <c r="AF68" s="80">
        <f>IF(VLOOKUP($D68,$C$5:$AU$516,3,)=0,0,(VLOOKUP($D68,$C$5:$AU$516,30,)/VLOOKUP($D68,$C$5:$AU$516,3,))*$E68)</f>
        <v>0</v>
      </c>
      <c r="AG68" s="65">
        <f>SUM(F68:AF68)</f>
        <v>2351341.3457072731</v>
      </c>
      <c r="AH68" s="12" t="str">
        <f>IF(ABS(E68-AG68)&lt;0.01,"ok","err")</f>
        <v>ok</v>
      </c>
    </row>
    <row r="69" spans="1:34" x14ac:dyDescent="0.2">
      <c r="E69" s="7"/>
    </row>
    <row r="70" spans="1:34" x14ac:dyDescent="0.2">
      <c r="A70" s="2" t="s">
        <v>5</v>
      </c>
      <c r="E70" s="7"/>
    </row>
    <row r="71" spans="1:34" x14ac:dyDescent="0.2">
      <c r="A71" s="68" t="s">
        <v>220</v>
      </c>
      <c r="C71" s="3" t="s">
        <v>245</v>
      </c>
      <c r="D71" s="3" t="s">
        <v>231</v>
      </c>
      <c r="E71" s="19">
        <f>'Func &amp; Classif'!W126</f>
        <v>2357837.472514858</v>
      </c>
      <c r="F71" s="41">
        <f>IF(VLOOKUP($D71,$C$5:$AU$516,3,)=0,0,(VLOOKUP($D71,$C$5:$AU$516,4,)/VLOOKUP($D71,$C$5:$AU$516,3,))*$E71)</f>
        <v>0</v>
      </c>
      <c r="G71" s="41">
        <f>IF(VLOOKUP($D71,$C$5:$AU$516,3,)=0,0,(VLOOKUP($D71,$C$5:$AU$516,5,)/VLOOKUP($D71,$C$5:$AU$516,3,))*$E71)</f>
        <v>0</v>
      </c>
      <c r="H71" s="19">
        <f>IF(VLOOKUP($D71,$C$5:$AU$516,3,)=0,0,(VLOOKUP($D71,$C$5:$AU$516,6,)/VLOOKUP($D71,$C$5:$AU$516,3,))*$E71)</f>
        <v>0</v>
      </c>
      <c r="I71" s="19">
        <f>IF(VLOOKUP($D71,$C$5:$AU$516,3,)=0,0,(VLOOKUP($D71,$C$5:$AU$516,7,)/VLOOKUP($D71,$C$5:$AU$516,3,))*$E71)</f>
        <v>0</v>
      </c>
      <c r="J71" s="19">
        <f>IF(VLOOKUP($D71,$C$5:$AU$516,3,)=0,0,(VLOOKUP($D71,$C$5:$AU$516,8,)/VLOOKUP($D71,$C$5:$AU$516,3,))*$E71)</f>
        <v>0</v>
      </c>
      <c r="K71" s="19">
        <f>IF(VLOOKUP($D71,$C$5:$AU$516,3,)=0,0,(VLOOKUP($D71,$C$5:$AU$516,9,)/VLOOKUP($D71,$C$5:$AU$516,3,))*$E71)</f>
        <v>2357837.472514858</v>
      </c>
      <c r="L71" s="41">
        <f>IF(VLOOKUP($D71,$C$5:$AU$516,3,)=0,0,(VLOOKUP($D71,$C$5:$AU$516,10,)/VLOOKUP($D71,$C$5:$AU$516,3,))*$E71)</f>
        <v>0</v>
      </c>
      <c r="M71" s="19">
        <f>IF(VLOOKUP($D71,$C$5:$AU$516,3,)=0,0,(VLOOKUP($D71,$C$5:$AU$516,11,)/VLOOKUP($D71,$C$5:$AU$516,3,))*$E71)</f>
        <v>0</v>
      </c>
      <c r="N71" s="19">
        <f>IF(VLOOKUP($D71,$C$5:$AU$516,3,)=0,0,(VLOOKUP($D71,$C$5:$AU$516,12,)/VLOOKUP($D71,$C$5:$AU$516,3,))*$E71)</f>
        <v>0</v>
      </c>
      <c r="O71" s="19">
        <f>IF(VLOOKUP($D71,$C$5:$AU$516,3,)=0,0,(VLOOKUP($D71,$C$5:$AU$516,13,)/VLOOKUP($D71,$C$5:$AU$516,3,))*$E71)</f>
        <v>0</v>
      </c>
      <c r="P71" s="19">
        <f>IF(VLOOKUP($D71,$C$5:$AU$516,3,)=0,0,(VLOOKUP($D71,$C$5:$AU$516,14,)/VLOOKUP($D71,$C$5:$AU$516,3,))*$E71)</f>
        <v>0</v>
      </c>
      <c r="Q71" s="19">
        <f>IF(VLOOKUP($D71,$C$5:$AU$516,3,)=0,0,(VLOOKUP($D71,$C$5:$AU$516,15,)/VLOOKUP($D71,$C$5:$AU$516,3,))*$E71)</f>
        <v>0</v>
      </c>
      <c r="R71" s="19">
        <f>IF(VLOOKUP($D71,$C$5:$AU$516,3,)=0,0,(VLOOKUP($D71,$C$5:$AU$516,16,)/VLOOKUP($D71,$C$5:$AU$516,3,))*$E71)</f>
        <v>0</v>
      </c>
      <c r="S71" s="80">
        <f>IF(VLOOKUP($D71,$C$5:$AU$516,3,)=0,0,(VLOOKUP($D71,$C$5:$AU$516,17,)/VLOOKUP($D71,$C$5:$AU$516,3,))*$E71)</f>
        <v>0</v>
      </c>
      <c r="T71" s="80">
        <f>IF(VLOOKUP($D71,$C$5:$AU$516,3,)=0,0,(VLOOKUP($D71,$C$5:$AU$516,18,)/VLOOKUP($D71,$C$5:$AU$516,3,))*$E71)</f>
        <v>0</v>
      </c>
      <c r="U71" s="80">
        <f>IF(VLOOKUP($D71,$C$5:$AU$516,3,)=0,0,(VLOOKUP($D71,$C$5:$AU$516,19,)/VLOOKUP($D71,$C$5:$AU$516,3,))*$E71)</f>
        <v>0</v>
      </c>
      <c r="V71" s="80">
        <f>IF(VLOOKUP($D71,$C$5:$AU$516,3,)=0,0,(VLOOKUP($D71,$C$5:$AU$516,20,)/VLOOKUP($D71,$C$5:$AU$516,3,))*$E71)</f>
        <v>0</v>
      </c>
      <c r="W71" s="80">
        <f>IF(VLOOKUP($D71,$C$5:$AU$516,3,)=0,0,(VLOOKUP($D71,$C$5:$AU$516,21,)/VLOOKUP($D71,$C$5:$AU$516,3,))*$E71)</f>
        <v>0</v>
      </c>
      <c r="X71" s="80">
        <f>IF(VLOOKUP($D71,$C$5:$AU$516,3,)=0,0,(VLOOKUP($D71,$C$5:$AU$516,22,)/VLOOKUP($D71,$C$5:$AU$516,3,))*$E71)</f>
        <v>0</v>
      </c>
      <c r="Y71" s="80">
        <f>IF(VLOOKUP($D71,$C$5:$AU$516,3,)=0,0,(VLOOKUP($D71,$C$5:$AU$516,23,)/VLOOKUP($D71,$C$5:$AU$516,3,))*$E71)</f>
        <v>0</v>
      </c>
      <c r="Z71" s="80">
        <f>IF(VLOOKUP($D71,$C$5:$AU$516,3,)=0,0,(VLOOKUP($D71,$C$5:$AU$516,24,)/VLOOKUP($D71,$C$5:$AU$516,3,))*$E71)</f>
        <v>0</v>
      </c>
      <c r="AA71" s="80">
        <f>IF(VLOOKUP($D71,$C$5:$AU$516,3,)=0,0,(VLOOKUP($D71,$C$5:$AU$516,25,)/VLOOKUP($D71,$C$5:$AU$516,3,))*$E71)</f>
        <v>0</v>
      </c>
      <c r="AB71" s="80">
        <f>IF(VLOOKUP($D71,$C$5:$AU$516,3,)=0,0,(VLOOKUP($D71,$C$5:$AU$516,26,)/VLOOKUP($D71,$C$5:$AU$516,3,))*$E71)</f>
        <v>0</v>
      </c>
      <c r="AC71" s="80">
        <f>IF(VLOOKUP($D71,$C$5:$AU$516,3,)=0,0,(VLOOKUP($D71,$C$5:$AU$516,27,)/VLOOKUP($D71,$C$5:$AU$516,3,))*$E71)</f>
        <v>0</v>
      </c>
      <c r="AD71" s="80">
        <f>IF(VLOOKUP($D71,$C$5:$AU$516,3,)=0,0,(VLOOKUP($D71,$C$5:$AU$516,28,)/VLOOKUP($D71,$C$5:$AU$516,3,))*$E71)</f>
        <v>0</v>
      </c>
      <c r="AE71" s="80">
        <f>IF(VLOOKUP($D71,$C$5:$AU$516,3,)=0,0,(VLOOKUP($D71,$C$5:$AU$516,29,)/VLOOKUP($D71,$C$5:$AU$516,3,))*$E71)</f>
        <v>0</v>
      </c>
      <c r="AF71" s="80">
        <f>IF(VLOOKUP($D71,$C$5:$AU$516,3,)=0,0,(VLOOKUP($D71,$C$5:$AU$516,30,)/VLOOKUP($D71,$C$5:$AU$516,3,))*$E71)</f>
        <v>0</v>
      </c>
      <c r="AG71" s="65">
        <f>SUM(F71:AF71)</f>
        <v>2357837.472514858</v>
      </c>
      <c r="AH71" s="12" t="str">
        <f>IF(ABS(E71-AG71)&lt;0.01,"ok","err")</f>
        <v>ok</v>
      </c>
    </row>
    <row r="72" spans="1:34" x14ac:dyDescent="0.2">
      <c r="E72" s="7"/>
    </row>
    <row r="73" spans="1:34" x14ac:dyDescent="0.2">
      <c r="A73" s="2" t="s">
        <v>545</v>
      </c>
      <c r="E73" s="7"/>
    </row>
    <row r="74" spans="1:34" x14ac:dyDescent="0.2">
      <c r="A74" s="68" t="s">
        <v>220</v>
      </c>
      <c r="C74" s="3" t="s">
        <v>246</v>
      </c>
      <c r="D74" s="3" t="s">
        <v>233</v>
      </c>
      <c r="E74" s="19">
        <f>'Func &amp; Classif'!Y126</f>
        <v>0</v>
      </c>
      <c r="F74" s="41">
        <f>IF(VLOOKUP($D74,$C$5:$AU$516,3,)=0,0,(VLOOKUP($D74,$C$5:$AU$516,4,)/VLOOKUP($D74,$C$5:$AU$516,3,))*$E74)</f>
        <v>0</v>
      </c>
      <c r="G74" s="41">
        <f>IF(VLOOKUP($D74,$C$5:$AU$516,3,)=0,0,(VLOOKUP($D74,$C$5:$AU$516,5,)/VLOOKUP($D74,$C$5:$AU$516,3,))*$E74)</f>
        <v>0</v>
      </c>
      <c r="H74" s="19">
        <f>IF(VLOOKUP($D74,$C$5:$AU$516,3,)=0,0,(VLOOKUP($D74,$C$5:$AU$516,6,)/VLOOKUP($D74,$C$5:$AU$516,3,))*$E74)</f>
        <v>0</v>
      </c>
      <c r="I74" s="19">
        <f>IF(VLOOKUP($D74,$C$5:$AU$516,3,)=0,0,(VLOOKUP($D74,$C$5:$AU$516,7,)/VLOOKUP($D74,$C$5:$AU$516,3,))*$E74)</f>
        <v>0</v>
      </c>
      <c r="J74" s="19">
        <f>IF(VLOOKUP($D74,$C$5:$AU$516,3,)=0,0,(VLOOKUP($D74,$C$5:$AU$516,8,)/VLOOKUP($D74,$C$5:$AU$516,3,))*$E74)</f>
        <v>0</v>
      </c>
      <c r="K74" s="19">
        <f>IF(VLOOKUP($D74,$C$5:$AU$516,3,)=0,0,(VLOOKUP($D74,$C$5:$AU$516,9,)/VLOOKUP($D74,$C$5:$AU$516,3,))*$E74)</f>
        <v>0</v>
      </c>
      <c r="L74" s="41">
        <f>IF(VLOOKUP($D74,$C$5:$AU$516,3,)=0,0,(VLOOKUP($D74,$C$5:$AU$516,10,)/VLOOKUP($D74,$C$5:$AU$516,3,))*$E74)</f>
        <v>0</v>
      </c>
      <c r="M74" s="19">
        <f>IF(VLOOKUP($D74,$C$5:$AU$516,3,)=0,0,(VLOOKUP($D74,$C$5:$AU$516,11,)/VLOOKUP($D74,$C$5:$AU$516,3,))*$E74)</f>
        <v>0</v>
      </c>
      <c r="N74" s="19">
        <f>IF(VLOOKUP($D74,$C$5:$AU$516,3,)=0,0,(VLOOKUP($D74,$C$5:$AU$516,12,)/VLOOKUP($D74,$C$5:$AU$516,3,))*$E74)</f>
        <v>0</v>
      </c>
      <c r="O74" s="19">
        <f>IF(VLOOKUP($D74,$C$5:$AU$516,3,)=0,0,(VLOOKUP($D74,$C$5:$AU$516,13,)/VLOOKUP($D74,$C$5:$AU$516,3,))*$E74)</f>
        <v>0</v>
      </c>
      <c r="P74" s="19">
        <f>IF(VLOOKUP($D74,$C$5:$AU$516,3,)=0,0,(VLOOKUP($D74,$C$5:$AU$516,14,)/VLOOKUP($D74,$C$5:$AU$516,3,))*$E74)</f>
        <v>0</v>
      </c>
      <c r="Q74" s="19">
        <f>IF(VLOOKUP($D74,$C$5:$AU$516,3,)=0,0,(VLOOKUP($D74,$C$5:$AU$516,15,)/VLOOKUP($D74,$C$5:$AU$516,3,))*$E74)</f>
        <v>0</v>
      </c>
      <c r="R74" s="19">
        <f>IF(VLOOKUP($D74,$C$5:$AU$516,3,)=0,0,(VLOOKUP($D74,$C$5:$AU$516,16,)/VLOOKUP($D74,$C$5:$AU$516,3,))*$E74)</f>
        <v>0</v>
      </c>
      <c r="S74" s="80">
        <f>IF(VLOOKUP($D74,$C$5:$AU$516,3,)=0,0,(VLOOKUP($D74,$C$5:$AU$516,17,)/VLOOKUP($D74,$C$5:$AU$516,3,))*$E74)</f>
        <v>0</v>
      </c>
      <c r="T74" s="80">
        <f>IF(VLOOKUP($D74,$C$5:$AU$516,3,)=0,0,(VLOOKUP($D74,$C$5:$AU$516,18,)/VLOOKUP($D74,$C$5:$AU$516,3,))*$E74)</f>
        <v>0</v>
      </c>
      <c r="U74" s="80">
        <f>IF(VLOOKUP($D74,$C$5:$AU$516,3,)=0,0,(VLOOKUP($D74,$C$5:$AU$516,19,)/VLOOKUP($D74,$C$5:$AU$516,3,))*$E74)</f>
        <v>0</v>
      </c>
      <c r="V74" s="80">
        <f>IF(VLOOKUP($D74,$C$5:$AU$516,3,)=0,0,(VLOOKUP($D74,$C$5:$AU$516,20,)/VLOOKUP($D74,$C$5:$AU$516,3,))*$E74)</f>
        <v>0</v>
      </c>
      <c r="W74" s="80">
        <f>IF(VLOOKUP($D74,$C$5:$AU$516,3,)=0,0,(VLOOKUP($D74,$C$5:$AU$516,21,)/VLOOKUP($D74,$C$5:$AU$516,3,))*$E74)</f>
        <v>0</v>
      </c>
      <c r="X74" s="80">
        <f>IF(VLOOKUP($D74,$C$5:$AU$516,3,)=0,0,(VLOOKUP($D74,$C$5:$AU$516,22,)/VLOOKUP($D74,$C$5:$AU$516,3,))*$E74)</f>
        <v>0</v>
      </c>
      <c r="Y74" s="80">
        <f>IF(VLOOKUP($D74,$C$5:$AU$516,3,)=0,0,(VLOOKUP($D74,$C$5:$AU$516,23,)/VLOOKUP($D74,$C$5:$AU$516,3,))*$E74)</f>
        <v>0</v>
      </c>
      <c r="Z74" s="80">
        <f>IF(VLOOKUP($D74,$C$5:$AU$516,3,)=0,0,(VLOOKUP($D74,$C$5:$AU$516,24,)/VLOOKUP($D74,$C$5:$AU$516,3,))*$E74)</f>
        <v>0</v>
      </c>
      <c r="AA74" s="80">
        <f>IF(VLOOKUP($D74,$C$5:$AU$516,3,)=0,0,(VLOOKUP($D74,$C$5:$AU$516,25,)/VLOOKUP($D74,$C$5:$AU$516,3,))*$E74)</f>
        <v>0</v>
      </c>
      <c r="AB74" s="80">
        <f>IF(VLOOKUP($D74,$C$5:$AU$516,3,)=0,0,(VLOOKUP($D74,$C$5:$AU$516,26,)/VLOOKUP($D74,$C$5:$AU$516,3,))*$E74)</f>
        <v>0</v>
      </c>
      <c r="AC74" s="80">
        <f>IF(VLOOKUP($D74,$C$5:$AU$516,3,)=0,0,(VLOOKUP($D74,$C$5:$AU$516,27,)/VLOOKUP($D74,$C$5:$AU$516,3,))*$E74)</f>
        <v>0</v>
      </c>
      <c r="AD74" s="80">
        <f>IF(VLOOKUP($D74,$C$5:$AU$516,3,)=0,0,(VLOOKUP($D74,$C$5:$AU$516,28,)/VLOOKUP($D74,$C$5:$AU$516,3,))*$E74)</f>
        <v>0</v>
      </c>
      <c r="AE74" s="80">
        <f>IF(VLOOKUP($D74,$C$5:$AU$516,3,)=0,0,(VLOOKUP($D74,$C$5:$AU$516,29,)/VLOOKUP($D74,$C$5:$AU$516,3,))*$E74)</f>
        <v>0</v>
      </c>
      <c r="AF74" s="80">
        <f>IF(VLOOKUP($D74,$C$5:$AU$516,3,)=0,0,(VLOOKUP($D74,$C$5:$AU$516,30,)/VLOOKUP($D74,$C$5:$AU$516,3,))*$E74)</f>
        <v>0</v>
      </c>
      <c r="AG74" s="65">
        <f>SUM(F74:AF74)</f>
        <v>0</v>
      </c>
      <c r="AH74" s="12" t="str">
        <f>IF(ABS(E74-AG74)&lt;0.01,"ok","err")</f>
        <v>ok</v>
      </c>
    </row>
    <row r="75" spans="1:34" x14ac:dyDescent="0.2">
      <c r="E75" s="7"/>
    </row>
    <row r="76" spans="1:34" x14ac:dyDescent="0.2">
      <c r="A76" s="2" t="s">
        <v>470</v>
      </c>
      <c r="E76" s="7"/>
    </row>
    <row r="77" spans="1:34" x14ac:dyDescent="0.2">
      <c r="A77" s="68" t="s">
        <v>220</v>
      </c>
      <c r="C77" s="3" t="s">
        <v>243</v>
      </c>
      <c r="D77" s="3" t="s">
        <v>234</v>
      </c>
      <c r="E77" s="19">
        <f>'Func &amp; Classif'!AA126</f>
        <v>0</v>
      </c>
      <c r="F77" s="41">
        <f>IF(VLOOKUP($D77,$C$5:$AU$516,3,)=0,0,(VLOOKUP($D77,$C$5:$AU$516,4,)/VLOOKUP($D77,$C$5:$AU$516,3,))*$E77)</f>
        <v>0</v>
      </c>
      <c r="G77" s="41">
        <f>IF(VLOOKUP($D77,$C$5:$AU$516,3,)=0,0,(VLOOKUP($D77,$C$5:$AU$516,5,)/VLOOKUP($D77,$C$5:$AU$516,3,))*$E77)</f>
        <v>0</v>
      </c>
      <c r="H77" s="19">
        <f>IF(VLOOKUP($D77,$C$5:$AU$516,3,)=0,0,(VLOOKUP($D77,$C$5:$AU$516,6,)/VLOOKUP($D77,$C$5:$AU$516,3,))*$E77)</f>
        <v>0</v>
      </c>
      <c r="I77" s="19">
        <f>IF(VLOOKUP($D77,$C$5:$AU$516,3,)=0,0,(VLOOKUP($D77,$C$5:$AU$516,7,)/VLOOKUP($D77,$C$5:$AU$516,3,))*$E77)</f>
        <v>0</v>
      </c>
      <c r="J77" s="19">
        <f>IF(VLOOKUP($D77,$C$5:$AU$516,3,)=0,0,(VLOOKUP($D77,$C$5:$AU$516,8,)/VLOOKUP($D77,$C$5:$AU$516,3,))*$E77)</f>
        <v>0</v>
      </c>
      <c r="K77" s="19">
        <f>IF(VLOOKUP($D77,$C$5:$AU$516,3,)=0,0,(VLOOKUP($D77,$C$5:$AU$516,9,)/VLOOKUP($D77,$C$5:$AU$516,3,))*$E77)</f>
        <v>0</v>
      </c>
      <c r="L77" s="41">
        <f>IF(VLOOKUP($D77,$C$5:$AU$516,3,)=0,0,(VLOOKUP($D77,$C$5:$AU$516,10,)/VLOOKUP($D77,$C$5:$AU$516,3,))*$E77)</f>
        <v>0</v>
      </c>
      <c r="M77" s="19">
        <f>IF(VLOOKUP($D77,$C$5:$AU$516,3,)=0,0,(VLOOKUP($D77,$C$5:$AU$516,11,)/VLOOKUP($D77,$C$5:$AU$516,3,))*$E77)</f>
        <v>0</v>
      </c>
      <c r="N77" s="19">
        <f>IF(VLOOKUP($D77,$C$5:$AU$516,3,)=0,0,(VLOOKUP($D77,$C$5:$AU$516,12,)/VLOOKUP($D77,$C$5:$AU$516,3,))*$E77)</f>
        <v>0</v>
      </c>
      <c r="O77" s="19">
        <f>IF(VLOOKUP($D77,$C$5:$AU$516,3,)=0,0,(VLOOKUP($D77,$C$5:$AU$516,13,)/VLOOKUP($D77,$C$5:$AU$516,3,))*$E77)</f>
        <v>0</v>
      </c>
      <c r="P77" s="19">
        <f>IF(VLOOKUP($D77,$C$5:$AU$516,3,)=0,0,(VLOOKUP($D77,$C$5:$AU$516,14,)/VLOOKUP($D77,$C$5:$AU$516,3,))*$E77)</f>
        <v>0</v>
      </c>
      <c r="Q77" s="19">
        <f>IF(VLOOKUP($D77,$C$5:$AU$516,3,)=0,0,(VLOOKUP($D77,$C$5:$AU$516,15,)/VLOOKUP($D77,$C$5:$AU$516,3,))*$E77)</f>
        <v>0</v>
      </c>
      <c r="R77" s="19">
        <f>IF(VLOOKUP($D77,$C$5:$AU$516,3,)=0,0,(VLOOKUP($D77,$C$5:$AU$516,16,)/VLOOKUP($D77,$C$5:$AU$516,3,))*$E77)</f>
        <v>0</v>
      </c>
      <c r="S77" s="80">
        <f>IF(VLOOKUP($D77,$C$5:$AU$516,3,)=0,0,(VLOOKUP($D77,$C$5:$AU$516,17,)/VLOOKUP($D77,$C$5:$AU$516,3,))*$E77)</f>
        <v>0</v>
      </c>
      <c r="T77" s="80">
        <f>IF(VLOOKUP($D77,$C$5:$AU$516,3,)=0,0,(VLOOKUP($D77,$C$5:$AU$516,18,)/VLOOKUP($D77,$C$5:$AU$516,3,))*$E77)</f>
        <v>0</v>
      </c>
      <c r="U77" s="80">
        <f>IF(VLOOKUP($D77,$C$5:$AU$516,3,)=0,0,(VLOOKUP($D77,$C$5:$AU$516,19,)/VLOOKUP($D77,$C$5:$AU$516,3,))*$E77)</f>
        <v>0</v>
      </c>
      <c r="V77" s="80">
        <f>IF(VLOOKUP($D77,$C$5:$AU$516,3,)=0,0,(VLOOKUP($D77,$C$5:$AU$516,20,)/VLOOKUP($D77,$C$5:$AU$516,3,))*$E77)</f>
        <v>0</v>
      </c>
      <c r="W77" s="80">
        <f>IF(VLOOKUP($D77,$C$5:$AU$516,3,)=0,0,(VLOOKUP($D77,$C$5:$AU$516,21,)/VLOOKUP($D77,$C$5:$AU$516,3,))*$E77)</f>
        <v>0</v>
      </c>
      <c r="X77" s="80">
        <f>IF(VLOOKUP($D77,$C$5:$AU$516,3,)=0,0,(VLOOKUP($D77,$C$5:$AU$516,22,)/VLOOKUP($D77,$C$5:$AU$516,3,))*$E77)</f>
        <v>0</v>
      </c>
      <c r="Y77" s="80">
        <f>IF(VLOOKUP($D77,$C$5:$AU$516,3,)=0,0,(VLOOKUP($D77,$C$5:$AU$516,23,)/VLOOKUP($D77,$C$5:$AU$516,3,))*$E77)</f>
        <v>0</v>
      </c>
      <c r="Z77" s="80">
        <f>IF(VLOOKUP($D77,$C$5:$AU$516,3,)=0,0,(VLOOKUP($D77,$C$5:$AU$516,24,)/VLOOKUP($D77,$C$5:$AU$516,3,))*$E77)</f>
        <v>0</v>
      </c>
      <c r="AA77" s="80">
        <f>IF(VLOOKUP($D77,$C$5:$AU$516,3,)=0,0,(VLOOKUP($D77,$C$5:$AU$516,25,)/VLOOKUP($D77,$C$5:$AU$516,3,))*$E77)</f>
        <v>0</v>
      </c>
      <c r="AB77" s="80">
        <f>IF(VLOOKUP($D77,$C$5:$AU$516,3,)=0,0,(VLOOKUP($D77,$C$5:$AU$516,26,)/VLOOKUP($D77,$C$5:$AU$516,3,))*$E77)</f>
        <v>0</v>
      </c>
      <c r="AC77" s="80">
        <f>IF(VLOOKUP($D77,$C$5:$AU$516,3,)=0,0,(VLOOKUP($D77,$C$5:$AU$516,27,)/VLOOKUP($D77,$C$5:$AU$516,3,))*$E77)</f>
        <v>0</v>
      </c>
      <c r="AD77" s="80">
        <f>IF(VLOOKUP($D77,$C$5:$AU$516,3,)=0,0,(VLOOKUP($D77,$C$5:$AU$516,28,)/VLOOKUP($D77,$C$5:$AU$516,3,))*$E77)</f>
        <v>0</v>
      </c>
      <c r="AE77" s="80">
        <f>IF(VLOOKUP($D77,$C$5:$AU$516,3,)=0,0,(VLOOKUP($D77,$C$5:$AU$516,29,)/VLOOKUP($D77,$C$5:$AU$516,3,))*$E77)</f>
        <v>0</v>
      </c>
      <c r="AF77" s="80">
        <f>IF(VLOOKUP($D77,$C$5:$AU$516,3,)=0,0,(VLOOKUP($D77,$C$5:$AU$516,30,)/VLOOKUP($D77,$C$5:$AU$516,3,))*$E77)</f>
        <v>0</v>
      </c>
      <c r="AG77" s="65">
        <f>SUM(F77:AF77)</f>
        <v>0</v>
      </c>
      <c r="AH77" s="12" t="str">
        <f>IF(ABS(E77-AG77)&lt;0.01,"ok","err")</f>
        <v>ok</v>
      </c>
    </row>
    <row r="78" spans="1:34" x14ac:dyDescent="0.2">
      <c r="E78" s="7"/>
    </row>
    <row r="79" spans="1:34" x14ac:dyDescent="0.2">
      <c r="A79" s="3" t="s">
        <v>0</v>
      </c>
      <c r="C79" s="3" t="s">
        <v>247</v>
      </c>
      <c r="E79" s="19">
        <f>E49+E52+E55+E60+E65+E68+E71+E74+E77</f>
        <v>34667777.350000001</v>
      </c>
      <c r="F79" s="19">
        <f t="shared" ref="F79:R79" si="14">F49+F52+F55+F60+F65+F68+F71+F74+F77</f>
        <v>26339460.835709114</v>
      </c>
      <c r="G79" s="19">
        <f t="shared" si="14"/>
        <v>1548513.5454353946</v>
      </c>
      <c r="H79" s="19">
        <f t="shared" si="14"/>
        <v>2063394.4329116161</v>
      </c>
      <c r="I79" s="19">
        <f t="shared" si="14"/>
        <v>911440.00134111464</v>
      </c>
      <c r="J79" s="19">
        <f t="shared" si="14"/>
        <v>299324.39506615145</v>
      </c>
      <c r="K79" s="19">
        <f t="shared" si="14"/>
        <v>3505644.1395366164</v>
      </c>
      <c r="L79" s="19">
        <f t="shared" si="14"/>
        <v>0</v>
      </c>
      <c r="M79" s="19">
        <f t="shared" si="14"/>
        <v>0</v>
      </c>
      <c r="N79" s="19">
        <f t="shared" si="14"/>
        <v>0</v>
      </c>
      <c r="O79" s="19">
        <f t="shared" si="14"/>
        <v>0</v>
      </c>
      <c r="P79" s="19">
        <f t="shared" si="14"/>
        <v>0</v>
      </c>
      <c r="Q79" s="19">
        <f t="shared" si="14"/>
        <v>0</v>
      </c>
      <c r="R79" s="19">
        <f t="shared" si="14"/>
        <v>0</v>
      </c>
      <c r="S79" s="80">
        <f t="shared" ref="S79:AF79" si="15">S49+S55+S60+S65+S68+S71+S74+S77</f>
        <v>0</v>
      </c>
      <c r="T79" s="80">
        <f t="shared" si="15"/>
        <v>0</v>
      </c>
      <c r="U79" s="80">
        <f t="shared" si="15"/>
        <v>0</v>
      </c>
      <c r="V79" s="80">
        <f t="shared" si="15"/>
        <v>0</v>
      </c>
      <c r="W79" s="80">
        <f t="shared" si="15"/>
        <v>0</v>
      </c>
      <c r="X79" s="80">
        <f t="shared" si="15"/>
        <v>0</v>
      </c>
      <c r="Y79" s="80">
        <f t="shared" si="15"/>
        <v>0</v>
      </c>
      <c r="Z79" s="80">
        <f t="shared" si="15"/>
        <v>0</v>
      </c>
      <c r="AA79" s="80">
        <f t="shared" si="15"/>
        <v>0</v>
      </c>
      <c r="AB79" s="80">
        <f t="shared" si="15"/>
        <v>0</v>
      </c>
      <c r="AC79" s="80">
        <f t="shared" si="15"/>
        <v>0</v>
      </c>
      <c r="AD79" s="80">
        <f t="shared" si="15"/>
        <v>0</v>
      </c>
      <c r="AE79" s="80">
        <f t="shared" si="15"/>
        <v>0</v>
      </c>
      <c r="AF79" s="80">
        <f t="shared" si="15"/>
        <v>0</v>
      </c>
      <c r="AG79" s="65">
        <f>SUM(F79:AF79)</f>
        <v>34667777.350000009</v>
      </c>
      <c r="AH79" s="12" t="str">
        <f>IF(ABS(E79-AG79)&lt;0.01,"ok","err")</f>
        <v>ok</v>
      </c>
    </row>
    <row r="80" spans="1:34" x14ac:dyDescent="0.2">
      <c r="F80" s="22">
        <f>F79/E79</f>
        <v>0.75976779733498301</v>
      </c>
    </row>
    <row r="82" spans="1:34" x14ac:dyDescent="0.2">
      <c r="A82" s="10" t="s">
        <v>248</v>
      </c>
    </row>
    <row r="84" spans="1:34" x14ac:dyDescent="0.2">
      <c r="A84" s="2" t="s">
        <v>864</v>
      </c>
    </row>
    <row r="85" spans="1:34" x14ac:dyDescent="0.2">
      <c r="A85" s="68" t="s">
        <v>208</v>
      </c>
      <c r="C85" s="3" t="s">
        <v>249</v>
      </c>
      <c r="D85" s="3" t="s">
        <v>657</v>
      </c>
      <c r="E85" s="19">
        <f>'Func &amp; Classif'!H144</f>
        <v>0</v>
      </c>
      <c r="F85" s="41">
        <f>IF(VLOOKUP($D85,$C$5:$AU$516,3,)=0,0,(VLOOKUP($D85,$C$5:$AU$516,4,)/VLOOKUP($D85,$C$5:$AU$516,3,))*$E85)</f>
        <v>0</v>
      </c>
      <c r="G85" s="41">
        <f>IF(VLOOKUP($D85,$C$5:$AU$516,3,)=0,0,(VLOOKUP($D85,$C$5:$AU$516,5,)/VLOOKUP($D85,$C$5:$AU$516,3,))*$E85)</f>
        <v>0</v>
      </c>
      <c r="H85" s="19">
        <f>IF(VLOOKUP($D85,$C$5:$AU$516,3,)=0,0,(VLOOKUP($D85,$C$5:$AU$516,6,)/VLOOKUP($D85,$C$5:$AU$516,3,))*$E85)</f>
        <v>0</v>
      </c>
      <c r="I85" s="19">
        <f>IF(VLOOKUP($D85,$C$5:$AU$516,3,)=0,0,(VLOOKUP($D85,$C$5:$AU$516,7,)/VLOOKUP($D85,$C$5:$AU$516,3,))*$E85)</f>
        <v>0</v>
      </c>
      <c r="J85" s="19">
        <f>IF(VLOOKUP($D85,$C$5:$AU$516,3,)=0,0,(VLOOKUP($D85,$C$5:$AU$516,8,)/VLOOKUP($D85,$C$5:$AU$516,3,))*$E85)</f>
        <v>0</v>
      </c>
      <c r="K85" s="19">
        <f>IF(VLOOKUP($D85,$C$5:$AU$516,3,)=0,0,(VLOOKUP($D85,$C$5:$AU$516,9,)/VLOOKUP($D85,$C$5:$AU$516,3,))*$E85)</f>
        <v>0</v>
      </c>
      <c r="L85" s="41">
        <f>IF(VLOOKUP($D85,$C$5:$AU$516,3,)=0,0,(VLOOKUP($D85,$C$5:$AU$516,10,)/VLOOKUP($D85,$C$5:$AU$516,3,))*$E85)</f>
        <v>0</v>
      </c>
      <c r="M85" s="19">
        <f>IF(VLOOKUP($D85,$C$5:$AU$516,3,)=0,0,(VLOOKUP($D85,$C$5:$AU$516,11,)/VLOOKUP($D85,$C$5:$AU$516,3,))*$E85)</f>
        <v>0</v>
      </c>
      <c r="N85" s="19">
        <f>IF(VLOOKUP($D85,$C$5:$AU$516,3,)=0,0,(VLOOKUP($D85,$C$5:$AU$516,12,)/VLOOKUP($D85,$C$5:$AU$516,3,))*$E85)</f>
        <v>0</v>
      </c>
      <c r="O85" s="19">
        <f>IF(VLOOKUP($D85,$C$5:$AU$516,3,)=0,0,(VLOOKUP($D85,$C$5:$AU$516,13,)/VLOOKUP($D85,$C$5:$AU$516,3,))*$E85)</f>
        <v>0</v>
      </c>
      <c r="P85" s="19">
        <f>IF(VLOOKUP($D85,$C$5:$AU$516,3,)=0,0,(VLOOKUP($D85,$C$5:$AU$516,14,)/VLOOKUP($D85,$C$5:$AU$516,3,))*$E85)</f>
        <v>0</v>
      </c>
      <c r="Q85" s="19">
        <f>IF(VLOOKUP($D85,$C$5:$AU$516,3,)=0,0,(VLOOKUP($D85,$C$5:$AU$516,15,)/VLOOKUP($D85,$C$5:$AU$516,3,))*$E85)</f>
        <v>0</v>
      </c>
      <c r="R85" s="19">
        <f>IF(VLOOKUP($D85,$C$5:$AU$516,3,)=0,0,(VLOOKUP($D85,$C$5:$AU$516,16,)/VLOOKUP($D85,$C$5:$AU$516,3,))*$E85)</f>
        <v>0</v>
      </c>
      <c r="S85" s="80">
        <f>IF(VLOOKUP($D85,$C$5:$AU$516,3,)=0,0,(VLOOKUP($D85,$C$5:$AU$516,17,)/VLOOKUP($D85,$C$5:$AU$516,3,))*$E85)</f>
        <v>0</v>
      </c>
      <c r="T85" s="80">
        <f>IF(VLOOKUP($D85,$C$5:$AU$516,3,)=0,0,(VLOOKUP($D85,$C$5:$AU$516,18,)/VLOOKUP($D85,$C$5:$AU$516,3,))*$E85)</f>
        <v>0</v>
      </c>
      <c r="U85" s="80">
        <f>IF(VLOOKUP($D85,$C$5:$AU$516,3,)=0,0,(VLOOKUP($D85,$C$5:$AU$516,19,)/VLOOKUP($D85,$C$5:$AU$516,3,))*$E85)</f>
        <v>0</v>
      </c>
      <c r="V85" s="80">
        <f>IF(VLOOKUP($D85,$C$5:$AU$516,3,)=0,0,(VLOOKUP($D85,$C$5:$AU$516,20,)/VLOOKUP($D85,$C$5:$AU$516,3,))*$E85)</f>
        <v>0</v>
      </c>
      <c r="W85" s="80">
        <f>IF(VLOOKUP($D85,$C$5:$AU$516,3,)=0,0,(VLOOKUP($D85,$C$5:$AU$516,21,)/VLOOKUP($D85,$C$5:$AU$516,3,))*$E85)</f>
        <v>0</v>
      </c>
      <c r="X85" s="80">
        <f>IF(VLOOKUP($D85,$C$5:$AU$516,3,)=0,0,(VLOOKUP($D85,$C$5:$AU$516,22,)/VLOOKUP($D85,$C$5:$AU$516,3,))*$E85)</f>
        <v>0</v>
      </c>
      <c r="Y85" s="80">
        <f>IF(VLOOKUP($D85,$C$5:$AU$516,3,)=0,0,(VLOOKUP($D85,$C$5:$AU$516,23,)/VLOOKUP($D85,$C$5:$AU$516,3,))*$E85)</f>
        <v>0</v>
      </c>
      <c r="Z85" s="80">
        <f>IF(VLOOKUP($D85,$C$5:$AU$516,3,)=0,0,(VLOOKUP($D85,$C$5:$AU$516,24,)/VLOOKUP($D85,$C$5:$AU$516,3,))*$E85)</f>
        <v>0</v>
      </c>
      <c r="AA85" s="80">
        <f>IF(VLOOKUP($D85,$C$5:$AU$516,3,)=0,0,(VLOOKUP($D85,$C$5:$AU$516,25,)/VLOOKUP($D85,$C$5:$AU$516,3,))*$E85)</f>
        <v>0</v>
      </c>
      <c r="AB85" s="80">
        <f>IF(VLOOKUP($D85,$C$5:$AU$516,3,)=0,0,(VLOOKUP($D85,$C$5:$AU$516,26,)/VLOOKUP($D85,$C$5:$AU$516,3,))*$E85)</f>
        <v>0</v>
      </c>
      <c r="AC85" s="80">
        <f>IF(VLOOKUP($D85,$C$5:$AU$516,3,)=0,0,(VLOOKUP($D85,$C$5:$AU$516,27,)/VLOOKUP($D85,$C$5:$AU$516,3,))*$E85)</f>
        <v>0</v>
      </c>
      <c r="AD85" s="80">
        <f>IF(VLOOKUP($D85,$C$5:$AU$516,3,)=0,0,(VLOOKUP($D85,$C$5:$AU$516,28,)/VLOOKUP($D85,$C$5:$AU$516,3,))*$E85)</f>
        <v>0</v>
      </c>
      <c r="AE85" s="80">
        <f>IF(VLOOKUP($D85,$C$5:$AU$516,3,)=0,0,(VLOOKUP($D85,$C$5:$AU$516,29,)/VLOOKUP($D85,$C$5:$AU$516,3,))*$E85)</f>
        <v>0</v>
      </c>
      <c r="AF85" s="80">
        <f>IF(VLOOKUP($D85,$C$5:$AU$516,3,)=0,0,(VLOOKUP($D85,$C$5:$AU$516,30,)/VLOOKUP($D85,$C$5:$AU$516,3,))*$E85)</f>
        <v>0</v>
      </c>
      <c r="AG85" s="65">
        <f>SUM(F85:AF85)</f>
        <v>0</v>
      </c>
      <c r="AH85" s="12" t="str">
        <f>IF(ABS(E85-AG85)&lt;0.01,"ok","err")</f>
        <v>ok</v>
      </c>
    </row>
    <row r="86" spans="1:34" x14ac:dyDescent="0.2">
      <c r="A86" s="68" t="s">
        <v>211</v>
      </c>
      <c r="C86" s="3" t="s">
        <v>250</v>
      </c>
      <c r="D86" s="3" t="s">
        <v>666</v>
      </c>
      <c r="E86" s="7">
        <f>'Func &amp; Classif'!I144</f>
        <v>0</v>
      </c>
      <c r="F86" s="41">
        <f>IF(VLOOKUP($D86,$C$5:$AU$516,3,)=0,0,(VLOOKUP($D86,$C$5:$AU$516,4,)/VLOOKUP($D86,$C$5:$AU$516,3,))*$E86)</f>
        <v>0</v>
      </c>
      <c r="G86" s="41">
        <f>IF(VLOOKUP($D86,$C$5:$AU$516,3,)=0,0,(VLOOKUP($D86,$C$5:$AU$516,5,)/VLOOKUP($D86,$C$5:$AU$516,3,))*$E86)</f>
        <v>0</v>
      </c>
      <c r="H86" s="19">
        <f>IF(VLOOKUP($D86,$C$5:$AU$516,3,)=0,0,(VLOOKUP($D86,$C$5:$AU$516,6,)/VLOOKUP($D86,$C$5:$AU$516,3,))*$E86)</f>
        <v>0</v>
      </c>
      <c r="I86" s="19">
        <f>IF(VLOOKUP($D86,$C$5:$AU$516,3,)=0,0,(VLOOKUP($D86,$C$5:$AU$516,7,)/VLOOKUP($D86,$C$5:$AU$516,3,))*$E86)</f>
        <v>0</v>
      </c>
      <c r="J86" s="19">
        <f>IF(VLOOKUP($D86,$C$5:$AU$516,3,)=0,0,(VLOOKUP($D86,$C$5:$AU$516,8,)/VLOOKUP($D86,$C$5:$AU$516,3,))*$E86)</f>
        <v>0</v>
      </c>
      <c r="K86" s="19">
        <f>IF(VLOOKUP($D86,$C$5:$AU$516,3,)=0,0,(VLOOKUP($D86,$C$5:$AU$516,9,)/VLOOKUP($D86,$C$5:$AU$516,3,))*$E86)</f>
        <v>0</v>
      </c>
      <c r="L86" s="41">
        <f>IF(VLOOKUP($D86,$C$5:$AU$516,3,)=0,0,(VLOOKUP($D86,$C$5:$AU$516,10,)/VLOOKUP($D86,$C$5:$AU$516,3,))*$E86)</f>
        <v>0</v>
      </c>
      <c r="M86" s="19">
        <f>IF(VLOOKUP($D86,$C$5:$AU$516,3,)=0,0,(VLOOKUP($D86,$C$5:$AU$516,11,)/VLOOKUP($D86,$C$5:$AU$516,3,))*$E86)</f>
        <v>0</v>
      </c>
      <c r="N86" s="19">
        <f>IF(VLOOKUP($D86,$C$5:$AU$516,3,)=0,0,(VLOOKUP($D86,$C$5:$AU$516,12,)/VLOOKUP($D86,$C$5:$AU$516,3,))*$E86)</f>
        <v>0</v>
      </c>
      <c r="O86" s="19">
        <f>IF(VLOOKUP($D86,$C$5:$AU$516,3,)=0,0,(VLOOKUP($D86,$C$5:$AU$516,13,)/VLOOKUP($D86,$C$5:$AU$516,3,))*$E86)</f>
        <v>0</v>
      </c>
      <c r="P86" s="19">
        <f>IF(VLOOKUP($D86,$C$5:$AU$516,3,)=0,0,(VLOOKUP($D86,$C$5:$AU$516,14,)/VLOOKUP($D86,$C$5:$AU$516,3,))*$E86)</f>
        <v>0</v>
      </c>
      <c r="Q86" s="19">
        <f>IF(VLOOKUP($D86,$C$5:$AU$516,3,)=0,0,(VLOOKUP($D86,$C$5:$AU$516,15,)/VLOOKUP($D86,$C$5:$AU$516,3,))*$E86)</f>
        <v>0</v>
      </c>
      <c r="R86" s="19">
        <f>IF(VLOOKUP($D86,$C$5:$AU$516,3,)=0,0,(VLOOKUP($D86,$C$5:$AU$516,16,)/VLOOKUP($D86,$C$5:$AU$516,3,))*$E86)</f>
        <v>0</v>
      </c>
      <c r="S86" s="80">
        <f>IF(VLOOKUP($D86,$C$5:$AU$516,3,)=0,0,(VLOOKUP($D86,$C$5:$AU$516,17,)/VLOOKUP($D86,$C$5:$AU$516,3,))*$E86)</f>
        <v>0</v>
      </c>
      <c r="T86" s="80">
        <f>IF(VLOOKUP($D86,$C$5:$AU$516,3,)=0,0,(VLOOKUP($D86,$C$5:$AU$516,18,)/VLOOKUP($D86,$C$5:$AU$516,3,))*$E86)</f>
        <v>0</v>
      </c>
      <c r="U86" s="80">
        <f>IF(VLOOKUP($D86,$C$5:$AU$516,3,)=0,0,(VLOOKUP($D86,$C$5:$AU$516,19,)/VLOOKUP($D86,$C$5:$AU$516,3,))*$E86)</f>
        <v>0</v>
      </c>
      <c r="V86" s="80">
        <f>IF(VLOOKUP($D86,$C$5:$AU$516,3,)=0,0,(VLOOKUP($D86,$C$5:$AU$516,20,)/VLOOKUP($D86,$C$5:$AU$516,3,))*$E86)</f>
        <v>0</v>
      </c>
      <c r="W86" s="80">
        <f>IF(VLOOKUP($D86,$C$5:$AU$516,3,)=0,0,(VLOOKUP($D86,$C$5:$AU$516,21,)/VLOOKUP($D86,$C$5:$AU$516,3,))*$E86)</f>
        <v>0</v>
      </c>
      <c r="X86" s="80">
        <f>IF(VLOOKUP($D86,$C$5:$AU$516,3,)=0,0,(VLOOKUP($D86,$C$5:$AU$516,22,)/VLOOKUP($D86,$C$5:$AU$516,3,))*$E86)</f>
        <v>0</v>
      </c>
      <c r="Y86" s="80">
        <f>IF(VLOOKUP($D86,$C$5:$AU$516,3,)=0,0,(VLOOKUP($D86,$C$5:$AU$516,23,)/VLOOKUP($D86,$C$5:$AU$516,3,))*$E86)</f>
        <v>0</v>
      </c>
      <c r="Z86" s="80">
        <f>IF(VLOOKUP($D86,$C$5:$AU$516,3,)=0,0,(VLOOKUP($D86,$C$5:$AU$516,24,)/VLOOKUP($D86,$C$5:$AU$516,3,))*$E86)</f>
        <v>0</v>
      </c>
      <c r="AA86" s="80">
        <f>IF(VLOOKUP($D86,$C$5:$AU$516,3,)=0,0,(VLOOKUP($D86,$C$5:$AU$516,25,)/VLOOKUP($D86,$C$5:$AU$516,3,))*$E86)</f>
        <v>0</v>
      </c>
      <c r="AB86" s="80">
        <f>IF(VLOOKUP($D86,$C$5:$AU$516,3,)=0,0,(VLOOKUP($D86,$C$5:$AU$516,26,)/VLOOKUP($D86,$C$5:$AU$516,3,))*$E86)</f>
        <v>0</v>
      </c>
      <c r="AC86" s="80">
        <f>IF(VLOOKUP($D86,$C$5:$AU$516,3,)=0,0,(VLOOKUP($D86,$C$5:$AU$516,27,)/VLOOKUP($D86,$C$5:$AU$516,3,))*$E86)</f>
        <v>0</v>
      </c>
      <c r="AD86" s="80">
        <f>IF(VLOOKUP($D86,$C$5:$AU$516,3,)=0,0,(VLOOKUP($D86,$C$5:$AU$516,28,)/VLOOKUP($D86,$C$5:$AU$516,3,))*$E86)</f>
        <v>0</v>
      </c>
      <c r="AE86" s="80">
        <f>IF(VLOOKUP($D86,$C$5:$AU$516,3,)=0,0,(VLOOKUP($D86,$C$5:$AU$516,29,)/VLOOKUP($D86,$C$5:$AU$516,3,))*$E86)</f>
        <v>0</v>
      </c>
      <c r="AF86" s="80">
        <f>IF(VLOOKUP($D86,$C$5:$AU$516,3,)=0,0,(VLOOKUP($D86,$C$5:$AU$516,30,)/VLOOKUP($D86,$C$5:$AU$516,3,))*$E86)</f>
        <v>0</v>
      </c>
      <c r="AG86" s="65">
        <f>SUM(F86:AF86)</f>
        <v>0</v>
      </c>
      <c r="AH86" s="12" t="str">
        <f>IF(ABS(E86-AG86)&lt;0.01,"ok","err")</f>
        <v>ok</v>
      </c>
    </row>
    <row r="87" spans="1:34" x14ac:dyDescent="0.2">
      <c r="A87" s="3" t="s">
        <v>214</v>
      </c>
      <c r="C87" s="3" t="s">
        <v>251</v>
      </c>
      <c r="E87" s="7">
        <f t="shared" ref="E87:T87" si="16">E85+E86</f>
        <v>0</v>
      </c>
      <c r="F87" s="41">
        <f t="shared" si="16"/>
        <v>0</v>
      </c>
      <c r="G87" s="41">
        <f t="shared" si="16"/>
        <v>0</v>
      </c>
      <c r="H87" s="19">
        <f t="shared" si="16"/>
        <v>0</v>
      </c>
      <c r="I87" s="19">
        <f t="shared" si="16"/>
        <v>0</v>
      </c>
      <c r="J87" s="19">
        <f t="shared" si="16"/>
        <v>0</v>
      </c>
      <c r="K87" s="19">
        <f t="shared" si="16"/>
        <v>0</v>
      </c>
      <c r="L87" s="41">
        <f t="shared" si="16"/>
        <v>0</v>
      </c>
      <c r="M87" s="19">
        <f t="shared" si="16"/>
        <v>0</v>
      </c>
      <c r="N87" s="19">
        <f t="shared" si="16"/>
        <v>0</v>
      </c>
      <c r="O87" s="19">
        <f t="shared" si="16"/>
        <v>0</v>
      </c>
      <c r="P87" s="19">
        <f t="shared" si="16"/>
        <v>0</v>
      </c>
      <c r="Q87" s="19">
        <f t="shared" si="16"/>
        <v>0</v>
      </c>
      <c r="R87" s="19">
        <f t="shared" si="16"/>
        <v>0</v>
      </c>
      <c r="S87" s="80">
        <f t="shared" si="16"/>
        <v>0</v>
      </c>
      <c r="T87" s="80">
        <f t="shared" si="16"/>
        <v>0</v>
      </c>
      <c r="U87" s="80">
        <f t="shared" ref="U87:AF87" si="17">U85+U86</f>
        <v>0</v>
      </c>
      <c r="V87" s="80">
        <f t="shared" si="17"/>
        <v>0</v>
      </c>
      <c r="W87" s="80">
        <f t="shared" si="17"/>
        <v>0</v>
      </c>
      <c r="X87" s="80">
        <f t="shared" si="17"/>
        <v>0</v>
      </c>
      <c r="Y87" s="80">
        <f t="shared" si="17"/>
        <v>0</v>
      </c>
      <c r="Z87" s="80">
        <f t="shared" si="17"/>
        <v>0</v>
      </c>
      <c r="AA87" s="80">
        <f t="shared" si="17"/>
        <v>0</v>
      </c>
      <c r="AB87" s="80">
        <f t="shared" si="17"/>
        <v>0</v>
      </c>
      <c r="AC87" s="80">
        <f t="shared" si="17"/>
        <v>0</v>
      </c>
      <c r="AD87" s="80">
        <f t="shared" si="17"/>
        <v>0</v>
      </c>
      <c r="AE87" s="80">
        <f t="shared" si="17"/>
        <v>0</v>
      </c>
      <c r="AF87" s="80">
        <f t="shared" si="17"/>
        <v>0</v>
      </c>
      <c r="AG87" s="65">
        <f>SUM(F87:AF87)</f>
        <v>0</v>
      </c>
      <c r="AH87" s="12" t="str">
        <f>IF(ABS(E87-AG87)&lt;0.01,"ok","err")</f>
        <v>ok</v>
      </c>
    </row>
    <row r="88" spans="1:34" x14ac:dyDescent="0.2">
      <c r="E88" s="7"/>
      <c r="F88" s="24"/>
    </row>
    <row r="89" spans="1:34" x14ac:dyDescent="0.2">
      <c r="A89" s="2" t="s">
        <v>349</v>
      </c>
      <c r="E89" s="7"/>
      <c r="F89" s="24"/>
    </row>
    <row r="90" spans="1:34" x14ac:dyDescent="0.2">
      <c r="A90" s="68" t="s">
        <v>208</v>
      </c>
      <c r="C90" s="3" t="s">
        <v>855</v>
      </c>
      <c r="D90" s="3" t="s">
        <v>600</v>
      </c>
      <c r="E90" s="19">
        <f>'Func &amp; Classif'!K144</f>
        <v>0</v>
      </c>
      <c r="F90" s="41">
        <f>IF(VLOOKUP($D90,$C$5:$AU$516,3,)=0,0,(VLOOKUP($D90,$C$5:$AU$516,4,)/VLOOKUP($D90,$C$5:$AU$516,3,))*$E90)</f>
        <v>0</v>
      </c>
      <c r="G90" s="41">
        <f>IF(VLOOKUP($D90,$C$5:$AU$516,3,)=0,0,(VLOOKUP($D90,$C$5:$AU$516,5,)/VLOOKUP($D90,$C$5:$AU$516,3,))*$E90)</f>
        <v>0</v>
      </c>
      <c r="H90" s="19">
        <f>IF(VLOOKUP($D90,$C$5:$AU$516,3,)=0,0,(VLOOKUP($D90,$C$5:$AU$516,6,)/VLOOKUP($D90,$C$5:$AU$516,3,))*$E90)</f>
        <v>0</v>
      </c>
      <c r="I90" s="19">
        <f>IF(VLOOKUP($D90,$C$5:$AU$516,3,)=0,0,(VLOOKUP($D90,$C$5:$AU$516,7,)/VLOOKUP($D90,$C$5:$AU$516,3,))*$E90)</f>
        <v>0</v>
      </c>
      <c r="J90" s="19">
        <f>IF(VLOOKUP($D90,$C$5:$AU$516,3,)=0,0,(VLOOKUP($D90,$C$5:$AU$516,8,)/VLOOKUP($D90,$C$5:$AU$516,3,))*$E90)</f>
        <v>0</v>
      </c>
      <c r="K90" s="19">
        <f>IF(VLOOKUP($D90,$C$5:$AU$516,3,)=0,0,(VLOOKUP($D90,$C$5:$AU$516,9,)/VLOOKUP($D90,$C$5:$AU$516,3,))*$E90)</f>
        <v>0</v>
      </c>
      <c r="L90" s="41">
        <f>IF(VLOOKUP($D90,$C$5:$AU$516,3,)=0,0,(VLOOKUP($D90,$C$5:$AU$516,10,)/VLOOKUP($D90,$C$5:$AU$516,3,))*$E90)</f>
        <v>0</v>
      </c>
      <c r="M90" s="19">
        <f>IF(VLOOKUP($D90,$C$5:$AU$516,3,)=0,0,(VLOOKUP($D90,$C$5:$AU$516,11,)/VLOOKUP($D90,$C$5:$AU$516,3,))*$E90)</f>
        <v>0</v>
      </c>
      <c r="N90" s="19">
        <f>IF(VLOOKUP($D90,$C$5:$AU$516,3,)=0,0,(VLOOKUP($D90,$C$5:$AU$516,12,)/VLOOKUP($D90,$C$5:$AU$516,3,))*$E90)</f>
        <v>0</v>
      </c>
      <c r="O90" s="19">
        <f>IF(VLOOKUP($D90,$C$5:$AU$516,3,)=0,0,(VLOOKUP($D90,$C$5:$AU$516,13,)/VLOOKUP($D90,$C$5:$AU$516,3,))*$E90)</f>
        <v>0</v>
      </c>
      <c r="P90" s="19">
        <f>IF(VLOOKUP($D90,$C$5:$AU$516,3,)=0,0,(VLOOKUP($D90,$C$5:$AU$516,14,)/VLOOKUP($D90,$C$5:$AU$516,3,))*$E90)</f>
        <v>0</v>
      </c>
      <c r="Q90" s="19">
        <f>IF(VLOOKUP($D90,$C$5:$AU$516,3,)=0,0,(VLOOKUP($D90,$C$5:$AU$516,15,)/VLOOKUP($D90,$C$5:$AU$516,3,))*$E90)</f>
        <v>0</v>
      </c>
      <c r="R90" s="19">
        <f>IF(VLOOKUP($D90,$C$5:$AU$516,3,)=0,0,(VLOOKUP($D90,$C$5:$AU$516,16,)/VLOOKUP($D90,$C$5:$AU$516,3,))*$E90)</f>
        <v>0</v>
      </c>
      <c r="S90" s="80">
        <f>IF(VLOOKUP($D90,$C$5:$AU$516,3,)=0,0,(VLOOKUP($D90,$C$5:$AU$516,17,)/VLOOKUP($D90,$C$5:$AU$516,3,))*$E90)</f>
        <v>0</v>
      </c>
      <c r="T90" s="80">
        <f>IF(VLOOKUP($D90,$C$5:$AU$516,3,)=0,0,(VLOOKUP($D90,$C$5:$AU$516,18,)/VLOOKUP($D90,$C$5:$AU$516,3,))*$E90)</f>
        <v>0</v>
      </c>
      <c r="U90" s="80">
        <f>IF(VLOOKUP($D90,$C$5:$AU$516,3,)=0,0,(VLOOKUP($D90,$C$5:$AU$516,19,)/VLOOKUP($D90,$C$5:$AU$516,3,))*$E90)</f>
        <v>0</v>
      </c>
      <c r="V90" s="80">
        <f>IF(VLOOKUP($D90,$C$5:$AU$516,3,)=0,0,(VLOOKUP($D90,$C$5:$AU$516,20,)/VLOOKUP($D90,$C$5:$AU$516,3,))*$E90)</f>
        <v>0</v>
      </c>
      <c r="W90" s="80">
        <f>IF(VLOOKUP($D90,$C$5:$AU$516,3,)=0,0,(VLOOKUP($D90,$C$5:$AU$516,21,)/VLOOKUP($D90,$C$5:$AU$516,3,))*$E90)</f>
        <v>0</v>
      </c>
      <c r="X90" s="80">
        <f>IF(VLOOKUP($D90,$C$5:$AU$516,3,)=0,0,(VLOOKUP($D90,$C$5:$AU$516,22,)/VLOOKUP($D90,$C$5:$AU$516,3,))*$E90)</f>
        <v>0</v>
      </c>
      <c r="Y90" s="80">
        <f>IF(VLOOKUP($D90,$C$5:$AU$516,3,)=0,0,(VLOOKUP($D90,$C$5:$AU$516,23,)/VLOOKUP($D90,$C$5:$AU$516,3,))*$E90)</f>
        <v>0</v>
      </c>
      <c r="Z90" s="80">
        <f>IF(VLOOKUP($D90,$C$5:$AU$516,3,)=0,0,(VLOOKUP($D90,$C$5:$AU$516,24,)/VLOOKUP($D90,$C$5:$AU$516,3,))*$E90)</f>
        <v>0</v>
      </c>
      <c r="AA90" s="80">
        <f>IF(VLOOKUP($D90,$C$5:$AU$516,3,)=0,0,(VLOOKUP($D90,$C$5:$AU$516,25,)/VLOOKUP($D90,$C$5:$AU$516,3,))*$E90)</f>
        <v>0</v>
      </c>
      <c r="AB90" s="80">
        <f>IF(VLOOKUP($D90,$C$5:$AU$516,3,)=0,0,(VLOOKUP($D90,$C$5:$AU$516,26,)/VLOOKUP($D90,$C$5:$AU$516,3,))*$E90)</f>
        <v>0</v>
      </c>
      <c r="AC90" s="80">
        <f>IF(VLOOKUP($D90,$C$5:$AU$516,3,)=0,0,(VLOOKUP($D90,$C$5:$AU$516,27,)/VLOOKUP($D90,$C$5:$AU$516,3,))*$E90)</f>
        <v>0</v>
      </c>
      <c r="AD90" s="80">
        <f>IF(VLOOKUP($D90,$C$5:$AU$516,3,)=0,0,(VLOOKUP($D90,$C$5:$AU$516,28,)/VLOOKUP($D90,$C$5:$AU$516,3,))*$E90)</f>
        <v>0</v>
      </c>
      <c r="AE90" s="80">
        <f>IF(VLOOKUP($D90,$C$5:$AU$516,3,)=0,0,(VLOOKUP($D90,$C$5:$AU$516,29,)/VLOOKUP($D90,$C$5:$AU$516,3,))*$E90)</f>
        <v>0</v>
      </c>
      <c r="AF90" s="80">
        <f>IF(VLOOKUP($D90,$C$5:$AU$516,3,)=0,0,(VLOOKUP($D90,$C$5:$AU$516,30,)/VLOOKUP($D90,$C$5:$AU$516,3,))*$E90)</f>
        <v>0</v>
      </c>
      <c r="AG90" s="65">
        <f>SUM(F90:AF90)</f>
        <v>0</v>
      </c>
      <c r="AH90" s="12" t="str">
        <f>IF(ABS(E90-AG90)&lt;0.01,"ok","err")</f>
        <v>ok</v>
      </c>
    </row>
    <row r="91" spans="1:34" x14ac:dyDescent="0.2">
      <c r="E91" s="7"/>
    </row>
    <row r="92" spans="1:34" x14ac:dyDescent="0.2">
      <c r="A92" s="2" t="s">
        <v>1</v>
      </c>
      <c r="E92" s="7"/>
      <c r="F92" s="24"/>
    </row>
    <row r="93" spans="1:34" x14ac:dyDescent="0.2">
      <c r="A93" s="68" t="s">
        <v>208</v>
      </c>
      <c r="C93" s="3" t="s">
        <v>252</v>
      </c>
      <c r="D93" s="3" t="s">
        <v>616</v>
      </c>
      <c r="E93" s="19">
        <f>'Func &amp; Classif'!M144</f>
        <v>301613.07398275501</v>
      </c>
      <c r="F93" s="41">
        <f>IF(VLOOKUP($D93,$C$5:$AU$516,3,)=0,0,(VLOOKUP($D93,$C$5:$AU$516,4,)/VLOOKUP($D93,$C$5:$AU$516,3,))*$E93)</f>
        <v>239723.84899227833</v>
      </c>
      <c r="G93" s="41">
        <f>IF(VLOOKUP($D93,$C$5:$AU$516,3,)=0,0,(VLOOKUP($D93,$C$5:$AU$516,5,)/VLOOKUP($D93,$C$5:$AU$516,3,))*$E93)</f>
        <v>15454.88819479363</v>
      </c>
      <c r="H93" s="19">
        <f>IF(VLOOKUP($D93,$C$5:$AU$516,3,)=0,0,(VLOOKUP($D93,$C$5:$AU$516,6,)/VLOOKUP($D93,$C$5:$AU$516,3,))*$E93)</f>
        <v>31552.168441498718</v>
      </c>
      <c r="I93" s="19">
        <f>IF(VLOOKUP($D93,$C$5:$AU$516,3,)=0,0,(VLOOKUP($D93,$C$5:$AU$516,7,)/VLOOKUP($D93,$C$5:$AU$516,3,))*$E93)</f>
        <v>5029.0694510501435</v>
      </c>
      <c r="J93" s="19">
        <f>IF(VLOOKUP($D93,$C$5:$AU$516,3,)=0,0,(VLOOKUP($D93,$C$5:$AU$516,8,)/VLOOKUP($D93,$C$5:$AU$516,3,))*$E93)</f>
        <v>6745.8908678622056</v>
      </c>
      <c r="K93" s="19">
        <f>IF(VLOOKUP($D93,$C$5:$AU$516,3,)=0,0,(VLOOKUP($D93,$C$5:$AU$516,9,)/VLOOKUP($D93,$C$5:$AU$516,3,))*$E93)</f>
        <v>3107.2080352719713</v>
      </c>
      <c r="L93" s="41">
        <f>IF(VLOOKUP($D93,$C$5:$AU$516,3,)=0,0,(VLOOKUP($D93,$C$5:$AU$516,10,)/VLOOKUP($D93,$C$5:$AU$516,3,))*$E93)</f>
        <v>0</v>
      </c>
      <c r="M93" s="19">
        <f>IF(VLOOKUP($D93,$C$5:$AU$516,3,)=0,0,(VLOOKUP($D93,$C$5:$AU$516,11,)/VLOOKUP($D93,$C$5:$AU$516,3,))*$E93)</f>
        <v>0</v>
      </c>
      <c r="N93" s="19">
        <f>IF(VLOOKUP($D93,$C$5:$AU$516,3,)=0,0,(VLOOKUP($D93,$C$5:$AU$516,12,)/VLOOKUP($D93,$C$5:$AU$516,3,))*$E93)</f>
        <v>0</v>
      </c>
      <c r="O93" s="19">
        <f>IF(VLOOKUP($D93,$C$5:$AU$516,3,)=0,0,(VLOOKUP($D93,$C$5:$AU$516,13,)/VLOOKUP($D93,$C$5:$AU$516,3,))*$E93)</f>
        <v>0</v>
      </c>
      <c r="P93" s="19">
        <f>IF(VLOOKUP($D93,$C$5:$AU$516,3,)=0,0,(VLOOKUP($D93,$C$5:$AU$516,14,)/VLOOKUP($D93,$C$5:$AU$516,3,))*$E93)</f>
        <v>0</v>
      </c>
      <c r="Q93" s="19">
        <f>IF(VLOOKUP($D93,$C$5:$AU$516,3,)=0,0,(VLOOKUP($D93,$C$5:$AU$516,15,)/VLOOKUP($D93,$C$5:$AU$516,3,))*$E93)</f>
        <v>0</v>
      </c>
      <c r="R93" s="19">
        <f>IF(VLOOKUP($D93,$C$5:$AU$516,3,)=0,0,(VLOOKUP($D93,$C$5:$AU$516,16,)/VLOOKUP($D93,$C$5:$AU$516,3,))*$E93)</f>
        <v>0</v>
      </c>
      <c r="S93" s="80">
        <f>IF(VLOOKUP($D93,$C$5:$AU$516,3,)=0,0,(VLOOKUP($D93,$C$5:$AU$516,17,)/VLOOKUP($D93,$C$5:$AU$516,3,))*$E93)</f>
        <v>0</v>
      </c>
      <c r="T93" s="80">
        <f>IF(VLOOKUP($D93,$C$5:$AU$516,3,)=0,0,(VLOOKUP($D93,$C$5:$AU$516,18,)/VLOOKUP($D93,$C$5:$AU$516,3,))*$E93)</f>
        <v>0</v>
      </c>
      <c r="U93" s="80">
        <f>IF(VLOOKUP($D93,$C$5:$AU$516,3,)=0,0,(VLOOKUP($D93,$C$5:$AU$516,19,)/VLOOKUP($D93,$C$5:$AU$516,3,))*$E93)</f>
        <v>0</v>
      </c>
      <c r="V93" s="80">
        <f>IF(VLOOKUP($D93,$C$5:$AU$516,3,)=0,0,(VLOOKUP($D93,$C$5:$AU$516,20,)/VLOOKUP($D93,$C$5:$AU$516,3,))*$E93)</f>
        <v>0</v>
      </c>
      <c r="W93" s="80">
        <f>IF(VLOOKUP($D93,$C$5:$AU$516,3,)=0,0,(VLOOKUP($D93,$C$5:$AU$516,21,)/VLOOKUP($D93,$C$5:$AU$516,3,))*$E93)</f>
        <v>0</v>
      </c>
      <c r="X93" s="80">
        <f>IF(VLOOKUP($D93,$C$5:$AU$516,3,)=0,0,(VLOOKUP($D93,$C$5:$AU$516,22,)/VLOOKUP($D93,$C$5:$AU$516,3,))*$E93)</f>
        <v>0</v>
      </c>
      <c r="Y93" s="80">
        <f>IF(VLOOKUP($D93,$C$5:$AU$516,3,)=0,0,(VLOOKUP($D93,$C$5:$AU$516,23,)/VLOOKUP($D93,$C$5:$AU$516,3,))*$E93)</f>
        <v>0</v>
      </c>
      <c r="Z93" s="80">
        <f>IF(VLOOKUP($D93,$C$5:$AU$516,3,)=0,0,(VLOOKUP($D93,$C$5:$AU$516,24,)/VLOOKUP($D93,$C$5:$AU$516,3,))*$E93)</f>
        <v>0</v>
      </c>
      <c r="AA93" s="80">
        <f>IF(VLOOKUP($D93,$C$5:$AU$516,3,)=0,0,(VLOOKUP($D93,$C$5:$AU$516,25,)/VLOOKUP($D93,$C$5:$AU$516,3,))*$E93)</f>
        <v>0</v>
      </c>
      <c r="AB93" s="80">
        <f>IF(VLOOKUP($D93,$C$5:$AU$516,3,)=0,0,(VLOOKUP($D93,$C$5:$AU$516,26,)/VLOOKUP($D93,$C$5:$AU$516,3,))*$E93)</f>
        <v>0</v>
      </c>
      <c r="AC93" s="80">
        <f>IF(VLOOKUP($D93,$C$5:$AU$516,3,)=0,0,(VLOOKUP($D93,$C$5:$AU$516,27,)/VLOOKUP($D93,$C$5:$AU$516,3,))*$E93)</f>
        <v>0</v>
      </c>
      <c r="AD93" s="80">
        <f>IF(VLOOKUP($D93,$C$5:$AU$516,3,)=0,0,(VLOOKUP($D93,$C$5:$AU$516,28,)/VLOOKUP($D93,$C$5:$AU$516,3,))*$E93)</f>
        <v>0</v>
      </c>
      <c r="AE93" s="80">
        <f>IF(VLOOKUP($D93,$C$5:$AU$516,3,)=0,0,(VLOOKUP($D93,$C$5:$AU$516,29,)/VLOOKUP($D93,$C$5:$AU$516,3,))*$E93)</f>
        <v>0</v>
      </c>
      <c r="AF93" s="80">
        <f>IF(VLOOKUP($D93,$C$5:$AU$516,3,)=0,0,(VLOOKUP($D93,$C$5:$AU$516,30,)/VLOOKUP($D93,$C$5:$AU$516,3,))*$E93)</f>
        <v>0</v>
      </c>
      <c r="AG93" s="65">
        <f>SUM(F93:AF93)</f>
        <v>301613.07398275501</v>
      </c>
      <c r="AH93" s="12" t="str">
        <f>IF(ABS(E93-AG93)&lt;0.01,"ok","err")</f>
        <v>ok</v>
      </c>
    </row>
    <row r="94" spans="1:34" x14ac:dyDescent="0.2">
      <c r="E94" s="7"/>
    </row>
    <row r="95" spans="1:34" x14ac:dyDescent="0.2">
      <c r="A95" s="2" t="s">
        <v>2</v>
      </c>
      <c r="E95" s="7"/>
    </row>
    <row r="96" spans="1:34" x14ac:dyDescent="0.2">
      <c r="A96" s="68" t="s">
        <v>208</v>
      </c>
      <c r="C96" s="3" t="s">
        <v>253</v>
      </c>
      <c r="D96" s="3" t="s">
        <v>608</v>
      </c>
      <c r="E96" s="19">
        <f>'Func &amp; Classif'!O144</f>
        <v>15652358.800395008</v>
      </c>
      <c r="F96" s="41">
        <f>IF(VLOOKUP($D96,$C$5:$AU$516,3,)=0,0,(VLOOKUP($D96,$C$5:$AU$516,4,)/VLOOKUP($D96,$C$5:$AU$516,3,))*$E96)</f>
        <v>11228219.332983037</v>
      </c>
      <c r="G96" s="41">
        <f>IF(VLOOKUP($D96,$C$5:$AU$516,3,)=0,0,(VLOOKUP($D96,$C$5:$AU$516,5,)/VLOOKUP($D96,$C$5:$AU$516,3,))*$E96)</f>
        <v>405963.72402911662</v>
      </c>
      <c r="H96" s="19">
        <f>IF(VLOOKUP($D96,$C$5:$AU$516,3,)=0,0,(VLOOKUP($D96,$C$5:$AU$516,6,)/VLOOKUP($D96,$C$5:$AU$516,3,))*$E96)</f>
        <v>1741947.5436823934</v>
      </c>
      <c r="I96" s="19">
        <f>IF(VLOOKUP($D96,$C$5:$AU$516,3,)=0,0,(VLOOKUP($D96,$C$5:$AU$516,7,)/VLOOKUP($D96,$C$5:$AU$516,3,))*$E96)</f>
        <v>845899.02414154529</v>
      </c>
      <c r="J96" s="19">
        <f>IF(VLOOKUP($D96,$C$5:$AU$516,3,)=0,0,(VLOOKUP($D96,$C$5:$AU$516,8,)/VLOOKUP($D96,$C$5:$AU$516,3,))*$E96)</f>
        <v>295702.64421038999</v>
      </c>
      <c r="K96" s="19">
        <f>IF(VLOOKUP($D96,$C$5:$AU$516,3,)=0,0,(VLOOKUP($D96,$C$5:$AU$516,9,)/VLOOKUP($D96,$C$5:$AU$516,3,))*$E96)</f>
        <v>1134626.5313485251</v>
      </c>
      <c r="L96" s="41">
        <f>IF(VLOOKUP($D96,$C$5:$AU$516,3,)=0,0,(VLOOKUP($D96,$C$5:$AU$516,10,)/VLOOKUP($D96,$C$5:$AU$516,3,))*$E96)</f>
        <v>0</v>
      </c>
      <c r="M96" s="19">
        <f>IF(VLOOKUP($D96,$C$5:$AU$516,3,)=0,0,(VLOOKUP($D96,$C$5:$AU$516,11,)/VLOOKUP($D96,$C$5:$AU$516,3,))*$E96)</f>
        <v>0</v>
      </c>
      <c r="N96" s="19">
        <f>IF(VLOOKUP($D96,$C$5:$AU$516,3,)=0,0,(VLOOKUP($D96,$C$5:$AU$516,12,)/VLOOKUP($D96,$C$5:$AU$516,3,))*$E96)</f>
        <v>0</v>
      </c>
      <c r="O96" s="19">
        <f>IF(VLOOKUP($D96,$C$5:$AU$516,3,)=0,0,(VLOOKUP($D96,$C$5:$AU$516,13,)/VLOOKUP($D96,$C$5:$AU$516,3,))*$E96)</f>
        <v>0</v>
      </c>
      <c r="P96" s="19">
        <f>IF(VLOOKUP($D96,$C$5:$AU$516,3,)=0,0,(VLOOKUP($D96,$C$5:$AU$516,14,)/VLOOKUP($D96,$C$5:$AU$516,3,))*$E96)</f>
        <v>0</v>
      </c>
      <c r="Q96" s="19">
        <f>IF(VLOOKUP($D96,$C$5:$AU$516,3,)=0,0,(VLOOKUP($D96,$C$5:$AU$516,15,)/VLOOKUP($D96,$C$5:$AU$516,3,))*$E96)</f>
        <v>0</v>
      </c>
      <c r="R96" s="19">
        <f>IF(VLOOKUP($D96,$C$5:$AU$516,3,)=0,0,(VLOOKUP($D96,$C$5:$AU$516,16,)/VLOOKUP($D96,$C$5:$AU$516,3,))*$E96)</f>
        <v>0</v>
      </c>
      <c r="S96" s="80">
        <f>IF(VLOOKUP($D96,$C$5:$AU$516,3,)=0,0,(VLOOKUP($D96,$C$5:$AU$516,17,)/VLOOKUP($D96,$C$5:$AU$516,3,))*$E96)</f>
        <v>0</v>
      </c>
      <c r="T96" s="80">
        <f>IF(VLOOKUP($D96,$C$5:$AU$516,3,)=0,0,(VLOOKUP($D96,$C$5:$AU$516,18,)/VLOOKUP($D96,$C$5:$AU$516,3,))*$E96)</f>
        <v>0</v>
      </c>
      <c r="U96" s="80">
        <f>IF(VLOOKUP($D96,$C$5:$AU$516,3,)=0,0,(VLOOKUP($D96,$C$5:$AU$516,19,)/VLOOKUP($D96,$C$5:$AU$516,3,))*$E96)</f>
        <v>0</v>
      </c>
      <c r="V96" s="80">
        <f>IF(VLOOKUP($D96,$C$5:$AU$516,3,)=0,0,(VLOOKUP($D96,$C$5:$AU$516,20,)/VLOOKUP($D96,$C$5:$AU$516,3,))*$E96)</f>
        <v>0</v>
      </c>
      <c r="W96" s="80">
        <f>IF(VLOOKUP($D96,$C$5:$AU$516,3,)=0,0,(VLOOKUP($D96,$C$5:$AU$516,21,)/VLOOKUP($D96,$C$5:$AU$516,3,))*$E96)</f>
        <v>0</v>
      </c>
      <c r="X96" s="80">
        <f>IF(VLOOKUP($D96,$C$5:$AU$516,3,)=0,0,(VLOOKUP($D96,$C$5:$AU$516,22,)/VLOOKUP($D96,$C$5:$AU$516,3,))*$E96)</f>
        <v>0</v>
      </c>
      <c r="Y96" s="80">
        <f>IF(VLOOKUP($D96,$C$5:$AU$516,3,)=0,0,(VLOOKUP($D96,$C$5:$AU$516,23,)/VLOOKUP($D96,$C$5:$AU$516,3,))*$E96)</f>
        <v>0</v>
      </c>
      <c r="Z96" s="80">
        <f>IF(VLOOKUP($D96,$C$5:$AU$516,3,)=0,0,(VLOOKUP($D96,$C$5:$AU$516,24,)/VLOOKUP($D96,$C$5:$AU$516,3,))*$E96)</f>
        <v>0</v>
      </c>
      <c r="AA96" s="80">
        <f>IF(VLOOKUP($D96,$C$5:$AU$516,3,)=0,0,(VLOOKUP($D96,$C$5:$AU$516,25,)/VLOOKUP($D96,$C$5:$AU$516,3,))*$E96)</f>
        <v>0</v>
      </c>
      <c r="AB96" s="80">
        <f>IF(VLOOKUP($D96,$C$5:$AU$516,3,)=0,0,(VLOOKUP($D96,$C$5:$AU$516,26,)/VLOOKUP($D96,$C$5:$AU$516,3,))*$E96)</f>
        <v>0</v>
      </c>
      <c r="AC96" s="80">
        <f>IF(VLOOKUP($D96,$C$5:$AU$516,3,)=0,0,(VLOOKUP($D96,$C$5:$AU$516,27,)/VLOOKUP($D96,$C$5:$AU$516,3,))*$E96)</f>
        <v>0</v>
      </c>
      <c r="AD96" s="80">
        <f>IF(VLOOKUP($D96,$C$5:$AU$516,3,)=0,0,(VLOOKUP($D96,$C$5:$AU$516,28,)/VLOOKUP($D96,$C$5:$AU$516,3,))*$E96)</f>
        <v>0</v>
      </c>
      <c r="AE96" s="80">
        <f>IF(VLOOKUP($D96,$C$5:$AU$516,3,)=0,0,(VLOOKUP($D96,$C$5:$AU$516,29,)/VLOOKUP($D96,$C$5:$AU$516,3,))*$E96)</f>
        <v>0</v>
      </c>
      <c r="AF96" s="80">
        <f>IF(VLOOKUP($D96,$C$5:$AU$516,3,)=0,0,(VLOOKUP($D96,$C$5:$AU$516,30,)/VLOOKUP($D96,$C$5:$AU$516,3,))*$E96)</f>
        <v>0</v>
      </c>
      <c r="AG96" s="65">
        <f>SUM(F96:AF96)</f>
        <v>15652358.800395006</v>
      </c>
      <c r="AH96" s="12" t="str">
        <f>IF(ABS(E96-AG96)&lt;0.01,"ok","err")</f>
        <v>ok</v>
      </c>
    </row>
    <row r="97" spans="1:34" x14ac:dyDescent="0.2">
      <c r="A97" s="68" t="s">
        <v>220</v>
      </c>
      <c r="C97" s="3" t="s">
        <v>254</v>
      </c>
      <c r="D97" s="3" t="s">
        <v>222</v>
      </c>
      <c r="E97" s="7">
        <f>'Func &amp; Classif'!P144</f>
        <v>10491003.240777459</v>
      </c>
      <c r="F97" s="41">
        <f>IF(VLOOKUP($D97,$C$5:$AU$516,3,)=0,0,(VLOOKUP($D97,$C$5:$AU$516,4,)/VLOOKUP($D97,$C$5:$AU$516,3,))*$E97)</f>
        <v>9599457.0247210171</v>
      </c>
      <c r="G97" s="41">
        <f>IF(VLOOKUP($D97,$C$5:$AU$516,3,)=0,0,(VLOOKUP($D97,$C$5:$AU$516,5,)/VLOOKUP($D97,$C$5:$AU$516,3,))*$E97)</f>
        <v>723186.74177598942</v>
      </c>
      <c r="H97" s="19">
        <f>IF(VLOOKUP($D97,$C$5:$AU$516,3,)=0,0,(VLOOKUP($D97,$C$5:$AU$516,6,)/VLOOKUP($D97,$C$5:$AU$516,3,))*$E97)</f>
        <v>132686.58567266748</v>
      </c>
      <c r="I97" s="19">
        <f>IF(VLOOKUP($D97,$C$5:$AU$516,3,)=0,0,(VLOOKUP($D97,$C$5:$AU$516,7,)/VLOOKUP($D97,$C$5:$AU$516,3,))*$E97)</f>
        <v>7037.9780231992108</v>
      </c>
      <c r="J97" s="19">
        <f>IF(VLOOKUP($D97,$C$5:$AU$516,3,)=0,0,(VLOOKUP($D97,$C$5:$AU$516,8,)/VLOOKUP($D97,$C$5:$AU$516,3,))*$E97)</f>
        <v>827.99741449402472</v>
      </c>
      <c r="K97" s="19">
        <f>IF(VLOOKUP($D97,$C$5:$AU$516,3,)=0,0,(VLOOKUP($D97,$C$5:$AU$516,9,)/VLOOKUP($D97,$C$5:$AU$516,3,))*$E97)</f>
        <v>27806.913170091</v>
      </c>
      <c r="L97" s="41">
        <f>IF(VLOOKUP($D97,$C$5:$AU$516,3,)=0,0,(VLOOKUP($D97,$C$5:$AU$516,10,)/VLOOKUP($D97,$C$5:$AU$516,3,))*$E97)</f>
        <v>0</v>
      </c>
      <c r="M97" s="19">
        <f>IF(VLOOKUP($D97,$C$5:$AU$516,3,)=0,0,(VLOOKUP($D97,$C$5:$AU$516,11,)/VLOOKUP($D97,$C$5:$AU$516,3,))*$E97)</f>
        <v>0</v>
      </c>
      <c r="N97" s="19">
        <f>IF(VLOOKUP($D97,$C$5:$AU$516,3,)=0,0,(VLOOKUP($D97,$C$5:$AU$516,12,)/VLOOKUP($D97,$C$5:$AU$516,3,))*$E97)</f>
        <v>0</v>
      </c>
      <c r="O97" s="19">
        <f>IF(VLOOKUP($D97,$C$5:$AU$516,3,)=0,0,(VLOOKUP($D97,$C$5:$AU$516,13,)/VLOOKUP($D97,$C$5:$AU$516,3,))*$E97)</f>
        <v>0</v>
      </c>
      <c r="P97" s="19">
        <f>IF(VLOOKUP($D97,$C$5:$AU$516,3,)=0,0,(VLOOKUP($D97,$C$5:$AU$516,14,)/VLOOKUP($D97,$C$5:$AU$516,3,))*$E97)</f>
        <v>0</v>
      </c>
      <c r="Q97" s="19">
        <f>IF(VLOOKUP($D97,$C$5:$AU$516,3,)=0,0,(VLOOKUP($D97,$C$5:$AU$516,15,)/VLOOKUP($D97,$C$5:$AU$516,3,))*$E97)</f>
        <v>0</v>
      </c>
      <c r="R97" s="19">
        <f>IF(VLOOKUP($D97,$C$5:$AU$516,3,)=0,0,(VLOOKUP($D97,$C$5:$AU$516,16,)/VLOOKUP($D97,$C$5:$AU$516,3,))*$E97)</f>
        <v>0</v>
      </c>
      <c r="S97" s="80">
        <f>IF(VLOOKUP($D97,$C$5:$AU$516,3,)=0,0,(VLOOKUP($D97,$C$5:$AU$516,17,)/VLOOKUP($D97,$C$5:$AU$516,3,))*$E97)</f>
        <v>0</v>
      </c>
      <c r="T97" s="80">
        <f>IF(VLOOKUP($D97,$C$5:$AU$516,3,)=0,0,(VLOOKUP($D97,$C$5:$AU$516,18,)/VLOOKUP($D97,$C$5:$AU$516,3,))*$E97)</f>
        <v>0</v>
      </c>
      <c r="U97" s="80">
        <f>IF(VLOOKUP($D97,$C$5:$AU$516,3,)=0,0,(VLOOKUP($D97,$C$5:$AU$516,19,)/VLOOKUP($D97,$C$5:$AU$516,3,))*$E97)</f>
        <v>0</v>
      </c>
      <c r="V97" s="80">
        <f>IF(VLOOKUP($D97,$C$5:$AU$516,3,)=0,0,(VLOOKUP($D97,$C$5:$AU$516,20,)/VLOOKUP($D97,$C$5:$AU$516,3,))*$E97)</f>
        <v>0</v>
      </c>
      <c r="W97" s="80">
        <f>IF(VLOOKUP($D97,$C$5:$AU$516,3,)=0,0,(VLOOKUP($D97,$C$5:$AU$516,21,)/VLOOKUP($D97,$C$5:$AU$516,3,))*$E97)</f>
        <v>0</v>
      </c>
      <c r="X97" s="80">
        <f>IF(VLOOKUP($D97,$C$5:$AU$516,3,)=0,0,(VLOOKUP($D97,$C$5:$AU$516,22,)/VLOOKUP($D97,$C$5:$AU$516,3,))*$E97)</f>
        <v>0</v>
      </c>
      <c r="Y97" s="80">
        <f>IF(VLOOKUP($D97,$C$5:$AU$516,3,)=0,0,(VLOOKUP($D97,$C$5:$AU$516,23,)/VLOOKUP($D97,$C$5:$AU$516,3,))*$E97)</f>
        <v>0</v>
      </c>
      <c r="Z97" s="80">
        <f>IF(VLOOKUP($D97,$C$5:$AU$516,3,)=0,0,(VLOOKUP($D97,$C$5:$AU$516,24,)/VLOOKUP($D97,$C$5:$AU$516,3,))*$E97)</f>
        <v>0</v>
      </c>
      <c r="AA97" s="80">
        <f>IF(VLOOKUP($D97,$C$5:$AU$516,3,)=0,0,(VLOOKUP($D97,$C$5:$AU$516,25,)/VLOOKUP($D97,$C$5:$AU$516,3,))*$E97)</f>
        <v>0</v>
      </c>
      <c r="AB97" s="80">
        <f>IF(VLOOKUP($D97,$C$5:$AU$516,3,)=0,0,(VLOOKUP($D97,$C$5:$AU$516,26,)/VLOOKUP($D97,$C$5:$AU$516,3,))*$E97)</f>
        <v>0</v>
      </c>
      <c r="AC97" s="80">
        <f>IF(VLOOKUP($D97,$C$5:$AU$516,3,)=0,0,(VLOOKUP($D97,$C$5:$AU$516,27,)/VLOOKUP($D97,$C$5:$AU$516,3,))*$E97)</f>
        <v>0</v>
      </c>
      <c r="AD97" s="80">
        <f>IF(VLOOKUP($D97,$C$5:$AU$516,3,)=0,0,(VLOOKUP($D97,$C$5:$AU$516,28,)/VLOOKUP($D97,$C$5:$AU$516,3,))*$E97)</f>
        <v>0</v>
      </c>
      <c r="AE97" s="80">
        <f>IF(VLOOKUP($D97,$C$5:$AU$516,3,)=0,0,(VLOOKUP($D97,$C$5:$AU$516,29,)/VLOOKUP($D97,$C$5:$AU$516,3,))*$E97)</f>
        <v>0</v>
      </c>
      <c r="AF97" s="80">
        <f>IF(VLOOKUP($D97,$C$5:$AU$516,3,)=0,0,(VLOOKUP($D97,$C$5:$AU$516,30,)/VLOOKUP($D97,$C$5:$AU$516,3,))*$E97)</f>
        <v>0</v>
      </c>
      <c r="AG97" s="65">
        <f>SUM(F97:AF97)</f>
        <v>10491003.240777459</v>
      </c>
      <c r="AH97" s="12" t="str">
        <f>IF(ABS(E97-AG97)&lt;0.01,"ok","err")</f>
        <v>ok</v>
      </c>
    </row>
    <row r="98" spans="1:34" x14ac:dyDescent="0.2">
      <c r="A98" s="3" t="s">
        <v>223</v>
      </c>
      <c r="E98" s="19">
        <f t="shared" ref="E98:T98" si="18">E96+E97</f>
        <v>26143362.041172467</v>
      </c>
      <c r="F98" s="41">
        <f t="shared" si="18"/>
        <v>20827676.357704055</v>
      </c>
      <c r="G98" s="41">
        <f t="shared" si="18"/>
        <v>1129150.4658051061</v>
      </c>
      <c r="H98" s="19">
        <f t="shared" si="18"/>
        <v>1874634.1293550609</v>
      </c>
      <c r="I98" s="19">
        <f t="shared" si="18"/>
        <v>852937.00216474454</v>
      </c>
      <c r="J98" s="19">
        <f t="shared" si="18"/>
        <v>296530.64162488404</v>
      </c>
      <c r="K98" s="19">
        <f t="shared" si="18"/>
        <v>1162433.4445186162</v>
      </c>
      <c r="L98" s="41">
        <f t="shared" si="18"/>
        <v>0</v>
      </c>
      <c r="M98" s="19">
        <f t="shared" si="18"/>
        <v>0</v>
      </c>
      <c r="N98" s="19">
        <f t="shared" si="18"/>
        <v>0</v>
      </c>
      <c r="O98" s="19">
        <f t="shared" si="18"/>
        <v>0</v>
      </c>
      <c r="P98" s="19">
        <f t="shared" si="18"/>
        <v>0</v>
      </c>
      <c r="Q98" s="19">
        <f t="shared" si="18"/>
        <v>0</v>
      </c>
      <c r="R98" s="19">
        <f t="shared" si="18"/>
        <v>0</v>
      </c>
      <c r="S98" s="80">
        <f t="shared" si="18"/>
        <v>0</v>
      </c>
      <c r="T98" s="80">
        <f t="shared" si="18"/>
        <v>0</v>
      </c>
      <c r="U98" s="80">
        <f t="shared" ref="U98:AF98" si="19">U96+U97</f>
        <v>0</v>
      </c>
      <c r="V98" s="80">
        <f t="shared" si="19"/>
        <v>0</v>
      </c>
      <c r="W98" s="80">
        <f t="shared" si="19"/>
        <v>0</v>
      </c>
      <c r="X98" s="80">
        <f t="shared" si="19"/>
        <v>0</v>
      </c>
      <c r="Y98" s="80">
        <f t="shared" si="19"/>
        <v>0</v>
      </c>
      <c r="Z98" s="80">
        <f t="shared" si="19"/>
        <v>0</v>
      </c>
      <c r="AA98" s="80">
        <f t="shared" si="19"/>
        <v>0</v>
      </c>
      <c r="AB98" s="80">
        <f t="shared" si="19"/>
        <v>0</v>
      </c>
      <c r="AC98" s="80">
        <f t="shared" si="19"/>
        <v>0</v>
      </c>
      <c r="AD98" s="80">
        <f t="shared" si="19"/>
        <v>0</v>
      </c>
      <c r="AE98" s="80">
        <f t="shared" si="19"/>
        <v>0</v>
      </c>
      <c r="AF98" s="80">
        <f t="shared" si="19"/>
        <v>0</v>
      </c>
      <c r="AG98" s="65">
        <f>SUM(F98:AF98)</f>
        <v>26143362.041172463</v>
      </c>
      <c r="AH98" s="12" t="str">
        <f>IF(ABS(E98-AG98)&lt;0.01,"ok","err")</f>
        <v>ok</v>
      </c>
    </row>
    <row r="99" spans="1:34" x14ac:dyDescent="0.2">
      <c r="E99" s="7"/>
    </row>
    <row r="100" spans="1:34" x14ac:dyDescent="0.2">
      <c r="A100" s="2" t="s">
        <v>3</v>
      </c>
      <c r="E100" s="7"/>
    </row>
    <row r="101" spans="1:34" x14ac:dyDescent="0.2">
      <c r="A101" s="68" t="s">
        <v>208</v>
      </c>
      <c r="C101" s="3" t="s">
        <v>255</v>
      </c>
      <c r="D101" s="3" t="s">
        <v>619</v>
      </c>
      <c r="E101" s="19">
        <f>'Func &amp; Classif'!R144</f>
        <v>0</v>
      </c>
      <c r="F101" s="41">
        <f>IF(VLOOKUP($D101,$C$5:$AU$516,3,)=0,0,(VLOOKUP($D101,$C$5:$AU$516,4,)/VLOOKUP($D101,$C$5:$AU$516,3,))*$E101)</f>
        <v>0</v>
      </c>
      <c r="G101" s="41">
        <f>IF(VLOOKUP($D101,$C$5:$AU$516,3,)=0,0,(VLOOKUP($D101,$C$5:$AU$516,5,)/VLOOKUP($D101,$C$5:$AU$516,3,))*$E101)</f>
        <v>0</v>
      </c>
      <c r="H101" s="19">
        <f>IF(VLOOKUP($D101,$C$5:$AU$516,3,)=0,0,(VLOOKUP($D101,$C$5:$AU$516,6,)/VLOOKUP($D101,$C$5:$AU$516,3,))*$E101)</f>
        <v>0</v>
      </c>
      <c r="I101" s="19">
        <f>IF(VLOOKUP($D101,$C$5:$AU$516,3,)=0,0,(VLOOKUP($D101,$C$5:$AU$516,7,)/VLOOKUP($D101,$C$5:$AU$516,3,))*$E101)</f>
        <v>0</v>
      </c>
      <c r="J101" s="19">
        <f>IF(VLOOKUP($D101,$C$5:$AU$516,3,)=0,0,(VLOOKUP($D101,$C$5:$AU$516,8,)/VLOOKUP($D101,$C$5:$AU$516,3,))*$E101)</f>
        <v>0</v>
      </c>
      <c r="K101" s="19">
        <f>IF(VLOOKUP($D101,$C$5:$AU$516,3,)=0,0,(VLOOKUP($D101,$C$5:$AU$516,9,)/VLOOKUP($D101,$C$5:$AU$516,3,))*$E101)</f>
        <v>0</v>
      </c>
      <c r="L101" s="41">
        <f>IF(VLOOKUP($D101,$C$5:$AU$516,3,)=0,0,(VLOOKUP($D101,$C$5:$AU$516,10,)/VLOOKUP($D101,$C$5:$AU$516,3,))*$E101)</f>
        <v>0</v>
      </c>
      <c r="M101" s="19">
        <f>IF(VLOOKUP($D101,$C$5:$AU$516,3,)=0,0,(VLOOKUP($D101,$C$5:$AU$516,11,)/VLOOKUP($D101,$C$5:$AU$516,3,))*$E101)</f>
        <v>0</v>
      </c>
      <c r="N101" s="19">
        <f>IF(VLOOKUP($D101,$C$5:$AU$516,3,)=0,0,(VLOOKUP($D101,$C$5:$AU$516,12,)/VLOOKUP($D101,$C$5:$AU$516,3,))*$E101)</f>
        <v>0</v>
      </c>
      <c r="O101" s="19">
        <f>IF(VLOOKUP($D101,$C$5:$AU$516,3,)=0,0,(VLOOKUP($D101,$C$5:$AU$516,13,)/VLOOKUP($D101,$C$5:$AU$516,3,))*$E101)</f>
        <v>0</v>
      </c>
      <c r="P101" s="19">
        <f>IF(VLOOKUP($D101,$C$5:$AU$516,3,)=0,0,(VLOOKUP($D101,$C$5:$AU$516,14,)/VLOOKUP($D101,$C$5:$AU$516,3,))*$E101)</f>
        <v>0</v>
      </c>
      <c r="Q101" s="19">
        <f>IF(VLOOKUP($D101,$C$5:$AU$516,3,)=0,0,(VLOOKUP($D101,$C$5:$AU$516,15,)/VLOOKUP($D101,$C$5:$AU$516,3,))*$E101)</f>
        <v>0</v>
      </c>
      <c r="R101" s="19">
        <f>IF(VLOOKUP($D101,$C$5:$AU$516,3,)=0,0,(VLOOKUP($D101,$C$5:$AU$516,16,)/VLOOKUP($D101,$C$5:$AU$516,3,))*$E101)</f>
        <v>0</v>
      </c>
      <c r="S101" s="80">
        <f>IF(VLOOKUP($D101,$C$5:$AU$516,3,)=0,0,(VLOOKUP($D101,$C$5:$AU$516,17,)/VLOOKUP($D101,$C$5:$AU$516,3,))*$E101)</f>
        <v>0</v>
      </c>
      <c r="T101" s="80">
        <f>IF(VLOOKUP($D101,$C$5:$AU$516,3,)=0,0,(VLOOKUP($D101,$C$5:$AU$516,18,)/VLOOKUP($D101,$C$5:$AU$516,3,))*$E101)</f>
        <v>0</v>
      </c>
      <c r="U101" s="80">
        <f>IF(VLOOKUP($D101,$C$5:$AU$516,3,)=0,0,(VLOOKUP($D101,$C$5:$AU$516,19,)/VLOOKUP($D101,$C$5:$AU$516,3,))*$E101)</f>
        <v>0</v>
      </c>
      <c r="V101" s="80">
        <f>IF(VLOOKUP($D101,$C$5:$AU$516,3,)=0,0,(VLOOKUP($D101,$C$5:$AU$516,20,)/VLOOKUP($D101,$C$5:$AU$516,3,))*$E101)</f>
        <v>0</v>
      </c>
      <c r="W101" s="80">
        <f>IF(VLOOKUP($D101,$C$5:$AU$516,3,)=0,0,(VLOOKUP($D101,$C$5:$AU$516,21,)/VLOOKUP($D101,$C$5:$AU$516,3,))*$E101)</f>
        <v>0</v>
      </c>
      <c r="X101" s="80">
        <f>IF(VLOOKUP($D101,$C$5:$AU$516,3,)=0,0,(VLOOKUP($D101,$C$5:$AU$516,22,)/VLOOKUP($D101,$C$5:$AU$516,3,))*$E101)</f>
        <v>0</v>
      </c>
      <c r="Y101" s="80">
        <f>IF(VLOOKUP($D101,$C$5:$AU$516,3,)=0,0,(VLOOKUP($D101,$C$5:$AU$516,23,)/VLOOKUP($D101,$C$5:$AU$516,3,))*$E101)</f>
        <v>0</v>
      </c>
      <c r="Z101" s="80">
        <f>IF(VLOOKUP($D101,$C$5:$AU$516,3,)=0,0,(VLOOKUP($D101,$C$5:$AU$516,24,)/VLOOKUP($D101,$C$5:$AU$516,3,))*$E101)</f>
        <v>0</v>
      </c>
      <c r="AA101" s="80">
        <f>IF(VLOOKUP($D101,$C$5:$AU$516,3,)=0,0,(VLOOKUP($D101,$C$5:$AU$516,25,)/VLOOKUP($D101,$C$5:$AU$516,3,))*$E101)</f>
        <v>0</v>
      </c>
      <c r="AB101" s="80">
        <f>IF(VLOOKUP($D101,$C$5:$AU$516,3,)=0,0,(VLOOKUP($D101,$C$5:$AU$516,26,)/VLOOKUP($D101,$C$5:$AU$516,3,))*$E101)</f>
        <v>0</v>
      </c>
      <c r="AC101" s="80">
        <f>IF(VLOOKUP($D101,$C$5:$AU$516,3,)=0,0,(VLOOKUP($D101,$C$5:$AU$516,27,)/VLOOKUP($D101,$C$5:$AU$516,3,))*$E101)</f>
        <v>0</v>
      </c>
      <c r="AD101" s="80">
        <f>IF(VLOOKUP($D101,$C$5:$AU$516,3,)=0,0,(VLOOKUP($D101,$C$5:$AU$516,28,)/VLOOKUP($D101,$C$5:$AU$516,3,))*$E101)</f>
        <v>0</v>
      </c>
      <c r="AE101" s="80">
        <f>IF(VLOOKUP($D101,$C$5:$AU$516,3,)=0,0,(VLOOKUP($D101,$C$5:$AU$516,29,)/VLOOKUP($D101,$C$5:$AU$516,3,))*$E101)</f>
        <v>0</v>
      </c>
      <c r="AF101" s="80">
        <f>IF(VLOOKUP($D101,$C$5:$AU$516,3,)=0,0,(VLOOKUP($D101,$C$5:$AU$516,30,)/VLOOKUP($D101,$C$5:$AU$516,3,))*$E101)</f>
        <v>0</v>
      </c>
      <c r="AG101" s="65">
        <f>SUM(F101:AF101)</f>
        <v>0</v>
      </c>
      <c r="AH101" s="12" t="str">
        <f>IF(ABS(E101-AG101)&lt;0.01,"ok","err")</f>
        <v>ok</v>
      </c>
    </row>
    <row r="102" spans="1:34" x14ac:dyDescent="0.2">
      <c r="A102" s="68" t="s">
        <v>220</v>
      </c>
      <c r="C102" s="3" t="s">
        <v>256</v>
      </c>
      <c r="D102" s="3" t="s">
        <v>700</v>
      </c>
      <c r="E102" s="7">
        <f>'Func &amp; Classif'!S144</f>
        <v>3899827.1749277781</v>
      </c>
      <c r="F102" s="41">
        <f>IF(VLOOKUP($D102,$C$5:$AU$516,3,)=0,0,(VLOOKUP($D102,$C$5:$AU$516,4,)/VLOOKUP($D102,$C$5:$AU$516,3,))*$E102)</f>
        <v>3469010.8512154636</v>
      </c>
      <c r="G102" s="41">
        <f>IF(VLOOKUP($D102,$C$5:$AU$516,3,)=0,0,(VLOOKUP($D102,$C$5:$AU$516,5,)/VLOOKUP($D102,$C$5:$AU$516,3,))*$E102)</f>
        <v>261342.14135397645</v>
      </c>
      <c r="H102" s="19">
        <f>IF(VLOOKUP($D102,$C$5:$AU$516,3,)=0,0,(VLOOKUP($D102,$C$5:$AU$516,6,)/VLOOKUP($D102,$C$5:$AU$516,3,))*$E102)</f>
        <v>107886.85336354525</v>
      </c>
      <c r="I102" s="19">
        <f>IF(VLOOKUP($D102,$C$5:$AU$516,3,)=0,0,(VLOOKUP($D102,$C$5:$AU$516,7,)/VLOOKUP($D102,$C$5:$AU$516,3,))*$E102)</f>
        <v>61587.328994793163</v>
      </c>
      <c r="J102" s="19">
        <f>IF(VLOOKUP($D102,$C$5:$AU$516,3,)=0,0,(VLOOKUP($D102,$C$5:$AU$516,8,)/VLOOKUP($D102,$C$5:$AU$516,3,))*$E102)</f>
        <v>0</v>
      </c>
      <c r="K102" s="19">
        <f>IF(VLOOKUP($D102,$C$5:$AU$516,3,)=0,0,(VLOOKUP($D102,$C$5:$AU$516,9,)/VLOOKUP($D102,$C$5:$AU$516,3,))*$E102)</f>
        <v>0</v>
      </c>
      <c r="L102" s="41">
        <f>IF(VLOOKUP($D102,$C$5:$AU$516,3,)=0,0,(VLOOKUP($D102,$C$5:$AU$516,10,)/VLOOKUP($D102,$C$5:$AU$516,3,))*$E102)</f>
        <v>0</v>
      </c>
      <c r="M102" s="19">
        <f>IF(VLOOKUP($D102,$C$5:$AU$516,3,)=0,0,(VLOOKUP($D102,$C$5:$AU$516,11,)/VLOOKUP($D102,$C$5:$AU$516,3,))*$E102)</f>
        <v>0</v>
      </c>
      <c r="N102" s="19">
        <f>IF(VLOOKUP($D102,$C$5:$AU$516,3,)=0,0,(VLOOKUP($D102,$C$5:$AU$516,12,)/VLOOKUP($D102,$C$5:$AU$516,3,))*$E102)</f>
        <v>0</v>
      </c>
      <c r="O102" s="19">
        <f>IF(VLOOKUP($D102,$C$5:$AU$516,3,)=0,0,(VLOOKUP($D102,$C$5:$AU$516,13,)/VLOOKUP($D102,$C$5:$AU$516,3,))*$E102)</f>
        <v>0</v>
      </c>
      <c r="P102" s="19">
        <f>IF(VLOOKUP($D102,$C$5:$AU$516,3,)=0,0,(VLOOKUP($D102,$C$5:$AU$516,14,)/VLOOKUP($D102,$C$5:$AU$516,3,))*$E102)</f>
        <v>0</v>
      </c>
      <c r="Q102" s="19">
        <f>IF(VLOOKUP($D102,$C$5:$AU$516,3,)=0,0,(VLOOKUP($D102,$C$5:$AU$516,15,)/VLOOKUP($D102,$C$5:$AU$516,3,))*$E102)</f>
        <v>0</v>
      </c>
      <c r="R102" s="19">
        <f>IF(VLOOKUP($D102,$C$5:$AU$516,3,)=0,0,(VLOOKUP($D102,$C$5:$AU$516,16,)/VLOOKUP($D102,$C$5:$AU$516,3,))*$E102)</f>
        <v>0</v>
      </c>
      <c r="S102" s="80">
        <f>IF(VLOOKUP($D102,$C$5:$AU$516,3,)=0,0,(VLOOKUP($D102,$C$5:$AU$516,17,)/VLOOKUP($D102,$C$5:$AU$516,3,))*$E102)</f>
        <v>0</v>
      </c>
      <c r="T102" s="80">
        <f>IF(VLOOKUP($D102,$C$5:$AU$516,3,)=0,0,(VLOOKUP($D102,$C$5:$AU$516,18,)/VLOOKUP($D102,$C$5:$AU$516,3,))*$E102)</f>
        <v>0</v>
      </c>
      <c r="U102" s="80">
        <f>IF(VLOOKUP($D102,$C$5:$AU$516,3,)=0,0,(VLOOKUP($D102,$C$5:$AU$516,19,)/VLOOKUP($D102,$C$5:$AU$516,3,))*$E102)</f>
        <v>0</v>
      </c>
      <c r="V102" s="80">
        <f>IF(VLOOKUP($D102,$C$5:$AU$516,3,)=0,0,(VLOOKUP($D102,$C$5:$AU$516,20,)/VLOOKUP($D102,$C$5:$AU$516,3,))*$E102)</f>
        <v>0</v>
      </c>
      <c r="W102" s="80">
        <f>IF(VLOOKUP($D102,$C$5:$AU$516,3,)=0,0,(VLOOKUP($D102,$C$5:$AU$516,21,)/VLOOKUP($D102,$C$5:$AU$516,3,))*$E102)</f>
        <v>0</v>
      </c>
      <c r="X102" s="80">
        <f>IF(VLOOKUP($D102,$C$5:$AU$516,3,)=0,0,(VLOOKUP($D102,$C$5:$AU$516,22,)/VLOOKUP($D102,$C$5:$AU$516,3,))*$E102)</f>
        <v>0</v>
      </c>
      <c r="Y102" s="80">
        <f>IF(VLOOKUP($D102,$C$5:$AU$516,3,)=0,0,(VLOOKUP($D102,$C$5:$AU$516,23,)/VLOOKUP($D102,$C$5:$AU$516,3,))*$E102)</f>
        <v>0</v>
      </c>
      <c r="Z102" s="80">
        <f>IF(VLOOKUP($D102,$C$5:$AU$516,3,)=0,0,(VLOOKUP($D102,$C$5:$AU$516,24,)/VLOOKUP($D102,$C$5:$AU$516,3,))*$E102)</f>
        <v>0</v>
      </c>
      <c r="AA102" s="80">
        <f>IF(VLOOKUP($D102,$C$5:$AU$516,3,)=0,0,(VLOOKUP($D102,$C$5:$AU$516,25,)/VLOOKUP($D102,$C$5:$AU$516,3,))*$E102)</f>
        <v>0</v>
      </c>
      <c r="AB102" s="80">
        <f>IF(VLOOKUP($D102,$C$5:$AU$516,3,)=0,0,(VLOOKUP($D102,$C$5:$AU$516,26,)/VLOOKUP($D102,$C$5:$AU$516,3,))*$E102)</f>
        <v>0</v>
      </c>
      <c r="AC102" s="80">
        <f>IF(VLOOKUP($D102,$C$5:$AU$516,3,)=0,0,(VLOOKUP($D102,$C$5:$AU$516,27,)/VLOOKUP($D102,$C$5:$AU$516,3,))*$E102)</f>
        <v>0</v>
      </c>
      <c r="AD102" s="80">
        <f>IF(VLOOKUP($D102,$C$5:$AU$516,3,)=0,0,(VLOOKUP($D102,$C$5:$AU$516,28,)/VLOOKUP($D102,$C$5:$AU$516,3,))*$E102)</f>
        <v>0</v>
      </c>
      <c r="AE102" s="80">
        <f>IF(VLOOKUP($D102,$C$5:$AU$516,3,)=0,0,(VLOOKUP($D102,$C$5:$AU$516,29,)/VLOOKUP($D102,$C$5:$AU$516,3,))*$E102)</f>
        <v>0</v>
      </c>
      <c r="AF102" s="80">
        <f>IF(VLOOKUP($D102,$C$5:$AU$516,3,)=0,0,(VLOOKUP($D102,$C$5:$AU$516,30,)/VLOOKUP($D102,$C$5:$AU$516,3,))*$E102)</f>
        <v>0</v>
      </c>
      <c r="AG102" s="65">
        <f>SUM(F102:AF102)</f>
        <v>3899827.1749277785</v>
      </c>
      <c r="AH102" s="12" t="str">
        <f>IF(ABS(E102-AG102)&lt;0.01,"ok","err")</f>
        <v>ok</v>
      </c>
    </row>
    <row r="103" spans="1:34" x14ac:dyDescent="0.2">
      <c r="A103" s="3" t="s">
        <v>227</v>
      </c>
      <c r="E103" s="19">
        <f t="shared" ref="E103:T103" si="20">E101+E102</f>
        <v>3899827.1749277781</v>
      </c>
      <c r="F103" s="41">
        <f t="shared" si="20"/>
        <v>3469010.8512154636</v>
      </c>
      <c r="G103" s="41">
        <f t="shared" si="20"/>
        <v>261342.14135397645</v>
      </c>
      <c r="H103" s="19">
        <f t="shared" si="20"/>
        <v>107886.85336354525</v>
      </c>
      <c r="I103" s="19">
        <f t="shared" si="20"/>
        <v>61587.328994793163</v>
      </c>
      <c r="J103" s="19">
        <f t="shared" si="20"/>
        <v>0</v>
      </c>
      <c r="K103" s="19">
        <f t="shared" si="20"/>
        <v>0</v>
      </c>
      <c r="L103" s="41">
        <f t="shared" si="20"/>
        <v>0</v>
      </c>
      <c r="M103" s="19">
        <f t="shared" si="20"/>
        <v>0</v>
      </c>
      <c r="N103" s="19">
        <f t="shared" si="20"/>
        <v>0</v>
      </c>
      <c r="O103" s="19">
        <f t="shared" si="20"/>
        <v>0</v>
      </c>
      <c r="P103" s="19">
        <f t="shared" si="20"/>
        <v>0</v>
      </c>
      <c r="Q103" s="19">
        <f t="shared" si="20"/>
        <v>0</v>
      </c>
      <c r="R103" s="19">
        <f t="shared" si="20"/>
        <v>0</v>
      </c>
      <c r="S103" s="80">
        <f t="shared" si="20"/>
        <v>0</v>
      </c>
      <c r="T103" s="80">
        <f t="shared" si="20"/>
        <v>0</v>
      </c>
      <c r="U103" s="80">
        <f t="shared" ref="U103:AF103" si="21">U101+U102</f>
        <v>0</v>
      </c>
      <c r="V103" s="80">
        <f t="shared" si="21"/>
        <v>0</v>
      </c>
      <c r="W103" s="80">
        <f t="shared" si="21"/>
        <v>0</v>
      </c>
      <c r="X103" s="80">
        <f t="shared" si="21"/>
        <v>0</v>
      </c>
      <c r="Y103" s="80">
        <f t="shared" si="21"/>
        <v>0</v>
      </c>
      <c r="Z103" s="80">
        <f t="shared" si="21"/>
        <v>0</v>
      </c>
      <c r="AA103" s="80">
        <f t="shared" si="21"/>
        <v>0</v>
      </c>
      <c r="AB103" s="80">
        <f t="shared" si="21"/>
        <v>0</v>
      </c>
      <c r="AC103" s="80">
        <f t="shared" si="21"/>
        <v>0</v>
      </c>
      <c r="AD103" s="80">
        <f t="shared" si="21"/>
        <v>0</v>
      </c>
      <c r="AE103" s="80">
        <f t="shared" si="21"/>
        <v>0</v>
      </c>
      <c r="AF103" s="80">
        <f t="shared" si="21"/>
        <v>0</v>
      </c>
      <c r="AG103" s="65">
        <f>SUM(F103:AF103)</f>
        <v>3899827.1749277785</v>
      </c>
      <c r="AH103" s="12" t="str">
        <f>IF(ABS(E103-AG103)&lt;0.01,"ok","err")</f>
        <v>ok</v>
      </c>
    </row>
    <row r="104" spans="1:34" x14ac:dyDescent="0.2">
      <c r="E104" s="7"/>
    </row>
    <row r="105" spans="1:34" x14ac:dyDescent="0.2">
      <c r="A105" s="2" t="s">
        <v>4</v>
      </c>
      <c r="E105" s="7"/>
    </row>
    <row r="106" spans="1:34" x14ac:dyDescent="0.2">
      <c r="A106" s="68" t="s">
        <v>220</v>
      </c>
      <c r="C106" s="3" t="s">
        <v>257</v>
      </c>
      <c r="D106" s="3" t="s">
        <v>229</v>
      </c>
      <c r="E106" s="19">
        <f>'Func &amp; Classif'!U144</f>
        <v>2488520.3510627081</v>
      </c>
      <c r="F106" s="41">
        <f>IF(VLOOKUP($D106,$C$5:$AU$516,3,)=0,0,(VLOOKUP($D106,$C$5:$AU$516,4,)/VLOOKUP($D106,$C$5:$AU$516,3,))*$E106)</f>
        <v>2232004.5265360209</v>
      </c>
      <c r="G106" s="41">
        <f>IF(VLOOKUP($D106,$C$5:$AU$516,3,)=0,0,(VLOOKUP($D106,$C$5:$AU$516,5,)/VLOOKUP($D106,$C$5:$AU$516,3,))*$E106)</f>
        <v>168150.76905058138</v>
      </c>
      <c r="H106" s="19">
        <f>IF(VLOOKUP($D106,$C$5:$AU$516,3,)=0,0,(VLOOKUP($D106,$C$5:$AU$516,6,)/VLOOKUP($D106,$C$5:$AU$516,3,))*$E106)</f>
        <v>82457.039205146051</v>
      </c>
      <c r="I106" s="19">
        <f>IF(VLOOKUP($D106,$C$5:$AU$516,3,)=0,0,(VLOOKUP($D106,$C$5:$AU$516,7,)/VLOOKUP($D106,$C$5:$AU$516,3,))*$E106)</f>
        <v>5286.1198213848056</v>
      </c>
      <c r="J106" s="19">
        <f>IF(VLOOKUP($D106,$C$5:$AU$516,3,)=0,0,(VLOOKUP($D106,$C$5:$AU$516,8,)/VLOOKUP($D106,$C$5:$AU$516,3,))*$E106)</f>
        <v>621.89644957468306</v>
      </c>
      <c r="K106" s="19">
        <f>IF(VLOOKUP($D106,$C$5:$AU$516,3,)=0,0,(VLOOKUP($D106,$C$5:$AU$516,9,)/VLOOKUP($D106,$C$5:$AU$516,3,))*$E106)</f>
        <v>0</v>
      </c>
      <c r="L106" s="41">
        <f>IF(VLOOKUP($D106,$C$5:$AU$516,3,)=0,0,(VLOOKUP($D106,$C$5:$AU$516,10,)/VLOOKUP($D106,$C$5:$AU$516,3,))*$E106)</f>
        <v>0</v>
      </c>
      <c r="M106" s="19">
        <f>IF(VLOOKUP($D106,$C$5:$AU$516,3,)=0,0,(VLOOKUP($D106,$C$5:$AU$516,11,)/VLOOKUP($D106,$C$5:$AU$516,3,))*$E106)</f>
        <v>0</v>
      </c>
      <c r="N106" s="19">
        <f>IF(VLOOKUP($D106,$C$5:$AU$516,3,)=0,0,(VLOOKUP($D106,$C$5:$AU$516,12,)/VLOOKUP($D106,$C$5:$AU$516,3,))*$E106)</f>
        <v>0</v>
      </c>
      <c r="O106" s="19">
        <f>IF(VLOOKUP($D106,$C$5:$AU$516,3,)=0,0,(VLOOKUP($D106,$C$5:$AU$516,13,)/VLOOKUP($D106,$C$5:$AU$516,3,))*$E106)</f>
        <v>0</v>
      </c>
      <c r="P106" s="19">
        <f>IF(VLOOKUP($D106,$C$5:$AU$516,3,)=0,0,(VLOOKUP($D106,$C$5:$AU$516,14,)/VLOOKUP($D106,$C$5:$AU$516,3,))*$E106)</f>
        <v>0</v>
      </c>
      <c r="Q106" s="19">
        <f>IF(VLOOKUP($D106,$C$5:$AU$516,3,)=0,0,(VLOOKUP($D106,$C$5:$AU$516,15,)/VLOOKUP($D106,$C$5:$AU$516,3,))*$E106)</f>
        <v>0</v>
      </c>
      <c r="R106" s="19">
        <f>IF(VLOOKUP($D106,$C$5:$AU$516,3,)=0,0,(VLOOKUP($D106,$C$5:$AU$516,16,)/VLOOKUP($D106,$C$5:$AU$516,3,))*$E106)</f>
        <v>0</v>
      </c>
      <c r="S106" s="80">
        <f>IF(VLOOKUP($D106,$C$5:$AU$516,3,)=0,0,(VLOOKUP($D106,$C$5:$AU$516,17,)/VLOOKUP($D106,$C$5:$AU$516,3,))*$E106)</f>
        <v>0</v>
      </c>
      <c r="T106" s="80">
        <f>IF(VLOOKUP($D106,$C$5:$AU$516,3,)=0,0,(VLOOKUP($D106,$C$5:$AU$516,18,)/VLOOKUP($D106,$C$5:$AU$516,3,))*$E106)</f>
        <v>0</v>
      </c>
      <c r="U106" s="80">
        <f>IF(VLOOKUP($D106,$C$5:$AU$516,3,)=0,0,(VLOOKUP($D106,$C$5:$AU$516,19,)/VLOOKUP($D106,$C$5:$AU$516,3,))*$E106)</f>
        <v>0</v>
      </c>
      <c r="V106" s="80">
        <f>IF(VLOOKUP($D106,$C$5:$AU$516,3,)=0,0,(VLOOKUP($D106,$C$5:$AU$516,20,)/VLOOKUP($D106,$C$5:$AU$516,3,))*$E106)</f>
        <v>0</v>
      </c>
      <c r="W106" s="80">
        <f>IF(VLOOKUP($D106,$C$5:$AU$516,3,)=0,0,(VLOOKUP($D106,$C$5:$AU$516,21,)/VLOOKUP($D106,$C$5:$AU$516,3,))*$E106)</f>
        <v>0</v>
      </c>
      <c r="X106" s="80">
        <f>IF(VLOOKUP($D106,$C$5:$AU$516,3,)=0,0,(VLOOKUP($D106,$C$5:$AU$516,22,)/VLOOKUP($D106,$C$5:$AU$516,3,))*$E106)</f>
        <v>0</v>
      </c>
      <c r="Y106" s="80">
        <f>IF(VLOOKUP($D106,$C$5:$AU$516,3,)=0,0,(VLOOKUP($D106,$C$5:$AU$516,23,)/VLOOKUP($D106,$C$5:$AU$516,3,))*$E106)</f>
        <v>0</v>
      </c>
      <c r="Z106" s="80">
        <f>IF(VLOOKUP($D106,$C$5:$AU$516,3,)=0,0,(VLOOKUP($D106,$C$5:$AU$516,24,)/VLOOKUP($D106,$C$5:$AU$516,3,))*$E106)</f>
        <v>0</v>
      </c>
      <c r="AA106" s="80">
        <f>IF(VLOOKUP($D106,$C$5:$AU$516,3,)=0,0,(VLOOKUP($D106,$C$5:$AU$516,25,)/VLOOKUP($D106,$C$5:$AU$516,3,))*$E106)</f>
        <v>0</v>
      </c>
      <c r="AB106" s="80">
        <f>IF(VLOOKUP($D106,$C$5:$AU$516,3,)=0,0,(VLOOKUP($D106,$C$5:$AU$516,26,)/VLOOKUP($D106,$C$5:$AU$516,3,))*$E106)</f>
        <v>0</v>
      </c>
      <c r="AC106" s="80">
        <f>IF(VLOOKUP($D106,$C$5:$AU$516,3,)=0,0,(VLOOKUP($D106,$C$5:$AU$516,27,)/VLOOKUP($D106,$C$5:$AU$516,3,))*$E106)</f>
        <v>0</v>
      </c>
      <c r="AD106" s="80">
        <f>IF(VLOOKUP($D106,$C$5:$AU$516,3,)=0,0,(VLOOKUP($D106,$C$5:$AU$516,28,)/VLOOKUP($D106,$C$5:$AU$516,3,))*$E106)</f>
        <v>0</v>
      </c>
      <c r="AE106" s="80">
        <f>IF(VLOOKUP($D106,$C$5:$AU$516,3,)=0,0,(VLOOKUP($D106,$C$5:$AU$516,29,)/VLOOKUP($D106,$C$5:$AU$516,3,))*$E106)</f>
        <v>0</v>
      </c>
      <c r="AF106" s="80">
        <f>IF(VLOOKUP($D106,$C$5:$AU$516,3,)=0,0,(VLOOKUP($D106,$C$5:$AU$516,30,)/VLOOKUP($D106,$C$5:$AU$516,3,))*$E106)</f>
        <v>0</v>
      </c>
      <c r="AG106" s="65">
        <f>SUM(F106:AF106)</f>
        <v>2488520.3510627081</v>
      </c>
      <c r="AH106" s="12" t="str">
        <f>IF(ABS(E106-AG106)&lt;0.01,"ok","err")</f>
        <v>ok</v>
      </c>
    </row>
    <row r="107" spans="1:34" x14ac:dyDescent="0.2">
      <c r="E107" s="7"/>
    </row>
    <row r="108" spans="1:34" x14ac:dyDescent="0.2">
      <c r="A108" s="2" t="s">
        <v>5</v>
      </c>
      <c r="E108" s="7"/>
    </row>
    <row r="109" spans="1:34" x14ac:dyDescent="0.2">
      <c r="A109" s="68" t="s">
        <v>220</v>
      </c>
      <c r="C109" s="3" t="s">
        <v>258</v>
      </c>
      <c r="D109" s="3" t="s">
        <v>231</v>
      </c>
      <c r="E109" s="19">
        <f>'Func &amp; Classif'!W144</f>
        <v>2359795.0968174767</v>
      </c>
      <c r="F109" s="41">
        <f>IF(VLOOKUP($D109,$C$5:$AU$516,3,)=0,0,(VLOOKUP($D109,$C$5:$AU$516,4,)/VLOOKUP($D109,$C$5:$AU$516,3,))*$E109)</f>
        <v>0</v>
      </c>
      <c r="G109" s="41">
        <f>IF(VLOOKUP($D109,$C$5:$AU$516,3,)=0,0,(VLOOKUP($D109,$C$5:$AU$516,5,)/VLOOKUP($D109,$C$5:$AU$516,3,))*$E109)</f>
        <v>0</v>
      </c>
      <c r="H109" s="19">
        <f>IF(VLOOKUP($D109,$C$5:$AU$516,3,)=0,0,(VLOOKUP($D109,$C$5:$AU$516,6,)/VLOOKUP($D109,$C$5:$AU$516,3,))*$E109)</f>
        <v>0</v>
      </c>
      <c r="I109" s="19">
        <f>IF(VLOOKUP($D109,$C$5:$AU$516,3,)=0,0,(VLOOKUP($D109,$C$5:$AU$516,7,)/VLOOKUP($D109,$C$5:$AU$516,3,))*$E109)</f>
        <v>0</v>
      </c>
      <c r="J109" s="19">
        <f>IF(VLOOKUP($D109,$C$5:$AU$516,3,)=0,0,(VLOOKUP($D109,$C$5:$AU$516,8,)/VLOOKUP($D109,$C$5:$AU$516,3,))*$E109)</f>
        <v>0</v>
      </c>
      <c r="K109" s="19">
        <f>IF(VLOOKUP($D109,$C$5:$AU$516,3,)=0,0,(VLOOKUP($D109,$C$5:$AU$516,9,)/VLOOKUP($D109,$C$5:$AU$516,3,))*$E109)</f>
        <v>2359795.0968174767</v>
      </c>
      <c r="L109" s="41">
        <f>IF(VLOOKUP($D109,$C$5:$AU$516,3,)=0,0,(VLOOKUP($D109,$C$5:$AU$516,10,)/VLOOKUP($D109,$C$5:$AU$516,3,))*$E109)</f>
        <v>0</v>
      </c>
      <c r="M109" s="19">
        <f>IF(VLOOKUP($D109,$C$5:$AU$516,3,)=0,0,(VLOOKUP($D109,$C$5:$AU$516,11,)/VLOOKUP($D109,$C$5:$AU$516,3,))*$E109)</f>
        <v>0</v>
      </c>
      <c r="N109" s="19">
        <f>IF(VLOOKUP($D109,$C$5:$AU$516,3,)=0,0,(VLOOKUP($D109,$C$5:$AU$516,12,)/VLOOKUP($D109,$C$5:$AU$516,3,))*$E109)</f>
        <v>0</v>
      </c>
      <c r="O109" s="19">
        <f>IF(VLOOKUP($D109,$C$5:$AU$516,3,)=0,0,(VLOOKUP($D109,$C$5:$AU$516,13,)/VLOOKUP($D109,$C$5:$AU$516,3,))*$E109)</f>
        <v>0</v>
      </c>
      <c r="P109" s="19">
        <f>IF(VLOOKUP($D109,$C$5:$AU$516,3,)=0,0,(VLOOKUP($D109,$C$5:$AU$516,14,)/VLOOKUP($D109,$C$5:$AU$516,3,))*$E109)</f>
        <v>0</v>
      </c>
      <c r="Q109" s="19">
        <f>IF(VLOOKUP($D109,$C$5:$AU$516,3,)=0,0,(VLOOKUP($D109,$C$5:$AU$516,15,)/VLOOKUP($D109,$C$5:$AU$516,3,))*$E109)</f>
        <v>0</v>
      </c>
      <c r="R109" s="19">
        <f>IF(VLOOKUP($D109,$C$5:$AU$516,3,)=0,0,(VLOOKUP($D109,$C$5:$AU$516,16,)/VLOOKUP($D109,$C$5:$AU$516,3,))*$E109)</f>
        <v>0</v>
      </c>
      <c r="S109" s="80">
        <f>IF(VLOOKUP($D109,$C$5:$AU$516,3,)=0,0,(VLOOKUP($D109,$C$5:$AU$516,17,)/VLOOKUP($D109,$C$5:$AU$516,3,))*$E109)</f>
        <v>0</v>
      </c>
      <c r="T109" s="80">
        <f>IF(VLOOKUP($D109,$C$5:$AU$516,3,)=0,0,(VLOOKUP($D109,$C$5:$AU$516,18,)/VLOOKUP($D109,$C$5:$AU$516,3,))*$E109)</f>
        <v>0</v>
      </c>
      <c r="U109" s="80">
        <f>IF(VLOOKUP($D109,$C$5:$AU$516,3,)=0,0,(VLOOKUP($D109,$C$5:$AU$516,19,)/VLOOKUP($D109,$C$5:$AU$516,3,))*$E109)</f>
        <v>0</v>
      </c>
      <c r="V109" s="80">
        <f>IF(VLOOKUP($D109,$C$5:$AU$516,3,)=0,0,(VLOOKUP($D109,$C$5:$AU$516,20,)/VLOOKUP($D109,$C$5:$AU$516,3,))*$E109)</f>
        <v>0</v>
      </c>
      <c r="W109" s="80">
        <f>IF(VLOOKUP($D109,$C$5:$AU$516,3,)=0,0,(VLOOKUP($D109,$C$5:$AU$516,21,)/VLOOKUP($D109,$C$5:$AU$516,3,))*$E109)</f>
        <v>0</v>
      </c>
      <c r="X109" s="80">
        <f>IF(VLOOKUP($D109,$C$5:$AU$516,3,)=0,0,(VLOOKUP($D109,$C$5:$AU$516,22,)/VLOOKUP($D109,$C$5:$AU$516,3,))*$E109)</f>
        <v>0</v>
      </c>
      <c r="Y109" s="80">
        <f>IF(VLOOKUP($D109,$C$5:$AU$516,3,)=0,0,(VLOOKUP($D109,$C$5:$AU$516,23,)/VLOOKUP($D109,$C$5:$AU$516,3,))*$E109)</f>
        <v>0</v>
      </c>
      <c r="Z109" s="80">
        <f>IF(VLOOKUP($D109,$C$5:$AU$516,3,)=0,0,(VLOOKUP($D109,$C$5:$AU$516,24,)/VLOOKUP($D109,$C$5:$AU$516,3,))*$E109)</f>
        <v>0</v>
      </c>
      <c r="AA109" s="80">
        <f>IF(VLOOKUP($D109,$C$5:$AU$516,3,)=0,0,(VLOOKUP($D109,$C$5:$AU$516,25,)/VLOOKUP($D109,$C$5:$AU$516,3,))*$E109)</f>
        <v>0</v>
      </c>
      <c r="AB109" s="80">
        <f>IF(VLOOKUP($D109,$C$5:$AU$516,3,)=0,0,(VLOOKUP($D109,$C$5:$AU$516,26,)/VLOOKUP($D109,$C$5:$AU$516,3,))*$E109)</f>
        <v>0</v>
      </c>
      <c r="AC109" s="80">
        <f>IF(VLOOKUP($D109,$C$5:$AU$516,3,)=0,0,(VLOOKUP($D109,$C$5:$AU$516,27,)/VLOOKUP($D109,$C$5:$AU$516,3,))*$E109)</f>
        <v>0</v>
      </c>
      <c r="AD109" s="80">
        <f>IF(VLOOKUP($D109,$C$5:$AU$516,3,)=0,0,(VLOOKUP($D109,$C$5:$AU$516,28,)/VLOOKUP($D109,$C$5:$AU$516,3,))*$E109)</f>
        <v>0</v>
      </c>
      <c r="AE109" s="80">
        <f>IF(VLOOKUP($D109,$C$5:$AU$516,3,)=0,0,(VLOOKUP($D109,$C$5:$AU$516,29,)/VLOOKUP($D109,$C$5:$AU$516,3,))*$E109)</f>
        <v>0</v>
      </c>
      <c r="AF109" s="80">
        <f>IF(VLOOKUP($D109,$C$5:$AU$516,3,)=0,0,(VLOOKUP($D109,$C$5:$AU$516,30,)/VLOOKUP($D109,$C$5:$AU$516,3,))*$E109)</f>
        <v>0</v>
      </c>
      <c r="AG109" s="65">
        <f>SUM(F109:AF109)</f>
        <v>2359795.0968174767</v>
      </c>
      <c r="AH109" s="12" t="str">
        <f>IF(ABS(E109-AG109)&lt;0.01,"ok","err")</f>
        <v>ok</v>
      </c>
    </row>
    <row r="110" spans="1:34" x14ac:dyDescent="0.2">
      <c r="E110" s="7"/>
    </row>
    <row r="111" spans="1:34" x14ac:dyDescent="0.2">
      <c r="A111" s="2" t="s">
        <v>545</v>
      </c>
      <c r="E111" s="7"/>
    </row>
    <row r="112" spans="1:34" x14ac:dyDescent="0.2">
      <c r="A112" s="68" t="s">
        <v>220</v>
      </c>
      <c r="C112" s="3" t="s">
        <v>259</v>
      </c>
      <c r="D112" s="3" t="s">
        <v>233</v>
      </c>
      <c r="E112" s="19">
        <f>'Func &amp; Classif'!Y144</f>
        <v>204122.41530844869</v>
      </c>
      <c r="F112" s="41">
        <f>IF(VLOOKUP($D112,$C$5:$AU$516,3,)=0,0,(VLOOKUP($D112,$C$5:$AU$516,4,)/VLOOKUP($D112,$C$5:$AU$516,3,))*$E112)</f>
        <v>186775.68851751668</v>
      </c>
      <c r="G112" s="41">
        <f>IF(VLOOKUP($D112,$C$5:$AU$516,3,)=0,0,(VLOOKUP($D112,$C$5:$AU$516,5,)/VLOOKUP($D112,$C$5:$AU$516,3,))*$E112)</f>
        <v>14070.973105468485</v>
      </c>
      <c r="H112" s="19">
        <f>IF(VLOOKUP($D112,$C$5:$AU$516,3,)=0,0,(VLOOKUP($D112,$C$5:$AU$516,6,)/VLOOKUP($D112,$C$5:$AU$516,3,))*$E112)</f>
        <v>2581.6698103058775</v>
      </c>
      <c r="I112" s="19">
        <f>IF(VLOOKUP($D112,$C$5:$AU$516,3,)=0,0,(VLOOKUP($D112,$C$5:$AU$516,7,)/VLOOKUP($D112,$C$5:$AU$516,3,))*$E112)</f>
        <v>136.93724422839287</v>
      </c>
      <c r="J112" s="19">
        <f>IF(VLOOKUP($D112,$C$5:$AU$516,3,)=0,0,(VLOOKUP($D112,$C$5:$AU$516,8,)/VLOOKUP($D112,$C$5:$AU$516,3,))*$E112)</f>
        <v>16.11026402686975</v>
      </c>
      <c r="K112" s="19">
        <f>IF(VLOOKUP($D112,$C$5:$AU$516,3,)=0,0,(VLOOKUP($D112,$C$5:$AU$516,9,)/VLOOKUP($D112,$C$5:$AU$516,3,))*$E112)</f>
        <v>541.03636690237579</v>
      </c>
      <c r="L112" s="41">
        <f>IF(VLOOKUP($D112,$C$5:$AU$516,3,)=0,0,(VLOOKUP($D112,$C$5:$AU$516,10,)/VLOOKUP($D112,$C$5:$AU$516,3,))*$E112)</f>
        <v>0</v>
      </c>
      <c r="M112" s="19">
        <f>IF(VLOOKUP($D112,$C$5:$AU$516,3,)=0,0,(VLOOKUP($D112,$C$5:$AU$516,11,)/VLOOKUP($D112,$C$5:$AU$516,3,))*$E112)</f>
        <v>0</v>
      </c>
      <c r="N112" s="19">
        <f>IF(VLOOKUP($D112,$C$5:$AU$516,3,)=0,0,(VLOOKUP($D112,$C$5:$AU$516,12,)/VLOOKUP($D112,$C$5:$AU$516,3,))*$E112)</f>
        <v>0</v>
      </c>
      <c r="O112" s="19">
        <f>IF(VLOOKUP($D112,$C$5:$AU$516,3,)=0,0,(VLOOKUP($D112,$C$5:$AU$516,13,)/VLOOKUP($D112,$C$5:$AU$516,3,))*$E112)</f>
        <v>0</v>
      </c>
      <c r="P112" s="19">
        <f>IF(VLOOKUP($D112,$C$5:$AU$516,3,)=0,0,(VLOOKUP($D112,$C$5:$AU$516,14,)/VLOOKUP($D112,$C$5:$AU$516,3,))*$E112)</f>
        <v>0</v>
      </c>
      <c r="Q112" s="19">
        <f>IF(VLOOKUP($D112,$C$5:$AU$516,3,)=0,0,(VLOOKUP($D112,$C$5:$AU$516,15,)/VLOOKUP($D112,$C$5:$AU$516,3,))*$E112)</f>
        <v>0</v>
      </c>
      <c r="R112" s="19">
        <f>IF(VLOOKUP($D112,$C$5:$AU$516,3,)=0,0,(VLOOKUP($D112,$C$5:$AU$516,16,)/VLOOKUP($D112,$C$5:$AU$516,3,))*$E112)</f>
        <v>0</v>
      </c>
      <c r="S112" s="80">
        <f>IF(VLOOKUP($D112,$C$5:$AU$516,3,)=0,0,(VLOOKUP($D112,$C$5:$AU$516,17,)/VLOOKUP($D112,$C$5:$AU$516,3,))*$E112)</f>
        <v>0</v>
      </c>
      <c r="T112" s="80">
        <f>IF(VLOOKUP($D112,$C$5:$AU$516,3,)=0,0,(VLOOKUP($D112,$C$5:$AU$516,18,)/VLOOKUP($D112,$C$5:$AU$516,3,))*$E112)</f>
        <v>0</v>
      </c>
      <c r="U112" s="80">
        <f>IF(VLOOKUP($D112,$C$5:$AU$516,3,)=0,0,(VLOOKUP($D112,$C$5:$AU$516,19,)/VLOOKUP($D112,$C$5:$AU$516,3,))*$E112)</f>
        <v>0</v>
      </c>
      <c r="V112" s="80">
        <f>IF(VLOOKUP($D112,$C$5:$AU$516,3,)=0,0,(VLOOKUP($D112,$C$5:$AU$516,20,)/VLOOKUP($D112,$C$5:$AU$516,3,))*$E112)</f>
        <v>0</v>
      </c>
      <c r="W112" s="80">
        <f>IF(VLOOKUP($D112,$C$5:$AU$516,3,)=0,0,(VLOOKUP($D112,$C$5:$AU$516,21,)/VLOOKUP($D112,$C$5:$AU$516,3,))*$E112)</f>
        <v>0</v>
      </c>
      <c r="X112" s="80">
        <f>IF(VLOOKUP($D112,$C$5:$AU$516,3,)=0,0,(VLOOKUP($D112,$C$5:$AU$516,22,)/VLOOKUP($D112,$C$5:$AU$516,3,))*$E112)</f>
        <v>0</v>
      </c>
      <c r="Y112" s="80">
        <f>IF(VLOOKUP($D112,$C$5:$AU$516,3,)=0,0,(VLOOKUP($D112,$C$5:$AU$516,23,)/VLOOKUP($D112,$C$5:$AU$516,3,))*$E112)</f>
        <v>0</v>
      </c>
      <c r="Z112" s="80">
        <f>IF(VLOOKUP($D112,$C$5:$AU$516,3,)=0,0,(VLOOKUP($D112,$C$5:$AU$516,24,)/VLOOKUP($D112,$C$5:$AU$516,3,))*$E112)</f>
        <v>0</v>
      </c>
      <c r="AA112" s="80">
        <f>IF(VLOOKUP($D112,$C$5:$AU$516,3,)=0,0,(VLOOKUP($D112,$C$5:$AU$516,25,)/VLOOKUP($D112,$C$5:$AU$516,3,))*$E112)</f>
        <v>0</v>
      </c>
      <c r="AB112" s="80">
        <f>IF(VLOOKUP($D112,$C$5:$AU$516,3,)=0,0,(VLOOKUP($D112,$C$5:$AU$516,26,)/VLOOKUP($D112,$C$5:$AU$516,3,))*$E112)</f>
        <v>0</v>
      </c>
      <c r="AC112" s="80">
        <f>IF(VLOOKUP($D112,$C$5:$AU$516,3,)=0,0,(VLOOKUP($D112,$C$5:$AU$516,27,)/VLOOKUP($D112,$C$5:$AU$516,3,))*$E112)</f>
        <v>0</v>
      </c>
      <c r="AD112" s="80">
        <f>IF(VLOOKUP($D112,$C$5:$AU$516,3,)=0,0,(VLOOKUP($D112,$C$5:$AU$516,28,)/VLOOKUP($D112,$C$5:$AU$516,3,))*$E112)</f>
        <v>0</v>
      </c>
      <c r="AE112" s="80">
        <f>IF(VLOOKUP($D112,$C$5:$AU$516,3,)=0,0,(VLOOKUP($D112,$C$5:$AU$516,29,)/VLOOKUP($D112,$C$5:$AU$516,3,))*$E112)</f>
        <v>0</v>
      </c>
      <c r="AF112" s="80">
        <f>IF(VLOOKUP($D112,$C$5:$AU$516,3,)=0,0,(VLOOKUP($D112,$C$5:$AU$516,30,)/VLOOKUP($D112,$C$5:$AU$516,3,))*$E112)</f>
        <v>0</v>
      </c>
      <c r="AG112" s="65">
        <f>SUM(F112:AF112)</f>
        <v>204122.41530844869</v>
      </c>
      <c r="AH112" s="12" t="str">
        <f>IF(ABS(E112-AG112)&lt;0.01,"ok","err")</f>
        <v>ok</v>
      </c>
    </row>
    <row r="113" spans="1:35" x14ac:dyDescent="0.2">
      <c r="E113" s="7"/>
    </row>
    <row r="114" spans="1:35" x14ac:dyDescent="0.2">
      <c r="A114" s="2" t="s">
        <v>470</v>
      </c>
      <c r="E114" s="7"/>
    </row>
    <row r="115" spans="1:35" x14ac:dyDescent="0.2">
      <c r="A115" s="68" t="s">
        <v>220</v>
      </c>
      <c r="C115" s="3" t="s">
        <v>256</v>
      </c>
      <c r="D115" s="3" t="s">
        <v>234</v>
      </c>
      <c r="E115" s="19">
        <f>'Func &amp; Classif'!AA144</f>
        <v>5.9791322177653221</v>
      </c>
      <c r="F115" s="41">
        <f>IF(VLOOKUP($D115,$C$5:$AU$516,3,)=0,0,(VLOOKUP($D115,$C$5:$AU$516,4,)/VLOOKUP($D115,$C$5:$AU$516,3,))*$E115)</f>
        <v>5.4714455610145558</v>
      </c>
      <c r="G115" s="41">
        <f>IF(VLOOKUP($D115,$C$5:$AU$516,3,)=0,0,(VLOOKUP($D115,$C$5:$AU$516,5,)/VLOOKUP($D115,$C$5:$AU$516,3,))*$E115)</f>
        <v>0.41219798972846727</v>
      </c>
      <c r="H115" s="19">
        <f>IF(VLOOKUP($D115,$C$5:$AU$516,3,)=0,0,(VLOOKUP($D115,$C$5:$AU$516,6,)/VLOOKUP($D115,$C$5:$AU$516,3,))*$E115)</f>
        <v>7.56279681564586E-2</v>
      </c>
      <c r="I115" s="19">
        <f>IF(VLOOKUP($D115,$C$5:$AU$516,3,)=0,0,(VLOOKUP($D115,$C$5:$AU$516,7,)/VLOOKUP($D115,$C$5:$AU$516,3,))*$E115)</f>
        <v>4.0114678897341539E-3</v>
      </c>
      <c r="J115" s="19">
        <f>IF(VLOOKUP($D115,$C$5:$AU$516,3,)=0,0,(VLOOKUP($D115,$C$5:$AU$516,8,)/VLOOKUP($D115,$C$5:$AU$516,3,))*$E115)</f>
        <v>0</v>
      </c>
      <c r="K115" s="19">
        <f>IF(VLOOKUP($D115,$C$5:$AU$516,3,)=0,0,(VLOOKUP($D115,$C$5:$AU$516,9,)/VLOOKUP($D115,$C$5:$AU$516,3,))*$E115)</f>
        <v>1.584923097610651E-2</v>
      </c>
      <c r="L115" s="41">
        <f>IF(VLOOKUP($D115,$C$5:$AU$516,3,)=0,0,(VLOOKUP($D115,$C$5:$AU$516,10,)/VLOOKUP($D115,$C$5:$AU$516,3,))*$E115)</f>
        <v>0</v>
      </c>
      <c r="M115" s="19">
        <f>IF(VLOOKUP($D115,$C$5:$AU$516,3,)=0,0,(VLOOKUP($D115,$C$5:$AU$516,11,)/VLOOKUP($D115,$C$5:$AU$516,3,))*$E115)</f>
        <v>0</v>
      </c>
      <c r="N115" s="19">
        <f>IF(VLOOKUP($D115,$C$5:$AU$516,3,)=0,0,(VLOOKUP($D115,$C$5:$AU$516,12,)/VLOOKUP($D115,$C$5:$AU$516,3,))*$E115)</f>
        <v>0</v>
      </c>
      <c r="O115" s="19">
        <f>IF(VLOOKUP($D115,$C$5:$AU$516,3,)=0,0,(VLOOKUP($D115,$C$5:$AU$516,13,)/VLOOKUP($D115,$C$5:$AU$516,3,))*$E115)</f>
        <v>0</v>
      </c>
      <c r="P115" s="19">
        <f>IF(VLOOKUP($D115,$C$5:$AU$516,3,)=0,0,(VLOOKUP($D115,$C$5:$AU$516,14,)/VLOOKUP($D115,$C$5:$AU$516,3,))*$E115)</f>
        <v>0</v>
      </c>
      <c r="Q115" s="19">
        <f>IF(VLOOKUP($D115,$C$5:$AU$516,3,)=0,0,(VLOOKUP($D115,$C$5:$AU$516,15,)/VLOOKUP($D115,$C$5:$AU$516,3,))*$E115)</f>
        <v>0</v>
      </c>
      <c r="R115" s="19">
        <f>IF(VLOOKUP($D115,$C$5:$AU$516,3,)=0,0,(VLOOKUP($D115,$C$5:$AU$516,16,)/VLOOKUP($D115,$C$5:$AU$516,3,))*$E115)</f>
        <v>0</v>
      </c>
      <c r="S115" s="80">
        <f>IF(VLOOKUP($D115,$C$5:$AU$516,3,)=0,0,(VLOOKUP($D115,$C$5:$AU$516,17,)/VLOOKUP($D115,$C$5:$AU$516,3,))*$E115)</f>
        <v>0</v>
      </c>
      <c r="T115" s="80">
        <f>IF(VLOOKUP($D115,$C$5:$AU$516,3,)=0,0,(VLOOKUP($D115,$C$5:$AU$516,18,)/VLOOKUP($D115,$C$5:$AU$516,3,))*$E115)</f>
        <v>0</v>
      </c>
      <c r="U115" s="80">
        <f>IF(VLOOKUP($D115,$C$5:$AU$516,3,)=0,0,(VLOOKUP($D115,$C$5:$AU$516,19,)/VLOOKUP($D115,$C$5:$AU$516,3,))*$E115)</f>
        <v>0</v>
      </c>
      <c r="V115" s="80">
        <f>IF(VLOOKUP($D115,$C$5:$AU$516,3,)=0,0,(VLOOKUP($D115,$C$5:$AU$516,20,)/VLOOKUP($D115,$C$5:$AU$516,3,))*$E115)</f>
        <v>0</v>
      </c>
      <c r="W115" s="80">
        <f>IF(VLOOKUP($D115,$C$5:$AU$516,3,)=0,0,(VLOOKUP($D115,$C$5:$AU$516,21,)/VLOOKUP($D115,$C$5:$AU$516,3,))*$E115)</f>
        <v>0</v>
      </c>
      <c r="X115" s="80">
        <f>IF(VLOOKUP($D115,$C$5:$AU$516,3,)=0,0,(VLOOKUP($D115,$C$5:$AU$516,22,)/VLOOKUP($D115,$C$5:$AU$516,3,))*$E115)</f>
        <v>0</v>
      </c>
      <c r="Y115" s="80">
        <f>IF(VLOOKUP($D115,$C$5:$AU$516,3,)=0,0,(VLOOKUP($D115,$C$5:$AU$516,23,)/VLOOKUP($D115,$C$5:$AU$516,3,))*$E115)</f>
        <v>0</v>
      </c>
      <c r="Z115" s="80">
        <f>IF(VLOOKUP($D115,$C$5:$AU$516,3,)=0,0,(VLOOKUP($D115,$C$5:$AU$516,24,)/VLOOKUP($D115,$C$5:$AU$516,3,))*$E115)</f>
        <v>0</v>
      </c>
      <c r="AA115" s="80">
        <f>IF(VLOOKUP($D115,$C$5:$AU$516,3,)=0,0,(VLOOKUP($D115,$C$5:$AU$516,25,)/VLOOKUP($D115,$C$5:$AU$516,3,))*$E115)</f>
        <v>0</v>
      </c>
      <c r="AB115" s="80">
        <f>IF(VLOOKUP($D115,$C$5:$AU$516,3,)=0,0,(VLOOKUP($D115,$C$5:$AU$516,26,)/VLOOKUP($D115,$C$5:$AU$516,3,))*$E115)</f>
        <v>0</v>
      </c>
      <c r="AC115" s="80">
        <f>IF(VLOOKUP($D115,$C$5:$AU$516,3,)=0,0,(VLOOKUP($D115,$C$5:$AU$516,27,)/VLOOKUP($D115,$C$5:$AU$516,3,))*$E115)</f>
        <v>0</v>
      </c>
      <c r="AD115" s="80">
        <f>IF(VLOOKUP($D115,$C$5:$AU$516,3,)=0,0,(VLOOKUP($D115,$C$5:$AU$516,28,)/VLOOKUP($D115,$C$5:$AU$516,3,))*$E115)</f>
        <v>0</v>
      </c>
      <c r="AE115" s="80">
        <f>IF(VLOOKUP($D115,$C$5:$AU$516,3,)=0,0,(VLOOKUP($D115,$C$5:$AU$516,29,)/VLOOKUP($D115,$C$5:$AU$516,3,))*$E115)</f>
        <v>0</v>
      </c>
      <c r="AF115" s="80">
        <f>IF(VLOOKUP($D115,$C$5:$AU$516,3,)=0,0,(VLOOKUP($D115,$C$5:$AU$516,30,)/VLOOKUP($D115,$C$5:$AU$516,3,))*$E115)</f>
        <v>0</v>
      </c>
      <c r="AG115" s="65">
        <f>SUM(F115:AF115)</f>
        <v>5.979132217765323</v>
      </c>
      <c r="AH115" s="12" t="str">
        <f>IF(ABS(E115-AG115)&lt;0.01,"ok","err")</f>
        <v>ok</v>
      </c>
    </row>
    <row r="116" spans="1:35" x14ac:dyDescent="0.2">
      <c r="E116" s="7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  <c r="AE116" s="80"/>
      <c r="AF116" s="80"/>
    </row>
    <row r="117" spans="1:35" x14ac:dyDescent="0.2">
      <c r="A117" s="3" t="s">
        <v>0</v>
      </c>
      <c r="C117" s="3" t="s">
        <v>260</v>
      </c>
      <c r="E117" s="19">
        <f>E87+E90+E93+E98+E103+E106+E109+E112+E115</f>
        <v>35397246.132403851</v>
      </c>
      <c r="F117" s="19">
        <f t="shared" ref="F117:R117" si="22">F87+F90+F93+F98+F103+F106+F109+F112+F115</f>
        <v>26955196.744410895</v>
      </c>
      <c r="G117" s="19">
        <f t="shared" si="22"/>
        <v>1588169.6497079157</v>
      </c>
      <c r="H117" s="19">
        <f t="shared" si="22"/>
        <v>2099111.9358035247</v>
      </c>
      <c r="I117" s="19">
        <f t="shared" si="22"/>
        <v>924976.46168766893</v>
      </c>
      <c r="J117" s="19">
        <f t="shared" si="22"/>
        <v>303914.53920634778</v>
      </c>
      <c r="K117" s="19">
        <f t="shared" si="22"/>
        <v>3525876.8015874978</v>
      </c>
      <c r="L117" s="19">
        <f t="shared" si="22"/>
        <v>0</v>
      </c>
      <c r="M117" s="19">
        <f t="shared" si="22"/>
        <v>0</v>
      </c>
      <c r="N117" s="19">
        <f t="shared" si="22"/>
        <v>0</v>
      </c>
      <c r="O117" s="19">
        <f t="shared" si="22"/>
        <v>0</v>
      </c>
      <c r="P117" s="19">
        <f t="shared" si="22"/>
        <v>0</v>
      </c>
      <c r="Q117" s="19">
        <f t="shared" si="22"/>
        <v>0</v>
      </c>
      <c r="R117" s="19">
        <f t="shared" si="22"/>
        <v>0</v>
      </c>
      <c r="S117" s="80">
        <f t="shared" ref="S117:AF117" si="23">S87+S93+S98+S103+S106+S109+S112+S115</f>
        <v>0</v>
      </c>
      <c r="T117" s="80">
        <f t="shared" si="23"/>
        <v>0</v>
      </c>
      <c r="U117" s="80">
        <f t="shared" si="23"/>
        <v>0</v>
      </c>
      <c r="V117" s="80">
        <f t="shared" si="23"/>
        <v>0</v>
      </c>
      <c r="W117" s="80">
        <f t="shared" si="23"/>
        <v>0</v>
      </c>
      <c r="X117" s="80">
        <f t="shared" si="23"/>
        <v>0</v>
      </c>
      <c r="Y117" s="80">
        <f t="shared" si="23"/>
        <v>0</v>
      </c>
      <c r="Z117" s="80">
        <f t="shared" si="23"/>
        <v>0</v>
      </c>
      <c r="AA117" s="80">
        <f t="shared" si="23"/>
        <v>0</v>
      </c>
      <c r="AB117" s="80">
        <f t="shared" si="23"/>
        <v>0</v>
      </c>
      <c r="AC117" s="80">
        <f t="shared" si="23"/>
        <v>0</v>
      </c>
      <c r="AD117" s="80">
        <f t="shared" si="23"/>
        <v>0</v>
      </c>
      <c r="AE117" s="80">
        <f t="shared" si="23"/>
        <v>0</v>
      </c>
      <c r="AF117" s="80">
        <f t="shared" si="23"/>
        <v>0</v>
      </c>
      <c r="AG117" s="65">
        <f>SUM(F117:AF117)</f>
        <v>35397246.132403851</v>
      </c>
      <c r="AH117" s="12" t="str">
        <f>IF(ABS(E117-AG117)&lt;0.01,"ok","err")</f>
        <v>ok</v>
      </c>
    </row>
    <row r="118" spans="1:35" x14ac:dyDescent="0.2">
      <c r="E118" s="178">
        <f>E117/$E117</f>
        <v>1</v>
      </c>
      <c r="F118" s="178">
        <f>F117/$E117</f>
        <v>0.7615054754142353</v>
      </c>
      <c r="G118" s="178">
        <f t="shared" ref="G118:M118" si="24">G117/$E117</f>
        <v>4.4867039762566466E-2</v>
      </c>
      <c r="H118" s="178">
        <f t="shared" si="24"/>
        <v>5.9301560577672337E-2</v>
      </c>
      <c r="I118" s="178">
        <f t="shared" si="24"/>
        <v>2.6131311408457671E-2</v>
      </c>
      <c r="J118" s="178">
        <f t="shared" si="24"/>
        <v>8.5858243906758048E-3</v>
      </c>
      <c r="K118" s="178">
        <f t="shared" si="24"/>
        <v>9.9608788446392427E-2</v>
      </c>
      <c r="L118" s="178">
        <f t="shared" si="24"/>
        <v>0</v>
      </c>
      <c r="M118" s="22">
        <f t="shared" si="24"/>
        <v>0</v>
      </c>
    </row>
    <row r="119" spans="1:35" x14ac:dyDescent="0.2">
      <c r="E119" s="65"/>
    </row>
    <row r="120" spans="1:35" x14ac:dyDescent="0.2">
      <c r="A120" s="10" t="s">
        <v>86</v>
      </c>
    </row>
    <row r="122" spans="1:35" x14ac:dyDescent="0.2">
      <c r="A122" s="2" t="s">
        <v>864</v>
      </c>
    </row>
    <row r="123" spans="1:35" x14ac:dyDescent="0.2">
      <c r="A123" s="68" t="s">
        <v>208</v>
      </c>
      <c r="C123" s="3" t="s">
        <v>261</v>
      </c>
      <c r="D123" s="3" t="s">
        <v>657</v>
      </c>
      <c r="E123" s="19">
        <f>'Func &amp; Classif'!H285</f>
        <v>5014334.2</v>
      </c>
      <c r="F123" s="41">
        <f>IF(VLOOKUP($D123,$C$5:$AU$516,3,)=0,0,(VLOOKUP($D123,$C$5:$AU$516,4,)/VLOOKUP($D123,$C$5:$AU$516,3,))*$E123)</f>
        <v>3931613.7192797298</v>
      </c>
      <c r="G123" s="41">
        <f>IF(VLOOKUP($D123,$C$5:$AU$516,3,)=0,0,(VLOOKUP($D123,$C$5:$AU$516,5,)/VLOOKUP($D123,$C$5:$AU$516,3,))*$E123)</f>
        <v>253469.3594818018</v>
      </c>
      <c r="H123" s="19">
        <f>IF(VLOOKUP($D123,$C$5:$AU$516,3,)=0,0,(VLOOKUP($D123,$C$5:$AU$516,6,)/VLOOKUP($D123,$C$5:$AU$516,3,))*$E123)</f>
        <v>517474.33073134517</v>
      </c>
      <c r="I123" s="19">
        <f>IF(VLOOKUP($D123,$C$5:$AU$516,3,)=0,0,(VLOOKUP($D123,$C$5:$AU$516,7,)/VLOOKUP($D123,$C$5:$AU$516,3,))*$E123)</f>
        <v>82479.73045683997</v>
      </c>
      <c r="J123" s="19">
        <f>IF(VLOOKUP($D123,$C$5:$AU$516,3,)=0,0,(VLOOKUP($D123,$C$5:$AU$516,8,)/VLOOKUP($D123,$C$5:$AU$516,3,))*$E123)</f>
        <v>178337.00000000003</v>
      </c>
      <c r="K123" s="19">
        <f>IF(VLOOKUP($D123,$C$5:$AU$516,3,)=0,0,(VLOOKUP($D123,$C$5:$AU$516,9,)/VLOOKUP($D123,$C$5:$AU$516,3,))*$E123)</f>
        <v>50960.060050283086</v>
      </c>
      <c r="L123" s="41">
        <f>IF(VLOOKUP($D123,$C$5:$AU$516,3,)=0,0,(VLOOKUP($D123,$C$5:$AU$516,10,)/VLOOKUP($D123,$C$5:$AU$516,3,))*$E123)</f>
        <v>0</v>
      </c>
      <c r="M123" s="19">
        <f>IF(VLOOKUP($D123,$C$5:$AU$516,3,)=0,0,(VLOOKUP($D123,$C$5:$AU$516,11,)/VLOOKUP($D123,$C$5:$AU$516,3,))*$E123)</f>
        <v>0</v>
      </c>
      <c r="N123" s="19">
        <f>IF(VLOOKUP($D123,$C$5:$AU$516,3,)=0,0,(VLOOKUP($D123,$C$5:$AU$516,12,)/VLOOKUP($D123,$C$5:$AU$516,3,))*$E123)</f>
        <v>0</v>
      </c>
      <c r="O123" s="19">
        <f>IF(VLOOKUP($D123,$C$5:$AU$516,3,)=0,0,(VLOOKUP($D123,$C$5:$AU$516,13,)/VLOOKUP($D123,$C$5:$AU$516,3,))*$E123)</f>
        <v>0</v>
      </c>
      <c r="P123" s="19">
        <f>IF(VLOOKUP($D123,$C$5:$AU$516,3,)=0,0,(VLOOKUP($D123,$C$5:$AU$516,14,)/VLOOKUP($D123,$C$5:$AU$516,3,))*$E123)</f>
        <v>0</v>
      </c>
      <c r="Q123" s="19">
        <f>IF(VLOOKUP($D123,$C$5:$AU$516,3,)=0,0,(VLOOKUP($D123,$C$5:$AU$516,15,)/VLOOKUP($D123,$C$5:$AU$516,3,))*$E123)</f>
        <v>0</v>
      </c>
      <c r="R123" s="19">
        <f>IF(VLOOKUP($D123,$C$5:$AU$516,3,)=0,0,(VLOOKUP($D123,$C$5:$AU$516,16,)/VLOOKUP($D123,$C$5:$AU$516,3,))*$E123)</f>
        <v>0</v>
      </c>
      <c r="S123" s="80">
        <f>IF(VLOOKUP($D123,$C$5:$AU$516,3,)=0,0,(VLOOKUP($D123,$C$5:$AU$516,17,)/VLOOKUP($D123,$C$5:$AU$516,3,))*$E123)</f>
        <v>0</v>
      </c>
      <c r="T123" s="80">
        <f>IF(VLOOKUP($D123,$C$5:$AU$516,3,)=0,0,(VLOOKUP($D123,$C$5:$AU$516,18,)/VLOOKUP($D123,$C$5:$AU$516,3,))*$E123)</f>
        <v>0</v>
      </c>
      <c r="U123" s="80">
        <f>IF(VLOOKUP($D123,$C$5:$AU$516,3,)=0,0,(VLOOKUP($D123,$C$5:$AU$516,19,)/VLOOKUP($D123,$C$5:$AU$516,3,))*$E123)</f>
        <v>0</v>
      </c>
      <c r="V123" s="80">
        <f>IF(VLOOKUP($D123,$C$5:$AU$516,3,)=0,0,(VLOOKUP($D123,$C$5:$AU$516,20,)/VLOOKUP($D123,$C$5:$AU$516,3,))*$E123)</f>
        <v>0</v>
      </c>
      <c r="W123" s="80">
        <f>IF(VLOOKUP($D123,$C$5:$AU$516,3,)=0,0,(VLOOKUP($D123,$C$5:$AU$516,21,)/VLOOKUP($D123,$C$5:$AU$516,3,))*$E123)</f>
        <v>0</v>
      </c>
      <c r="X123" s="80">
        <f>IF(VLOOKUP($D123,$C$5:$AU$516,3,)=0,0,(VLOOKUP($D123,$C$5:$AU$516,22,)/VLOOKUP($D123,$C$5:$AU$516,3,))*$E123)</f>
        <v>0</v>
      </c>
      <c r="Y123" s="80">
        <f>IF(VLOOKUP($D123,$C$5:$AU$516,3,)=0,0,(VLOOKUP($D123,$C$5:$AU$516,23,)/VLOOKUP($D123,$C$5:$AU$516,3,))*$E123)</f>
        <v>0</v>
      </c>
      <c r="Z123" s="80">
        <f>IF(VLOOKUP($D123,$C$5:$AU$516,3,)=0,0,(VLOOKUP($D123,$C$5:$AU$516,24,)/VLOOKUP($D123,$C$5:$AU$516,3,))*$E123)</f>
        <v>0</v>
      </c>
      <c r="AA123" s="80">
        <f>IF(VLOOKUP($D123,$C$5:$AU$516,3,)=0,0,(VLOOKUP($D123,$C$5:$AU$516,25,)/VLOOKUP($D123,$C$5:$AU$516,3,))*$E123)</f>
        <v>0</v>
      </c>
      <c r="AB123" s="80">
        <f>IF(VLOOKUP($D123,$C$5:$AU$516,3,)=0,0,(VLOOKUP($D123,$C$5:$AU$516,26,)/VLOOKUP($D123,$C$5:$AU$516,3,))*$E123)</f>
        <v>0</v>
      </c>
      <c r="AC123" s="80">
        <f>IF(VLOOKUP($D123,$C$5:$AU$516,3,)=0,0,(VLOOKUP($D123,$C$5:$AU$516,27,)/VLOOKUP($D123,$C$5:$AU$516,3,))*$E123)</f>
        <v>0</v>
      </c>
      <c r="AD123" s="80">
        <f>IF(VLOOKUP($D123,$C$5:$AU$516,3,)=0,0,(VLOOKUP($D123,$C$5:$AU$516,28,)/VLOOKUP($D123,$C$5:$AU$516,3,))*$E123)</f>
        <v>0</v>
      </c>
      <c r="AE123" s="80">
        <f>IF(VLOOKUP($D123,$C$5:$AU$516,3,)=0,0,(VLOOKUP($D123,$C$5:$AU$516,29,)/VLOOKUP($D123,$C$5:$AU$516,3,))*$E123)</f>
        <v>0</v>
      </c>
      <c r="AF123" s="80">
        <f>IF(VLOOKUP($D123,$C$5:$AU$516,3,)=0,0,(VLOOKUP($D123,$C$5:$AU$516,30,)/VLOOKUP($D123,$C$5:$AU$516,3,))*$E123)</f>
        <v>0</v>
      </c>
      <c r="AG123" s="65">
        <f>SUM(F123:AF123)</f>
        <v>5014334.1999999993</v>
      </c>
      <c r="AH123" s="12" t="str">
        <f>IF(ABS(E123-AG123)&lt;0.01,"ok","err")</f>
        <v>ok</v>
      </c>
      <c r="AI123" s="128">
        <f>M123/AG123</f>
        <v>0</v>
      </c>
    </row>
    <row r="124" spans="1:35" x14ac:dyDescent="0.2">
      <c r="A124" s="68" t="s">
        <v>211</v>
      </c>
      <c r="C124" s="3" t="s">
        <v>262</v>
      </c>
      <c r="D124" s="3" t="s">
        <v>666</v>
      </c>
      <c r="E124" s="7">
        <f>'Func &amp; Classif'!I285</f>
        <v>12813298.799999999</v>
      </c>
      <c r="F124" s="41">
        <f>IF(VLOOKUP($D124,$C$5:$AU$516,3,)=0,0,(VLOOKUP($D124,$C$5:$AU$516,4,)/VLOOKUP($D124,$C$5:$AU$516,3,))*$E124)</f>
        <v>9463029.6082726847</v>
      </c>
      <c r="G124" s="41">
        <f>IF(VLOOKUP($D124,$C$5:$AU$516,3,)=0,0,(VLOOKUP($D124,$C$5:$AU$516,5,)/VLOOKUP($D124,$C$5:$AU$516,3,))*$E124)</f>
        <v>563343.27474915818</v>
      </c>
      <c r="H124" s="19">
        <f>IF(VLOOKUP($D124,$C$5:$AU$516,3,)=0,0,(VLOOKUP($D124,$C$5:$AU$516,6,)/VLOOKUP($D124,$C$5:$AU$516,3,))*$E124)</f>
        <v>1510596.2610407264</v>
      </c>
      <c r="I124" s="19">
        <f>IF(VLOOKUP($D124,$C$5:$AU$516,3,)=0,0,(VLOOKUP($D124,$C$5:$AU$516,7,)/VLOOKUP($D124,$C$5:$AU$516,3,))*$E124)</f>
        <v>695900.19364998466</v>
      </c>
      <c r="J124" s="19">
        <f>IF(VLOOKUP($D124,$C$5:$AU$516,3,)=0,0,(VLOOKUP($D124,$C$5:$AU$516,8,)/VLOOKUP($D124,$C$5:$AU$516,3,))*$E124)</f>
        <v>340205</v>
      </c>
      <c r="K124" s="19">
        <f>IF(VLOOKUP($D124,$C$5:$AU$516,3,)=0,0,(VLOOKUP($D124,$C$5:$AU$516,9,)/VLOOKUP($D124,$C$5:$AU$516,3,))*$E124)</f>
        <v>240224.46228744517</v>
      </c>
      <c r="L124" s="41">
        <f>IF(VLOOKUP($D124,$C$5:$AU$516,3,)=0,0,(VLOOKUP($D124,$C$5:$AU$516,10,)/VLOOKUP($D124,$C$5:$AU$516,3,))*$E124)</f>
        <v>0</v>
      </c>
      <c r="M124" s="19">
        <f>IF(VLOOKUP($D124,$C$5:$AU$516,3,)=0,0,(VLOOKUP($D124,$C$5:$AU$516,11,)/VLOOKUP($D124,$C$5:$AU$516,3,))*$E124)</f>
        <v>0</v>
      </c>
      <c r="N124" s="19">
        <f>IF(VLOOKUP($D124,$C$5:$AU$516,3,)=0,0,(VLOOKUP($D124,$C$5:$AU$516,12,)/VLOOKUP($D124,$C$5:$AU$516,3,))*$E124)</f>
        <v>0</v>
      </c>
      <c r="O124" s="19">
        <f>IF(VLOOKUP($D124,$C$5:$AU$516,3,)=0,0,(VLOOKUP($D124,$C$5:$AU$516,13,)/VLOOKUP($D124,$C$5:$AU$516,3,))*$E124)</f>
        <v>0</v>
      </c>
      <c r="P124" s="19">
        <f>IF(VLOOKUP($D124,$C$5:$AU$516,3,)=0,0,(VLOOKUP($D124,$C$5:$AU$516,14,)/VLOOKUP($D124,$C$5:$AU$516,3,))*$E124)</f>
        <v>0</v>
      </c>
      <c r="Q124" s="19">
        <f>IF(VLOOKUP($D124,$C$5:$AU$516,3,)=0,0,(VLOOKUP($D124,$C$5:$AU$516,15,)/VLOOKUP($D124,$C$5:$AU$516,3,))*$E124)</f>
        <v>0</v>
      </c>
      <c r="R124" s="19">
        <f>IF(VLOOKUP($D124,$C$5:$AU$516,3,)=0,0,(VLOOKUP($D124,$C$5:$AU$516,16,)/VLOOKUP($D124,$C$5:$AU$516,3,))*$E124)</f>
        <v>0</v>
      </c>
      <c r="S124" s="80">
        <f>IF(VLOOKUP($D124,$C$5:$AU$516,3,)=0,0,(VLOOKUP($D124,$C$5:$AU$516,17,)/VLOOKUP($D124,$C$5:$AU$516,3,))*$E124)</f>
        <v>0</v>
      </c>
      <c r="T124" s="80">
        <f>IF(VLOOKUP($D124,$C$5:$AU$516,3,)=0,0,(VLOOKUP($D124,$C$5:$AU$516,18,)/VLOOKUP($D124,$C$5:$AU$516,3,))*$E124)</f>
        <v>0</v>
      </c>
      <c r="U124" s="80">
        <f>IF(VLOOKUP($D124,$C$5:$AU$516,3,)=0,0,(VLOOKUP($D124,$C$5:$AU$516,19,)/VLOOKUP($D124,$C$5:$AU$516,3,))*$E124)</f>
        <v>0</v>
      </c>
      <c r="V124" s="80">
        <f>IF(VLOOKUP($D124,$C$5:$AU$516,3,)=0,0,(VLOOKUP($D124,$C$5:$AU$516,20,)/VLOOKUP($D124,$C$5:$AU$516,3,))*$E124)</f>
        <v>0</v>
      </c>
      <c r="W124" s="80">
        <f>IF(VLOOKUP($D124,$C$5:$AU$516,3,)=0,0,(VLOOKUP($D124,$C$5:$AU$516,21,)/VLOOKUP($D124,$C$5:$AU$516,3,))*$E124)</f>
        <v>0</v>
      </c>
      <c r="X124" s="80">
        <f>IF(VLOOKUP($D124,$C$5:$AU$516,3,)=0,0,(VLOOKUP($D124,$C$5:$AU$516,22,)/VLOOKUP($D124,$C$5:$AU$516,3,))*$E124)</f>
        <v>0</v>
      </c>
      <c r="Y124" s="80">
        <f>IF(VLOOKUP($D124,$C$5:$AU$516,3,)=0,0,(VLOOKUP($D124,$C$5:$AU$516,23,)/VLOOKUP($D124,$C$5:$AU$516,3,))*$E124)</f>
        <v>0</v>
      </c>
      <c r="Z124" s="80">
        <f>IF(VLOOKUP($D124,$C$5:$AU$516,3,)=0,0,(VLOOKUP($D124,$C$5:$AU$516,24,)/VLOOKUP($D124,$C$5:$AU$516,3,))*$E124)</f>
        <v>0</v>
      </c>
      <c r="AA124" s="80">
        <f>IF(VLOOKUP($D124,$C$5:$AU$516,3,)=0,0,(VLOOKUP($D124,$C$5:$AU$516,25,)/VLOOKUP($D124,$C$5:$AU$516,3,))*$E124)</f>
        <v>0</v>
      </c>
      <c r="AB124" s="80">
        <f>IF(VLOOKUP($D124,$C$5:$AU$516,3,)=0,0,(VLOOKUP($D124,$C$5:$AU$516,26,)/VLOOKUP($D124,$C$5:$AU$516,3,))*$E124)</f>
        <v>0</v>
      </c>
      <c r="AC124" s="80">
        <f>IF(VLOOKUP($D124,$C$5:$AU$516,3,)=0,0,(VLOOKUP($D124,$C$5:$AU$516,27,)/VLOOKUP($D124,$C$5:$AU$516,3,))*$E124)</f>
        <v>0</v>
      </c>
      <c r="AD124" s="80">
        <f>IF(VLOOKUP($D124,$C$5:$AU$516,3,)=0,0,(VLOOKUP($D124,$C$5:$AU$516,28,)/VLOOKUP($D124,$C$5:$AU$516,3,))*$E124)</f>
        <v>0</v>
      </c>
      <c r="AE124" s="80">
        <f>IF(VLOOKUP($D124,$C$5:$AU$516,3,)=0,0,(VLOOKUP($D124,$C$5:$AU$516,29,)/VLOOKUP($D124,$C$5:$AU$516,3,))*$E124)</f>
        <v>0</v>
      </c>
      <c r="AF124" s="80">
        <f>IF(VLOOKUP($D124,$C$5:$AU$516,3,)=0,0,(VLOOKUP($D124,$C$5:$AU$516,30,)/VLOOKUP($D124,$C$5:$AU$516,3,))*$E124)</f>
        <v>0</v>
      </c>
      <c r="AG124" s="65">
        <f>SUM(F124:AF124)</f>
        <v>12813298.799999999</v>
      </c>
      <c r="AH124" s="12" t="str">
        <f>IF(ABS(E124-AG124)&lt;0.01,"ok","err")</f>
        <v>ok</v>
      </c>
      <c r="AI124" s="128">
        <f t="shared" ref="AI124:AI155" si="25">M124/AG124</f>
        <v>0</v>
      </c>
    </row>
    <row r="125" spans="1:35" x14ac:dyDescent="0.2">
      <c r="A125" s="3" t="s">
        <v>214</v>
      </c>
      <c r="C125" s="3" t="s">
        <v>263</v>
      </c>
      <c r="E125" s="16">
        <f t="shared" ref="E125:T125" si="26">E123+E124</f>
        <v>17827633</v>
      </c>
      <c r="F125" s="81">
        <f t="shared" si="26"/>
        <v>13394643.327552415</v>
      </c>
      <c r="G125" s="81">
        <f t="shared" si="26"/>
        <v>816812.63423095993</v>
      </c>
      <c r="H125" s="82">
        <f t="shared" si="26"/>
        <v>2028070.5917720716</v>
      </c>
      <c r="I125" s="82">
        <f t="shared" si="26"/>
        <v>778379.92410682468</v>
      </c>
      <c r="J125" s="82">
        <f t="shared" si="26"/>
        <v>518542</v>
      </c>
      <c r="K125" s="82">
        <f t="shared" si="26"/>
        <v>291184.52233772824</v>
      </c>
      <c r="L125" s="81">
        <f t="shared" si="26"/>
        <v>0</v>
      </c>
      <c r="M125" s="82">
        <f t="shared" si="26"/>
        <v>0</v>
      </c>
      <c r="N125" s="82">
        <f t="shared" si="26"/>
        <v>0</v>
      </c>
      <c r="O125" s="82">
        <f t="shared" si="26"/>
        <v>0</v>
      </c>
      <c r="P125" s="82">
        <f t="shared" si="26"/>
        <v>0</v>
      </c>
      <c r="Q125" s="82">
        <f t="shared" si="26"/>
        <v>0</v>
      </c>
      <c r="R125" s="82">
        <f t="shared" si="26"/>
        <v>0</v>
      </c>
      <c r="S125" s="83">
        <f t="shared" si="26"/>
        <v>0</v>
      </c>
      <c r="T125" s="83">
        <f t="shared" si="26"/>
        <v>0</v>
      </c>
      <c r="U125" s="83">
        <f t="shared" ref="U125:AF125" si="27">U123+U124</f>
        <v>0</v>
      </c>
      <c r="V125" s="83">
        <f t="shared" si="27"/>
        <v>0</v>
      </c>
      <c r="W125" s="83">
        <f t="shared" si="27"/>
        <v>0</v>
      </c>
      <c r="X125" s="83">
        <f t="shared" si="27"/>
        <v>0</v>
      </c>
      <c r="Y125" s="83">
        <f t="shared" si="27"/>
        <v>0</v>
      </c>
      <c r="Z125" s="83">
        <f t="shared" si="27"/>
        <v>0</v>
      </c>
      <c r="AA125" s="83">
        <f t="shared" si="27"/>
        <v>0</v>
      </c>
      <c r="AB125" s="83">
        <f t="shared" si="27"/>
        <v>0</v>
      </c>
      <c r="AC125" s="83">
        <f t="shared" si="27"/>
        <v>0</v>
      </c>
      <c r="AD125" s="83">
        <f t="shared" si="27"/>
        <v>0</v>
      </c>
      <c r="AE125" s="83">
        <f t="shared" si="27"/>
        <v>0</v>
      </c>
      <c r="AF125" s="83">
        <f t="shared" si="27"/>
        <v>0</v>
      </c>
      <c r="AG125" s="84">
        <f>SUM(F125:AF125)</f>
        <v>17827633</v>
      </c>
      <c r="AH125" s="12" t="str">
        <f>IF(ABS(E125-AG125)&lt;0.01,"ok","err")</f>
        <v>ok</v>
      </c>
      <c r="AI125" s="128">
        <f t="shared" si="25"/>
        <v>0</v>
      </c>
    </row>
    <row r="126" spans="1:35" x14ac:dyDescent="0.2">
      <c r="E126" s="7"/>
      <c r="F126" s="24"/>
      <c r="AI126" s="128"/>
    </row>
    <row r="127" spans="1:35" x14ac:dyDescent="0.2">
      <c r="A127" s="2" t="s">
        <v>349</v>
      </c>
      <c r="E127" s="7"/>
      <c r="F127" s="24"/>
      <c r="AI127" s="128"/>
    </row>
    <row r="128" spans="1:35" x14ac:dyDescent="0.2">
      <c r="A128" s="68" t="s">
        <v>208</v>
      </c>
      <c r="C128" s="3" t="s">
        <v>856</v>
      </c>
      <c r="D128" s="3" t="s">
        <v>625</v>
      </c>
      <c r="E128" s="19">
        <f>'Func &amp; Classif'!K285</f>
        <v>0</v>
      </c>
      <c r="F128" s="41">
        <f>IF(VLOOKUP($D128,$C$5:$AU$516,3,)=0,0,(VLOOKUP($D128,$C$5:$AU$516,4,)/VLOOKUP($D128,$C$5:$AU$516,3,))*$E128)</f>
        <v>0</v>
      </c>
      <c r="G128" s="41">
        <f>IF(VLOOKUP($D128,$C$5:$AU$516,3,)=0,0,(VLOOKUP($D128,$C$5:$AU$516,5,)/VLOOKUP($D128,$C$5:$AU$516,3,))*$E128)</f>
        <v>0</v>
      </c>
      <c r="H128" s="19">
        <f>IF(VLOOKUP($D128,$C$5:$AU$516,3,)=0,0,(VLOOKUP($D128,$C$5:$AU$516,6,)/VLOOKUP($D128,$C$5:$AU$516,3,))*$E128)</f>
        <v>0</v>
      </c>
      <c r="I128" s="19">
        <f>IF(VLOOKUP($D128,$C$5:$AU$516,3,)=0,0,(VLOOKUP($D128,$C$5:$AU$516,7,)/VLOOKUP($D128,$C$5:$AU$516,3,))*$E128)</f>
        <v>0</v>
      </c>
      <c r="J128" s="19">
        <f>IF(VLOOKUP($D128,$C$5:$AU$516,3,)=0,0,(VLOOKUP($D128,$C$5:$AU$516,8,)/VLOOKUP($D128,$C$5:$AU$516,3,))*$E128)</f>
        <v>0</v>
      </c>
      <c r="K128" s="19">
        <f>IF(VLOOKUP($D128,$C$5:$AU$516,3,)=0,0,(VLOOKUP($D128,$C$5:$AU$516,9,)/VLOOKUP($D128,$C$5:$AU$516,3,))*$E128)</f>
        <v>0</v>
      </c>
      <c r="L128" s="41">
        <f>IF(VLOOKUP($D128,$C$5:$AU$516,3,)=0,0,(VLOOKUP($D128,$C$5:$AU$516,10,)/VLOOKUP($D128,$C$5:$AU$516,3,))*$E128)</f>
        <v>0</v>
      </c>
      <c r="M128" s="19">
        <f>IF(VLOOKUP($D128,$C$5:$AU$516,3,)=0,0,(VLOOKUP($D128,$C$5:$AU$516,11,)/VLOOKUP($D128,$C$5:$AU$516,3,))*$E128)</f>
        <v>0</v>
      </c>
      <c r="N128" s="19">
        <f>IF(VLOOKUP($D128,$C$5:$AU$516,3,)=0,0,(VLOOKUP($D128,$C$5:$AU$516,12,)/VLOOKUP($D128,$C$5:$AU$516,3,))*$E128)</f>
        <v>0</v>
      </c>
      <c r="O128" s="19">
        <f>IF(VLOOKUP($D128,$C$5:$AU$516,3,)=0,0,(VLOOKUP($D128,$C$5:$AU$516,13,)/VLOOKUP($D128,$C$5:$AU$516,3,))*$E128)</f>
        <v>0</v>
      </c>
      <c r="P128" s="19">
        <f>IF(VLOOKUP($D128,$C$5:$AU$516,3,)=0,0,(VLOOKUP($D128,$C$5:$AU$516,14,)/VLOOKUP($D128,$C$5:$AU$516,3,))*$E128)</f>
        <v>0</v>
      </c>
      <c r="Q128" s="19">
        <f>IF(VLOOKUP($D128,$C$5:$AU$516,3,)=0,0,(VLOOKUP($D128,$C$5:$AU$516,15,)/VLOOKUP($D128,$C$5:$AU$516,3,))*$E128)</f>
        <v>0</v>
      </c>
      <c r="R128" s="19">
        <f>IF(VLOOKUP($D128,$C$5:$AU$516,3,)=0,0,(VLOOKUP($D128,$C$5:$AU$516,16,)/VLOOKUP($D128,$C$5:$AU$516,3,))*$E128)</f>
        <v>0</v>
      </c>
      <c r="S128" s="80">
        <f>IF(VLOOKUP($D128,$C$5:$AU$516,3,)=0,0,(VLOOKUP($D128,$C$5:$AU$516,17,)/VLOOKUP($D128,$C$5:$AU$516,3,))*$E128)</f>
        <v>0</v>
      </c>
      <c r="T128" s="80">
        <f>IF(VLOOKUP($D128,$C$5:$AU$516,3,)=0,0,(VLOOKUP($D128,$C$5:$AU$516,18,)/VLOOKUP($D128,$C$5:$AU$516,3,))*$E128)</f>
        <v>0</v>
      </c>
      <c r="U128" s="80">
        <f>IF(VLOOKUP($D128,$C$5:$AU$516,3,)=0,0,(VLOOKUP($D128,$C$5:$AU$516,19,)/VLOOKUP($D128,$C$5:$AU$516,3,))*$E128)</f>
        <v>0</v>
      </c>
      <c r="V128" s="80">
        <f>IF(VLOOKUP($D128,$C$5:$AU$516,3,)=0,0,(VLOOKUP($D128,$C$5:$AU$516,20,)/VLOOKUP($D128,$C$5:$AU$516,3,))*$E128)</f>
        <v>0</v>
      </c>
      <c r="W128" s="80">
        <f>IF(VLOOKUP($D128,$C$5:$AU$516,3,)=0,0,(VLOOKUP($D128,$C$5:$AU$516,21,)/VLOOKUP($D128,$C$5:$AU$516,3,))*$E128)</f>
        <v>0</v>
      </c>
      <c r="X128" s="80">
        <f>IF(VLOOKUP($D128,$C$5:$AU$516,3,)=0,0,(VLOOKUP($D128,$C$5:$AU$516,22,)/VLOOKUP($D128,$C$5:$AU$516,3,))*$E128)</f>
        <v>0</v>
      </c>
      <c r="Y128" s="80">
        <f>IF(VLOOKUP($D128,$C$5:$AU$516,3,)=0,0,(VLOOKUP($D128,$C$5:$AU$516,23,)/VLOOKUP($D128,$C$5:$AU$516,3,))*$E128)</f>
        <v>0</v>
      </c>
      <c r="Z128" s="80">
        <f>IF(VLOOKUP($D128,$C$5:$AU$516,3,)=0,0,(VLOOKUP($D128,$C$5:$AU$516,24,)/VLOOKUP($D128,$C$5:$AU$516,3,))*$E128)</f>
        <v>0</v>
      </c>
      <c r="AA128" s="80">
        <f>IF(VLOOKUP($D128,$C$5:$AU$516,3,)=0,0,(VLOOKUP($D128,$C$5:$AU$516,25,)/VLOOKUP($D128,$C$5:$AU$516,3,))*$E128)</f>
        <v>0</v>
      </c>
      <c r="AB128" s="80">
        <f>IF(VLOOKUP($D128,$C$5:$AU$516,3,)=0,0,(VLOOKUP($D128,$C$5:$AU$516,26,)/VLOOKUP($D128,$C$5:$AU$516,3,))*$E128)</f>
        <v>0</v>
      </c>
      <c r="AC128" s="80">
        <f>IF(VLOOKUP($D128,$C$5:$AU$516,3,)=0,0,(VLOOKUP($D128,$C$5:$AU$516,27,)/VLOOKUP($D128,$C$5:$AU$516,3,))*$E128)</f>
        <v>0</v>
      </c>
      <c r="AD128" s="80">
        <f>IF(VLOOKUP($D128,$C$5:$AU$516,3,)=0,0,(VLOOKUP($D128,$C$5:$AU$516,28,)/VLOOKUP($D128,$C$5:$AU$516,3,))*$E128)</f>
        <v>0</v>
      </c>
      <c r="AE128" s="80">
        <f>IF(VLOOKUP($D128,$C$5:$AU$516,3,)=0,0,(VLOOKUP($D128,$C$5:$AU$516,29,)/VLOOKUP($D128,$C$5:$AU$516,3,))*$E128)</f>
        <v>0</v>
      </c>
      <c r="AF128" s="80">
        <f>IF(VLOOKUP($D128,$C$5:$AU$516,3,)=0,0,(VLOOKUP($D128,$C$5:$AU$516,30,)/VLOOKUP($D128,$C$5:$AU$516,3,))*$E128)</f>
        <v>0</v>
      </c>
      <c r="AG128" s="65">
        <f>SUM(F128:AF128)</f>
        <v>0</v>
      </c>
      <c r="AH128" s="12" t="str">
        <f>IF(ABS(E128-AG128)&lt;0.01,"ok","err")</f>
        <v>ok</v>
      </c>
      <c r="AI128" s="128"/>
    </row>
    <row r="129" spans="1:35" x14ac:dyDescent="0.2">
      <c r="E129" s="7"/>
      <c r="AI129" s="128"/>
    </row>
    <row r="130" spans="1:35" x14ac:dyDescent="0.2">
      <c r="A130" s="2" t="s">
        <v>1</v>
      </c>
      <c r="E130" s="7"/>
      <c r="F130" s="24"/>
      <c r="AI130" s="128"/>
    </row>
    <row r="131" spans="1:35" x14ac:dyDescent="0.2">
      <c r="A131" s="68" t="s">
        <v>208</v>
      </c>
      <c r="C131" s="3" t="s">
        <v>264</v>
      </c>
      <c r="D131" s="3" t="s">
        <v>632</v>
      </c>
      <c r="E131" s="19">
        <f>'Func &amp; Classif'!M285</f>
        <v>9051.6162782894171</v>
      </c>
      <c r="F131" s="41">
        <f>IF(VLOOKUP($D131,$C$5:$AU$516,3,)=0,0,(VLOOKUP($D131,$C$5:$AU$516,4,)/VLOOKUP($D131,$C$5:$AU$516,3,))*$E131)</f>
        <v>7194.2779707114614</v>
      </c>
      <c r="G131" s="41">
        <f>IF(VLOOKUP($D131,$C$5:$AU$516,3,)=0,0,(VLOOKUP($D131,$C$5:$AU$516,5,)/VLOOKUP($D131,$C$5:$AU$516,3,))*$E131)</f>
        <v>463.81184912141902</v>
      </c>
      <c r="H131" s="19">
        <f>IF(VLOOKUP($D131,$C$5:$AU$516,3,)=0,0,(VLOOKUP($D131,$C$5:$AU$516,6,)/VLOOKUP($D131,$C$5:$AU$516,3,))*$E131)</f>
        <v>946.90232657729132</v>
      </c>
      <c r="I131" s="19">
        <f>IF(VLOOKUP($D131,$C$5:$AU$516,3,)=0,0,(VLOOKUP($D131,$C$5:$AU$516,7,)/VLOOKUP($D131,$C$5:$AU$516,3,))*$E131)</f>
        <v>150.92584120002775</v>
      </c>
      <c r="J131" s="19">
        <f>IF(VLOOKUP($D131,$C$5:$AU$516,3,)=0,0,(VLOOKUP($D131,$C$5:$AU$516,8,)/VLOOKUP($D131,$C$5:$AU$516,3,))*$E131)</f>
        <v>202.44883547255213</v>
      </c>
      <c r="K131" s="19">
        <f>IF(VLOOKUP($D131,$C$5:$AU$516,3,)=0,0,(VLOOKUP($D131,$C$5:$AU$516,9,)/VLOOKUP($D131,$C$5:$AU$516,3,))*$E131)</f>
        <v>93.249455206665019</v>
      </c>
      <c r="L131" s="41">
        <f>IF(VLOOKUP($D131,$C$5:$AU$516,3,)=0,0,(VLOOKUP($D131,$C$5:$AU$516,10,)/VLOOKUP($D131,$C$5:$AU$516,3,))*$E131)</f>
        <v>0</v>
      </c>
      <c r="M131" s="19">
        <f>IF(VLOOKUP($D131,$C$5:$AU$516,3,)=0,0,(VLOOKUP($D131,$C$5:$AU$516,11,)/VLOOKUP($D131,$C$5:$AU$516,3,))*$E131)</f>
        <v>0</v>
      </c>
      <c r="N131" s="19">
        <f>IF(VLOOKUP($D131,$C$5:$AU$516,3,)=0,0,(VLOOKUP($D131,$C$5:$AU$516,12,)/VLOOKUP($D131,$C$5:$AU$516,3,))*$E131)</f>
        <v>0</v>
      </c>
      <c r="O131" s="19">
        <f>IF(VLOOKUP($D131,$C$5:$AU$516,3,)=0,0,(VLOOKUP($D131,$C$5:$AU$516,13,)/VLOOKUP($D131,$C$5:$AU$516,3,))*$E131)</f>
        <v>0</v>
      </c>
      <c r="P131" s="19">
        <f>IF(VLOOKUP($D131,$C$5:$AU$516,3,)=0,0,(VLOOKUP($D131,$C$5:$AU$516,14,)/VLOOKUP($D131,$C$5:$AU$516,3,))*$E131)</f>
        <v>0</v>
      </c>
      <c r="Q131" s="19">
        <f>IF(VLOOKUP($D131,$C$5:$AU$516,3,)=0,0,(VLOOKUP($D131,$C$5:$AU$516,15,)/VLOOKUP($D131,$C$5:$AU$516,3,))*$E131)</f>
        <v>0</v>
      </c>
      <c r="R131" s="19">
        <f>IF(VLOOKUP($D131,$C$5:$AU$516,3,)=0,0,(VLOOKUP($D131,$C$5:$AU$516,16,)/VLOOKUP($D131,$C$5:$AU$516,3,))*$E131)</f>
        <v>0</v>
      </c>
      <c r="S131" s="80">
        <f>IF(VLOOKUP($D131,$C$5:$AU$516,3,)=0,0,(VLOOKUP($D131,$C$5:$AU$516,17,)/VLOOKUP($D131,$C$5:$AU$516,3,))*$E131)</f>
        <v>0</v>
      </c>
      <c r="T131" s="80">
        <f>IF(VLOOKUP($D131,$C$5:$AU$516,3,)=0,0,(VLOOKUP($D131,$C$5:$AU$516,18,)/VLOOKUP($D131,$C$5:$AU$516,3,))*$E131)</f>
        <v>0</v>
      </c>
      <c r="U131" s="80">
        <f>IF(VLOOKUP($D131,$C$5:$AU$516,3,)=0,0,(VLOOKUP($D131,$C$5:$AU$516,19,)/VLOOKUP($D131,$C$5:$AU$516,3,))*$E131)</f>
        <v>0</v>
      </c>
      <c r="V131" s="80">
        <f>IF(VLOOKUP($D131,$C$5:$AU$516,3,)=0,0,(VLOOKUP($D131,$C$5:$AU$516,20,)/VLOOKUP($D131,$C$5:$AU$516,3,))*$E131)</f>
        <v>0</v>
      </c>
      <c r="W131" s="80">
        <f>IF(VLOOKUP($D131,$C$5:$AU$516,3,)=0,0,(VLOOKUP($D131,$C$5:$AU$516,21,)/VLOOKUP($D131,$C$5:$AU$516,3,))*$E131)</f>
        <v>0</v>
      </c>
      <c r="X131" s="80">
        <f>IF(VLOOKUP($D131,$C$5:$AU$516,3,)=0,0,(VLOOKUP($D131,$C$5:$AU$516,22,)/VLOOKUP($D131,$C$5:$AU$516,3,))*$E131)</f>
        <v>0</v>
      </c>
      <c r="Y131" s="80">
        <f>IF(VLOOKUP($D131,$C$5:$AU$516,3,)=0,0,(VLOOKUP($D131,$C$5:$AU$516,23,)/VLOOKUP($D131,$C$5:$AU$516,3,))*$E131)</f>
        <v>0</v>
      </c>
      <c r="Z131" s="80">
        <f>IF(VLOOKUP($D131,$C$5:$AU$516,3,)=0,0,(VLOOKUP($D131,$C$5:$AU$516,24,)/VLOOKUP($D131,$C$5:$AU$516,3,))*$E131)</f>
        <v>0</v>
      </c>
      <c r="AA131" s="80">
        <f>IF(VLOOKUP($D131,$C$5:$AU$516,3,)=0,0,(VLOOKUP($D131,$C$5:$AU$516,25,)/VLOOKUP($D131,$C$5:$AU$516,3,))*$E131)</f>
        <v>0</v>
      </c>
      <c r="AB131" s="80">
        <f>IF(VLOOKUP($D131,$C$5:$AU$516,3,)=0,0,(VLOOKUP($D131,$C$5:$AU$516,26,)/VLOOKUP($D131,$C$5:$AU$516,3,))*$E131)</f>
        <v>0</v>
      </c>
      <c r="AC131" s="80">
        <f>IF(VLOOKUP($D131,$C$5:$AU$516,3,)=0,0,(VLOOKUP($D131,$C$5:$AU$516,27,)/VLOOKUP($D131,$C$5:$AU$516,3,))*$E131)</f>
        <v>0</v>
      </c>
      <c r="AD131" s="80">
        <f>IF(VLOOKUP($D131,$C$5:$AU$516,3,)=0,0,(VLOOKUP($D131,$C$5:$AU$516,28,)/VLOOKUP($D131,$C$5:$AU$516,3,))*$E131)</f>
        <v>0</v>
      </c>
      <c r="AE131" s="80">
        <f>IF(VLOOKUP($D131,$C$5:$AU$516,3,)=0,0,(VLOOKUP($D131,$C$5:$AU$516,29,)/VLOOKUP($D131,$C$5:$AU$516,3,))*$E131)</f>
        <v>0</v>
      </c>
      <c r="AF131" s="80">
        <f>IF(VLOOKUP($D131,$C$5:$AU$516,3,)=0,0,(VLOOKUP($D131,$C$5:$AU$516,30,)/VLOOKUP($D131,$C$5:$AU$516,3,))*$E131)</f>
        <v>0</v>
      </c>
      <c r="AG131" s="65">
        <f>SUM(F131:AF131)</f>
        <v>9051.6162782894171</v>
      </c>
      <c r="AH131" s="12" t="str">
        <f>IF(ABS(E131-AG131)&lt;0.01,"ok","err")</f>
        <v>ok</v>
      </c>
      <c r="AI131" s="128">
        <f t="shared" si="25"/>
        <v>0</v>
      </c>
    </row>
    <row r="132" spans="1:35" x14ac:dyDescent="0.2">
      <c r="E132" s="7"/>
      <c r="AI132" s="128"/>
    </row>
    <row r="133" spans="1:35" x14ac:dyDescent="0.2">
      <c r="A133" s="2" t="s">
        <v>2</v>
      </c>
      <c r="E133" s="7"/>
      <c r="AI133" s="128"/>
    </row>
    <row r="134" spans="1:35" x14ac:dyDescent="0.2">
      <c r="A134" s="68" t="s">
        <v>208</v>
      </c>
      <c r="C134" s="3" t="s">
        <v>265</v>
      </c>
      <c r="D134" s="3" t="s">
        <v>629</v>
      </c>
      <c r="E134" s="19">
        <f>'Func &amp; Classif'!O285</f>
        <v>2275856.8362112176</v>
      </c>
      <c r="F134" s="41">
        <f>IF(VLOOKUP($D134,$C$5:$AU$516,3,)=0,0,(VLOOKUP($D134,$C$5:$AU$516,4,)/VLOOKUP($D134,$C$5:$AU$516,3,))*$E134)</f>
        <v>1632585.8647454157</v>
      </c>
      <c r="G134" s="41">
        <f>IF(VLOOKUP($D134,$C$5:$AU$516,3,)=0,0,(VLOOKUP($D134,$C$5:$AU$516,5,)/VLOOKUP($D134,$C$5:$AU$516,3,))*$E134)</f>
        <v>59027.225759871602</v>
      </c>
      <c r="H134" s="19">
        <f>IF(VLOOKUP($D134,$C$5:$AU$516,3,)=0,0,(VLOOKUP($D134,$C$5:$AU$516,6,)/VLOOKUP($D134,$C$5:$AU$516,3,))*$E134)</f>
        <v>253279.60316823723</v>
      </c>
      <c r="I134" s="19">
        <f>IF(VLOOKUP($D134,$C$5:$AU$516,3,)=0,0,(VLOOKUP($D134,$C$5:$AU$516,7,)/VLOOKUP($D134,$C$5:$AU$516,3,))*$E134)</f>
        <v>122993.92707432379</v>
      </c>
      <c r="J134" s="19">
        <f>IF(VLOOKUP($D134,$C$5:$AU$516,3,)=0,0,(VLOOKUP($D134,$C$5:$AU$516,8,)/VLOOKUP($D134,$C$5:$AU$516,3,))*$E134)</f>
        <v>42995.237516211673</v>
      </c>
      <c r="K134" s="19">
        <f>IF(VLOOKUP($D134,$C$5:$AU$516,3,)=0,0,(VLOOKUP($D134,$C$5:$AU$516,9,)/VLOOKUP($D134,$C$5:$AU$516,3,))*$E134)</f>
        <v>164974.97794715743</v>
      </c>
      <c r="L134" s="41">
        <f>IF(VLOOKUP($D134,$C$5:$AU$516,3,)=0,0,(VLOOKUP($D134,$C$5:$AU$516,10,)/VLOOKUP($D134,$C$5:$AU$516,3,))*$E134)</f>
        <v>0</v>
      </c>
      <c r="M134" s="19">
        <f>IF(VLOOKUP($D134,$C$5:$AU$516,3,)=0,0,(VLOOKUP($D134,$C$5:$AU$516,11,)/VLOOKUP($D134,$C$5:$AU$516,3,))*$E134)</f>
        <v>0</v>
      </c>
      <c r="N134" s="19">
        <f>IF(VLOOKUP($D134,$C$5:$AU$516,3,)=0,0,(VLOOKUP($D134,$C$5:$AU$516,12,)/VLOOKUP($D134,$C$5:$AU$516,3,))*$E134)</f>
        <v>0</v>
      </c>
      <c r="O134" s="19">
        <f>IF(VLOOKUP($D134,$C$5:$AU$516,3,)=0,0,(VLOOKUP($D134,$C$5:$AU$516,13,)/VLOOKUP($D134,$C$5:$AU$516,3,))*$E134)</f>
        <v>0</v>
      </c>
      <c r="P134" s="19">
        <f>IF(VLOOKUP($D134,$C$5:$AU$516,3,)=0,0,(VLOOKUP($D134,$C$5:$AU$516,14,)/VLOOKUP($D134,$C$5:$AU$516,3,))*$E134)</f>
        <v>0</v>
      </c>
      <c r="Q134" s="19">
        <f>IF(VLOOKUP($D134,$C$5:$AU$516,3,)=0,0,(VLOOKUP($D134,$C$5:$AU$516,15,)/VLOOKUP($D134,$C$5:$AU$516,3,))*$E134)</f>
        <v>0</v>
      </c>
      <c r="R134" s="19">
        <f>IF(VLOOKUP($D134,$C$5:$AU$516,3,)=0,0,(VLOOKUP($D134,$C$5:$AU$516,16,)/VLOOKUP($D134,$C$5:$AU$516,3,))*$E134)</f>
        <v>0</v>
      </c>
      <c r="S134" s="80">
        <f>IF(VLOOKUP($D134,$C$5:$AU$516,3,)=0,0,(VLOOKUP($D134,$C$5:$AU$516,17,)/VLOOKUP($D134,$C$5:$AU$516,3,))*$E134)</f>
        <v>0</v>
      </c>
      <c r="T134" s="80">
        <f>IF(VLOOKUP($D134,$C$5:$AU$516,3,)=0,0,(VLOOKUP($D134,$C$5:$AU$516,18,)/VLOOKUP($D134,$C$5:$AU$516,3,))*$E134)</f>
        <v>0</v>
      </c>
      <c r="U134" s="80">
        <f>IF(VLOOKUP($D134,$C$5:$AU$516,3,)=0,0,(VLOOKUP($D134,$C$5:$AU$516,19,)/VLOOKUP($D134,$C$5:$AU$516,3,))*$E134)</f>
        <v>0</v>
      </c>
      <c r="V134" s="80">
        <f>IF(VLOOKUP($D134,$C$5:$AU$516,3,)=0,0,(VLOOKUP($D134,$C$5:$AU$516,20,)/VLOOKUP($D134,$C$5:$AU$516,3,))*$E134)</f>
        <v>0</v>
      </c>
      <c r="W134" s="80">
        <f>IF(VLOOKUP($D134,$C$5:$AU$516,3,)=0,0,(VLOOKUP($D134,$C$5:$AU$516,21,)/VLOOKUP($D134,$C$5:$AU$516,3,))*$E134)</f>
        <v>0</v>
      </c>
      <c r="X134" s="80">
        <f>IF(VLOOKUP($D134,$C$5:$AU$516,3,)=0,0,(VLOOKUP($D134,$C$5:$AU$516,22,)/VLOOKUP($D134,$C$5:$AU$516,3,))*$E134)</f>
        <v>0</v>
      </c>
      <c r="Y134" s="80">
        <f>IF(VLOOKUP($D134,$C$5:$AU$516,3,)=0,0,(VLOOKUP($D134,$C$5:$AU$516,23,)/VLOOKUP($D134,$C$5:$AU$516,3,))*$E134)</f>
        <v>0</v>
      </c>
      <c r="Z134" s="80">
        <f>IF(VLOOKUP($D134,$C$5:$AU$516,3,)=0,0,(VLOOKUP($D134,$C$5:$AU$516,24,)/VLOOKUP($D134,$C$5:$AU$516,3,))*$E134)</f>
        <v>0</v>
      </c>
      <c r="AA134" s="80">
        <f>IF(VLOOKUP($D134,$C$5:$AU$516,3,)=0,0,(VLOOKUP($D134,$C$5:$AU$516,25,)/VLOOKUP($D134,$C$5:$AU$516,3,))*$E134)</f>
        <v>0</v>
      </c>
      <c r="AB134" s="80">
        <f>IF(VLOOKUP($D134,$C$5:$AU$516,3,)=0,0,(VLOOKUP($D134,$C$5:$AU$516,26,)/VLOOKUP($D134,$C$5:$AU$516,3,))*$E134)</f>
        <v>0</v>
      </c>
      <c r="AC134" s="80">
        <f>IF(VLOOKUP($D134,$C$5:$AU$516,3,)=0,0,(VLOOKUP($D134,$C$5:$AU$516,27,)/VLOOKUP($D134,$C$5:$AU$516,3,))*$E134)</f>
        <v>0</v>
      </c>
      <c r="AD134" s="80">
        <f>IF(VLOOKUP($D134,$C$5:$AU$516,3,)=0,0,(VLOOKUP($D134,$C$5:$AU$516,28,)/VLOOKUP($D134,$C$5:$AU$516,3,))*$E134)</f>
        <v>0</v>
      </c>
      <c r="AE134" s="80">
        <f>IF(VLOOKUP($D134,$C$5:$AU$516,3,)=0,0,(VLOOKUP($D134,$C$5:$AU$516,29,)/VLOOKUP($D134,$C$5:$AU$516,3,))*$E134)</f>
        <v>0</v>
      </c>
      <c r="AF134" s="80">
        <f>IF(VLOOKUP($D134,$C$5:$AU$516,3,)=0,0,(VLOOKUP($D134,$C$5:$AU$516,30,)/VLOOKUP($D134,$C$5:$AU$516,3,))*$E134)</f>
        <v>0</v>
      </c>
      <c r="AG134" s="65">
        <f>SUM(F134:AF134)</f>
        <v>2275856.8362112176</v>
      </c>
      <c r="AH134" s="12" t="str">
        <f>IF(ABS(E134-AG134)&lt;0.01,"ok","err")</f>
        <v>ok</v>
      </c>
      <c r="AI134" s="128">
        <f t="shared" si="25"/>
        <v>0</v>
      </c>
    </row>
    <row r="135" spans="1:35" x14ac:dyDescent="0.2">
      <c r="A135" s="68" t="s">
        <v>220</v>
      </c>
      <c r="C135" s="3" t="s">
        <v>266</v>
      </c>
      <c r="D135" s="3" t="s">
        <v>222</v>
      </c>
      <c r="E135" s="7">
        <f>'Func &amp; Classif'!P285</f>
        <v>1378913.8694349583</v>
      </c>
      <c r="F135" s="41">
        <f>IF(VLOOKUP($D135,$C$5:$AU$516,3,)=0,0,(VLOOKUP($D135,$C$5:$AU$516,4,)/VLOOKUP($D135,$C$5:$AU$516,3,))*$E135)</f>
        <v>1261731.040076555</v>
      </c>
      <c r="G135" s="41">
        <f>IF(VLOOKUP($D135,$C$5:$AU$516,3,)=0,0,(VLOOKUP($D135,$C$5:$AU$516,5,)/VLOOKUP($D135,$C$5:$AU$516,3,))*$E135)</f>
        <v>95054.038735811977</v>
      </c>
      <c r="H135" s="19">
        <f>IF(VLOOKUP($D135,$C$5:$AU$516,3,)=0,0,(VLOOKUP($D135,$C$5:$AU$516,6,)/VLOOKUP($D135,$C$5:$AU$516,3,))*$E135)</f>
        <v>17440.026380017789</v>
      </c>
      <c r="I135" s="19">
        <f>IF(VLOOKUP($D135,$C$5:$AU$516,3,)=0,0,(VLOOKUP($D135,$C$5:$AU$516,7,)/VLOOKUP($D135,$C$5:$AU$516,3,))*$E135)</f>
        <v>925.05600143620097</v>
      </c>
      <c r="J135" s="19">
        <f>IF(VLOOKUP($D135,$C$5:$AU$516,3,)=0,0,(VLOOKUP($D135,$C$5:$AU$516,8,)/VLOOKUP($D135,$C$5:$AU$516,3,))*$E135)</f>
        <v>108.83011781602364</v>
      </c>
      <c r="K135" s="19">
        <f>IF(VLOOKUP($D135,$C$5:$AU$516,3,)=0,0,(VLOOKUP($D135,$C$5:$AU$516,9,)/VLOOKUP($D135,$C$5:$AU$516,3,))*$E135)</f>
        <v>3654.8781233214609</v>
      </c>
      <c r="L135" s="41">
        <f>IF(VLOOKUP($D135,$C$5:$AU$516,3,)=0,0,(VLOOKUP($D135,$C$5:$AU$516,10,)/VLOOKUP($D135,$C$5:$AU$516,3,))*$E135)</f>
        <v>0</v>
      </c>
      <c r="M135" s="19">
        <f>IF(VLOOKUP($D135,$C$5:$AU$516,3,)=0,0,(VLOOKUP($D135,$C$5:$AU$516,11,)/VLOOKUP($D135,$C$5:$AU$516,3,))*$E135)</f>
        <v>0</v>
      </c>
      <c r="N135" s="19">
        <f>IF(VLOOKUP($D135,$C$5:$AU$516,3,)=0,0,(VLOOKUP($D135,$C$5:$AU$516,12,)/VLOOKUP($D135,$C$5:$AU$516,3,))*$E135)</f>
        <v>0</v>
      </c>
      <c r="O135" s="19">
        <f>IF(VLOOKUP($D135,$C$5:$AU$516,3,)=0,0,(VLOOKUP($D135,$C$5:$AU$516,13,)/VLOOKUP($D135,$C$5:$AU$516,3,))*$E135)</f>
        <v>0</v>
      </c>
      <c r="P135" s="19">
        <f>IF(VLOOKUP($D135,$C$5:$AU$516,3,)=0,0,(VLOOKUP($D135,$C$5:$AU$516,14,)/VLOOKUP($D135,$C$5:$AU$516,3,))*$E135)</f>
        <v>0</v>
      </c>
      <c r="Q135" s="19">
        <f>IF(VLOOKUP($D135,$C$5:$AU$516,3,)=0,0,(VLOOKUP($D135,$C$5:$AU$516,15,)/VLOOKUP($D135,$C$5:$AU$516,3,))*$E135)</f>
        <v>0</v>
      </c>
      <c r="R135" s="19">
        <f>IF(VLOOKUP($D135,$C$5:$AU$516,3,)=0,0,(VLOOKUP($D135,$C$5:$AU$516,16,)/VLOOKUP($D135,$C$5:$AU$516,3,))*$E135)</f>
        <v>0</v>
      </c>
      <c r="S135" s="80">
        <f>IF(VLOOKUP($D135,$C$5:$AU$516,3,)=0,0,(VLOOKUP($D135,$C$5:$AU$516,17,)/VLOOKUP($D135,$C$5:$AU$516,3,))*$E135)</f>
        <v>0</v>
      </c>
      <c r="T135" s="80">
        <f>IF(VLOOKUP($D135,$C$5:$AU$516,3,)=0,0,(VLOOKUP($D135,$C$5:$AU$516,18,)/VLOOKUP($D135,$C$5:$AU$516,3,))*$E135)</f>
        <v>0</v>
      </c>
      <c r="U135" s="80">
        <f>IF(VLOOKUP($D135,$C$5:$AU$516,3,)=0,0,(VLOOKUP($D135,$C$5:$AU$516,19,)/VLOOKUP($D135,$C$5:$AU$516,3,))*$E135)</f>
        <v>0</v>
      </c>
      <c r="V135" s="80">
        <f>IF(VLOOKUP($D135,$C$5:$AU$516,3,)=0,0,(VLOOKUP($D135,$C$5:$AU$516,20,)/VLOOKUP($D135,$C$5:$AU$516,3,))*$E135)</f>
        <v>0</v>
      </c>
      <c r="W135" s="80">
        <f>IF(VLOOKUP($D135,$C$5:$AU$516,3,)=0,0,(VLOOKUP($D135,$C$5:$AU$516,21,)/VLOOKUP($D135,$C$5:$AU$516,3,))*$E135)</f>
        <v>0</v>
      </c>
      <c r="X135" s="80">
        <f>IF(VLOOKUP($D135,$C$5:$AU$516,3,)=0,0,(VLOOKUP($D135,$C$5:$AU$516,22,)/VLOOKUP($D135,$C$5:$AU$516,3,))*$E135)</f>
        <v>0</v>
      </c>
      <c r="Y135" s="80">
        <f>IF(VLOOKUP($D135,$C$5:$AU$516,3,)=0,0,(VLOOKUP($D135,$C$5:$AU$516,23,)/VLOOKUP($D135,$C$5:$AU$516,3,))*$E135)</f>
        <v>0</v>
      </c>
      <c r="Z135" s="80">
        <f>IF(VLOOKUP($D135,$C$5:$AU$516,3,)=0,0,(VLOOKUP($D135,$C$5:$AU$516,24,)/VLOOKUP($D135,$C$5:$AU$516,3,))*$E135)</f>
        <v>0</v>
      </c>
      <c r="AA135" s="80">
        <f>IF(VLOOKUP($D135,$C$5:$AU$516,3,)=0,0,(VLOOKUP($D135,$C$5:$AU$516,25,)/VLOOKUP($D135,$C$5:$AU$516,3,))*$E135)</f>
        <v>0</v>
      </c>
      <c r="AB135" s="80">
        <f>IF(VLOOKUP($D135,$C$5:$AU$516,3,)=0,0,(VLOOKUP($D135,$C$5:$AU$516,26,)/VLOOKUP($D135,$C$5:$AU$516,3,))*$E135)</f>
        <v>0</v>
      </c>
      <c r="AC135" s="80">
        <f>IF(VLOOKUP($D135,$C$5:$AU$516,3,)=0,0,(VLOOKUP($D135,$C$5:$AU$516,27,)/VLOOKUP($D135,$C$5:$AU$516,3,))*$E135)</f>
        <v>0</v>
      </c>
      <c r="AD135" s="80">
        <f>IF(VLOOKUP($D135,$C$5:$AU$516,3,)=0,0,(VLOOKUP($D135,$C$5:$AU$516,28,)/VLOOKUP($D135,$C$5:$AU$516,3,))*$E135)</f>
        <v>0</v>
      </c>
      <c r="AE135" s="80">
        <f>IF(VLOOKUP($D135,$C$5:$AU$516,3,)=0,0,(VLOOKUP($D135,$C$5:$AU$516,29,)/VLOOKUP($D135,$C$5:$AU$516,3,))*$E135)</f>
        <v>0</v>
      </c>
      <c r="AF135" s="80">
        <f>IF(VLOOKUP($D135,$C$5:$AU$516,3,)=0,0,(VLOOKUP($D135,$C$5:$AU$516,30,)/VLOOKUP($D135,$C$5:$AU$516,3,))*$E135)</f>
        <v>0</v>
      </c>
      <c r="AG135" s="65">
        <f>SUM(F135:AF135)</f>
        <v>1378913.8694349588</v>
      </c>
      <c r="AH135" s="12" t="str">
        <f>IF(ABS(E135-AG135)&lt;0.01,"ok","err")</f>
        <v>ok</v>
      </c>
      <c r="AI135" s="128">
        <f t="shared" si="25"/>
        <v>0</v>
      </c>
    </row>
    <row r="136" spans="1:35" x14ac:dyDescent="0.2">
      <c r="A136" s="3" t="s">
        <v>223</v>
      </c>
      <c r="E136" s="19">
        <f t="shared" ref="E136:T136" si="28">E134+E135</f>
        <v>3654770.7056461759</v>
      </c>
      <c r="F136" s="41">
        <f t="shared" si="28"/>
        <v>2894316.9048219705</v>
      </c>
      <c r="G136" s="41">
        <f t="shared" si="28"/>
        <v>154081.26449568357</v>
      </c>
      <c r="H136" s="19">
        <f t="shared" si="28"/>
        <v>270719.629548255</v>
      </c>
      <c r="I136" s="19">
        <f t="shared" si="28"/>
        <v>123918.98307575998</v>
      </c>
      <c r="J136" s="19">
        <f t="shared" si="28"/>
        <v>43104.067634027699</v>
      </c>
      <c r="K136" s="19">
        <f t="shared" si="28"/>
        <v>168629.85607047888</v>
      </c>
      <c r="L136" s="41">
        <f t="shared" si="28"/>
        <v>0</v>
      </c>
      <c r="M136" s="19">
        <f t="shared" si="28"/>
        <v>0</v>
      </c>
      <c r="N136" s="19">
        <f t="shared" si="28"/>
        <v>0</v>
      </c>
      <c r="O136" s="19">
        <f t="shared" si="28"/>
        <v>0</v>
      </c>
      <c r="P136" s="19">
        <f t="shared" si="28"/>
        <v>0</v>
      </c>
      <c r="Q136" s="19">
        <f t="shared" si="28"/>
        <v>0</v>
      </c>
      <c r="R136" s="19">
        <f t="shared" si="28"/>
        <v>0</v>
      </c>
      <c r="S136" s="80">
        <f t="shared" si="28"/>
        <v>0</v>
      </c>
      <c r="T136" s="80">
        <f t="shared" si="28"/>
        <v>0</v>
      </c>
      <c r="U136" s="80">
        <f t="shared" ref="U136:AF136" si="29">U134+U135</f>
        <v>0</v>
      </c>
      <c r="V136" s="80">
        <f t="shared" si="29"/>
        <v>0</v>
      </c>
      <c r="W136" s="80">
        <f t="shared" si="29"/>
        <v>0</v>
      </c>
      <c r="X136" s="80">
        <f t="shared" si="29"/>
        <v>0</v>
      </c>
      <c r="Y136" s="80">
        <f t="shared" si="29"/>
        <v>0</v>
      </c>
      <c r="Z136" s="80">
        <f t="shared" si="29"/>
        <v>0</v>
      </c>
      <c r="AA136" s="80">
        <f t="shared" si="29"/>
        <v>0</v>
      </c>
      <c r="AB136" s="80">
        <f t="shared" si="29"/>
        <v>0</v>
      </c>
      <c r="AC136" s="80">
        <f t="shared" si="29"/>
        <v>0</v>
      </c>
      <c r="AD136" s="80">
        <f t="shared" si="29"/>
        <v>0</v>
      </c>
      <c r="AE136" s="80">
        <f t="shared" si="29"/>
        <v>0</v>
      </c>
      <c r="AF136" s="80">
        <f t="shared" si="29"/>
        <v>0</v>
      </c>
      <c r="AG136" s="65">
        <f>SUM(F136:AF136)</f>
        <v>3654770.7056461754</v>
      </c>
      <c r="AH136" s="12" t="str">
        <f>IF(ABS(E136-AG136)&lt;0.01,"ok","err")</f>
        <v>ok</v>
      </c>
      <c r="AI136" s="128">
        <f t="shared" si="25"/>
        <v>0</v>
      </c>
    </row>
    <row r="137" spans="1:35" x14ac:dyDescent="0.2">
      <c r="E137" s="7"/>
      <c r="AI137" s="128"/>
    </row>
    <row r="138" spans="1:35" x14ac:dyDescent="0.2">
      <c r="A138" s="2" t="s">
        <v>3</v>
      </c>
      <c r="E138" s="7"/>
      <c r="AI138" s="128"/>
    </row>
    <row r="139" spans="1:35" x14ac:dyDescent="0.2">
      <c r="A139" s="68" t="s">
        <v>208</v>
      </c>
      <c r="C139" s="3" t="s">
        <v>267</v>
      </c>
      <c r="D139" s="3" t="s">
        <v>700</v>
      </c>
      <c r="E139" s="19">
        <f>'Func &amp; Classif'!R285</f>
        <v>0</v>
      </c>
      <c r="F139" s="41">
        <f>IF(VLOOKUP($D139,$C$5:$AU$516,3,)=0,0,(VLOOKUP($D139,$C$5:$AU$516,4,)/VLOOKUP($D139,$C$5:$AU$516,3,))*$E139)</f>
        <v>0</v>
      </c>
      <c r="G139" s="41">
        <f>IF(VLOOKUP($D139,$C$5:$AU$516,3,)=0,0,(VLOOKUP($D139,$C$5:$AU$516,5,)/VLOOKUP($D139,$C$5:$AU$516,3,))*$E139)</f>
        <v>0</v>
      </c>
      <c r="H139" s="19">
        <f>IF(VLOOKUP($D139,$C$5:$AU$516,3,)=0,0,(VLOOKUP($D139,$C$5:$AU$516,6,)/VLOOKUP($D139,$C$5:$AU$516,3,))*$E139)</f>
        <v>0</v>
      </c>
      <c r="I139" s="19">
        <f>IF(VLOOKUP($D139,$C$5:$AU$516,3,)=0,0,(VLOOKUP($D139,$C$5:$AU$516,7,)/VLOOKUP($D139,$C$5:$AU$516,3,))*$E139)</f>
        <v>0</v>
      </c>
      <c r="J139" s="19">
        <f>IF(VLOOKUP($D139,$C$5:$AU$516,3,)=0,0,(VLOOKUP($D139,$C$5:$AU$516,8,)/VLOOKUP($D139,$C$5:$AU$516,3,))*$E139)</f>
        <v>0</v>
      </c>
      <c r="K139" s="19">
        <f>IF(VLOOKUP($D139,$C$5:$AU$516,3,)=0,0,(VLOOKUP($D139,$C$5:$AU$516,9,)/VLOOKUP($D139,$C$5:$AU$516,3,))*$E139)</f>
        <v>0</v>
      </c>
      <c r="L139" s="41">
        <f>IF(VLOOKUP($D139,$C$5:$AU$516,3,)=0,0,(VLOOKUP($D139,$C$5:$AU$516,10,)/VLOOKUP($D139,$C$5:$AU$516,3,))*$E139)</f>
        <v>0</v>
      </c>
      <c r="M139" s="19">
        <f>IF(VLOOKUP($D139,$C$5:$AU$516,3,)=0,0,(VLOOKUP($D139,$C$5:$AU$516,11,)/VLOOKUP($D139,$C$5:$AU$516,3,))*$E139)</f>
        <v>0</v>
      </c>
      <c r="N139" s="19">
        <f>IF(VLOOKUP($D139,$C$5:$AU$516,3,)=0,0,(VLOOKUP($D139,$C$5:$AU$516,12,)/VLOOKUP($D139,$C$5:$AU$516,3,))*$E139)</f>
        <v>0</v>
      </c>
      <c r="O139" s="19">
        <f>IF(VLOOKUP($D139,$C$5:$AU$516,3,)=0,0,(VLOOKUP($D139,$C$5:$AU$516,13,)/VLOOKUP($D139,$C$5:$AU$516,3,))*$E139)</f>
        <v>0</v>
      </c>
      <c r="P139" s="19">
        <f>IF(VLOOKUP($D139,$C$5:$AU$516,3,)=0,0,(VLOOKUP($D139,$C$5:$AU$516,14,)/VLOOKUP($D139,$C$5:$AU$516,3,))*$E139)</f>
        <v>0</v>
      </c>
      <c r="Q139" s="19">
        <f>IF(VLOOKUP($D139,$C$5:$AU$516,3,)=0,0,(VLOOKUP($D139,$C$5:$AU$516,15,)/VLOOKUP($D139,$C$5:$AU$516,3,))*$E139)</f>
        <v>0</v>
      </c>
      <c r="R139" s="19">
        <f>IF(VLOOKUP($D139,$C$5:$AU$516,3,)=0,0,(VLOOKUP($D139,$C$5:$AU$516,16,)/VLOOKUP($D139,$C$5:$AU$516,3,))*$E139)</f>
        <v>0</v>
      </c>
      <c r="S139" s="80">
        <f>IF(VLOOKUP($D139,$C$5:$AU$516,3,)=0,0,(VLOOKUP($D139,$C$5:$AU$516,17,)/VLOOKUP($D139,$C$5:$AU$516,3,))*$E139)</f>
        <v>0</v>
      </c>
      <c r="T139" s="80">
        <f>IF(VLOOKUP($D139,$C$5:$AU$516,3,)=0,0,(VLOOKUP($D139,$C$5:$AU$516,18,)/VLOOKUP($D139,$C$5:$AU$516,3,))*$E139)</f>
        <v>0</v>
      </c>
      <c r="U139" s="80">
        <f>IF(VLOOKUP($D139,$C$5:$AU$516,3,)=0,0,(VLOOKUP($D139,$C$5:$AU$516,19,)/VLOOKUP($D139,$C$5:$AU$516,3,))*$E139)</f>
        <v>0</v>
      </c>
      <c r="V139" s="80">
        <f>IF(VLOOKUP($D139,$C$5:$AU$516,3,)=0,0,(VLOOKUP($D139,$C$5:$AU$516,20,)/VLOOKUP($D139,$C$5:$AU$516,3,))*$E139)</f>
        <v>0</v>
      </c>
      <c r="W139" s="80">
        <f>IF(VLOOKUP($D139,$C$5:$AU$516,3,)=0,0,(VLOOKUP($D139,$C$5:$AU$516,21,)/VLOOKUP($D139,$C$5:$AU$516,3,))*$E139)</f>
        <v>0</v>
      </c>
      <c r="X139" s="80">
        <f>IF(VLOOKUP($D139,$C$5:$AU$516,3,)=0,0,(VLOOKUP($D139,$C$5:$AU$516,22,)/VLOOKUP($D139,$C$5:$AU$516,3,))*$E139)</f>
        <v>0</v>
      </c>
      <c r="Y139" s="80">
        <f>IF(VLOOKUP($D139,$C$5:$AU$516,3,)=0,0,(VLOOKUP($D139,$C$5:$AU$516,23,)/VLOOKUP($D139,$C$5:$AU$516,3,))*$E139)</f>
        <v>0</v>
      </c>
      <c r="Z139" s="80">
        <f>IF(VLOOKUP($D139,$C$5:$AU$516,3,)=0,0,(VLOOKUP($D139,$C$5:$AU$516,24,)/VLOOKUP($D139,$C$5:$AU$516,3,))*$E139)</f>
        <v>0</v>
      </c>
      <c r="AA139" s="80">
        <f>IF(VLOOKUP($D139,$C$5:$AU$516,3,)=0,0,(VLOOKUP($D139,$C$5:$AU$516,25,)/VLOOKUP($D139,$C$5:$AU$516,3,))*$E139)</f>
        <v>0</v>
      </c>
      <c r="AB139" s="80">
        <f>IF(VLOOKUP($D139,$C$5:$AU$516,3,)=0,0,(VLOOKUP($D139,$C$5:$AU$516,26,)/VLOOKUP($D139,$C$5:$AU$516,3,))*$E139)</f>
        <v>0</v>
      </c>
      <c r="AC139" s="80">
        <f>IF(VLOOKUP($D139,$C$5:$AU$516,3,)=0,0,(VLOOKUP($D139,$C$5:$AU$516,27,)/VLOOKUP($D139,$C$5:$AU$516,3,))*$E139)</f>
        <v>0</v>
      </c>
      <c r="AD139" s="80">
        <f>IF(VLOOKUP($D139,$C$5:$AU$516,3,)=0,0,(VLOOKUP($D139,$C$5:$AU$516,28,)/VLOOKUP($D139,$C$5:$AU$516,3,))*$E139)</f>
        <v>0</v>
      </c>
      <c r="AE139" s="80">
        <f>IF(VLOOKUP($D139,$C$5:$AU$516,3,)=0,0,(VLOOKUP($D139,$C$5:$AU$516,29,)/VLOOKUP($D139,$C$5:$AU$516,3,))*$E139)</f>
        <v>0</v>
      </c>
      <c r="AF139" s="80">
        <f>IF(VLOOKUP($D139,$C$5:$AU$516,3,)=0,0,(VLOOKUP($D139,$C$5:$AU$516,30,)/VLOOKUP($D139,$C$5:$AU$516,3,))*$E139)</f>
        <v>0</v>
      </c>
      <c r="AG139" s="65">
        <f>SUM(F139:AF139)</f>
        <v>0</v>
      </c>
      <c r="AH139" s="12" t="str">
        <f>IF(ABS(E139-AG139)&lt;0.01,"ok","err")</f>
        <v>ok</v>
      </c>
      <c r="AI139" s="128"/>
    </row>
    <row r="140" spans="1:35" x14ac:dyDescent="0.2">
      <c r="A140" s="68" t="s">
        <v>220</v>
      </c>
      <c r="C140" s="3" t="s">
        <v>268</v>
      </c>
      <c r="D140" s="3" t="s">
        <v>700</v>
      </c>
      <c r="E140" s="7">
        <f>'Func &amp; Classif'!S285</f>
        <v>126644.37597003099</v>
      </c>
      <c r="F140" s="41">
        <f>IF(VLOOKUP($D140,$C$5:$AU$516,3,)=0,0,(VLOOKUP($D140,$C$5:$AU$516,4,)/VLOOKUP($D140,$C$5:$AU$516,3,))*$E140)</f>
        <v>112653.89330838347</v>
      </c>
      <c r="G140" s="41">
        <f>IF(VLOOKUP($D140,$C$5:$AU$516,3,)=0,0,(VLOOKUP($D140,$C$5:$AU$516,5,)/VLOOKUP($D140,$C$5:$AU$516,3,))*$E140)</f>
        <v>8486.9177329784925</v>
      </c>
      <c r="H140" s="19">
        <f>IF(VLOOKUP($D140,$C$5:$AU$516,3,)=0,0,(VLOOKUP($D140,$C$5:$AU$516,6,)/VLOOKUP($D140,$C$5:$AU$516,3,))*$E140)</f>
        <v>3503.5560825460066</v>
      </c>
      <c r="I140" s="19">
        <f>IF(VLOOKUP($D140,$C$5:$AU$516,3,)=0,0,(VLOOKUP($D140,$C$5:$AU$516,7,)/VLOOKUP($D140,$C$5:$AU$516,3,))*$E140)</f>
        <v>2000.0088461230389</v>
      </c>
      <c r="J140" s="19">
        <f>IF(VLOOKUP($D140,$C$5:$AU$516,3,)=0,0,(VLOOKUP($D140,$C$5:$AU$516,8,)/VLOOKUP($D140,$C$5:$AU$516,3,))*$E140)</f>
        <v>0</v>
      </c>
      <c r="K140" s="19">
        <f>IF(VLOOKUP($D140,$C$5:$AU$516,3,)=0,0,(VLOOKUP($D140,$C$5:$AU$516,9,)/VLOOKUP($D140,$C$5:$AU$516,3,))*$E140)</f>
        <v>0</v>
      </c>
      <c r="L140" s="41">
        <f>IF(VLOOKUP($D140,$C$5:$AU$516,3,)=0,0,(VLOOKUP($D140,$C$5:$AU$516,10,)/VLOOKUP($D140,$C$5:$AU$516,3,))*$E140)</f>
        <v>0</v>
      </c>
      <c r="M140" s="19">
        <f>IF(VLOOKUP($D140,$C$5:$AU$516,3,)=0,0,(VLOOKUP($D140,$C$5:$AU$516,11,)/VLOOKUP($D140,$C$5:$AU$516,3,))*$E140)</f>
        <v>0</v>
      </c>
      <c r="N140" s="19">
        <f>IF(VLOOKUP($D140,$C$5:$AU$516,3,)=0,0,(VLOOKUP($D140,$C$5:$AU$516,12,)/VLOOKUP($D140,$C$5:$AU$516,3,))*$E140)</f>
        <v>0</v>
      </c>
      <c r="O140" s="19">
        <f>IF(VLOOKUP($D140,$C$5:$AU$516,3,)=0,0,(VLOOKUP($D140,$C$5:$AU$516,13,)/VLOOKUP($D140,$C$5:$AU$516,3,))*$E140)</f>
        <v>0</v>
      </c>
      <c r="P140" s="19">
        <f>IF(VLOOKUP($D140,$C$5:$AU$516,3,)=0,0,(VLOOKUP($D140,$C$5:$AU$516,14,)/VLOOKUP($D140,$C$5:$AU$516,3,))*$E140)</f>
        <v>0</v>
      </c>
      <c r="Q140" s="19">
        <f>IF(VLOOKUP($D140,$C$5:$AU$516,3,)=0,0,(VLOOKUP($D140,$C$5:$AU$516,15,)/VLOOKUP($D140,$C$5:$AU$516,3,))*$E140)</f>
        <v>0</v>
      </c>
      <c r="R140" s="19">
        <f>IF(VLOOKUP($D140,$C$5:$AU$516,3,)=0,0,(VLOOKUP($D140,$C$5:$AU$516,16,)/VLOOKUP($D140,$C$5:$AU$516,3,))*$E140)</f>
        <v>0</v>
      </c>
      <c r="S140" s="80">
        <f>IF(VLOOKUP($D140,$C$5:$AU$516,3,)=0,0,(VLOOKUP($D140,$C$5:$AU$516,17,)/VLOOKUP($D140,$C$5:$AU$516,3,))*$E140)</f>
        <v>0</v>
      </c>
      <c r="T140" s="80">
        <f>IF(VLOOKUP($D140,$C$5:$AU$516,3,)=0,0,(VLOOKUP($D140,$C$5:$AU$516,18,)/VLOOKUP($D140,$C$5:$AU$516,3,))*$E140)</f>
        <v>0</v>
      </c>
      <c r="U140" s="80">
        <f>IF(VLOOKUP($D140,$C$5:$AU$516,3,)=0,0,(VLOOKUP($D140,$C$5:$AU$516,19,)/VLOOKUP($D140,$C$5:$AU$516,3,))*$E140)</f>
        <v>0</v>
      </c>
      <c r="V140" s="80">
        <f>IF(VLOOKUP($D140,$C$5:$AU$516,3,)=0,0,(VLOOKUP($D140,$C$5:$AU$516,20,)/VLOOKUP($D140,$C$5:$AU$516,3,))*$E140)</f>
        <v>0</v>
      </c>
      <c r="W140" s="80">
        <f>IF(VLOOKUP($D140,$C$5:$AU$516,3,)=0,0,(VLOOKUP($D140,$C$5:$AU$516,21,)/VLOOKUP($D140,$C$5:$AU$516,3,))*$E140)</f>
        <v>0</v>
      </c>
      <c r="X140" s="80">
        <f>IF(VLOOKUP($D140,$C$5:$AU$516,3,)=0,0,(VLOOKUP($D140,$C$5:$AU$516,22,)/VLOOKUP($D140,$C$5:$AU$516,3,))*$E140)</f>
        <v>0</v>
      </c>
      <c r="Y140" s="80">
        <f>IF(VLOOKUP($D140,$C$5:$AU$516,3,)=0,0,(VLOOKUP($D140,$C$5:$AU$516,23,)/VLOOKUP($D140,$C$5:$AU$516,3,))*$E140)</f>
        <v>0</v>
      </c>
      <c r="Z140" s="80">
        <f>IF(VLOOKUP($D140,$C$5:$AU$516,3,)=0,0,(VLOOKUP($D140,$C$5:$AU$516,24,)/VLOOKUP($D140,$C$5:$AU$516,3,))*$E140)</f>
        <v>0</v>
      </c>
      <c r="AA140" s="80">
        <f>IF(VLOOKUP($D140,$C$5:$AU$516,3,)=0,0,(VLOOKUP($D140,$C$5:$AU$516,25,)/VLOOKUP($D140,$C$5:$AU$516,3,))*$E140)</f>
        <v>0</v>
      </c>
      <c r="AB140" s="80">
        <f>IF(VLOOKUP($D140,$C$5:$AU$516,3,)=0,0,(VLOOKUP($D140,$C$5:$AU$516,26,)/VLOOKUP($D140,$C$5:$AU$516,3,))*$E140)</f>
        <v>0</v>
      </c>
      <c r="AC140" s="80">
        <f>IF(VLOOKUP($D140,$C$5:$AU$516,3,)=0,0,(VLOOKUP($D140,$C$5:$AU$516,27,)/VLOOKUP($D140,$C$5:$AU$516,3,))*$E140)</f>
        <v>0</v>
      </c>
      <c r="AD140" s="80">
        <f>IF(VLOOKUP($D140,$C$5:$AU$516,3,)=0,0,(VLOOKUP($D140,$C$5:$AU$516,28,)/VLOOKUP($D140,$C$5:$AU$516,3,))*$E140)</f>
        <v>0</v>
      </c>
      <c r="AE140" s="80">
        <f>IF(VLOOKUP($D140,$C$5:$AU$516,3,)=0,0,(VLOOKUP($D140,$C$5:$AU$516,29,)/VLOOKUP($D140,$C$5:$AU$516,3,))*$E140)</f>
        <v>0</v>
      </c>
      <c r="AF140" s="80">
        <f>IF(VLOOKUP($D140,$C$5:$AU$516,3,)=0,0,(VLOOKUP($D140,$C$5:$AU$516,30,)/VLOOKUP($D140,$C$5:$AU$516,3,))*$E140)</f>
        <v>0</v>
      </c>
      <c r="AG140" s="65">
        <f>SUM(F140:AF140)</f>
        <v>126644.375970031</v>
      </c>
      <c r="AH140" s="12" t="str">
        <f>IF(ABS(E140-AG140)&lt;0.01,"ok","err")</f>
        <v>ok</v>
      </c>
      <c r="AI140" s="128">
        <f t="shared" si="25"/>
        <v>0</v>
      </c>
    </row>
    <row r="141" spans="1:35" x14ac:dyDescent="0.2">
      <c r="A141" s="3" t="s">
        <v>227</v>
      </c>
      <c r="E141" s="19">
        <f t="shared" ref="E141:T141" si="30">E139+E140</f>
        <v>126644.37597003099</v>
      </c>
      <c r="F141" s="41">
        <f t="shared" si="30"/>
        <v>112653.89330838347</v>
      </c>
      <c r="G141" s="41">
        <f t="shared" si="30"/>
        <v>8486.9177329784925</v>
      </c>
      <c r="H141" s="19">
        <f t="shared" si="30"/>
        <v>3503.5560825460066</v>
      </c>
      <c r="I141" s="19">
        <f t="shared" si="30"/>
        <v>2000.0088461230389</v>
      </c>
      <c r="J141" s="19">
        <f t="shared" si="30"/>
        <v>0</v>
      </c>
      <c r="K141" s="19">
        <f t="shared" si="30"/>
        <v>0</v>
      </c>
      <c r="L141" s="41">
        <f t="shared" si="30"/>
        <v>0</v>
      </c>
      <c r="M141" s="19">
        <f t="shared" si="30"/>
        <v>0</v>
      </c>
      <c r="N141" s="19">
        <f t="shared" si="30"/>
        <v>0</v>
      </c>
      <c r="O141" s="19">
        <f t="shared" si="30"/>
        <v>0</v>
      </c>
      <c r="P141" s="19">
        <f t="shared" si="30"/>
        <v>0</v>
      </c>
      <c r="Q141" s="19">
        <f t="shared" si="30"/>
        <v>0</v>
      </c>
      <c r="R141" s="19">
        <f t="shared" si="30"/>
        <v>0</v>
      </c>
      <c r="S141" s="80">
        <f t="shared" si="30"/>
        <v>0</v>
      </c>
      <c r="T141" s="80">
        <f t="shared" si="30"/>
        <v>0</v>
      </c>
      <c r="U141" s="80">
        <f t="shared" ref="U141:AF141" si="31">U139+U140</f>
        <v>0</v>
      </c>
      <c r="V141" s="80">
        <f t="shared" si="31"/>
        <v>0</v>
      </c>
      <c r="W141" s="80">
        <f t="shared" si="31"/>
        <v>0</v>
      </c>
      <c r="X141" s="80">
        <f t="shared" si="31"/>
        <v>0</v>
      </c>
      <c r="Y141" s="80">
        <f t="shared" si="31"/>
        <v>0</v>
      </c>
      <c r="Z141" s="80">
        <f t="shared" si="31"/>
        <v>0</v>
      </c>
      <c r="AA141" s="80">
        <f t="shared" si="31"/>
        <v>0</v>
      </c>
      <c r="AB141" s="80">
        <f t="shared" si="31"/>
        <v>0</v>
      </c>
      <c r="AC141" s="80">
        <f t="shared" si="31"/>
        <v>0</v>
      </c>
      <c r="AD141" s="80">
        <f t="shared" si="31"/>
        <v>0</v>
      </c>
      <c r="AE141" s="80">
        <f t="shared" si="31"/>
        <v>0</v>
      </c>
      <c r="AF141" s="80">
        <f t="shared" si="31"/>
        <v>0</v>
      </c>
      <c r="AG141" s="65">
        <f>SUM(F141:AF141)</f>
        <v>126644.375970031</v>
      </c>
      <c r="AH141" s="12" t="str">
        <f>IF(ABS(E141-AG141)&lt;0.01,"ok","err")</f>
        <v>ok</v>
      </c>
      <c r="AI141" s="128">
        <f t="shared" si="25"/>
        <v>0</v>
      </c>
    </row>
    <row r="142" spans="1:35" x14ac:dyDescent="0.2">
      <c r="E142" s="7"/>
      <c r="AI142" s="128"/>
    </row>
    <row r="143" spans="1:35" x14ac:dyDescent="0.2">
      <c r="A143" s="2" t="s">
        <v>4</v>
      </c>
      <c r="E143" s="7"/>
      <c r="AI143" s="128"/>
    </row>
    <row r="144" spans="1:35" x14ac:dyDescent="0.2">
      <c r="A144" s="68" t="s">
        <v>220</v>
      </c>
      <c r="C144" s="3" t="s">
        <v>269</v>
      </c>
      <c r="D144" s="3" t="s">
        <v>229</v>
      </c>
      <c r="E144" s="19">
        <f>'Func &amp; Classif'!U285</f>
        <v>1152438.1589131276</v>
      </c>
      <c r="F144" s="41">
        <f>IF(VLOOKUP($D144,$C$5:$AU$516,3,)=0,0,(VLOOKUP($D144,$C$5:$AU$516,4,)/VLOOKUP($D144,$C$5:$AU$516,3,))*$E144)</f>
        <v>1033645.2286389685</v>
      </c>
      <c r="G144" s="41">
        <f>IF(VLOOKUP($D144,$C$5:$AU$516,3,)=0,0,(VLOOKUP($D144,$C$5:$AU$516,5,)/VLOOKUP($D144,$C$5:$AU$516,3,))*$E144)</f>
        <v>77870.917399459679</v>
      </c>
      <c r="H144" s="19">
        <f>IF(VLOOKUP($D144,$C$5:$AU$516,3,)=0,0,(VLOOKUP($D144,$C$5:$AU$516,6,)/VLOOKUP($D144,$C$5:$AU$516,3,))*$E144)</f>
        <v>38186.000130730506</v>
      </c>
      <c r="I144" s="19">
        <f>IF(VLOOKUP($D144,$C$5:$AU$516,3,)=0,0,(VLOOKUP($D144,$C$5:$AU$516,7,)/VLOOKUP($D144,$C$5:$AU$516,3,))*$E144)</f>
        <v>2448.0114024984264</v>
      </c>
      <c r="J144" s="19">
        <f>IF(VLOOKUP($D144,$C$5:$AU$516,3,)=0,0,(VLOOKUP($D144,$C$5:$AU$516,8,)/VLOOKUP($D144,$C$5:$AU$516,3,))*$E144)</f>
        <v>288.00134147040308</v>
      </c>
      <c r="K144" s="19">
        <f>IF(VLOOKUP($D144,$C$5:$AU$516,3,)=0,0,(VLOOKUP($D144,$C$5:$AU$516,9,)/VLOOKUP($D144,$C$5:$AU$516,3,))*$E144)</f>
        <v>0</v>
      </c>
      <c r="L144" s="41">
        <f>IF(VLOOKUP($D144,$C$5:$AU$516,3,)=0,0,(VLOOKUP($D144,$C$5:$AU$516,10,)/VLOOKUP($D144,$C$5:$AU$516,3,))*$E144)</f>
        <v>0</v>
      </c>
      <c r="M144" s="19">
        <f>IF(VLOOKUP($D144,$C$5:$AU$516,3,)=0,0,(VLOOKUP($D144,$C$5:$AU$516,11,)/VLOOKUP($D144,$C$5:$AU$516,3,))*$E144)</f>
        <v>0</v>
      </c>
      <c r="N144" s="19">
        <f>IF(VLOOKUP($D144,$C$5:$AU$516,3,)=0,0,(VLOOKUP($D144,$C$5:$AU$516,12,)/VLOOKUP($D144,$C$5:$AU$516,3,))*$E144)</f>
        <v>0</v>
      </c>
      <c r="O144" s="19">
        <f>IF(VLOOKUP($D144,$C$5:$AU$516,3,)=0,0,(VLOOKUP($D144,$C$5:$AU$516,13,)/VLOOKUP($D144,$C$5:$AU$516,3,))*$E144)</f>
        <v>0</v>
      </c>
      <c r="P144" s="19">
        <f>IF(VLOOKUP($D144,$C$5:$AU$516,3,)=0,0,(VLOOKUP($D144,$C$5:$AU$516,14,)/VLOOKUP($D144,$C$5:$AU$516,3,))*$E144)</f>
        <v>0</v>
      </c>
      <c r="Q144" s="19">
        <f>IF(VLOOKUP($D144,$C$5:$AU$516,3,)=0,0,(VLOOKUP($D144,$C$5:$AU$516,15,)/VLOOKUP($D144,$C$5:$AU$516,3,))*$E144)</f>
        <v>0</v>
      </c>
      <c r="R144" s="19">
        <f>IF(VLOOKUP($D144,$C$5:$AU$516,3,)=0,0,(VLOOKUP($D144,$C$5:$AU$516,16,)/VLOOKUP($D144,$C$5:$AU$516,3,))*$E144)</f>
        <v>0</v>
      </c>
      <c r="S144" s="80">
        <f>IF(VLOOKUP($D144,$C$5:$AU$516,3,)=0,0,(VLOOKUP($D144,$C$5:$AU$516,17,)/VLOOKUP($D144,$C$5:$AU$516,3,))*$E144)</f>
        <v>0</v>
      </c>
      <c r="T144" s="80">
        <f>IF(VLOOKUP($D144,$C$5:$AU$516,3,)=0,0,(VLOOKUP($D144,$C$5:$AU$516,18,)/VLOOKUP($D144,$C$5:$AU$516,3,))*$E144)</f>
        <v>0</v>
      </c>
      <c r="U144" s="80">
        <f>IF(VLOOKUP($D144,$C$5:$AU$516,3,)=0,0,(VLOOKUP($D144,$C$5:$AU$516,19,)/VLOOKUP($D144,$C$5:$AU$516,3,))*$E144)</f>
        <v>0</v>
      </c>
      <c r="V144" s="80">
        <f>IF(VLOOKUP($D144,$C$5:$AU$516,3,)=0,0,(VLOOKUP($D144,$C$5:$AU$516,20,)/VLOOKUP($D144,$C$5:$AU$516,3,))*$E144)</f>
        <v>0</v>
      </c>
      <c r="W144" s="80">
        <f>IF(VLOOKUP($D144,$C$5:$AU$516,3,)=0,0,(VLOOKUP($D144,$C$5:$AU$516,21,)/VLOOKUP($D144,$C$5:$AU$516,3,))*$E144)</f>
        <v>0</v>
      </c>
      <c r="X144" s="80">
        <f>IF(VLOOKUP($D144,$C$5:$AU$516,3,)=0,0,(VLOOKUP($D144,$C$5:$AU$516,22,)/VLOOKUP($D144,$C$5:$AU$516,3,))*$E144)</f>
        <v>0</v>
      </c>
      <c r="Y144" s="80">
        <f>IF(VLOOKUP($D144,$C$5:$AU$516,3,)=0,0,(VLOOKUP($D144,$C$5:$AU$516,23,)/VLOOKUP($D144,$C$5:$AU$516,3,))*$E144)</f>
        <v>0</v>
      </c>
      <c r="Z144" s="80">
        <f>IF(VLOOKUP($D144,$C$5:$AU$516,3,)=0,0,(VLOOKUP($D144,$C$5:$AU$516,24,)/VLOOKUP($D144,$C$5:$AU$516,3,))*$E144)</f>
        <v>0</v>
      </c>
      <c r="AA144" s="80">
        <f>IF(VLOOKUP($D144,$C$5:$AU$516,3,)=0,0,(VLOOKUP($D144,$C$5:$AU$516,25,)/VLOOKUP($D144,$C$5:$AU$516,3,))*$E144)</f>
        <v>0</v>
      </c>
      <c r="AB144" s="80">
        <f>IF(VLOOKUP($D144,$C$5:$AU$516,3,)=0,0,(VLOOKUP($D144,$C$5:$AU$516,26,)/VLOOKUP($D144,$C$5:$AU$516,3,))*$E144)</f>
        <v>0</v>
      </c>
      <c r="AC144" s="80">
        <f>IF(VLOOKUP($D144,$C$5:$AU$516,3,)=0,0,(VLOOKUP($D144,$C$5:$AU$516,27,)/VLOOKUP($D144,$C$5:$AU$516,3,))*$E144)</f>
        <v>0</v>
      </c>
      <c r="AD144" s="80">
        <f>IF(VLOOKUP($D144,$C$5:$AU$516,3,)=0,0,(VLOOKUP($D144,$C$5:$AU$516,28,)/VLOOKUP($D144,$C$5:$AU$516,3,))*$E144)</f>
        <v>0</v>
      </c>
      <c r="AE144" s="80">
        <f>IF(VLOOKUP($D144,$C$5:$AU$516,3,)=0,0,(VLOOKUP($D144,$C$5:$AU$516,29,)/VLOOKUP($D144,$C$5:$AU$516,3,))*$E144)</f>
        <v>0</v>
      </c>
      <c r="AF144" s="80">
        <f>IF(VLOOKUP($D144,$C$5:$AU$516,3,)=0,0,(VLOOKUP($D144,$C$5:$AU$516,30,)/VLOOKUP($D144,$C$5:$AU$516,3,))*$E144)</f>
        <v>0</v>
      </c>
      <c r="AG144" s="65">
        <f>SUM(F144:AF144)</f>
        <v>1152438.1589131276</v>
      </c>
      <c r="AH144" s="12" t="str">
        <f>IF(ABS(E144-AG144)&lt;0.01,"ok","err")</f>
        <v>ok</v>
      </c>
      <c r="AI144" s="128">
        <f t="shared" si="25"/>
        <v>0</v>
      </c>
    </row>
    <row r="145" spans="1:35" x14ac:dyDescent="0.2">
      <c r="E145" s="7"/>
      <c r="AI145" s="128"/>
    </row>
    <row r="146" spans="1:35" x14ac:dyDescent="0.2">
      <c r="A146" s="2" t="s">
        <v>5</v>
      </c>
      <c r="E146" s="7"/>
      <c r="AI146" s="128"/>
    </row>
    <row r="147" spans="1:35" x14ac:dyDescent="0.2">
      <c r="A147" s="68" t="s">
        <v>220</v>
      </c>
      <c r="C147" s="3" t="s">
        <v>270</v>
      </c>
      <c r="D147" s="3" t="s">
        <v>231</v>
      </c>
      <c r="E147" s="19">
        <f>'Func &amp; Classif'!W285</f>
        <v>70819.077667044039</v>
      </c>
      <c r="F147" s="41">
        <f>IF(VLOOKUP($D147,$C$5:$AU$516,3,)=0,0,(VLOOKUP($D147,$C$5:$AU$516,4,)/VLOOKUP($D147,$C$5:$AU$516,3,))*$E147)</f>
        <v>0</v>
      </c>
      <c r="G147" s="41">
        <f>IF(VLOOKUP($D147,$C$5:$AU$516,3,)=0,0,(VLOOKUP($D147,$C$5:$AU$516,5,)/VLOOKUP($D147,$C$5:$AU$516,3,))*$E147)</f>
        <v>0</v>
      </c>
      <c r="H147" s="19">
        <f>IF(VLOOKUP($D147,$C$5:$AU$516,3,)=0,0,(VLOOKUP($D147,$C$5:$AU$516,6,)/VLOOKUP($D147,$C$5:$AU$516,3,))*$E147)</f>
        <v>0</v>
      </c>
      <c r="I147" s="19">
        <f>IF(VLOOKUP($D147,$C$5:$AU$516,3,)=0,0,(VLOOKUP($D147,$C$5:$AU$516,7,)/VLOOKUP($D147,$C$5:$AU$516,3,))*$E147)</f>
        <v>0</v>
      </c>
      <c r="J147" s="19">
        <f>IF(VLOOKUP($D147,$C$5:$AU$516,3,)=0,0,(VLOOKUP($D147,$C$5:$AU$516,8,)/VLOOKUP($D147,$C$5:$AU$516,3,))*$E147)</f>
        <v>0</v>
      </c>
      <c r="K147" s="19">
        <f>IF(VLOOKUP($D147,$C$5:$AU$516,3,)=0,0,(VLOOKUP($D147,$C$5:$AU$516,9,)/VLOOKUP($D147,$C$5:$AU$516,3,))*$E147)</f>
        <v>70819.077667044039</v>
      </c>
      <c r="L147" s="41">
        <f>IF(VLOOKUP($D147,$C$5:$AU$516,3,)=0,0,(VLOOKUP($D147,$C$5:$AU$516,10,)/VLOOKUP($D147,$C$5:$AU$516,3,))*$E147)</f>
        <v>0</v>
      </c>
      <c r="M147" s="19">
        <f>IF(VLOOKUP($D147,$C$5:$AU$516,3,)=0,0,(VLOOKUP($D147,$C$5:$AU$516,11,)/VLOOKUP($D147,$C$5:$AU$516,3,))*$E147)</f>
        <v>0</v>
      </c>
      <c r="N147" s="19">
        <f>IF(VLOOKUP($D147,$C$5:$AU$516,3,)=0,0,(VLOOKUP($D147,$C$5:$AU$516,12,)/VLOOKUP($D147,$C$5:$AU$516,3,))*$E147)</f>
        <v>0</v>
      </c>
      <c r="O147" s="19">
        <f>IF(VLOOKUP($D147,$C$5:$AU$516,3,)=0,0,(VLOOKUP($D147,$C$5:$AU$516,13,)/VLOOKUP($D147,$C$5:$AU$516,3,))*$E147)</f>
        <v>0</v>
      </c>
      <c r="P147" s="19">
        <f>IF(VLOOKUP($D147,$C$5:$AU$516,3,)=0,0,(VLOOKUP($D147,$C$5:$AU$516,14,)/VLOOKUP($D147,$C$5:$AU$516,3,))*$E147)</f>
        <v>0</v>
      </c>
      <c r="Q147" s="19">
        <f>IF(VLOOKUP($D147,$C$5:$AU$516,3,)=0,0,(VLOOKUP($D147,$C$5:$AU$516,15,)/VLOOKUP($D147,$C$5:$AU$516,3,))*$E147)</f>
        <v>0</v>
      </c>
      <c r="R147" s="19">
        <f>IF(VLOOKUP($D147,$C$5:$AU$516,3,)=0,0,(VLOOKUP($D147,$C$5:$AU$516,16,)/VLOOKUP($D147,$C$5:$AU$516,3,))*$E147)</f>
        <v>0</v>
      </c>
      <c r="S147" s="80">
        <f>IF(VLOOKUP($D147,$C$5:$AU$516,3,)=0,0,(VLOOKUP($D147,$C$5:$AU$516,17,)/VLOOKUP($D147,$C$5:$AU$516,3,))*$E147)</f>
        <v>0</v>
      </c>
      <c r="T147" s="80">
        <f>IF(VLOOKUP($D147,$C$5:$AU$516,3,)=0,0,(VLOOKUP($D147,$C$5:$AU$516,18,)/VLOOKUP($D147,$C$5:$AU$516,3,))*$E147)</f>
        <v>0</v>
      </c>
      <c r="U147" s="80">
        <f>IF(VLOOKUP($D147,$C$5:$AU$516,3,)=0,0,(VLOOKUP($D147,$C$5:$AU$516,19,)/VLOOKUP($D147,$C$5:$AU$516,3,))*$E147)</f>
        <v>0</v>
      </c>
      <c r="V147" s="80">
        <f>IF(VLOOKUP($D147,$C$5:$AU$516,3,)=0,0,(VLOOKUP($D147,$C$5:$AU$516,20,)/VLOOKUP($D147,$C$5:$AU$516,3,))*$E147)</f>
        <v>0</v>
      </c>
      <c r="W147" s="80">
        <f>IF(VLOOKUP($D147,$C$5:$AU$516,3,)=0,0,(VLOOKUP($D147,$C$5:$AU$516,21,)/VLOOKUP($D147,$C$5:$AU$516,3,))*$E147)</f>
        <v>0</v>
      </c>
      <c r="X147" s="80">
        <f>IF(VLOOKUP($D147,$C$5:$AU$516,3,)=0,0,(VLOOKUP($D147,$C$5:$AU$516,22,)/VLOOKUP($D147,$C$5:$AU$516,3,))*$E147)</f>
        <v>0</v>
      </c>
      <c r="Y147" s="80">
        <f>IF(VLOOKUP($D147,$C$5:$AU$516,3,)=0,0,(VLOOKUP($D147,$C$5:$AU$516,23,)/VLOOKUP($D147,$C$5:$AU$516,3,))*$E147)</f>
        <v>0</v>
      </c>
      <c r="Z147" s="80">
        <f>IF(VLOOKUP($D147,$C$5:$AU$516,3,)=0,0,(VLOOKUP($D147,$C$5:$AU$516,24,)/VLOOKUP($D147,$C$5:$AU$516,3,))*$E147)</f>
        <v>0</v>
      </c>
      <c r="AA147" s="80">
        <f>IF(VLOOKUP($D147,$C$5:$AU$516,3,)=0,0,(VLOOKUP($D147,$C$5:$AU$516,25,)/VLOOKUP($D147,$C$5:$AU$516,3,))*$E147)</f>
        <v>0</v>
      </c>
      <c r="AB147" s="80">
        <f>IF(VLOOKUP($D147,$C$5:$AU$516,3,)=0,0,(VLOOKUP($D147,$C$5:$AU$516,26,)/VLOOKUP($D147,$C$5:$AU$516,3,))*$E147)</f>
        <v>0</v>
      </c>
      <c r="AC147" s="80">
        <f>IF(VLOOKUP($D147,$C$5:$AU$516,3,)=0,0,(VLOOKUP($D147,$C$5:$AU$516,27,)/VLOOKUP($D147,$C$5:$AU$516,3,))*$E147)</f>
        <v>0</v>
      </c>
      <c r="AD147" s="80">
        <f>IF(VLOOKUP($D147,$C$5:$AU$516,3,)=0,0,(VLOOKUP($D147,$C$5:$AU$516,28,)/VLOOKUP($D147,$C$5:$AU$516,3,))*$E147)</f>
        <v>0</v>
      </c>
      <c r="AE147" s="80">
        <f>IF(VLOOKUP($D147,$C$5:$AU$516,3,)=0,0,(VLOOKUP($D147,$C$5:$AU$516,29,)/VLOOKUP($D147,$C$5:$AU$516,3,))*$E147)</f>
        <v>0</v>
      </c>
      <c r="AF147" s="80">
        <f>IF(VLOOKUP($D147,$C$5:$AU$516,3,)=0,0,(VLOOKUP($D147,$C$5:$AU$516,30,)/VLOOKUP($D147,$C$5:$AU$516,3,))*$E147)</f>
        <v>0</v>
      </c>
      <c r="AG147" s="65">
        <f>SUM(F147:AF147)</f>
        <v>70819.077667044039</v>
      </c>
      <c r="AH147" s="12" t="str">
        <f>IF(ABS(E147-AG147)&lt;0.01,"ok","err")</f>
        <v>ok</v>
      </c>
      <c r="AI147" s="128">
        <f t="shared" si="25"/>
        <v>0</v>
      </c>
    </row>
    <row r="148" spans="1:35" x14ac:dyDescent="0.2">
      <c r="E148" s="7"/>
      <c r="AI148" s="128"/>
    </row>
    <row r="149" spans="1:35" x14ac:dyDescent="0.2">
      <c r="A149" s="2" t="s">
        <v>545</v>
      </c>
      <c r="E149" s="7"/>
      <c r="AI149" s="128"/>
    </row>
    <row r="150" spans="1:35" x14ac:dyDescent="0.2">
      <c r="A150" s="68" t="s">
        <v>220</v>
      </c>
      <c r="C150" s="3" t="s">
        <v>271</v>
      </c>
      <c r="D150" s="3" t="s">
        <v>233</v>
      </c>
      <c r="E150" s="19">
        <f>'Func &amp; Classif'!Y285</f>
        <v>1632979.3224675895</v>
      </c>
      <c r="F150" s="41">
        <f>IF(VLOOKUP($D150,$C$5:$AU$516,3,)=0,0,(VLOOKUP($D150,$C$5:$AU$516,4,)/VLOOKUP($D150,$C$5:$AU$516,3,))*$E150)</f>
        <v>1494205.5081401335</v>
      </c>
      <c r="G150" s="41">
        <f>IF(VLOOKUP($D150,$C$5:$AU$516,3,)=0,0,(VLOOKUP($D150,$C$5:$AU$516,5,)/VLOOKUP($D150,$C$5:$AU$516,3,))*$E150)</f>
        <v>112567.78484374788</v>
      </c>
      <c r="H150" s="19">
        <f>IF(VLOOKUP($D150,$C$5:$AU$516,3,)=0,0,(VLOOKUP($D150,$C$5:$AU$516,6,)/VLOOKUP($D150,$C$5:$AU$516,3,))*$E150)</f>
        <v>20653.35848244702</v>
      </c>
      <c r="I150" s="19">
        <f>IF(VLOOKUP($D150,$C$5:$AU$516,3,)=0,0,(VLOOKUP($D150,$C$5:$AU$516,7,)/VLOOKUP($D150,$C$5:$AU$516,3,))*$E150)</f>
        <v>1095.497953827143</v>
      </c>
      <c r="J150" s="19">
        <f>IF(VLOOKUP($D150,$C$5:$AU$516,3,)=0,0,(VLOOKUP($D150,$C$5:$AU$516,8,)/VLOOKUP($D150,$C$5:$AU$516,3,))*$E150)</f>
        <v>128.882112214958</v>
      </c>
      <c r="K150" s="19">
        <f>IF(VLOOKUP($D150,$C$5:$AU$516,3,)=0,0,(VLOOKUP($D150,$C$5:$AU$516,9,)/VLOOKUP($D150,$C$5:$AU$516,3,))*$E150)</f>
        <v>4328.2909352190063</v>
      </c>
      <c r="L150" s="41">
        <f>IF(VLOOKUP($D150,$C$5:$AU$516,3,)=0,0,(VLOOKUP($D150,$C$5:$AU$516,10,)/VLOOKUP($D150,$C$5:$AU$516,3,))*$E150)</f>
        <v>0</v>
      </c>
      <c r="M150" s="19">
        <f>IF(VLOOKUP($D150,$C$5:$AU$516,3,)=0,0,(VLOOKUP($D150,$C$5:$AU$516,11,)/VLOOKUP($D150,$C$5:$AU$516,3,))*$E150)</f>
        <v>0</v>
      </c>
      <c r="N150" s="19">
        <f>IF(VLOOKUP($D150,$C$5:$AU$516,3,)=0,0,(VLOOKUP($D150,$C$5:$AU$516,12,)/VLOOKUP($D150,$C$5:$AU$516,3,))*$E150)</f>
        <v>0</v>
      </c>
      <c r="O150" s="19">
        <f>IF(VLOOKUP($D150,$C$5:$AU$516,3,)=0,0,(VLOOKUP($D150,$C$5:$AU$516,13,)/VLOOKUP($D150,$C$5:$AU$516,3,))*$E150)</f>
        <v>0</v>
      </c>
      <c r="P150" s="19">
        <f>IF(VLOOKUP($D150,$C$5:$AU$516,3,)=0,0,(VLOOKUP($D150,$C$5:$AU$516,14,)/VLOOKUP($D150,$C$5:$AU$516,3,))*$E150)</f>
        <v>0</v>
      </c>
      <c r="Q150" s="19">
        <f>IF(VLOOKUP($D150,$C$5:$AU$516,3,)=0,0,(VLOOKUP($D150,$C$5:$AU$516,15,)/VLOOKUP($D150,$C$5:$AU$516,3,))*$E150)</f>
        <v>0</v>
      </c>
      <c r="R150" s="19">
        <f>IF(VLOOKUP($D150,$C$5:$AU$516,3,)=0,0,(VLOOKUP($D150,$C$5:$AU$516,16,)/VLOOKUP($D150,$C$5:$AU$516,3,))*$E150)</f>
        <v>0</v>
      </c>
      <c r="S150" s="80">
        <f>IF(VLOOKUP($D150,$C$5:$AU$516,3,)=0,0,(VLOOKUP($D150,$C$5:$AU$516,17,)/VLOOKUP($D150,$C$5:$AU$516,3,))*$E150)</f>
        <v>0</v>
      </c>
      <c r="T150" s="80">
        <f>IF(VLOOKUP($D150,$C$5:$AU$516,3,)=0,0,(VLOOKUP($D150,$C$5:$AU$516,18,)/VLOOKUP($D150,$C$5:$AU$516,3,))*$E150)</f>
        <v>0</v>
      </c>
      <c r="U150" s="80">
        <f>IF(VLOOKUP($D150,$C$5:$AU$516,3,)=0,0,(VLOOKUP($D150,$C$5:$AU$516,19,)/VLOOKUP($D150,$C$5:$AU$516,3,))*$E150)</f>
        <v>0</v>
      </c>
      <c r="V150" s="80">
        <f>IF(VLOOKUP($D150,$C$5:$AU$516,3,)=0,0,(VLOOKUP($D150,$C$5:$AU$516,20,)/VLOOKUP($D150,$C$5:$AU$516,3,))*$E150)</f>
        <v>0</v>
      </c>
      <c r="W150" s="80">
        <f>IF(VLOOKUP($D150,$C$5:$AU$516,3,)=0,0,(VLOOKUP($D150,$C$5:$AU$516,21,)/VLOOKUP($D150,$C$5:$AU$516,3,))*$E150)</f>
        <v>0</v>
      </c>
      <c r="X150" s="80">
        <f>IF(VLOOKUP($D150,$C$5:$AU$516,3,)=0,0,(VLOOKUP($D150,$C$5:$AU$516,22,)/VLOOKUP($D150,$C$5:$AU$516,3,))*$E150)</f>
        <v>0</v>
      </c>
      <c r="Y150" s="80">
        <f>IF(VLOOKUP($D150,$C$5:$AU$516,3,)=0,0,(VLOOKUP($D150,$C$5:$AU$516,23,)/VLOOKUP($D150,$C$5:$AU$516,3,))*$E150)</f>
        <v>0</v>
      </c>
      <c r="Z150" s="80">
        <f>IF(VLOOKUP($D150,$C$5:$AU$516,3,)=0,0,(VLOOKUP($D150,$C$5:$AU$516,24,)/VLOOKUP($D150,$C$5:$AU$516,3,))*$E150)</f>
        <v>0</v>
      </c>
      <c r="AA150" s="80">
        <f>IF(VLOOKUP($D150,$C$5:$AU$516,3,)=0,0,(VLOOKUP($D150,$C$5:$AU$516,25,)/VLOOKUP($D150,$C$5:$AU$516,3,))*$E150)</f>
        <v>0</v>
      </c>
      <c r="AB150" s="80">
        <f>IF(VLOOKUP($D150,$C$5:$AU$516,3,)=0,0,(VLOOKUP($D150,$C$5:$AU$516,26,)/VLOOKUP($D150,$C$5:$AU$516,3,))*$E150)</f>
        <v>0</v>
      </c>
      <c r="AC150" s="80">
        <f>IF(VLOOKUP($D150,$C$5:$AU$516,3,)=0,0,(VLOOKUP($D150,$C$5:$AU$516,27,)/VLOOKUP($D150,$C$5:$AU$516,3,))*$E150)</f>
        <v>0</v>
      </c>
      <c r="AD150" s="80">
        <f>IF(VLOOKUP($D150,$C$5:$AU$516,3,)=0,0,(VLOOKUP($D150,$C$5:$AU$516,28,)/VLOOKUP($D150,$C$5:$AU$516,3,))*$E150)</f>
        <v>0</v>
      </c>
      <c r="AE150" s="80">
        <f>IF(VLOOKUP($D150,$C$5:$AU$516,3,)=0,0,(VLOOKUP($D150,$C$5:$AU$516,29,)/VLOOKUP($D150,$C$5:$AU$516,3,))*$E150)</f>
        <v>0</v>
      </c>
      <c r="AF150" s="80">
        <f>IF(VLOOKUP($D150,$C$5:$AU$516,3,)=0,0,(VLOOKUP($D150,$C$5:$AU$516,30,)/VLOOKUP($D150,$C$5:$AU$516,3,))*$E150)</f>
        <v>0</v>
      </c>
      <c r="AG150" s="65">
        <f>SUM(F150:AF150)</f>
        <v>1632979.3224675895</v>
      </c>
      <c r="AH150" s="12" t="str">
        <f>IF(ABS(E150-AG150)&lt;0.01,"ok","err")</f>
        <v>ok</v>
      </c>
      <c r="AI150" s="128">
        <f t="shared" si="25"/>
        <v>0</v>
      </c>
    </row>
    <row r="151" spans="1:35" x14ac:dyDescent="0.2">
      <c r="E151" s="7"/>
      <c r="AI151" s="128"/>
    </row>
    <row r="152" spans="1:35" x14ac:dyDescent="0.2">
      <c r="A152" s="2" t="s">
        <v>470</v>
      </c>
      <c r="E152" s="7"/>
      <c r="AI152" s="128"/>
    </row>
    <row r="153" spans="1:35" x14ac:dyDescent="0.2">
      <c r="A153" s="68" t="s">
        <v>220</v>
      </c>
      <c r="C153" s="3" t="s">
        <v>268</v>
      </c>
      <c r="D153" s="3" t="s">
        <v>234</v>
      </c>
      <c r="E153" s="19">
        <f>'Func &amp; Classif'!AA285</f>
        <v>47.833057742122577</v>
      </c>
      <c r="F153" s="41">
        <f>IF(VLOOKUP($D153,$C$5:$AU$516,3,)=0,0,(VLOOKUP($D153,$C$5:$AU$516,4,)/VLOOKUP($D153,$C$5:$AU$516,3,))*$E153)</f>
        <v>43.771564488116447</v>
      </c>
      <c r="G153" s="41">
        <f>IF(VLOOKUP($D153,$C$5:$AU$516,3,)=0,0,(VLOOKUP($D153,$C$5:$AU$516,5,)/VLOOKUP($D153,$C$5:$AU$516,3,))*$E153)</f>
        <v>3.2975839178277382</v>
      </c>
      <c r="H153" s="19">
        <f>IF(VLOOKUP($D153,$C$5:$AU$516,3,)=0,0,(VLOOKUP($D153,$C$5:$AU$516,6,)/VLOOKUP($D153,$C$5:$AU$516,3,))*$E153)</f>
        <v>0.6050237452516688</v>
      </c>
      <c r="I153" s="19">
        <f>IF(VLOOKUP($D153,$C$5:$AU$516,3,)=0,0,(VLOOKUP($D153,$C$5:$AU$516,7,)/VLOOKUP($D153,$C$5:$AU$516,3,))*$E153)</f>
        <v>3.2091743117873231E-2</v>
      </c>
      <c r="J153" s="19">
        <f>IF(VLOOKUP($D153,$C$5:$AU$516,3,)=0,0,(VLOOKUP($D153,$C$5:$AU$516,8,)/VLOOKUP($D153,$C$5:$AU$516,3,))*$E153)</f>
        <v>0</v>
      </c>
      <c r="K153" s="19">
        <f>IF(VLOOKUP($D153,$C$5:$AU$516,3,)=0,0,(VLOOKUP($D153,$C$5:$AU$516,9,)/VLOOKUP($D153,$C$5:$AU$516,3,))*$E153)</f>
        <v>0.12679384780885208</v>
      </c>
      <c r="L153" s="41">
        <f>IF(VLOOKUP($D153,$C$5:$AU$516,3,)=0,0,(VLOOKUP($D153,$C$5:$AU$516,10,)/VLOOKUP($D153,$C$5:$AU$516,3,))*$E153)</f>
        <v>0</v>
      </c>
      <c r="M153" s="19">
        <f>IF(VLOOKUP($D153,$C$5:$AU$516,3,)=0,0,(VLOOKUP($D153,$C$5:$AU$516,11,)/VLOOKUP($D153,$C$5:$AU$516,3,))*$E153)</f>
        <v>0</v>
      </c>
      <c r="N153" s="19">
        <f>IF(VLOOKUP($D153,$C$5:$AU$516,3,)=0,0,(VLOOKUP($D153,$C$5:$AU$516,12,)/VLOOKUP($D153,$C$5:$AU$516,3,))*$E153)</f>
        <v>0</v>
      </c>
      <c r="O153" s="19">
        <f>IF(VLOOKUP($D153,$C$5:$AU$516,3,)=0,0,(VLOOKUP($D153,$C$5:$AU$516,13,)/VLOOKUP($D153,$C$5:$AU$516,3,))*$E153)</f>
        <v>0</v>
      </c>
      <c r="P153" s="19">
        <f>IF(VLOOKUP($D153,$C$5:$AU$516,3,)=0,0,(VLOOKUP($D153,$C$5:$AU$516,14,)/VLOOKUP($D153,$C$5:$AU$516,3,))*$E153)</f>
        <v>0</v>
      </c>
      <c r="Q153" s="19">
        <f>IF(VLOOKUP($D153,$C$5:$AU$516,3,)=0,0,(VLOOKUP($D153,$C$5:$AU$516,15,)/VLOOKUP($D153,$C$5:$AU$516,3,))*$E153)</f>
        <v>0</v>
      </c>
      <c r="R153" s="19">
        <f>IF(VLOOKUP($D153,$C$5:$AU$516,3,)=0,0,(VLOOKUP($D153,$C$5:$AU$516,16,)/VLOOKUP($D153,$C$5:$AU$516,3,))*$E153)</f>
        <v>0</v>
      </c>
      <c r="S153" s="80">
        <f>IF(VLOOKUP($D153,$C$5:$AU$516,3,)=0,0,(VLOOKUP($D153,$C$5:$AU$516,17,)/VLOOKUP($D153,$C$5:$AU$516,3,))*$E153)</f>
        <v>0</v>
      </c>
      <c r="T153" s="80">
        <f>IF(VLOOKUP($D153,$C$5:$AU$516,3,)=0,0,(VLOOKUP($D153,$C$5:$AU$516,18,)/VLOOKUP($D153,$C$5:$AU$516,3,))*$E153)</f>
        <v>0</v>
      </c>
      <c r="U153" s="80">
        <f>IF(VLOOKUP($D153,$C$5:$AU$516,3,)=0,0,(VLOOKUP($D153,$C$5:$AU$516,19,)/VLOOKUP($D153,$C$5:$AU$516,3,))*$E153)</f>
        <v>0</v>
      </c>
      <c r="V153" s="80">
        <f>IF(VLOOKUP($D153,$C$5:$AU$516,3,)=0,0,(VLOOKUP($D153,$C$5:$AU$516,20,)/VLOOKUP($D153,$C$5:$AU$516,3,))*$E153)</f>
        <v>0</v>
      </c>
      <c r="W153" s="80">
        <f>IF(VLOOKUP($D153,$C$5:$AU$516,3,)=0,0,(VLOOKUP($D153,$C$5:$AU$516,21,)/VLOOKUP($D153,$C$5:$AU$516,3,))*$E153)</f>
        <v>0</v>
      </c>
      <c r="X153" s="80">
        <f>IF(VLOOKUP($D153,$C$5:$AU$516,3,)=0,0,(VLOOKUP($D153,$C$5:$AU$516,22,)/VLOOKUP($D153,$C$5:$AU$516,3,))*$E153)</f>
        <v>0</v>
      </c>
      <c r="Y153" s="80">
        <f>IF(VLOOKUP($D153,$C$5:$AU$516,3,)=0,0,(VLOOKUP($D153,$C$5:$AU$516,23,)/VLOOKUP($D153,$C$5:$AU$516,3,))*$E153)</f>
        <v>0</v>
      </c>
      <c r="Z153" s="80">
        <f>IF(VLOOKUP($D153,$C$5:$AU$516,3,)=0,0,(VLOOKUP($D153,$C$5:$AU$516,24,)/VLOOKUP($D153,$C$5:$AU$516,3,))*$E153)</f>
        <v>0</v>
      </c>
      <c r="AA153" s="80">
        <f>IF(VLOOKUP($D153,$C$5:$AU$516,3,)=0,0,(VLOOKUP($D153,$C$5:$AU$516,25,)/VLOOKUP($D153,$C$5:$AU$516,3,))*$E153)</f>
        <v>0</v>
      </c>
      <c r="AB153" s="80">
        <f>IF(VLOOKUP($D153,$C$5:$AU$516,3,)=0,0,(VLOOKUP($D153,$C$5:$AU$516,26,)/VLOOKUP($D153,$C$5:$AU$516,3,))*$E153)</f>
        <v>0</v>
      </c>
      <c r="AC153" s="80">
        <f>IF(VLOOKUP($D153,$C$5:$AU$516,3,)=0,0,(VLOOKUP($D153,$C$5:$AU$516,27,)/VLOOKUP($D153,$C$5:$AU$516,3,))*$E153)</f>
        <v>0</v>
      </c>
      <c r="AD153" s="80">
        <f>IF(VLOOKUP($D153,$C$5:$AU$516,3,)=0,0,(VLOOKUP($D153,$C$5:$AU$516,28,)/VLOOKUP($D153,$C$5:$AU$516,3,))*$E153)</f>
        <v>0</v>
      </c>
      <c r="AE153" s="80">
        <f>IF(VLOOKUP($D153,$C$5:$AU$516,3,)=0,0,(VLOOKUP($D153,$C$5:$AU$516,29,)/VLOOKUP($D153,$C$5:$AU$516,3,))*$E153)</f>
        <v>0</v>
      </c>
      <c r="AF153" s="80">
        <f>IF(VLOOKUP($D153,$C$5:$AU$516,3,)=0,0,(VLOOKUP($D153,$C$5:$AU$516,30,)/VLOOKUP($D153,$C$5:$AU$516,3,))*$E153)</f>
        <v>0</v>
      </c>
      <c r="AG153" s="65">
        <f>SUM(F153:AF153)</f>
        <v>47.833057742122584</v>
      </c>
      <c r="AH153" s="12" t="str">
        <f>IF(ABS(E153-AG153)&lt;0.01,"ok","err")</f>
        <v>ok</v>
      </c>
      <c r="AI153" s="128"/>
    </row>
    <row r="154" spans="1:35" x14ac:dyDescent="0.2">
      <c r="E154" s="7"/>
      <c r="AI154" s="128"/>
    </row>
    <row r="155" spans="1:35" x14ac:dyDescent="0.2">
      <c r="A155" s="3" t="s">
        <v>0</v>
      </c>
      <c r="C155" s="3" t="s">
        <v>272</v>
      </c>
      <c r="E155" s="19">
        <f>E125+E128+E131+E136+E141+E144+E147+E150+E153</f>
        <v>24474384.09</v>
      </c>
      <c r="F155" s="19">
        <f t="shared" ref="F155:R155" si="32">F125+F128+F131+F136+F141+F144+F147+F150+F153</f>
        <v>18936702.911997069</v>
      </c>
      <c r="G155" s="19">
        <f t="shared" si="32"/>
        <v>1170286.628135869</v>
      </c>
      <c r="H155" s="19">
        <f t="shared" si="32"/>
        <v>2362080.6433663727</v>
      </c>
      <c r="I155" s="19">
        <f t="shared" si="32"/>
        <v>907993.38331797638</v>
      </c>
      <c r="J155" s="19">
        <f t="shared" si="32"/>
        <v>562265.39992318559</v>
      </c>
      <c r="K155" s="19">
        <f t="shared" si="32"/>
        <v>535055.12325952458</v>
      </c>
      <c r="L155" s="19">
        <f t="shared" si="32"/>
        <v>0</v>
      </c>
      <c r="M155" s="19">
        <f t="shared" si="32"/>
        <v>0</v>
      </c>
      <c r="N155" s="19">
        <f t="shared" si="32"/>
        <v>0</v>
      </c>
      <c r="O155" s="19">
        <f t="shared" si="32"/>
        <v>0</v>
      </c>
      <c r="P155" s="19">
        <f t="shared" si="32"/>
        <v>0</v>
      </c>
      <c r="Q155" s="19">
        <f t="shared" si="32"/>
        <v>0</v>
      </c>
      <c r="R155" s="19">
        <f t="shared" si="32"/>
        <v>0</v>
      </c>
      <c r="S155" s="80">
        <f t="shared" ref="S155:AF155" si="33">S125+S131+S136+S141+S144+S147+S150+S153</f>
        <v>0</v>
      </c>
      <c r="T155" s="80">
        <f t="shared" si="33"/>
        <v>0</v>
      </c>
      <c r="U155" s="80">
        <f t="shared" si="33"/>
        <v>0</v>
      </c>
      <c r="V155" s="80">
        <f t="shared" si="33"/>
        <v>0</v>
      </c>
      <c r="W155" s="80">
        <f t="shared" si="33"/>
        <v>0</v>
      </c>
      <c r="X155" s="80">
        <f t="shared" si="33"/>
        <v>0</v>
      </c>
      <c r="Y155" s="80">
        <f t="shared" si="33"/>
        <v>0</v>
      </c>
      <c r="Z155" s="80">
        <f t="shared" si="33"/>
        <v>0</v>
      </c>
      <c r="AA155" s="80">
        <f t="shared" si="33"/>
        <v>0</v>
      </c>
      <c r="AB155" s="80">
        <f t="shared" si="33"/>
        <v>0</v>
      </c>
      <c r="AC155" s="80">
        <f t="shared" si="33"/>
        <v>0</v>
      </c>
      <c r="AD155" s="80">
        <f t="shared" si="33"/>
        <v>0</v>
      </c>
      <c r="AE155" s="80">
        <f t="shared" si="33"/>
        <v>0</v>
      </c>
      <c r="AF155" s="80">
        <f t="shared" si="33"/>
        <v>0</v>
      </c>
      <c r="AG155" s="65">
        <f>SUM(F155:AF155)</f>
        <v>24474384.09</v>
      </c>
      <c r="AH155" s="12" t="str">
        <f>IF(ABS(E155-AG155)&lt;0.01,"ok","err")</f>
        <v>ok</v>
      </c>
      <c r="AI155" s="128">
        <f t="shared" si="25"/>
        <v>0</v>
      </c>
    </row>
    <row r="156" spans="1:35" x14ac:dyDescent="0.2">
      <c r="E156" s="178">
        <f>E155/$E155</f>
        <v>1</v>
      </c>
      <c r="F156" s="178">
        <f>F155/$E155</f>
        <v>0.77373562670099738</v>
      </c>
      <c r="G156" s="178">
        <f t="shared" ref="G156" si="34">G155/$E155</f>
        <v>4.7816795872466386E-2</v>
      </c>
      <c r="H156" s="178">
        <f t="shared" ref="H156" si="35">H155/$E155</f>
        <v>9.6512363076441884E-2</v>
      </c>
      <c r="I156" s="178">
        <f t="shared" ref="I156" si="36">I155/$E155</f>
        <v>3.7099743960011394E-2</v>
      </c>
      <c r="J156" s="178">
        <f t="shared" ref="J156" si="37">J155/$E155</f>
        <v>2.2973628176119122E-2</v>
      </c>
      <c r="K156" s="178">
        <f t="shared" ref="K156" si="38">K155/$E155</f>
        <v>2.1861842213963742E-2</v>
      </c>
      <c r="L156" s="178">
        <f t="shared" ref="L156" si="39">L155/$E155</f>
        <v>0</v>
      </c>
      <c r="M156" s="22">
        <f t="shared" ref="M156" si="40">M155/$E155</f>
        <v>0</v>
      </c>
    </row>
    <row r="158" spans="1:35" x14ac:dyDescent="0.2">
      <c r="A158" s="10" t="s">
        <v>182</v>
      </c>
    </row>
    <row r="160" spans="1:35" x14ac:dyDescent="0.2">
      <c r="A160" s="2" t="s">
        <v>864</v>
      </c>
    </row>
    <row r="161" spans="1:34" x14ac:dyDescent="0.2">
      <c r="A161" s="68" t="s">
        <v>208</v>
      </c>
      <c r="C161" s="3" t="s">
        <v>273</v>
      </c>
      <c r="D161" s="3" t="s">
        <v>657</v>
      </c>
      <c r="E161" s="19">
        <f>'Func &amp; Classif'!H463</f>
        <v>0</v>
      </c>
      <c r="F161" s="41">
        <f>IF(VLOOKUP($D161,$C$5:$AU$516,3,)=0,0,(VLOOKUP($D161,$C$5:$AU$516,4,)/VLOOKUP($D161,$C$5:$AU$516,3,))*$E161)</f>
        <v>0</v>
      </c>
      <c r="G161" s="41">
        <f>IF(VLOOKUP($D161,$C$5:$AU$516,3,)=0,0,(VLOOKUP($D161,$C$5:$AU$516,5,)/VLOOKUP($D161,$C$5:$AU$516,3,))*$E161)</f>
        <v>0</v>
      </c>
      <c r="H161" s="19">
        <f>IF(VLOOKUP($D161,$C$5:$AU$516,3,)=0,0,(VLOOKUP($D161,$C$5:$AU$516,6,)/VLOOKUP($D161,$C$5:$AU$516,3,))*$E161)</f>
        <v>0</v>
      </c>
      <c r="I161" s="19">
        <f>IF(VLOOKUP($D161,$C$5:$AU$516,3,)=0,0,(VLOOKUP($D161,$C$5:$AU$516,7,)/VLOOKUP($D161,$C$5:$AU$516,3,))*$E161)</f>
        <v>0</v>
      </c>
      <c r="J161" s="19">
        <f>IF(VLOOKUP($D161,$C$5:$AU$516,3,)=0,0,(VLOOKUP($D161,$C$5:$AU$516,8,)/VLOOKUP($D161,$C$5:$AU$516,3,))*$E161)</f>
        <v>0</v>
      </c>
      <c r="K161" s="19">
        <f>IF(VLOOKUP($D161,$C$5:$AU$516,3,)=0,0,(VLOOKUP($D161,$C$5:$AU$516,9,)/VLOOKUP($D161,$C$5:$AU$516,3,))*$E161)</f>
        <v>0</v>
      </c>
      <c r="L161" s="41">
        <f>IF(VLOOKUP($D161,$C$5:$AU$516,3,)=0,0,(VLOOKUP($D161,$C$5:$AU$516,10,)/VLOOKUP($D161,$C$5:$AU$516,3,))*$E161)</f>
        <v>0</v>
      </c>
      <c r="M161" s="19">
        <f>IF(VLOOKUP($D161,$C$5:$AU$516,3,)=0,0,(VLOOKUP($D161,$C$5:$AU$516,11,)/VLOOKUP($D161,$C$5:$AU$516,3,))*$E161)</f>
        <v>0</v>
      </c>
      <c r="N161" s="19">
        <f>IF(VLOOKUP($D161,$C$5:$AU$516,3,)=0,0,(VLOOKUP($D161,$C$5:$AU$516,12,)/VLOOKUP($D161,$C$5:$AU$516,3,))*$E161)</f>
        <v>0</v>
      </c>
      <c r="O161" s="19">
        <f>IF(VLOOKUP($D161,$C$5:$AU$516,3,)=0,0,(VLOOKUP($D161,$C$5:$AU$516,13,)/VLOOKUP($D161,$C$5:$AU$516,3,))*$E161)</f>
        <v>0</v>
      </c>
      <c r="P161" s="19">
        <f>IF(VLOOKUP($D161,$C$5:$AU$516,3,)=0,0,(VLOOKUP($D161,$C$5:$AU$516,14,)/VLOOKUP($D161,$C$5:$AU$516,3,))*$E161)</f>
        <v>0</v>
      </c>
      <c r="Q161" s="19">
        <f>IF(VLOOKUP($D161,$C$5:$AU$516,3,)=0,0,(VLOOKUP($D161,$C$5:$AU$516,15,)/VLOOKUP($D161,$C$5:$AU$516,3,))*$E161)</f>
        <v>0</v>
      </c>
      <c r="R161" s="19">
        <f>IF(VLOOKUP($D161,$C$5:$AU$516,3,)=0,0,(VLOOKUP($D161,$C$5:$AU$516,16,)/VLOOKUP($D161,$C$5:$AU$516,3,))*$E161)</f>
        <v>0</v>
      </c>
      <c r="S161" s="80">
        <f>IF(VLOOKUP($D161,$C$5:$AU$516,3,)=0,0,(VLOOKUP($D161,$C$5:$AU$516,17,)/VLOOKUP($D161,$C$5:$AU$516,3,))*$E161)</f>
        <v>0</v>
      </c>
      <c r="T161" s="80">
        <f>IF(VLOOKUP($D161,$C$5:$AU$516,3,)=0,0,(VLOOKUP($D161,$C$5:$AU$516,18,)/VLOOKUP($D161,$C$5:$AU$516,3,))*$E161)</f>
        <v>0</v>
      </c>
      <c r="U161" s="80">
        <f>IF(VLOOKUP($D161,$C$5:$AU$516,3,)=0,0,(VLOOKUP($D161,$C$5:$AU$516,19,)/VLOOKUP($D161,$C$5:$AU$516,3,))*$E161)</f>
        <v>0</v>
      </c>
      <c r="V161" s="80">
        <f>IF(VLOOKUP($D161,$C$5:$AU$516,3,)=0,0,(VLOOKUP($D161,$C$5:$AU$516,20,)/VLOOKUP($D161,$C$5:$AU$516,3,))*$E161)</f>
        <v>0</v>
      </c>
      <c r="W161" s="80">
        <f>IF(VLOOKUP($D161,$C$5:$AU$516,3,)=0,0,(VLOOKUP($D161,$C$5:$AU$516,21,)/VLOOKUP($D161,$C$5:$AU$516,3,))*$E161)</f>
        <v>0</v>
      </c>
      <c r="X161" s="80">
        <f>IF(VLOOKUP($D161,$C$5:$AU$516,3,)=0,0,(VLOOKUP($D161,$C$5:$AU$516,22,)/VLOOKUP($D161,$C$5:$AU$516,3,))*$E161)</f>
        <v>0</v>
      </c>
      <c r="Y161" s="80">
        <f>IF(VLOOKUP($D161,$C$5:$AU$516,3,)=0,0,(VLOOKUP($D161,$C$5:$AU$516,23,)/VLOOKUP($D161,$C$5:$AU$516,3,))*$E161)</f>
        <v>0</v>
      </c>
      <c r="Z161" s="80">
        <f>IF(VLOOKUP($D161,$C$5:$AU$516,3,)=0,0,(VLOOKUP($D161,$C$5:$AU$516,24,)/VLOOKUP($D161,$C$5:$AU$516,3,))*$E161)</f>
        <v>0</v>
      </c>
      <c r="AA161" s="80">
        <f>IF(VLOOKUP($D161,$C$5:$AU$516,3,)=0,0,(VLOOKUP($D161,$C$5:$AU$516,25,)/VLOOKUP($D161,$C$5:$AU$516,3,))*$E161)</f>
        <v>0</v>
      </c>
      <c r="AB161" s="80">
        <f>IF(VLOOKUP($D161,$C$5:$AU$516,3,)=0,0,(VLOOKUP($D161,$C$5:$AU$516,26,)/VLOOKUP($D161,$C$5:$AU$516,3,))*$E161)</f>
        <v>0</v>
      </c>
      <c r="AC161" s="80">
        <f>IF(VLOOKUP($D161,$C$5:$AU$516,3,)=0,0,(VLOOKUP($D161,$C$5:$AU$516,27,)/VLOOKUP($D161,$C$5:$AU$516,3,))*$E161)</f>
        <v>0</v>
      </c>
      <c r="AD161" s="80">
        <f>IF(VLOOKUP($D161,$C$5:$AU$516,3,)=0,0,(VLOOKUP($D161,$C$5:$AU$516,28,)/VLOOKUP($D161,$C$5:$AU$516,3,))*$E161)</f>
        <v>0</v>
      </c>
      <c r="AE161" s="80">
        <f>IF(VLOOKUP($D161,$C$5:$AU$516,3,)=0,0,(VLOOKUP($D161,$C$5:$AU$516,29,)/VLOOKUP($D161,$C$5:$AU$516,3,))*$E161)</f>
        <v>0</v>
      </c>
      <c r="AF161" s="80">
        <f>IF(VLOOKUP($D161,$C$5:$AU$516,3,)=0,0,(VLOOKUP($D161,$C$5:$AU$516,30,)/VLOOKUP($D161,$C$5:$AU$516,3,))*$E161)</f>
        <v>0</v>
      </c>
      <c r="AG161" s="65">
        <f>SUM(F161:AF161)</f>
        <v>0</v>
      </c>
      <c r="AH161" s="12" t="str">
        <f>IF(ABS(E161-AG161)&lt;0.01,"ok","err")</f>
        <v>ok</v>
      </c>
    </row>
    <row r="162" spans="1:34" x14ac:dyDescent="0.2">
      <c r="A162" s="68" t="s">
        <v>211</v>
      </c>
      <c r="C162" s="3" t="s">
        <v>274</v>
      </c>
      <c r="D162" s="3" t="s">
        <v>666</v>
      </c>
      <c r="E162" s="7">
        <f>'Func &amp; Classif'!I463</f>
        <v>0</v>
      </c>
      <c r="F162" s="41">
        <f>IF(VLOOKUP($D162,$C$5:$AU$516,3,)=0,0,(VLOOKUP($D162,$C$5:$AU$516,4,)/VLOOKUP($D162,$C$5:$AU$516,3,))*$E162)</f>
        <v>0</v>
      </c>
      <c r="G162" s="41">
        <f>IF(VLOOKUP($D162,$C$5:$AU$516,3,)=0,0,(VLOOKUP($D162,$C$5:$AU$516,5,)/VLOOKUP($D162,$C$5:$AU$516,3,))*$E162)</f>
        <v>0</v>
      </c>
      <c r="H162" s="19">
        <f>IF(VLOOKUP($D162,$C$5:$AU$516,3,)=0,0,(VLOOKUP($D162,$C$5:$AU$516,6,)/VLOOKUP($D162,$C$5:$AU$516,3,))*$E162)</f>
        <v>0</v>
      </c>
      <c r="I162" s="19">
        <f>IF(VLOOKUP($D162,$C$5:$AU$516,3,)=0,0,(VLOOKUP($D162,$C$5:$AU$516,7,)/VLOOKUP($D162,$C$5:$AU$516,3,))*$E162)</f>
        <v>0</v>
      </c>
      <c r="J162" s="19">
        <f>IF(VLOOKUP($D162,$C$5:$AU$516,3,)=0,0,(VLOOKUP($D162,$C$5:$AU$516,8,)/VLOOKUP($D162,$C$5:$AU$516,3,))*$E162)</f>
        <v>0</v>
      </c>
      <c r="K162" s="19">
        <f>IF(VLOOKUP($D162,$C$5:$AU$516,3,)=0,0,(VLOOKUP($D162,$C$5:$AU$516,9,)/VLOOKUP($D162,$C$5:$AU$516,3,))*$E162)</f>
        <v>0</v>
      </c>
      <c r="L162" s="41">
        <f>IF(VLOOKUP($D162,$C$5:$AU$516,3,)=0,0,(VLOOKUP($D162,$C$5:$AU$516,10,)/VLOOKUP($D162,$C$5:$AU$516,3,))*$E162)</f>
        <v>0</v>
      </c>
      <c r="M162" s="19">
        <f>IF(VLOOKUP($D162,$C$5:$AU$516,3,)=0,0,(VLOOKUP($D162,$C$5:$AU$516,11,)/VLOOKUP($D162,$C$5:$AU$516,3,))*$E162)</f>
        <v>0</v>
      </c>
      <c r="N162" s="19">
        <f>IF(VLOOKUP($D162,$C$5:$AU$516,3,)=0,0,(VLOOKUP($D162,$C$5:$AU$516,12,)/VLOOKUP($D162,$C$5:$AU$516,3,))*$E162)</f>
        <v>0</v>
      </c>
      <c r="O162" s="19">
        <f>IF(VLOOKUP($D162,$C$5:$AU$516,3,)=0,0,(VLOOKUP($D162,$C$5:$AU$516,13,)/VLOOKUP($D162,$C$5:$AU$516,3,))*$E162)</f>
        <v>0</v>
      </c>
      <c r="P162" s="19">
        <f>IF(VLOOKUP($D162,$C$5:$AU$516,3,)=0,0,(VLOOKUP($D162,$C$5:$AU$516,14,)/VLOOKUP($D162,$C$5:$AU$516,3,))*$E162)</f>
        <v>0</v>
      </c>
      <c r="Q162" s="19">
        <f>IF(VLOOKUP($D162,$C$5:$AU$516,3,)=0,0,(VLOOKUP($D162,$C$5:$AU$516,15,)/VLOOKUP($D162,$C$5:$AU$516,3,))*$E162)</f>
        <v>0</v>
      </c>
      <c r="R162" s="19">
        <f>IF(VLOOKUP($D162,$C$5:$AU$516,3,)=0,0,(VLOOKUP($D162,$C$5:$AU$516,16,)/VLOOKUP($D162,$C$5:$AU$516,3,))*$E162)</f>
        <v>0</v>
      </c>
      <c r="S162" s="80">
        <f>IF(VLOOKUP($D162,$C$5:$AU$516,3,)=0,0,(VLOOKUP($D162,$C$5:$AU$516,17,)/VLOOKUP($D162,$C$5:$AU$516,3,))*$E162)</f>
        <v>0</v>
      </c>
      <c r="T162" s="80">
        <f>IF(VLOOKUP($D162,$C$5:$AU$516,3,)=0,0,(VLOOKUP($D162,$C$5:$AU$516,18,)/VLOOKUP($D162,$C$5:$AU$516,3,))*$E162)</f>
        <v>0</v>
      </c>
      <c r="U162" s="80">
        <f>IF(VLOOKUP($D162,$C$5:$AU$516,3,)=0,0,(VLOOKUP($D162,$C$5:$AU$516,19,)/VLOOKUP($D162,$C$5:$AU$516,3,))*$E162)</f>
        <v>0</v>
      </c>
      <c r="V162" s="80">
        <f>IF(VLOOKUP($D162,$C$5:$AU$516,3,)=0,0,(VLOOKUP($D162,$C$5:$AU$516,20,)/VLOOKUP($D162,$C$5:$AU$516,3,))*$E162)</f>
        <v>0</v>
      </c>
      <c r="W162" s="80">
        <f>IF(VLOOKUP($D162,$C$5:$AU$516,3,)=0,0,(VLOOKUP($D162,$C$5:$AU$516,21,)/VLOOKUP($D162,$C$5:$AU$516,3,))*$E162)</f>
        <v>0</v>
      </c>
      <c r="X162" s="80">
        <f>IF(VLOOKUP($D162,$C$5:$AU$516,3,)=0,0,(VLOOKUP($D162,$C$5:$AU$516,22,)/VLOOKUP($D162,$C$5:$AU$516,3,))*$E162)</f>
        <v>0</v>
      </c>
      <c r="Y162" s="80">
        <f>IF(VLOOKUP($D162,$C$5:$AU$516,3,)=0,0,(VLOOKUP($D162,$C$5:$AU$516,23,)/VLOOKUP($D162,$C$5:$AU$516,3,))*$E162)</f>
        <v>0</v>
      </c>
      <c r="Z162" s="80">
        <f>IF(VLOOKUP($D162,$C$5:$AU$516,3,)=0,0,(VLOOKUP($D162,$C$5:$AU$516,24,)/VLOOKUP($D162,$C$5:$AU$516,3,))*$E162)</f>
        <v>0</v>
      </c>
      <c r="AA162" s="80">
        <f>IF(VLOOKUP($D162,$C$5:$AU$516,3,)=0,0,(VLOOKUP($D162,$C$5:$AU$516,25,)/VLOOKUP($D162,$C$5:$AU$516,3,))*$E162)</f>
        <v>0</v>
      </c>
      <c r="AB162" s="80">
        <f>IF(VLOOKUP($D162,$C$5:$AU$516,3,)=0,0,(VLOOKUP($D162,$C$5:$AU$516,26,)/VLOOKUP($D162,$C$5:$AU$516,3,))*$E162)</f>
        <v>0</v>
      </c>
      <c r="AC162" s="80">
        <f>IF(VLOOKUP($D162,$C$5:$AU$516,3,)=0,0,(VLOOKUP($D162,$C$5:$AU$516,27,)/VLOOKUP($D162,$C$5:$AU$516,3,))*$E162)</f>
        <v>0</v>
      </c>
      <c r="AD162" s="80">
        <f>IF(VLOOKUP($D162,$C$5:$AU$516,3,)=0,0,(VLOOKUP($D162,$C$5:$AU$516,28,)/VLOOKUP($D162,$C$5:$AU$516,3,))*$E162)</f>
        <v>0</v>
      </c>
      <c r="AE162" s="80">
        <f>IF(VLOOKUP($D162,$C$5:$AU$516,3,)=0,0,(VLOOKUP($D162,$C$5:$AU$516,29,)/VLOOKUP($D162,$C$5:$AU$516,3,))*$E162)</f>
        <v>0</v>
      </c>
      <c r="AF162" s="80">
        <f>IF(VLOOKUP($D162,$C$5:$AU$516,3,)=0,0,(VLOOKUP($D162,$C$5:$AU$516,30,)/VLOOKUP($D162,$C$5:$AU$516,3,))*$E162)</f>
        <v>0</v>
      </c>
      <c r="AG162" s="65">
        <f>SUM(F162:AF162)</f>
        <v>0</v>
      </c>
      <c r="AH162" s="12" t="str">
        <f>IF(ABS(E162-AG162)&lt;0.01,"ok","err")</f>
        <v>ok</v>
      </c>
    </row>
    <row r="163" spans="1:34" x14ac:dyDescent="0.2">
      <c r="A163" s="3" t="s">
        <v>214</v>
      </c>
      <c r="C163" s="3" t="s">
        <v>275</v>
      </c>
      <c r="E163" s="7">
        <f t="shared" ref="E163:T163" si="41">E161+E162</f>
        <v>0</v>
      </c>
      <c r="F163" s="41">
        <f t="shared" si="41"/>
        <v>0</v>
      </c>
      <c r="G163" s="41">
        <f t="shared" si="41"/>
        <v>0</v>
      </c>
      <c r="H163" s="19">
        <f t="shared" si="41"/>
        <v>0</v>
      </c>
      <c r="I163" s="19">
        <f t="shared" si="41"/>
        <v>0</v>
      </c>
      <c r="J163" s="19">
        <f t="shared" si="41"/>
        <v>0</v>
      </c>
      <c r="K163" s="19">
        <f t="shared" si="41"/>
        <v>0</v>
      </c>
      <c r="L163" s="41">
        <f t="shared" si="41"/>
        <v>0</v>
      </c>
      <c r="M163" s="19">
        <f t="shared" si="41"/>
        <v>0</v>
      </c>
      <c r="N163" s="19">
        <f t="shared" si="41"/>
        <v>0</v>
      </c>
      <c r="O163" s="19">
        <f t="shared" si="41"/>
        <v>0</v>
      </c>
      <c r="P163" s="19">
        <f t="shared" si="41"/>
        <v>0</v>
      </c>
      <c r="Q163" s="19">
        <f t="shared" si="41"/>
        <v>0</v>
      </c>
      <c r="R163" s="19">
        <f t="shared" si="41"/>
        <v>0</v>
      </c>
      <c r="S163" s="80">
        <f t="shared" si="41"/>
        <v>0</v>
      </c>
      <c r="T163" s="80">
        <f t="shared" si="41"/>
        <v>0</v>
      </c>
      <c r="U163" s="80">
        <f t="shared" ref="U163:AF163" si="42">U161+U162</f>
        <v>0</v>
      </c>
      <c r="V163" s="80">
        <f t="shared" si="42"/>
        <v>0</v>
      </c>
      <c r="W163" s="80">
        <f t="shared" si="42"/>
        <v>0</v>
      </c>
      <c r="X163" s="80">
        <f t="shared" si="42"/>
        <v>0</v>
      </c>
      <c r="Y163" s="80">
        <f t="shared" si="42"/>
        <v>0</v>
      </c>
      <c r="Z163" s="80">
        <f t="shared" si="42"/>
        <v>0</v>
      </c>
      <c r="AA163" s="80">
        <f t="shared" si="42"/>
        <v>0</v>
      </c>
      <c r="AB163" s="80">
        <f t="shared" si="42"/>
        <v>0</v>
      </c>
      <c r="AC163" s="80">
        <f t="shared" si="42"/>
        <v>0</v>
      </c>
      <c r="AD163" s="80">
        <f t="shared" si="42"/>
        <v>0</v>
      </c>
      <c r="AE163" s="80">
        <f t="shared" si="42"/>
        <v>0</v>
      </c>
      <c r="AF163" s="80">
        <f t="shared" si="42"/>
        <v>0</v>
      </c>
      <c r="AG163" s="65">
        <f>SUM(F163:AF163)</f>
        <v>0</v>
      </c>
      <c r="AH163" s="12" t="str">
        <f>IF(ABS(E163-AG163)&lt;0.01,"ok","err")</f>
        <v>ok</v>
      </c>
    </row>
    <row r="164" spans="1:34" x14ac:dyDescent="0.2">
      <c r="E164" s="7"/>
      <c r="F164" s="24"/>
    </row>
    <row r="165" spans="1:34" x14ac:dyDescent="0.2">
      <c r="A165" s="2" t="s">
        <v>349</v>
      </c>
      <c r="E165" s="7"/>
      <c r="F165" s="24"/>
    </row>
    <row r="166" spans="1:34" x14ac:dyDescent="0.2">
      <c r="A166" s="68" t="s">
        <v>208</v>
      </c>
      <c r="C166" s="3" t="s">
        <v>857</v>
      </c>
      <c r="D166" s="3" t="s">
        <v>625</v>
      </c>
      <c r="E166" s="19">
        <f>'Func &amp; Classif'!K463</f>
        <v>0</v>
      </c>
      <c r="F166" s="41">
        <f>IF(VLOOKUP($D166,$C$5:$AU$516,3,)=0,0,(VLOOKUP($D166,$C$5:$AU$516,4,)/VLOOKUP($D166,$C$5:$AU$516,3,))*$E166)</f>
        <v>0</v>
      </c>
      <c r="G166" s="41">
        <f>IF(VLOOKUP($D166,$C$5:$AU$516,3,)=0,0,(VLOOKUP($D166,$C$5:$AU$516,5,)/VLOOKUP($D166,$C$5:$AU$516,3,))*$E166)</f>
        <v>0</v>
      </c>
      <c r="H166" s="19">
        <f>IF(VLOOKUP($D166,$C$5:$AU$516,3,)=0,0,(VLOOKUP($D166,$C$5:$AU$516,6,)/VLOOKUP($D166,$C$5:$AU$516,3,))*$E166)</f>
        <v>0</v>
      </c>
      <c r="I166" s="19">
        <f>IF(VLOOKUP($D166,$C$5:$AU$516,3,)=0,0,(VLOOKUP($D166,$C$5:$AU$516,7,)/VLOOKUP($D166,$C$5:$AU$516,3,))*$E166)</f>
        <v>0</v>
      </c>
      <c r="J166" s="19">
        <f>IF(VLOOKUP($D166,$C$5:$AU$516,3,)=0,0,(VLOOKUP($D166,$C$5:$AU$516,8,)/VLOOKUP($D166,$C$5:$AU$516,3,))*$E166)</f>
        <v>0</v>
      </c>
      <c r="K166" s="19">
        <f>IF(VLOOKUP($D166,$C$5:$AU$516,3,)=0,0,(VLOOKUP($D166,$C$5:$AU$516,9,)/VLOOKUP($D166,$C$5:$AU$516,3,))*$E166)</f>
        <v>0</v>
      </c>
      <c r="L166" s="41">
        <f>IF(VLOOKUP($D166,$C$5:$AU$516,3,)=0,0,(VLOOKUP($D166,$C$5:$AU$516,10,)/VLOOKUP($D166,$C$5:$AU$516,3,))*$E166)</f>
        <v>0</v>
      </c>
      <c r="M166" s="19">
        <f>IF(VLOOKUP($D166,$C$5:$AU$516,3,)=0,0,(VLOOKUP($D166,$C$5:$AU$516,11,)/VLOOKUP($D166,$C$5:$AU$516,3,))*$E166)</f>
        <v>0</v>
      </c>
      <c r="N166" s="19">
        <f>IF(VLOOKUP($D166,$C$5:$AU$516,3,)=0,0,(VLOOKUP($D166,$C$5:$AU$516,12,)/VLOOKUP($D166,$C$5:$AU$516,3,))*$E166)</f>
        <v>0</v>
      </c>
      <c r="O166" s="19">
        <f>IF(VLOOKUP($D166,$C$5:$AU$516,3,)=0,0,(VLOOKUP($D166,$C$5:$AU$516,13,)/VLOOKUP($D166,$C$5:$AU$516,3,))*$E166)</f>
        <v>0</v>
      </c>
      <c r="P166" s="19">
        <f>IF(VLOOKUP($D166,$C$5:$AU$516,3,)=0,0,(VLOOKUP($D166,$C$5:$AU$516,14,)/VLOOKUP($D166,$C$5:$AU$516,3,))*$E166)</f>
        <v>0</v>
      </c>
      <c r="Q166" s="19">
        <f>IF(VLOOKUP($D166,$C$5:$AU$516,3,)=0,0,(VLOOKUP($D166,$C$5:$AU$516,15,)/VLOOKUP($D166,$C$5:$AU$516,3,))*$E166)</f>
        <v>0</v>
      </c>
      <c r="R166" s="19">
        <f>IF(VLOOKUP($D166,$C$5:$AU$516,3,)=0,0,(VLOOKUP($D166,$C$5:$AU$516,16,)/VLOOKUP($D166,$C$5:$AU$516,3,))*$E166)</f>
        <v>0</v>
      </c>
      <c r="S166" s="80">
        <f>IF(VLOOKUP($D166,$C$5:$AU$516,3,)=0,0,(VLOOKUP($D166,$C$5:$AU$516,17,)/VLOOKUP($D166,$C$5:$AU$516,3,))*$E166)</f>
        <v>0</v>
      </c>
      <c r="T166" s="80">
        <f>IF(VLOOKUP($D166,$C$5:$AU$516,3,)=0,0,(VLOOKUP($D166,$C$5:$AU$516,18,)/VLOOKUP($D166,$C$5:$AU$516,3,))*$E166)</f>
        <v>0</v>
      </c>
      <c r="U166" s="80">
        <f>IF(VLOOKUP($D166,$C$5:$AU$516,3,)=0,0,(VLOOKUP($D166,$C$5:$AU$516,19,)/VLOOKUP($D166,$C$5:$AU$516,3,))*$E166)</f>
        <v>0</v>
      </c>
      <c r="V166" s="80">
        <f>IF(VLOOKUP($D166,$C$5:$AU$516,3,)=0,0,(VLOOKUP($D166,$C$5:$AU$516,20,)/VLOOKUP($D166,$C$5:$AU$516,3,))*$E166)</f>
        <v>0</v>
      </c>
      <c r="W166" s="80">
        <f>IF(VLOOKUP($D166,$C$5:$AU$516,3,)=0,0,(VLOOKUP($D166,$C$5:$AU$516,21,)/VLOOKUP($D166,$C$5:$AU$516,3,))*$E166)</f>
        <v>0</v>
      </c>
      <c r="X166" s="80">
        <f>IF(VLOOKUP($D166,$C$5:$AU$516,3,)=0,0,(VLOOKUP($D166,$C$5:$AU$516,22,)/VLOOKUP($D166,$C$5:$AU$516,3,))*$E166)</f>
        <v>0</v>
      </c>
      <c r="Y166" s="80">
        <f>IF(VLOOKUP($D166,$C$5:$AU$516,3,)=0,0,(VLOOKUP($D166,$C$5:$AU$516,23,)/VLOOKUP($D166,$C$5:$AU$516,3,))*$E166)</f>
        <v>0</v>
      </c>
      <c r="Z166" s="80">
        <f>IF(VLOOKUP($D166,$C$5:$AU$516,3,)=0,0,(VLOOKUP($D166,$C$5:$AU$516,24,)/VLOOKUP($D166,$C$5:$AU$516,3,))*$E166)</f>
        <v>0</v>
      </c>
      <c r="AA166" s="80">
        <f>IF(VLOOKUP($D166,$C$5:$AU$516,3,)=0,0,(VLOOKUP($D166,$C$5:$AU$516,25,)/VLOOKUP($D166,$C$5:$AU$516,3,))*$E166)</f>
        <v>0</v>
      </c>
      <c r="AB166" s="80">
        <f>IF(VLOOKUP($D166,$C$5:$AU$516,3,)=0,0,(VLOOKUP($D166,$C$5:$AU$516,26,)/VLOOKUP($D166,$C$5:$AU$516,3,))*$E166)</f>
        <v>0</v>
      </c>
      <c r="AC166" s="80">
        <f>IF(VLOOKUP($D166,$C$5:$AU$516,3,)=0,0,(VLOOKUP($D166,$C$5:$AU$516,27,)/VLOOKUP($D166,$C$5:$AU$516,3,))*$E166)</f>
        <v>0</v>
      </c>
      <c r="AD166" s="80">
        <f>IF(VLOOKUP($D166,$C$5:$AU$516,3,)=0,0,(VLOOKUP($D166,$C$5:$AU$516,28,)/VLOOKUP($D166,$C$5:$AU$516,3,))*$E166)</f>
        <v>0</v>
      </c>
      <c r="AE166" s="80">
        <f>IF(VLOOKUP($D166,$C$5:$AU$516,3,)=0,0,(VLOOKUP($D166,$C$5:$AU$516,29,)/VLOOKUP($D166,$C$5:$AU$516,3,))*$E166)</f>
        <v>0</v>
      </c>
      <c r="AF166" s="80">
        <f>IF(VLOOKUP($D166,$C$5:$AU$516,3,)=0,0,(VLOOKUP($D166,$C$5:$AU$516,30,)/VLOOKUP($D166,$C$5:$AU$516,3,))*$E166)</f>
        <v>0</v>
      </c>
      <c r="AG166" s="65">
        <f>SUM(F166:AF166)</f>
        <v>0</v>
      </c>
      <c r="AH166" s="12" t="str">
        <f>IF(ABS(E166-AG166)&lt;0.01,"ok","err")</f>
        <v>ok</v>
      </c>
    </row>
    <row r="167" spans="1:34" x14ac:dyDescent="0.2">
      <c r="E167" s="7"/>
    </row>
    <row r="168" spans="1:34" x14ac:dyDescent="0.2">
      <c r="A168" s="2" t="s">
        <v>1</v>
      </c>
      <c r="E168" s="7"/>
      <c r="F168" s="24"/>
    </row>
    <row r="169" spans="1:34" x14ac:dyDescent="0.2">
      <c r="A169" s="68" t="s">
        <v>208</v>
      </c>
      <c r="C169" s="3" t="s">
        <v>276</v>
      </c>
      <c r="D169" s="3" t="s">
        <v>632</v>
      </c>
      <c r="E169" s="19">
        <f>'Func &amp; Classif'!M463</f>
        <v>6139.2179677211952</v>
      </c>
      <c r="F169" s="41">
        <f>IF(VLOOKUP($D169,$C$5:$AU$516,3,)=0,0,(VLOOKUP($D169,$C$5:$AU$516,4,)/VLOOKUP($D169,$C$5:$AU$516,3,))*$E169)</f>
        <v>4879.4866269915883</v>
      </c>
      <c r="G169" s="41">
        <f>IF(VLOOKUP($D169,$C$5:$AU$516,3,)=0,0,(VLOOKUP($D169,$C$5:$AU$516,5,)/VLOOKUP($D169,$C$5:$AU$516,3,))*$E169)</f>
        <v>314.57829742494562</v>
      </c>
      <c r="H169" s="19">
        <f>IF(VLOOKUP($D169,$C$5:$AU$516,3,)=0,0,(VLOOKUP($D169,$C$5:$AU$516,6,)/VLOOKUP($D169,$C$5:$AU$516,3,))*$E169)</f>
        <v>642.23223767710374</v>
      </c>
      <c r="I169" s="19">
        <f>IF(VLOOKUP($D169,$C$5:$AU$516,3,)=0,0,(VLOOKUP($D169,$C$5:$AU$516,7,)/VLOOKUP($D169,$C$5:$AU$516,3,))*$E169)</f>
        <v>102.36477194808236</v>
      </c>
      <c r="J169" s="19">
        <f>IF(VLOOKUP($D169,$C$5:$AU$516,3,)=0,0,(VLOOKUP($D169,$C$5:$AU$516,8,)/VLOOKUP($D169,$C$5:$AU$516,3,))*$E169)</f>
        <v>137.31001072796298</v>
      </c>
      <c r="K169" s="19">
        <f>IF(VLOOKUP($D169,$C$5:$AU$516,3,)=0,0,(VLOOKUP($D169,$C$5:$AU$516,9,)/VLOOKUP($D169,$C$5:$AU$516,3,))*$E169)</f>
        <v>63.246022951511833</v>
      </c>
      <c r="L169" s="41">
        <f>IF(VLOOKUP($D169,$C$5:$AU$516,3,)=0,0,(VLOOKUP($D169,$C$5:$AU$516,10,)/VLOOKUP($D169,$C$5:$AU$516,3,))*$E169)</f>
        <v>0</v>
      </c>
      <c r="M169" s="19">
        <f>IF(VLOOKUP($D169,$C$5:$AU$516,3,)=0,0,(VLOOKUP($D169,$C$5:$AU$516,11,)/VLOOKUP($D169,$C$5:$AU$516,3,))*$E169)</f>
        <v>0</v>
      </c>
      <c r="N169" s="19">
        <f>IF(VLOOKUP($D169,$C$5:$AU$516,3,)=0,0,(VLOOKUP($D169,$C$5:$AU$516,12,)/VLOOKUP($D169,$C$5:$AU$516,3,))*$E169)</f>
        <v>0</v>
      </c>
      <c r="O169" s="19">
        <f>IF(VLOOKUP($D169,$C$5:$AU$516,3,)=0,0,(VLOOKUP($D169,$C$5:$AU$516,13,)/VLOOKUP($D169,$C$5:$AU$516,3,))*$E169)</f>
        <v>0</v>
      </c>
      <c r="P169" s="19">
        <f>IF(VLOOKUP($D169,$C$5:$AU$516,3,)=0,0,(VLOOKUP($D169,$C$5:$AU$516,14,)/VLOOKUP($D169,$C$5:$AU$516,3,))*$E169)</f>
        <v>0</v>
      </c>
      <c r="Q169" s="19">
        <f>IF(VLOOKUP($D169,$C$5:$AU$516,3,)=0,0,(VLOOKUP($D169,$C$5:$AU$516,15,)/VLOOKUP($D169,$C$5:$AU$516,3,))*$E169)</f>
        <v>0</v>
      </c>
      <c r="R169" s="19">
        <f>IF(VLOOKUP($D169,$C$5:$AU$516,3,)=0,0,(VLOOKUP($D169,$C$5:$AU$516,16,)/VLOOKUP($D169,$C$5:$AU$516,3,))*$E169)</f>
        <v>0</v>
      </c>
      <c r="S169" s="80">
        <f>IF(VLOOKUP($D169,$C$5:$AU$516,3,)=0,0,(VLOOKUP($D169,$C$5:$AU$516,17,)/VLOOKUP($D169,$C$5:$AU$516,3,))*$E169)</f>
        <v>0</v>
      </c>
      <c r="T169" s="80">
        <f>IF(VLOOKUP($D169,$C$5:$AU$516,3,)=0,0,(VLOOKUP($D169,$C$5:$AU$516,18,)/VLOOKUP($D169,$C$5:$AU$516,3,))*$E169)</f>
        <v>0</v>
      </c>
      <c r="U169" s="80">
        <f>IF(VLOOKUP($D169,$C$5:$AU$516,3,)=0,0,(VLOOKUP($D169,$C$5:$AU$516,19,)/VLOOKUP($D169,$C$5:$AU$516,3,))*$E169)</f>
        <v>0</v>
      </c>
      <c r="V169" s="80">
        <f>IF(VLOOKUP($D169,$C$5:$AU$516,3,)=0,0,(VLOOKUP($D169,$C$5:$AU$516,20,)/VLOOKUP($D169,$C$5:$AU$516,3,))*$E169)</f>
        <v>0</v>
      </c>
      <c r="W169" s="80">
        <f>IF(VLOOKUP($D169,$C$5:$AU$516,3,)=0,0,(VLOOKUP($D169,$C$5:$AU$516,21,)/VLOOKUP($D169,$C$5:$AU$516,3,))*$E169)</f>
        <v>0</v>
      </c>
      <c r="X169" s="80">
        <f>IF(VLOOKUP($D169,$C$5:$AU$516,3,)=0,0,(VLOOKUP($D169,$C$5:$AU$516,22,)/VLOOKUP($D169,$C$5:$AU$516,3,))*$E169)</f>
        <v>0</v>
      </c>
      <c r="Y169" s="80">
        <f>IF(VLOOKUP($D169,$C$5:$AU$516,3,)=0,0,(VLOOKUP($D169,$C$5:$AU$516,23,)/VLOOKUP($D169,$C$5:$AU$516,3,))*$E169)</f>
        <v>0</v>
      </c>
      <c r="Z169" s="80">
        <f>IF(VLOOKUP($D169,$C$5:$AU$516,3,)=0,0,(VLOOKUP($D169,$C$5:$AU$516,24,)/VLOOKUP($D169,$C$5:$AU$516,3,))*$E169)</f>
        <v>0</v>
      </c>
      <c r="AA169" s="80">
        <f>IF(VLOOKUP($D169,$C$5:$AU$516,3,)=0,0,(VLOOKUP($D169,$C$5:$AU$516,25,)/VLOOKUP($D169,$C$5:$AU$516,3,))*$E169)</f>
        <v>0</v>
      </c>
      <c r="AB169" s="80">
        <f>IF(VLOOKUP($D169,$C$5:$AU$516,3,)=0,0,(VLOOKUP($D169,$C$5:$AU$516,26,)/VLOOKUP($D169,$C$5:$AU$516,3,))*$E169)</f>
        <v>0</v>
      </c>
      <c r="AC169" s="80">
        <f>IF(VLOOKUP($D169,$C$5:$AU$516,3,)=0,0,(VLOOKUP($D169,$C$5:$AU$516,27,)/VLOOKUP($D169,$C$5:$AU$516,3,))*$E169)</f>
        <v>0</v>
      </c>
      <c r="AD169" s="80">
        <f>IF(VLOOKUP($D169,$C$5:$AU$516,3,)=0,0,(VLOOKUP($D169,$C$5:$AU$516,28,)/VLOOKUP($D169,$C$5:$AU$516,3,))*$E169)</f>
        <v>0</v>
      </c>
      <c r="AE169" s="80">
        <f>IF(VLOOKUP($D169,$C$5:$AU$516,3,)=0,0,(VLOOKUP($D169,$C$5:$AU$516,29,)/VLOOKUP($D169,$C$5:$AU$516,3,))*$E169)</f>
        <v>0</v>
      </c>
      <c r="AF169" s="80">
        <f>IF(VLOOKUP($D169,$C$5:$AU$516,3,)=0,0,(VLOOKUP($D169,$C$5:$AU$516,30,)/VLOOKUP($D169,$C$5:$AU$516,3,))*$E169)</f>
        <v>0</v>
      </c>
      <c r="AG169" s="65">
        <f>SUM(F169:AF169)</f>
        <v>6139.2179677211952</v>
      </c>
      <c r="AH169" s="12" t="str">
        <f>IF(ABS(E169-AG169)&lt;0.01,"ok","err")</f>
        <v>ok</v>
      </c>
    </row>
    <row r="170" spans="1:34" x14ac:dyDescent="0.2">
      <c r="E170" s="7"/>
    </row>
    <row r="171" spans="1:34" x14ac:dyDescent="0.2">
      <c r="A171" s="2" t="s">
        <v>2</v>
      </c>
      <c r="E171" s="7"/>
    </row>
    <row r="172" spans="1:34" x14ac:dyDescent="0.2">
      <c r="A172" s="68" t="s">
        <v>208</v>
      </c>
      <c r="C172" s="3" t="s">
        <v>277</v>
      </c>
      <c r="D172" s="3" t="s">
        <v>629</v>
      </c>
      <c r="E172" s="19">
        <f>'Func &amp; Classif'!O463</f>
        <v>1072304.5402769435</v>
      </c>
      <c r="F172" s="41">
        <f>IF(VLOOKUP($D172,$C$5:$AU$516,3,)=0,0,(VLOOKUP($D172,$C$5:$AU$516,4,)/VLOOKUP($D172,$C$5:$AU$516,3,))*$E172)</f>
        <v>769217.64467086061</v>
      </c>
      <c r="G172" s="41">
        <f>IF(VLOOKUP($D172,$C$5:$AU$516,3,)=0,0,(VLOOKUP($D172,$C$5:$AU$516,5,)/VLOOKUP($D172,$C$5:$AU$516,3,))*$E172)</f>
        <v>27811.574601342007</v>
      </c>
      <c r="H172" s="19">
        <f>IF(VLOOKUP($D172,$C$5:$AU$516,3,)=0,0,(VLOOKUP($D172,$C$5:$AU$516,6,)/VLOOKUP($D172,$C$5:$AU$516,3,))*$E172)</f>
        <v>119336.53475716138</v>
      </c>
      <c r="I172" s="19">
        <f>IF(VLOOKUP($D172,$C$5:$AU$516,3,)=0,0,(VLOOKUP($D172,$C$5:$AU$516,7,)/VLOOKUP($D172,$C$5:$AU$516,3,))*$E172)</f>
        <v>57950.458187805147</v>
      </c>
      <c r="J172" s="19">
        <f>IF(VLOOKUP($D172,$C$5:$AU$516,3,)=0,0,(VLOOKUP($D172,$C$5:$AU$516,8,)/VLOOKUP($D172,$C$5:$AU$516,3,))*$E172)</f>
        <v>20257.859662065552</v>
      </c>
      <c r="K172" s="19">
        <f>IF(VLOOKUP($D172,$C$5:$AU$516,3,)=0,0,(VLOOKUP($D172,$C$5:$AU$516,9,)/VLOOKUP($D172,$C$5:$AU$516,3,))*$E172)</f>
        <v>77730.468397708784</v>
      </c>
      <c r="L172" s="41">
        <f>IF(VLOOKUP($D172,$C$5:$AU$516,3,)=0,0,(VLOOKUP($D172,$C$5:$AU$516,10,)/VLOOKUP($D172,$C$5:$AU$516,3,))*$E172)</f>
        <v>0</v>
      </c>
      <c r="M172" s="19">
        <f>IF(VLOOKUP($D172,$C$5:$AU$516,3,)=0,0,(VLOOKUP($D172,$C$5:$AU$516,11,)/VLOOKUP($D172,$C$5:$AU$516,3,))*$E172)</f>
        <v>0</v>
      </c>
      <c r="N172" s="19">
        <f>IF(VLOOKUP($D172,$C$5:$AU$516,3,)=0,0,(VLOOKUP($D172,$C$5:$AU$516,12,)/VLOOKUP($D172,$C$5:$AU$516,3,))*$E172)</f>
        <v>0</v>
      </c>
      <c r="O172" s="19">
        <f>IF(VLOOKUP($D172,$C$5:$AU$516,3,)=0,0,(VLOOKUP($D172,$C$5:$AU$516,13,)/VLOOKUP($D172,$C$5:$AU$516,3,))*$E172)</f>
        <v>0</v>
      </c>
      <c r="P172" s="19">
        <f>IF(VLOOKUP($D172,$C$5:$AU$516,3,)=0,0,(VLOOKUP($D172,$C$5:$AU$516,14,)/VLOOKUP($D172,$C$5:$AU$516,3,))*$E172)</f>
        <v>0</v>
      </c>
      <c r="Q172" s="19">
        <f>IF(VLOOKUP($D172,$C$5:$AU$516,3,)=0,0,(VLOOKUP($D172,$C$5:$AU$516,15,)/VLOOKUP($D172,$C$5:$AU$516,3,))*$E172)</f>
        <v>0</v>
      </c>
      <c r="R172" s="19">
        <f>IF(VLOOKUP($D172,$C$5:$AU$516,3,)=0,0,(VLOOKUP($D172,$C$5:$AU$516,16,)/VLOOKUP($D172,$C$5:$AU$516,3,))*$E172)</f>
        <v>0</v>
      </c>
      <c r="S172" s="80">
        <f>IF(VLOOKUP($D172,$C$5:$AU$516,3,)=0,0,(VLOOKUP($D172,$C$5:$AU$516,17,)/VLOOKUP($D172,$C$5:$AU$516,3,))*$E172)</f>
        <v>0</v>
      </c>
      <c r="T172" s="80">
        <f>IF(VLOOKUP($D172,$C$5:$AU$516,3,)=0,0,(VLOOKUP($D172,$C$5:$AU$516,18,)/VLOOKUP($D172,$C$5:$AU$516,3,))*$E172)</f>
        <v>0</v>
      </c>
      <c r="U172" s="80">
        <f>IF(VLOOKUP($D172,$C$5:$AU$516,3,)=0,0,(VLOOKUP($D172,$C$5:$AU$516,19,)/VLOOKUP($D172,$C$5:$AU$516,3,))*$E172)</f>
        <v>0</v>
      </c>
      <c r="V172" s="80">
        <f>IF(VLOOKUP($D172,$C$5:$AU$516,3,)=0,0,(VLOOKUP($D172,$C$5:$AU$516,20,)/VLOOKUP($D172,$C$5:$AU$516,3,))*$E172)</f>
        <v>0</v>
      </c>
      <c r="W172" s="80">
        <f>IF(VLOOKUP($D172,$C$5:$AU$516,3,)=0,0,(VLOOKUP($D172,$C$5:$AU$516,21,)/VLOOKUP($D172,$C$5:$AU$516,3,))*$E172)</f>
        <v>0</v>
      </c>
      <c r="X172" s="80">
        <f>IF(VLOOKUP($D172,$C$5:$AU$516,3,)=0,0,(VLOOKUP($D172,$C$5:$AU$516,22,)/VLOOKUP($D172,$C$5:$AU$516,3,))*$E172)</f>
        <v>0</v>
      </c>
      <c r="Y172" s="80">
        <f>IF(VLOOKUP($D172,$C$5:$AU$516,3,)=0,0,(VLOOKUP($D172,$C$5:$AU$516,23,)/VLOOKUP($D172,$C$5:$AU$516,3,))*$E172)</f>
        <v>0</v>
      </c>
      <c r="Z172" s="80">
        <f>IF(VLOOKUP($D172,$C$5:$AU$516,3,)=0,0,(VLOOKUP($D172,$C$5:$AU$516,24,)/VLOOKUP($D172,$C$5:$AU$516,3,))*$E172)</f>
        <v>0</v>
      </c>
      <c r="AA172" s="80">
        <f>IF(VLOOKUP($D172,$C$5:$AU$516,3,)=0,0,(VLOOKUP($D172,$C$5:$AU$516,25,)/VLOOKUP($D172,$C$5:$AU$516,3,))*$E172)</f>
        <v>0</v>
      </c>
      <c r="AB172" s="80">
        <f>IF(VLOOKUP($D172,$C$5:$AU$516,3,)=0,0,(VLOOKUP($D172,$C$5:$AU$516,26,)/VLOOKUP($D172,$C$5:$AU$516,3,))*$E172)</f>
        <v>0</v>
      </c>
      <c r="AC172" s="80">
        <f>IF(VLOOKUP($D172,$C$5:$AU$516,3,)=0,0,(VLOOKUP($D172,$C$5:$AU$516,27,)/VLOOKUP($D172,$C$5:$AU$516,3,))*$E172)</f>
        <v>0</v>
      </c>
      <c r="AD172" s="80">
        <f>IF(VLOOKUP($D172,$C$5:$AU$516,3,)=0,0,(VLOOKUP($D172,$C$5:$AU$516,28,)/VLOOKUP($D172,$C$5:$AU$516,3,))*$E172)</f>
        <v>0</v>
      </c>
      <c r="AE172" s="80">
        <f>IF(VLOOKUP($D172,$C$5:$AU$516,3,)=0,0,(VLOOKUP($D172,$C$5:$AU$516,29,)/VLOOKUP($D172,$C$5:$AU$516,3,))*$E172)</f>
        <v>0</v>
      </c>
      <c r="AF172" s="80">
        <f>IF(VLOOKUP($D172,$C$5:$AU$516,3,)=0,0,(VLOOKUP($D172,$C$5:$AU$516,30,)/VLOOKUP($D172,$C$5:$AU$516,3,))*$E172)</f>
        <v>0</v>
      </c>
      <c r="AG172" s="65">
        <f>SUM(F172:AF172)</f>
        <v>1072304.5402769435</v>
      </c>
      <c r="AH172" s="12" t="str">
        <f>IF(ABS(E172-AG172)&lt;0.01,"ok","err")</f>
        <v>ok</v>
      </c>
    </row>
    <row r="173" spans="1:34" x14ac:dyDescent="0.2">
      <c r="A173" s="68" t="s">
        <v>220</v>
      </c>
      <c r="C173" s="3" t="s">
        <v>278</v>
      </c>
      <c r="D173" s="3" t="s">
        <v>222</v>
      </c>
      <c r="E173" s="7">
        <f>'Func &amp; Classif'!P463</f>
        <v>655572.43123683135</v>
      </c>
      <c r="F173" s="41">
        <f>IF(VLOOKUP($D173,$C$5:$AU$516,3,)=0,0,(VLOOKUP($D173,$C$5:$AU$516,4,)/VLOOKUP($D173,$C$5:$AU$516,3,))*$E173)</f>
        <v>599860.58871748764</v>
      </c>
      <c r="G173" s="41">
        <f>IF(VLOOKUP($D173,$C$5:$AU$516,3,)=0,0,(VLOOKUP($D173,$C$5:$AU$516,5,)/VLOOKUP($D173,$C$5:$AU$516,3,))*$E173)</f>
        <v>45191.225249225412</v>
      </c>
      <c r="H173" s="19">
        <f>IF(VLOOKUP($D173,$C$5:$AU$516,3,)=0,0,(VLOOKUP($D173,$C$5:$AU$516,6,)/VLOOKUP($D173,$C$5:$AU$516,3,))*$E173)</f>
        <v>8291.453692802259</v>
      </c>
      <c r="I173" s="19">
        <f>IF(VLOOKUP($D173,$C$5:$AU$516,3,)=0,0,(VLOOKUP($D173,$C$5:$AU$516,7,)/VLOOKUP($D173,$C$5:$AU$516,3,))*$E173)</f>
        <v>439.79629571806055</v>
      </c>
      <c r="J173" s="19">
        <f>IF(VLOOKUP($D173,$C$5:$AU$516,3,)=0,0,(VLOOKUP($D173,$C$5:$AU$516,8,)/VLOOKUP($D173,$C$5:$AU$516,3,))*$E173)</f>
        <v>51.740740672713002</v>
      </c>
      <c r="K173" s="19">
        <f>IF(VLOOKUP($D173,$C$5:$AU$516,3,)=0,0,(VLOOKUP($D173,$C$5:$AU$516,9,)/VLOOKUP($D173,$C$5:$AU$516,3,))*$E173)</f>
        <v>1737.6265409252783</v>
      </c>
      <c r="L173" s="41">
        <f>IF(VLOOKUP($D173,$C$5:$AU$516,3,)=0,0,(VLOOKUP($D173,$C$5:$AU$516,10,)/VLOOKUP($D173,$C$5:$AU$516,3,))*$E173)</f>
        <v>0</v>
      </c>
      <c r="M173" s="19">
        <f>IF(VLOOKUP($D173,$C$5:$AU$516,3,)=0,0,(VLOOKUP($D173,$C$5:$AU$516,11,)/VLOOKUP($D173,$C$5:$AU$516,3,))*$E173)</f>
        <v>0</v>
      </c>
      <c r="N173" s="19">
        <f>IF(VLOOKUP($D173,$C$5:$AU$516,3,)=0,0,(VLOOKUP($D173,$C$5:$AU$516,12,)/VLOOKUP($D173,$C$5:$AU$516,3,))*$E173)</f>
        <v>0</v>
      </c>
      <c r="O173" s="19">
        <f>IF(VLOOKUP($D173,$C$5:$AU$516,3,)=0,0,(VLOOKUP($D173,$C$5:$AU$516,13,)/VLOOKUP($D173,$C$5:$AU$516,3,))*$E173)</f>
        <v>0</v>
      </c>
      <c r="P173" s="19">
        <f>IF(VLOOKUP($D173,$C$5:$AU$516,3,)=0,0,(VLOOKUP($D173,$C$5:$AU$516,14,)/VLOOKUP($D173,$C$5:$AU$516,3,))*$E173)</f>
        <v>0</v>
      </c>
      <c r="Q173" s="19">
        <f>IF(VLOOKUP($D173,$C$5:$AU$516,3,)=0,0,(VLOOKUP($D173,$C$5:$AU$516,15,)/VLOOKUP($D173,$C$5:$AU$516,3,))*$E173)</f>
        <v>0</v>
      </c>
      <c r="R173" s="19">
        <f>IF(VLOOKUP($D173,$C$5:$AU$516,3,)=0,0,(VLOOKUP($D173,$C$5:$AU$516,16,)/VLOOKUP($D173,$C$5:$AU$516,3,))*$E173)</f>
        <v>0</v>
      </c>
      <c r="S173" s="80">
        <f>IF(VLOOKUP($D173,$C$5:$AU$516,3,)=0,0,(VLOOKUP($D173,$C$5:$AU$516,17,)/VLOOKUP($D173,$C$5:$AU$516,3,))*$E173)</f>
        <v>0</v>
      </c>
      <c r="T173" s="80">
        <f>IF(VLOOKUP($D173,$C$5:$AU$516,3,)=0,0,(VLOOKUP($D173,$C$5:$AU$516,18,)/VLOOKUP($D173,$C$5:$AU$516,3,))*$E173)</f>
        <v>0</v>
      </c>
      <c r="U173" s="80">
        <f>IF(VLOOKUP($D173,$C$5:$AU$516,3,)=0,0,(VLOOKUP($D173,$C$5:$AU$516,19,)/VLOOKUP($D173,$C$5:$AU$516,3,))*$E173)</f>
        <v>0</v>
      </c>
      <c r="V173" s="80">
        <f>IF(VLOOKUP($D173,$C$5:$AU$516,3,)=0,0,(VLOOKUP($D173,$C$5:$AU$516,20,)/VLOOKUP($D173,$C$5:$AU$516,3,))*$E173)</f>
        <v>0</v>
      </c>
      <c r="W173" s="80">
        <f>IF(VLOOKUP($D173,$C$5:$AU$516,3,)=0,0,(VLOOKUP($D173,$C$5:$AU$516,21,)/VLOOKUP($D173,$C$5:$AU$516,3,))*$E173)</f>
        <v>0</v>
      </c>
      <c r="X173" s="80">
        <f>IF(VLOOKUP($D173,$C$5:$AU$516,3,)=0,0,(VLOOKUP($D173,$C$5:$AU$516,22,)/VLOOKUP($D173,$C$5:$AU$516,3,))*$E173)</f>
        <v>0</v>
      </c>
      <c r="Y173" s="80">
        <f>IF(VLOOKUP($D173,$C$5:$AU$516,3,)=0,0,(VLOOKUP($D173,$C$5:$AU$516,23,)/VLOOKUP($D173,$C$5:$AU$516,3,))*$E173)</f>
        <v>0</v>
      </c>
      <c r="Z173" s="80">
        <f>IF(VLOOKUP($D173,$C$5:$AU$516,3,)=0,0,(VLOOKUP($D173,$C$5:$AU$516,24,)/VLOOKUP($D173,$C$5:$AU$516,3,))*$E173)</f>
        <v>0</v>
      </c>
      <c r="AA173" s="80">
        <f>IF(VLOOKUP($D173,$C$5:$AU$516,3,)=0,0,(VLOOKUP($D173,$C$5:$AU$516,25,)/VLOOKUP($D173,$C$5:$AU$516,3,))*$E173)</f>
        <v>0</v>
      </c>
      <c r="AB173" s="80">
        <f>IF(VLOOKUP($D173,$C$5:$AU$516,3,)=0,0,(VLOOKUP($D173,$C$5:$AU$516,26,)/VLOOKUP($D173,$C$5:$AU$516,3,))*$E173)</f>
        <v>0</v>
      </c>
      <c r="AC173" s="80">
        <f>IF(VLOOKUP($D173,$C$5:$AU$516,3,)=0,0,(VLOOKUP($D173,$C$5:$AU$516,27,)/VLOOKUP($D173,$C$5:$AU$516,3,))*$E173)</f>
        <v>0</v>
      </c>
      <c r="AD173" s="80">
        <f>IF(VLOOKUP($D173,$C$5:$AU$516,3,)=0,0,(VLOOKUP($D173,$C$5:$AU$516,28,)/VLOOKUP($D173,$C$5:$AU$516,3,))*$E173)</f>
        <v>0</v>
      </c>
      <c r="AE173" s="80">
        <f>IF(VLOOKUP($D173,$C$5:$AU$516,3,)=0,0,(VLOOKUP($D173,$C$5:$AU$516,29,)/VLOOKUP($D173,$C$5:$AU$516,3,))*$E173)</f>
        <v>0</v>
      </c>
      <c r="AF173" s="80">
        <f>IF(VLOOKUP($D173,$C$5:$AU$516,3,)=0,0,(VLOOKUP($D173,$C$5:$AU$516,30,)/VLOOKUP($D173,$C$5:$AU$516,3,))*$E173)</f>
        <v>0</v>
      </c>
      <c r="AG173" s="65">
        <f>SUM(F173:AF173)</f>
        <v>655572.43123683124</v>
      </c>
      <c r="AH173" s="12" t="str">
        <f>IF(ABS(E173-AG173)&lt;0.01,"ok","err")</f>
        <v>ok</v>
      </c>
    </row>
    <row r="174" spans="1:34" x14ac:dyDescent="0.2">
      <c r="A174" s="3" t="s">
        <v>223</v>
      </c>
      <c r="E174" s="19">
        <f t="shared" ref="E174:T174" si="43">E172+E173</f>
        <v>1727876.9715137747</v>
      </c>
      <c r="F174" s="41">
        <f t="shared" si="43"/>
        <v>1369078.2333883482</v>
      </c>
      <c r="G174" s="41">
        <f t="shared" si="43"/>
        <v>73002.799850567419</v>
      </c>
      <c r="H174" s="19">
        <f t="shared" si="43"/>
        <v>127627.98844996364</v>
      </c>
      <c r="I174" s="19">
        <f t="shared" si="43"/>
        <v>58390.254483523204</v>
      </c>
      <c r="J174" s="19">
        <f t="shared" si="43"/>
        <v>20309.600402738266</v>
      </c>
      <c r="K174" s="19">
        <f t="shared" si="43"/>
        <v>79468.094938634065</v>
      </c>
      <c r="L174" s="41">
        <f t="shared" si="43"/>
        <v>0</v>
      </c>
      <c r="M174" s="19">
        <f t="shared" si="43"/>
        <v>0</v>
      </c>
      <c r="N174" s="19">
        <f t="shared" si="43"/>
        <v>0</v>
      </c>
      <c r="O174" s="19">
        <f t="shared" si="43"/>
        <v>0</v>
      </c>
      <c r="P174" s="19">
        <f t="shared" si="43"/>
        <v>0</v>
      </c>
      <c r="Q174" s="19">
        <f t="shared" si="43"/>
        <v>0</v>
      </c>
      <c r="R174" s="19">
        <f t="shared" si="43"/>
        <v>0</v>
      </c>
      <c r="S174" s="80">
        <f t="shared" si="43"/>
        <v>0</v>
      </c>
      <c r="T174" s="80">
        <f t="shared" si="43"/>
        <v>0</v>
      </c>
      <c r="U174" s="80">
        <f t="shared" ref="U174:AF174" si="44">U172+U173</f>
        <v>0</v>
      </c>
      <c r="V174" s="80">
        <f t="shared" si="44"/>
        <v>0</v>
      </c>
      <c r="W174" s="80">
        <f t="shared" si="44"/>
        <v>0</v>
      </c>
      <c r="X174" s="80">
        <f t="shared" si="44"/>
        <v>0</v>
      </c>
      <c r="Y174" s="80">
        <f t="shared" si="44"/>
        <v>0</v>
      </c>
      <c r="Z174" s="80">
        <f t="shared" si="44"/>
        <v>0</v>
      </c>
      <c r="AA174" s="80">
        <f t="shared" si="44"/>
        <v>0</v>
      </c>
      <c r="AB174" s="80">
        <f t="shared" si="44"/>
        <v>0</v>
      </c>
      <c r="AC174" s="80">
        <f t="shared" si="44"/>
        <v>0</v>
      </c>
      <c r="AD174" s="80">
        <f t="shared" si="44"/>
        <v>0</v>
      </c>
      <c r="AE174" s="80">
        <f t="shared" si="44"/>
        <v>0</v>
      </c>
      <c r="AF174" s="80">
        <f t="shared" si="44"/>
        <v>0</v>
      </c>
      <c r="AG174" s="65">
        <f>SUM(F174:AF174)</f>
        <v>1727876.9715137749</v>
      </c>
      <c r="AH174" s="12" t="str">
        <f>IF(ABS(E174-AG174)&lt;0.01,"ok","err")</f>
        <v>ok</v>
      </c>
    </row>
    <row r="175" spans="1:34" x14ac:dyDescent="0.2">
      <c r="E175" s="7"/>
    </row>
    <row r="176" spans="1:34" x14ac:dyDescent="0.2">
      <c r="A176" s="2" t="s">
        <v>3</v>
      </c>
      <c r="E176" s="7"/>
    </row>
    <row r="177" spans="1:34" x14ac:dyDescent="0.2">
      <c r="A177" s="68" t="s">
        <v>208</v>
      </c>
      <c r="C177" s="3" t="s">
        <v>279</v>
      </c>
      <c r="D177" s="3" t="s">
        <v>700</v>
      </c>
      <c r="E177" s="19">
        <f>'Func &amp; Classif'!R463</f>
        <v>0</v>
      </c>
      <c r="F177" s="41">
        <f>IF(VLOOKUP($D177,$C$5:$AU$516,3,)=0,0,(VLOOKUP($D177,$C$5:$AU$516,4,)/VLOOKUP($D177,$C$5:$AU$516,3,))*$E177)</f>
        <v>0</v>
      </c>
      <c r="G177" s="41">
        <f>IF(VLOOKUP($D177,$C$5:$AU$516,3,)=0,0,(VLOOKUP($D177,$C$5:$AU$516,5,)/VLOOKUP($D177,$C$5:$AU$516,3,))*$E177)</f>
        <v>0</v>
      </c>
      <c r="H177" s="19">
        <f>IF(VLOOKUP($D177,$C$5:$AU$516,3,)=0,0,(VLOOKUP($D177,$C$5:$AU$516,6,)/VLOOKUP($D177,$C$5:$AU$516,3,))*$E177)</f>
        <v>0</v>
      </c>
      <c r="I177" s="19">
        <f>IF(VLOOKUP($D177,$C$5:$AU$516,3,)=0,0,(VLOOKUP($D177,$C$5:$AU$516,7,)/VLOOKUP($D177,$C$5:$AU$516,3,))*$E177)</f>
        <v>0</v>
      </c>
      <c r="J177" s="19">
        <f>IF(VLOOKUP($D177,$C$5:$AU$516,3,)=0,0,(VLOOKUP($D177,$C$5:$AU$516,8,)/VLOOKUP($D177,$C$5:$AU$516,3,))*$E177)</f>
        <v>0</v>
      </c>
      <c r="K177" s="19">
        <f>IF(VLOOKUP($D177,$C$5:$AU$516,3,)=0,0,(VLOOKUP($D177,$C$5:$AU$516,9,)/VLOOKUP($D177,$C$5:$AU$516,3,))*$E177)</f>
        <v>0</v>
      </c>
      <c r="L177" s="41">
        <f>IF(VLOOKUP($D177,$C$5:$AU$516,3,)=0,0,(VLOOKUP($D177,$C$5:$AU$516,10,)/VLOOKUP($D177,$C$5:$AU$516,3,))*$E177)</f>
        <v>0</v>
      </c>
      <c r="M177" s="19">
        <f>IF(VLOOKUP($D177,$C$5:$AU$516,3,)=0,0,(VLOOKUP($D177,$C$5:$AU$516,11,)/VLOOKUP($D177,$C$5:$AU$516,3,))*$E177)</f>
        <v>0</v>
      </c>
      <c r="N177" s="19">
        <f>IF(VLOOKUP($D177,$C$5:$AU$516,3,)=0,0,(VLOOKUP($D177,$C$5:$AU$516,12,)/VLOOKUP($D177,$C$5:$AU$516,3,))*$E177)</f>
        <v>0</v>
      </c>
      <c r="O177" s="19">
        <f>IF(VLOOKUP($D177,$C$5:$AU$516,3,)=0,0,(VLOOKUP($D177,$C$5:$AU$516,13,)/VLOOKUP($D177,$C$5:$AU$516,3,))*$E177)</f>
        <v>0</v>
      </c>
      <c r="P177" s="19">
        <f>IF(VLOOKUP($D177,$C$5:$AU$516,3,)=0,0,(VLOOKUP($D177,$C$5:$AU$516,14,)/VLOOKUP($D177,$C$5:$AU$516,3,))*$E177)</f>
        <v>0</v>
      </c>
      <c r="Q177" s="19">
        <f>IF(VLOOKUP($D177,$C$5:$AU$516,3,)=0,0,(VLOOKUP($D177,$C$5:$AU$516,15,)/VLOOKUP($D177,$C$5:$AU$516,3,))*$E177)</f>
        <v>0</v>
      </c>
      <c r="R177" s="19">
        <f>IF(VLOOKUP($D177,$C$5:$AU$516,3,)=0,0,(VLOOKUP($D177,$C$5:$AU$516,16,)/VLOOKUP($D177,$C$5:$AU$516,3,))*$E177)</f>
        <v>0</v>
      </c>
      <c r="S177" s="80">
        <f>IF(VLOOKUP($D177,$C$5:$AU$516,3,)=0,0,(VLOOKUP($D177,$C$5:$AU$516,17,)/VLOOKUP($D177,$C$5:$AU$516,3,))*$E177)</f>
        <v>0</v>
      </c>
      <c r="T177" s="80">
        <f>IF(VLOOKUP($D177,$C$5:$AU$516,3,)=0,0,(VLOOKUP($D177,$C$5:$AU$516,18,)/VLOOKUP($D177,$C$5:$AU$516,3,))*$E177)</f>
        <v>0</v>
      </c>
      <c r="U177" s="80">
        <f>IF(VLOOKUP($D177,$C$5:$AU$516,3,)=0,0,(VLOOKUP($D177,$C$5:$AU$516,19,)/VLOOKUP($D177,$C$5:$AU$516,3,))*$E177)</f>
        <v>0</v>
      </c>
      <c r="V177" s="80">
        <f>IF(VLOOKUP($D177,$C$5:$AU$516,3,)=0,0,(VLOOKUP($D177,$C$5:$AU$516,20,)/VLOOKUP($D177,$C$5:$AU$516,3,))*$E177)</f>
        <v>0</v>
      </c>
      <c r="W177" s="80">
        <f>IF(VLOOKUP($D177,$C$5:$AU$516,3,)=0,0,(VLOOKUP($D177,$C$5:$AU$516,21,)/VLOOKUP($D177,$C$5:$AU$516,3,))*$E177)</f>
        <v>0</v>
      </c>
      <c r="X177" s="80">
        <f>IF(VLOOKUP($D177,$C$5:$AU$516,3,)=0,0,(VLOOKUP($D177,$C$5:$AU$516,22,)/VLOOKUP($D177,$C$5:$AU$516,3,))*$E177)</f>
        <v>0</v>
      </c>
      <c r="Y177" s="80">
        <f>IF(VLOOKUP($D177,$C$5:$AU$516,3,)=0,0,(VLOOKUP($D177,$C$5:$AU$516,23,)/VLOOKUP($D177,$C$5:$AU$516,3,))*$E177)</f>
        <v>0</v>
      </c>
      <c r="Z177" s="80">
        <f>IF(VLOOKUP($D177,$C$5:$AU$516,3,)=0,0,(VLOOKUP($D177,$C$5:$AU$516,24,)/VLOOKUP($D177,$C$5:$AU$516,3,))*$E177)</f>
        <v>0</v>
      </c>
      <c r="AA177" s="80">
        <f>IF(VLOOKUP($D177,$C$5:$AU$516,3,)=0,0,(VLOOKUP($D177,$C$5:$AU$516,25,)/VLOOKUP($D177,$C$5:$AU$516,3,))*$E177)</f>
        <v>0</v>
      </c>
      <c r="AB177" s="80">
        <f>IF(VLOOKUP($D177,$C$5:$AU$516,3,)=0,0,(VLOOKUP($D177,$C$5:$AU$516,26,)/VLOOKUP($D177,$C$5:$AU$516,3,))*$E177)</f>
        <v>0</v>
      </c>
      <c r="AC177" s="80">
        <f>IF(VLOOKUP($D177,$C$5:$AU$516,3,)=0,0,(VLOOKUP($D177,$C$5:$AU$516,27,)/VLOOKUP($D177,$C$5:$AU$516,3,))*$E177)</f>
        <v>0</v>
      </c>
      <c r="AD177" s="80">
        <f>IF(VLOOKUP($D177,$C$5:$AU$516,3,)=0,0,(VLOOKUP($D177,$C$5:$AU$516,28,)/VLOOKUP($D177,$C$5:$AU$516,3,))*$E177)</f>
        <v>0</v>
      </c>
      <c r="AE177" s="80">
        <f>IF(VLOOKUP($D177,$C$5:$AU$516,3,)=0,0,(VLOOKUP($D177,$C$5:$AU$516,29,)/VLOOKUP($D177,$C$5:$AU$516,3,))*$E177)</f>
        <v>0</v>
      </c>
      <c r="AF177" s="80">
        <f>IF(VLOOKUP($D177,$C$5:$AU$516,3,)=0,0,(VLOOKUP($D177,$C$5:$AU$516,30,)/VLOOKUP($D177,$C$5:$AU$516,3,))*$E177)</f>
        <v>0</v>
      </c>
      <c r="AG177" s="65">
        <f>SUM(F177:AF177)</f>
        <v>0</v>
      </c>
      <c r="AH177" s="12" t="str">
        <f>IF(ABS(E177-AG177)&lt;0.01,"ok","err")</f>
        <v>ok</v>
      </c>
    </row>
    <row r="178" spans="1:34" x14ac:dyDescent="0.2">
      <c r="A178" s="68" t="s">
        <v>220</v>
      </c>
      <c r="C178" s="3" t="s">
        <v>280</v>
      </c>
      <c r="D178" s="3" t="s">
        <v>700</v>
      </c>
      <c r="E178" s="7">
        <f>'Func &amp; Classif'!S463</f>
        <v>80490.41936741618</v>
      </c>
      <c r="F178" s="41">
        <f>IF(VLOOKUP($D178,$C$5:$AU$516,3,)=0,0,(VLOOKUP($D178,$C$5:$AU$516,4,)/VLOOKUP($D178,$C$5:$AU$516,3,))*$E178)</f>
        <v>71598.59288113736</v>
      </c>
      <c r="G178" s="41">
        <f>IF(VLOOKUP($D178,$C$5:$AU$516,3,)=0,0,(VLOOKUP($D178,$C$5:$AU$516,5,)/VLOOKUP($D178,$C$5:$AU$516,3,))*$E178)</f>
        <v>5393.9668637622863</v>
      </c>
      <c r="H178" s="19">
        <f>IF(VLOOKUP($D178,$C$5:$AU$516,3,)=0,0,(VLOOKUP($D178,$C$5:$AU$516,6,)/VLOOKUP($D178,$C$5:$AU$516,3,))*$E178)</f>
        <v>2226.7289502703438</v>
      </c>
      <c r="I178" s="19">
        <f>IF(VLOOKUP($D178,$C$5:$AU$516,3,)=0,0,(VLOOKUP($D178,$C$5:$AU$516,7,)/VLOOKUP($D178,$C$5:$AU$516,3,))*$E178)</f>
        <v>1271.1306722461966</v>
      </c>
      <c r="J178" s="19">
        <f>IF(VLOOKUP($D178,$C$5:$AU$516,3,)=0,0,(VLOOKUP($D178,$C$5:$AU$516,8,)/VLOOKUP($D178,$C$5:$AU$516,3,))*$E178)</f>
        <v>0</v>
      </c>
      <c r="K178" s="19">
        <f>IF(VLOOKUP($D178,$C$5:$AU$516,3,)=0,0,(VLOOKUP($D178,$C$5:$AU$516,9,)/VLOOKUP($D178,$C$5:$AU$516,3,))*$E178)</f>
        <v>0</v>
      </c>
      <c r="L178" s="41">
        <f>IF(VLOOKUP($D178,$C$5:$AU$516,3,)=0,0,(VLOOKUP($D178,$C$5:$AU$516,10,)/VLOOKUP($D178,$C$5:$AU$516,3,))*$E178)</f>
        <v>0</v>
      </c>
      <c r="M178" s="19">
        <f>IF(VLOOKUP($D178,$C$5:$AU$516,3,)=0,0,(VLOOKUP($D178,$C$5:$AU$516,11,)/VLOOKUP($D178,$C$5:$AU$516,3,))*$E178)</f>
        <v>0</v>
      </c>
      <c r="N178" s="19">
        <f>IF(VLOOKUP($D178,$C$5:$AU$516,3,)=0,0,(VLOOKUP($D178,$C$5:$AU$516,12,)/VLOOKUP($D178,$C$5:$AU$516,3,))*$E178)</f>
        <v>0</v>
      </c>
      <c r="O178" s="19">
        <f>IF(VLOOKUP($D178,$C$5:$AU$516,3,)=0,0,(VLOOKUP($D178,$C$5:$AU$516,13,)/VLOOKUP($D178,$C$5:$AU$516,3,))*$E178)</f>
        <v>0</v>
      </c>
      <c r="P178" s="19">
        <f>IF(VLOOKUP($D178,$C$5:$AU$516,3,)=0,0,(VLOOKUP($D178,$C$5:$AU$516,14,)/VLOOKUP($D178,$C$5:$AU$516,3,))*$E178)</f>
        <v>0</v>
      </c>
      <c r="Q178" s="19">
        <f>IF(VLOOKUP($D178,$C$5:$AU$516,3,)=0,0,(VLOOKUP($D178,$C$5:$AU$516,15,)/VLOOKUP($D178,$C$5:$AU$516,3,))*$E178)</f>
        <v>0</v>
      </c>
      <c r="R178" s="19">
        <f>IF(VLOOKUP($D178,$C$5:$AU$516,3,)=0,0,(VLOOKUP($D178,$C$5:$AU$516,16,)/VLOOKUP($D178,$C$5:$AU$516,3,))*$E178)</f>
        <v>0</v>
      </c>
      <c r="S178" s="80">
        <f>IF(VLOOKUP($D178,$C$5:$AU$516,3,)=0,0,(VLOOKUP($D178,$C$5:$AU$516,17,)/VLOOKUP($D178,$C$5:$AU$516,3,))*$E178)</f>
        <v>0</v>
      </c>
      <c r="T178" s="80">
        <f>IF(VLOOKUP($D178,$C$5:$AU$516,3,)=0,0,(VLOOKUP($D178,$C$5:$AU$516,18,)/VLOOKUP($D178,$C$5:$AU$516,3,))*$E178)</f>
        <v>0</v>
      </c>
      <c r="U178" s="80">
        <f>IF(VLOOKUP($D178,$C$5:$AU$516,3,)=0,0,(VLOOKUP($D178,$C$5:$AU$516,19,)/VLOOKUP($D178,$C$5:$AU$516,3,))*$E178)</f>
        <v>0</v>
      </c>
      <c r="V178" s="80">
        <f>IF(VLOOKUP($D178,$C$5:$AU$516,3,)=0,0,(VLOOKUP($D178,$C$5:$AU$516,20,)/VLOOKUP($D178,$C$5:$AU$516,3,))*$E178)</f>
        <v>0</v>
      </c>
      <c r="W178" s="80">
        <f>IF(VLOOKUP($D178,$C$5:$AU$516,3,)=0,0,(VLOOKUP($D178,$C$5:$AU$516,21,)/VLOOKUP($D178,$C$5:$AU$516,3,))*$E178)</f>
        <v>0</v>
      </c>
      <c r="X178" s="80">
        <f>IF(VLOOKUP($D178,$C$5:$AU$516,3,)=0,0,(VLOOKUP($D178,$C$5:$AU$516,22,)/VLOOKUP($D178,$C$5:$AU$516,3,))*$E178)</f>
        <v>0</v>
      </c>
      <c r="Y178" s="80">
        <f>IF(VLOOKUP($D178,$C$5:$AU$516,3,)=0,0,(VLOOKUP($D178,$C$5:$AU$516,23,)/VLOOKUP($D178,$C$5:$AU$516,3,))*$E178)</f>
        <v>0</v>
      </c>
      <c r="Z178" s="80">
        <f>IF(VLOOKUP($D178,$C$5:$AU$516,3,)=0,0,(VLOOKUP($D178,$C$5:$AU$516,24,)/VLOOKUP($D178,$C$5:$AU$516,3,))*$E178)</f>
        <v>0</v>
      </c>
      <c r="AA178" s="80">
        <f>IF(VLOOKUP($D178,$C$5:$AU$516,3,)=0,0,(VLOOKUP($D178,$C$5:$AU$516,25,)/VLOOKUP($D178,$C$5:$AU$516,3,))*$E178)</f>
        <v>0</v>
      </c>
      <c r="AB178" s="80">
        <f>IF(VLOOKUP($D178,$C$5:$AU$516,3,)=0,0,(VLOOKUP($D178,$C$5:$AU$516,26,)/VLOOKUP($D178,$C$5:$AU$516,3,))*$E178)</f>
        <v>0</v>
      </c>
      <c r="AC178" s="80">
        <f>IF(VLOOKUP($D178,$C$5:$AU$516,3,)=0,0,(VLOOKUP($D178,$C$5:$AU$516,27,)/VLOOKUP($D178,$C$5:$AU$516,3,))*$E178)</f>
        <v>0</v>
      </c>
      <c r="AD178" s="80">
        <f>IF(VLOOKUP($D178,$C$5:$AU$516,3,)=0,0,(VLOOKUP($D178,$C$5:$AU$516,28,)/VLOOKUP($D178,$C$5:$AU$516,3,))*$E178)</f>
        <v>0</v>
      </c>
      <c r="AE178" s="80">
        <f>IF(VLOOKUP($D178,$C$5:$AU$516,3,)=0,0,(VLOOKUP($D178,$C$5:$AU$516,29,)/VLOOKUP($D178,$C$5:$AU$516,3,))*$E178)</f>
        <v>0</v>
      </c>
      <c r="AF178" s="80">
        <f>IF(VLOOKUP($D178,$C$5:$AU$516,3,)=0,0,(VLOOKUP($D178,$C$5:$AU$516,30,)/VLOOKUP($D178,$C$5:$AU$516,3,))*$E178)</f>
        <v>0</v>
      </c>
      <c r="AG178" s="65">
        <f>SUM(F178:AF178)</f>
        <v>80490.419367416194</v>
      </c>
      <c r="AH178" s="12" t="str">
        <f>IF(ABS(E178-AG178)&lt;0.01,"ok","err")</f>
        <v>ok</v>
      </c>
    </row>
    <row r="179" spans="1:34" x14ac:dyDescent="0.2">
      <c r="A179" s="3" t="s">
        <v>227</v>
      </c>
      <c r="E179" s="19">
        <f t="shared" ref="E179:T179" si="45">E177+E178</f>
        <v>80490.41936741618</v>
      </c>
      <c r="F179" s="41">
        <f t="shared" si="45"/>
        <v>71598.59288113736</v>
      </c>
      <c r="G179" s="41">
        <f t="shared" si="45"/>
        <v>5393.9668637622863</v>
      </c>
      <c r="H179" s="19">
        <f t="shared" si="45"/>
        <v>2226.7289502703438</v>
      </c>
      <c r="I179" s="19">
        <f t="shared" si="45"/>
        <v>1271.1306722461966</v>
      </c>
      <c r="J179" s="19">
        <f t="shared" si="45"/>
        <v>0</v>
      </c>
      <c r="K179" s="19">
        <f t="shared" si="45"/>
        <v>0</v>
      </c>
      <c r="L179" s="41">
        <f t="shared" si="45"/>
        <v>0</v>
      </c>
      <c r="M179" s="19">
        <f t="shared" si="45"/>
        <v>0</v>
      </c>
      <c r="N179" s="19">
        <f t="shared" si="45"/>
        <v>0</v>
      </c>
      <c r="O179" s="19">
        <f t="shared" si="45"/>
        <v>0</v>
      </c>
      <c r="P179" s="19">
        <f t="shared" si="45"/>
        <v>0</v>
      </c>
      <c r="Q179" s="19">
        <f t="shared" si="45"/>
        <v>0</v>
      </c>
      <c r="R179" s="19">
        <f t="shared" si="45"/>
        <v>0</v>
      </c>
      <c r="S179" s="80">
        <f t="shared" si="45"/>
        <v>0</v>
      </c>
      <c r="T179" s="80">
        <f t="shared" si="45"/>
        <v>0</v>
      </c>
      <c r="U179" s="80">
        <f t="shared" ref="U179:AF179" si="46">U177+U178</f>
        <v>0</v>
      </c>
      <c r="V179" s="80">
        <f t="shared" si="46"/>
        <v>0</v>
      </c>
      <c r="W179" s="80">
        <f t="shared" si="46"/>
        <v>0</v>
      </c>
      <c r="X179" s="80">
        <f t="shared" si="46"/>
        <v>0</v>
      </c>
      <c r="Y179" s="80">
        <f t="shared" si="46"/>
        <v>0</v>
      </c>
      <c r="Z179" s="80">
        <f t="shared" si="46"/>
        <v>0</v>
      </c>
      <c r="AA179" s="80">
        <f t="shared" si="46"/>
        <v>0</v>
      </c>
      <c r="AB179" s="80">
        <f t="shared" si="46"/>
        <v>0</v>
      </c>
      <c r="AC179" s="80">
        <f t="shared" si="46"/>
        <v>0</v>
      </c>
      <c r="AD179" s="80">
        <f t="shared" si="46"/>
        <v>0</v>
      </c>
      <c r="AE179" s="80">
        <f t="shared" si="46"/>
        <v>0</v>
      </c>
      <c r="AF179" s="80">
        <f t="shared" si="46"/>
        <v>0</v>
      </c>
      <c r="AG179" s="65">
        <f>SUM(F179:AF179)</f>
        <v>80490.419367416194</v>
      </c>
      <c r="AH179" s="12" t="str">
        <f>IF(ABS(E179-AG179)&lt;0.01,"ok","err")</f>
        <v>ok</v>
      </c>
    </row>
    <row r="180" spans="1:34" x14ac:dyDescent="0.2">
      <c r="E180" s="7"/>
    </row>
    <row r="181" spans="1:34" x14ac:dyDescent="0.2">
      <c r="A181" s="2" t="s">
        <v>4</v>
      </c>
      <c r="E181" s="7"/>
    </row>
    <row r="182" spans="1:34" x14ac:dyDescent="0.2">
      <c r="A182" s="68" t="s">
        <v>220</v>
      </c>
      <c r="C182" s="3" t="s">
        <v>281</v>
      </c>
      <c r="D182" s="3" t="s">
        <v>229</v>
      </c>
      <c r="E182" s="19">
        <f>'Func &amp; Classif'!U463</f>
        <v>710597.50648609654</v>
      </c>
      <c r="F182" s="41">
        <f>IF(VLOOKUP($D182,$C$5:$AU$516,3,)=0,0,(VLOOKUP($D182,$C$5:$AU$516,4,)/VLOOKUP($D182,$C$5:$AU$516,3,))*$E182)</f>
        <v>637349.35916632577</v>
      </c>
      <c r="G182" s="41">
        <f>IF(VLOOKUP($D182,$C$5:$AU$516,3,)=0,0,(VLOOKUP($D182,$C$5:$AU$516,5,)/VLOOKUP($D182,$C$5:$AU$516,3,))*$E182)</f>
        <v>48015.487255322696</v>
      </c>
      <c r="H182" s="19">
        <f>IF(VLOOKUP($D182,$C$5:$AU$516,3,)=0,0,(VLOOKUP($D182,$C$5:$AU$516,6,)/VLOOKUP($D182,$C$5:$AU$516,3,))*$E182)</f>
        <v>23545.624783169231</v>
      </c>
      <c r="I182" s="19">
        <f>IF(VLOOKUP($D182,$C$5:$AU$516,3,)=0,0,(VLOOKUP($D182,$C$5:$AU$516,7,)/VLOOKUP($D182,$C$5:$AU$516,3,))*$E182)</f>
        <v>1509.4526200915598</v>
      </c>
      <c r="J182" s="19">
        <f>IF(VLOOKUP($D182,$C$5:$AU$516,3,)=0,0,(VLOOKUP($D182,$C$5:$AU$516,8,)/VLOOKUP($D182,$C$5:$AU$516,3,))*$E182)</f>
        <v>177.58266118724234</v>
      </c>
      <c r="K182" s="19">
        <f>IF(VLOOKUP($D182,$C$5:$AU$516,3,)=0,0,(VLOOKUP($D182,$C$5:$AU$516,9,)/VLOOKUP($D182,$C$5:$AU$516,3,))*$E182)</f>
        <v>0</v>
      </c>
      <c r="L182" s="41">
        <f>IF(VLOOKUP($D182,$C$5:$AU$516,3,)=0,0,(VLOOKUP($D182,$C$5:$AU$516,10,)/VLOOKUP($D182,$C$5:$AU$516,3,))*$E182)</f>
        <v>0</v>
      </c>
      <c r="M182" s="19">
        <f>IF(VLOOKUP($D182,$C$5:$AU$516,3,)=0,0,(VLOOKUP($D182,$C$5:$AU$516,11,)/VLOOKUP($D182,$C$5:$AU$516,3,))*$E182)</f>
        <v>0</v>
      </c>
      <c r="N182" s="19">
        <f>IF(VLOOKUP($D182,$C$5:$AU$516,3,)=0,0,(VLOOKUP($D182,$C$5:$AU$516,12,)/VLOOKUP($D182,$C$5:$AU$516,3,))*$E182)</f>
        <v>0</v>
      </c>
      <c r="O182" s="19">
        <f>IF(VLOOKUP($D182,$C$5:$AU$516,3,)=0,0,(VLOOKUP($D182,$C$5:$AU$516,13,)/VLOOKUP($D182,$C$5:$AU$516,3,))*$E182)</f>
        <v>0</v>
      </c>
      <c r="P182" s="19">
        <f>IF(VLOOKUP($D182,$C$5:$AU$516,3,)=0,0,(VLOOKUP($D182,$C$5:$AU$516,14,)/VLOOKUP($D182,$C$5:$AU$516,3,))*$E182)</f>
        <v>0</v>
      </c>
      <c r="Q182" s="19">
        <f>IF(VLOOKUP($D182,$C$5:$AU$516,3,)=0,0,(VLOOKUP($D182,$C$5:$AU$516,15,)/VLOOKUP($D182,$C$5:$AU$516,3,))*$E182)</f>
        <v>0</v>
      </c>
      <c r="R182" s="19">
        <f>IF(VLOOKUP($D182,$C$5:$AU$516,3,)=0,0,(VLOOKUP($D182,$C$5:$AU$516,16,)/VLOOKUP($D182,$C$5:$AU$516,3,))*$E182)</f>
        <v>0</v>
      </c>
      <c r="S182" s="80">
        <f>IF(VLOOKUP($D182,$C$5:$AU$516,3,)=0,0,(VLOOKUP($D182,$C$5:$AU$516,17,)/VLOOKUP($D182,$C$5:$AU$516,3,))*$E182)</f>
        <v>0</v>
      </c>
      <c r="T182" s="80">
        <f>IF(VLOOKUP($D182,$C$5:$AU$516,3,)=0,0,(VLOOKUP($D182,$C$5:$AU$516,18,)/VLOOKUP($D182,$C$5:$AU$516,3,))*$E182)</f>
        <v>0</v>
      </c>
      <c r="U182" s="80">
        <f>IF(VLOOKUP($D182,$C$5:$AU$516,3,)=0,0,(VLOOKUP($D182,$C$5:$AU$516,19,)/VLOOKUP($D182,$C$5:$AU$516,3,))*$E182)</f>
        <v>0</v>
      </c>
      <c r="V182" s="80">
        <f>IF(VLOOKUP($D182,$C$5:$AU$516,3,)=0,0,(VLOOKUP($D182,$C$5:$AU$516,20,)/VLOOKUP($D182,$C$5:$AU$516,3,))*$E182)</f>
        <v>0</v>
      </c>
      <c r="W182" s="80">
        <f>IF(VLOOKUP($D182,$C$5:$AU$516,3,)=0,0,(VLOOKUP($D182,$C$5:$AU$516,21,)/VLOOKUP($D182,$C$5:$AU$516,3,))*$E182)</f>
        <v>0</v>
      </c>
      <c r="X182" s="80">
        <f>IF(VLOOKUP($D182,$C$5:$AU$516,3,)=0,0,(VLOOKUP($D182,$C$5:$AU$516,22,)/VLOOKUP($D182,$C$5:$AU$516,3,))*$E182)</f>
        <v>0</v>
      </c>
      <c r="Y182" s="80">
        <f>IF(VLOOKUP($D182,$C$5:$AU$516,3,)=0,0,(VLOOKUP($D182,$C$5:$AU$516,23,)/VLOOKUP($D182,$C$5:$AU$516,3,))*$E182)</f>
        <v>0</v>
      </c>
      <c r="Z182" s="80">
        <f>IF(VLOOKUP($D182,$C$5:$AU$516,3,)=0,0,(VLOOKUP($D182,$C$5:$AU$516,24,)/VLOOKUP($D182,$C$5:$AU$516,3,))*$E182)</f>
        <v>0</v>
      </c>
      <c r="AA182" s="80">
        <f>IF(VLOOKUP($D182,$C$5:$AU$516,3,)=0,0,(VLOOKUP($D182,$C$5:$AU$516,25,)/VLOOKUP($D182,$C$5:$AU$516,3,))*$E182)</f>
        <v>0</v>
      </c>
      <c r="AB182" s="80">
        <f>IF(VLOOKUP($D182,$C$5:$AU$516,3,)=0,0,(VLOOKUP($D182,$C$5:$AU$516,26,)/VLOOKUP($D182,$C$5:$AU$516,3,))*$E182)</f>
        <v>0</v>
      </c>
      <c r="AC182" s="80">
        <f>IF(VLOOKUP($D182,$C$5:$AU$516,3,)=0,0,(VLOOKUP($D182,$C$5:$AU$516,27,)/VLOOKUP($D182,$C$5:$AU$516,3,))*$E182)</f>
        <v>0</v>
      </c>
      <c r="AD182" s="80">
        <f>IF(VLOOKUP($D182,$C$5:$AU$516,3,)=0,0,(VLOOKUP($D182,$C$5:$AU$516,28,)/VLOOKUP($D182,$C$5:$AU$516,3,))*$E182)</f>
        <v>0</v>
      </c>
      <c r="AE182" s="80">
        <f>IF(VLOOKUP($D182,$C$5:$AU$516,3,)=0,0,(VLOOKUP($D182,$C$5:$AU$516,29,)/VLOOKUP($D182,$C$5:$AU$516,3,))*$E182)</f>
        <v>0</v>
      </c>
      <c r="AF182" s="80">
        <f>IF(VLOOKUP($D182,$C$5:$AU$516,3,)=0,0,(VLOOKUP($D182,$C$5:$AU$516,30,)/VLOOKUP($D182,$C$5:$AU$516,3,))*$E182)</f>
        <v>0</v>
      </c>
      <c r="AG182" s="65">
        <f>SUM(F182:AF182)</f>
        <v>710597.50648609665</v>
      </c>
      <c r="AH182" s="12" t="str">
        <f>IF(ABS(E182-AG182)&lt;0.01,"ok","err")</f>
        <v>ok</v>
      </c>
    </row>
    <row r="183" spans="1:34" x14ac:dyDescent="0.2">
      <c r="E183" s="7"/>
    </row>
    <row r="184" spans="1:34" x14ac:dyDescent="0.2">
      <c r="A184" s="2" t="s">
        <v>5</v>
      </c>
      <c r="E184" s="7"/>
    </row>
    <row r="185" spans="1:34" x14ac:dyDescent="0.2">
      <c r="A185" s="68" t="s">
        <v>220</v>
      </c>
      <c r="C185" s="3" t="s">
        <v>282</v>
      </c>
      <c r="D185" s="3" t="s">
        <v>231</v>
      </c>
      <c r="E185" s="19">
        <f>'Func &amp; Classif'!W463</f>
        <v>48032.720422956707</v>
      </c>
      <c r="F185" s="41">
        <f>IF(VLOOKUP($D185,$C$5:$AU$516,3,)=0,0,(VLOOKUP($D185,$C$5:$AU$516,4,)/VLOOKUP($D185,$C$5:$AU$516,3,))*$E185)</f>
        <v>0</v>
      </c>
      <c r="G185" s="41">
        <f>IF(VLOOKUP($D185,$C$5:$AU$516,3,)=0,0,(VLOOKUP($D185,$C$5:$AU$516,5,)/VLOOKUP($D185,$C$5:$AU$516,3,))*$E185)</f>
        <v>0</v>
      </c>
      <c r="H185" s="19">
        <f>IF(VLOOKUP($D185,$C$5:$AU$516,3,)=0,0,(VLOOKUP($D185,$C$5:$AU$516,6,)/VLOOKUP($D185,$C$5:$AU$516,3,))*$E185)</f>
        <v>0</v>
      </c>
      <c r="I185" s="19">
        <f>IF(VLOOKUP($D185,$C$5:$AU$516,3,)=0,0,(VLOOKUP($D185,$C$5:$AU$516,7,)/VLOOKUP($D185,$C$5:$AU$516,3,))*$E185)</f>
        <v>0</v>
      </c>
      <c r="J185" s="19">
        <f>IF(VLOOKUP($D185,$C$5:$AU$516,3,)=0,0,(VLOOKUP($D185,$C$5:$AU$516,8,)/VLOOKUP($D185,$C$5:$AU$516,3,))*$E185)</f>
        <v>0</v>
      </c>
      <c r="K185" s="19">
        <f>IF(VLOOKUP($D185,$C$5:$AU$516,3,)=0,0,(VLOOKUP($D185,$C$5:$AU$516,9,)/VLOOKUP($D185,$C$5:$AU$516,3,))*$E185)</f>
        <v>48032.720422956707</v>
      </c>
      <c r="L185" s="41">
        <f>IF(VLOOKUP($D185,$C$5:$AU$516,3,)=0,0,(VLOOKUP($D185,$C$5:$AU$516,10,)/VLOOKUP($D185,$C$5:$AU$516,3,))*$E185)</f>
        <v>0</v>
      </c>
      <c r="M185" s="19">
        <f>IF(VLOOKUP($D185,$C$5:$AU$516,3,)=0,0,(VLOOKUP($D185,$C$5:$AU$516,11,)/VLOOKUP($D185,$C$5:$AU$516,3,))*$E185)</f>
        <v>0</v>
      </c>
      <c r="N185" s="19">
        <f>IF(VLOOKUP($D185,$C$5:$AU$516,3,)=0,0,(VLOOKUP($D185,$C$5:$AU$516,12,)/VLOOKUP($D185,$C$5:$AU$516,3,))*$E185)</f>
        <v>0</v>
      </c>
      <c r="O185" s="19">
        <f>IF(VLOOKUP($D185,$C$5:$AU$516,3,)=0,0,(VLOOKUP($D185,$C$5:$AU$516,13,)/VLOOKUP($D185,$C$5:$AU$516,3,))*$E185)</f>
        <v>0</v>
      </c>
      <c r="P185" s="19">
        <f>IF(VLOOKUP($D185,$C$5:$AU$516,3,)=0,0,(VLOOKUP($D185,$C$5:$AU$516,14,)/VLOOKUP($D185,$C$5:$AU$516,3,))*$E185)</f>
        <v>0</v>
      </c>
      <c r="Q185" s="19">
        <f>IF(VLOOKUP($D185,$C$5:$AU$516,3,)=0,0,(VLOOKUP($D185,$C$5:$AU$516,15,)/VLOOKUP($D185,$C$5:$AU$516,3,))*$E185)</f>
        <v>0</v>
      </c>
      <c r="R185" s="19">
        <f>IF(VLOOKUP($D185,$C$5:$AU$516,3,)=0,0,(VLOOKUP($D185,$C$5:$AU$516,16,)/VLOOKUP($D185,$C$5:$AU$516,3,))*$E185)</f>
        <v>0</v>
      </c>
      <c r="S185" s="80">
        <f>IF(VLOOKUP($D185,$C$5:$AU$516,3,)=0,0,(VLOOKUP($D185,$C$5:$AU$516,17,)/VLOOKUP($D185,$C$5:$AU$516,3,))*$E185)</f>
        <v>0</v>
      </c>
      <c r="T185" s="80">
        <f>IF(VLOOKUP($D185,$C$5:$AU$516,3,)=0,0,(VLOOKUP($D185,$C$5:$AU$516,18,)/VLOOKUP($D185,$C$5:$AU$516,3,))*$E185)</f>
        <v>0</v>
      </c>
      <c r="U185" s="80">
        <f>IF(VLOOKUP($D185,$C$5:$AU$516,3,)=0,0,(VLOOKUP($D185,$C$5:$AU$516,19,)/VLOOKUP($D185,$C$5:$AU$516,3,))*$E185)</f>
        <v>0</v>
      </c>
      <c r="V185" s="80">
        <f>IF(VLOOKUP($D185,$C$5:$AU$516,3,)=0,0,(VLOOKUP($D185,$C$5:$AU$516,20,)/VLOOKUP($D185,$C$5:$AU$516,3,))*$E185)</f>
        <v>0</v>
      </c>
      <c r="W185" s="80">
        <f>IF(VLOOKUP($D185,$C$5:$AU$516,3,)=0,0,(VLOOKUP($D185,$C$5:$AU$516,21,)/VLOOKUP($D185,$C$5:$AU$516,3,))*$E185)</f>
        <v>0</v>
      </c>
      <c r="X185" s="80">
        <f>IF(VLOOKUP($D185,$C$5:$AU$516,3,)=0,0,(VLOOKUP($D185,$C$5:$AU$516,22,)/VLOOKUP($D185,$C$5:$AU$516,3,))*$E185)</f>
        <v>0</v>
      </c>
      <c r="Y185" s="80">
        <f>IF(VLOOKUP($D185,$C$5:$AU$516,3,)=0,0,(VLOOKUP($D185,$C$5:$AU$516,23,)/VLOOKUP($D185,$C$5:$AU$516,3,))*$E185)</f>
        <v>0</v>
      </c>
      <c r="Z185" s="80">
        <f>IF(VLOOKUP($D185,$C$5:$AU$516,3,)=0,0,(VLOOKUP($D185,$C$5:$AU$516,24,)/VLOOKUP($D185,$C$5:$AU$516,3,))*$E185)</f>
        <v>0</v>
      </c>
      <c r="AA185" s="80">
        <f>IF(VLOOKUP($D185,$C$5:$AU$516,3,)=0,0,(VLOOKUP($D185,$C$5:$AU$516,25,)/VLOOKUP($D185,$C$5:$AU$516,3,))*$E185)</f>
        <v>0</v>
      </c>
      <c r="AB185" s="80">
        <f>IF(VLOOKUP($D185,$C$5:$AU$516,3,)=0,0,(VLOOKUP($D185,$C$5:$AU$516,26,)/VLOOKUP($D185,$C$5:$AU$516,3,))*$E185)</f>
        <v>0</v>
      </c>
      <c r="AC185" s="80">
        <f>IF(VLOOKUP($D185,$C$5:$AU$516,3,)=0,0,(VLOOKUP($D185,$C$5:$AU$516,27,)/VLOOKUP($D185,$C$5:$AU$516,3,))*$E185)</f>
        <v>0</v>
      </c>
      <c r="AD185" s="80">
        <f>IF(VLOOKUP($D185,$C$5:$AU$516,3,)=0,0,(VLOOKUP($D185,$C$5:$AU$516,28,)/VLOOKUP($D185,$C$5:$AU$516,3,))*$E185)</f>
        <v>0</v>
      </c>
      <c r="AE185" s="80">
        <f>IF(VLOOKUP($D185,$C$5:$AU$516,3,)=0,0,(VLOOKUP($D185,$C$5:$AU$516,29,)/VLOOKUP($D185,$C$5:$AU$516,3,))*$E185)</f>
        <v>0</v>
      </c>
      <c r="AF185" s="80">
        <f>IF(VLOOKUP($D185,$C$5:$AU$516,3,)=0,0,(VLOOKUP($D185,$C$5:$AU$516,30,)/VLOOKUP($D185,$C$5:$AU$516,3,))*$E185)</f>
        <v>0</v>
      </c>
      <c r="AG185" s="65">
        <f>SUM(F185:AF185)</f>
        <v>48032.720422956707</v>
      </c>
      <c r="AH185" s="12" t="str">
        <f>IF(ABS(E185-AG185)&lt;0.01,"ok","err")</f>
        <v>ok</v>
      </c>
    </row>
    <row r="186" spans="1:34" x14ac:dyDescent="0.2">
      <c r="E186" s="7"/>
    </row>
    <row r="187" spans="1:34" x14ac:dyDescent="0.2">
      <c r="A187" s="2" t="s">
        <v>545</v>
      </c>
      <c r="E187" s="7"/>
    </row>
    <row r="188" spans="1:34" x14ac:dyDescent="0.2">
      <c r="A188" s="68" t="s">
        <v>220</v>
      </c>
      <c r="C188" s="3" t="s">
        <v>283</v>
      </c>
      <c r="D188" s="3" t="s">
        <v>233</v>
      </c>
      <c r="E188" s="19">
        <f>'Func &amp; Classif'!Y463</f>
        <v>1012790.5324472324</v>
      </c>
      <c r="F188" s="41">
        <f>IF(VLOOKUP($D188,$C$5:$AU$516,3,)=0,0,(VLOOKUP($D188,$C$5:$AU$516,4,)/VLOOKUP($D188,$C$5:$AU$516,3,))*$E188)</f>
        <v>926721.58878782671</v>
      </c>
      <c r="G188" s="41">
        <f>IF(VLOOKUP($D188,$C$5:$AU$516,3,)=0,0,(VLOOKUP($D188,$C$5:$AU$516,5,)/VLOOKUP($D188,$C$5:$AU$516,3,))*$E188)</f>
        <v>69815.695263078072</v>
      </c>
      <c r="H188" s="19">
        <f>IF(VLOOKUP($D188,$C$5:$AU$516,3,)=0,0,(VLOOKUP($D188,$C$5:$AU$516,6,)/VLOOKUP($D188,$C$5:$AU$516,3,))*$E188)</f>
        <v>12809.424863171371</v>
      </c>
      <c r="I188" s="19">
        <f>IF(VLOOKUP($D188,$C$5:$AU$516,3,)=0,0,(VLOOKUP($D188,$C$5:$AU$516,7,)/VLOOKUP($D188,$C$5:$AU$516,3,))*$E188)</f>
        <v>679.43907230550167</v>
      </c>
      <c r="J188" s="19">
        <f>IF(VLOOKUP($D188,$C$5:$AU$516,3,)=0,0,(VLOOKUP($D188,$C$5:$AU$516,8,)/VLOOKUP($D188,$C$5:$AU$516,3,))*$E188)</f>
        <v>79.934008506529608</v>
      </c>
      <c r="K188" s="19">
        <f>IF(VLOOKUP($D188,$C$5:$AU$516,3,)=0,0,(VLOOKUP($D188,$C$5:$AU$516,9,)/VLOOKUP($D188,$C$5:$AU$516,3,))*$E188)</f>
        <v>2684.4504523442861</v>
      </c>
      <c r="L188" s="41">
        <f>IF(VLOOKUP($D188,$C$5:$AU$516,3,)=0,0,(VLOOKUP($D188,$C$5:$AU$516,10,)/VLOOKUP($D188,$C$5:$AU$516,3,))*$E188)</f>
        <v>0</v>
      </c>
      <c r="M188" s="19">
        <f>IF(VLOOKUP($D188,$C$5:$AU$516,3,)=0,0,(VLOOKUP($D188,$C$5:$AU$516,11,)/VLOOKUP($D188,$C$5:$AU$516,3,))*$E188)</f>
        <v>0</v>
      </c>
      <c r="N188" s="19">
        <f>IF(VLOOKUP($D188,$C$5:$AU$516,3,)=0,0,(VLOOKUP($D188,$C$5:$AU$516,12,)/VLOOKUP($D188,$C$5:$AU$516,3,))*$E188)</f>
        <v>0</v>
      </c>
      <c r="O188" s="19">
        <f>IF(VLOOKUP($D188,$C$5:$AU$516,3,)=0,0,(VLOOKUP($D188,$C$5:$AU$516,13,)/VLOOKUP($D188,$C$5:$AU$516,3,))*$E188)</f>
        <v>0</v>
      </c>
      <c r="P188" s="19">
        <f>IF(VLOOKUP($D188,$C$5:$AU$516,3,)=0,0,(VLOOKUP($D188,$C$5:$AU$516,14,)/VLOOKUP($D188,$C$5:$AU$516,3,))*$E188)</f>
        <v>0</v>
      </c>
      <c r="Q188" s="19">
        <f>IF(VLOOKUP($D188,$C$5:$AU$516,3,)=0,0,(VLOOKUP($D188,$C$5:$AU$516,15,)/VLOOKUP($D188,$C$5:$AU$516,3,))*$E188)</f>
        <v>0</v>
      </c>
      <c r="R188" s="19">
        <f>IF(VLOOKUP($D188,$C$5:$AU$516,3,)=0,0,(VLOOKUP($D188,$C$5:$AU$516,16,)/VLOOKUP($D188,$C$5:$AU$516,3,))*$E188)</f>
        <v>0</v>
      </c>
      <c r="S188" s="80">
        <f>IF(VLOOKUP($D188,$C$5:$AU$516,3,)=0,0,(VLOOKUP($D188,$C$5:$AU$516,17,)/VLOOKUP($D188,$C$5:$AU$516,3,))*$E188)</f>
        <v>0</v>
      </c>
      <c r="T188" s="80">
        <f>IF(VLOOKUP($D188,$C$5:$AU$516,3,)=0,0,(VLOOKUP($D188,$C$5:$AU$516,18,)/VLOOKUP($D188,$C$5:$AU$516,3,))*$E188)</f>
        <v>0</v>
      </c>
      <c r="U188" s="80">
        <f>IF(VLOOKUP($D188,$C$5:$AU$516,3,)=0,0,(VLOOKUP($D188,$C$5:$AU$516,19,)/VLOOKUP($D188,$C$5:$AU$516,3,))*$E188)</f>
        <v>0</v>
      </c>
      <c r="V188" s="80">
        <f>IF(VLOOKUP($D188,$C$5:$AU$516,3,)=0,0,(VLOOKUP($D188,$C$5:$AU$516,20,)/VLOOKUP($D188,$C$5:$AU$516,3,))*$E188)</f>
        <v>0</v>
      </c>
      <c r="W188" s="80">
        <f>IF(VLOOKUP($D188,$C$5:$AU$516,3,)=0,0,(VLOOKUP($D188,$C$5:$AU$516,21,)/VLOOKUP($D188,$C$5:$AU$516,3,))*$E188)</f>
        <v>0</v>
      </c>
      <c r="X188" s="80">
        <f>IF(VLOOKUP($D188,$C$5:$AU$516,3,)=0,0,(VLOOKUP($D188,$C$5:$AU$516,22,)/VLOOKUP($D188,$C$5:$AU$516,3,))*$E188)</f>
        <v>0</v>
      </c>
      <c r="Y188" s="80">
        <f>IF(VLOOKUP($D188,$C$5:$AU$516,3,)=0,0,(VLOOKUP($D188,$C$5:$AU$516,23,)/VLOOKUP($D188,$C$5:$AU$516,3,))*$E188)</f>
        <v>0</v>
      </c>
      <c r="Z188" s="80">
        <f>IF(VLOOKUP($D188,$C$5:$AU$516,3,)=0,0,(VLOOKUP($D188,$C$5:$AU$516,24,)/VLOOKUP($D188,$C$5:$AU$516,3,))*$E188)</f>
        <v>0</v>
      </c>
      <c r="AA188" s="80">
        <f>IF(VLOOKUP($D188,$C$5:$AU$516,3,)=0,0,(VLOOKUP($D188,$C$5:$AU$516,25,)/VLOOKUP($D188,$C$5:$AU$516,3,))*$E188)</f>
        <v>0</v>
      </c>
      <c r="AB188" s="80">
        <f>IF(VLOOKUP($D188,$C$5:$AU$516,3,)=0,0,(VLOOKUP($D188,$C$5:$AU$516,26,)/VLOOKUP($D188,$C$5:$AU$516,3,))*$E188)</f>
        <v>0</v>
      </c>
      <c r="AC188" s="80">
        <f>IF(VLOOKUP($D188,$C$5:$AU$516,3,)=0,0,(VLOOKUP($D188,$C$5:$AU$516,27,)/VLOOKUP($D188,$C$5:$AU$516,3,))*$E188)</f>
        <v>0</v>
      </c>
      <c r="AD188" s="80">
        <f>IF(VLOOKUP($D188,$C$5:$AU$516,3,)=0,0,(VLOOKUP($D188,$C$5:$AU$516,28,)/VLOOKUP($D188,$C$5:$AU$516,3,))*$E188)</f>
        <v>0</v>
      </c>
      <c r="AE188" s="80">
        <f>IF(VLOOKUP($D188,$C$5:$AU$516,3,)=0,0,(VLOOKUP($D188,$C$5:$AU$516,29,)/VLOOKUP($D188,$C$5:$AU$516,3,))*$E188)</f>
        <v>0</v>
      </c>
      <c r="AF188" s="80">
        <f>IF(VLOOKUP($D188,$C$5:$AU$516,3,)=0,0,(VLOOKUP($D188,$C$5:$AU$516,30,)/VLOOKUP($D188,$C$5:$AU$516,3,))*$E188)</f>
        <v>0</v>
      </c>
      <c r="AG188" s="65">
        <f>SUM(F188:AF188)</f>
        <v>1012790.5324472324</v>
      </c>
      <c r="AH188" s="12" t="str">
        <f>IF(ABS(E188-AG188)&lt;0.01,"ok","err")</f>
        <v>ok</v>
      </c>
    </row>
    <row r="189" spans="1:34" x14ac:dyDescent="0.2">
      <c r="E189" s="7"/>
    </row>
    <row r="190" spans="1:34" x14ac:dyDescent="0.2">
      <c r="A190" s="2" t="s">
        <v>470</v>
      </c>
      <c r="E190" s="7"/>
    </row>
    <row r="191" spans="1:34" x14ac:dyDescent="0.2">
      <c r="A191" s="68" t="s">
        <v>220</v>
      </c>
      <c r="C191" s="3" t="s">
        <v>280</v>
      </c>
      <c r="D191" s="3" t="s">
        <v>234</v>
      </c>
      <c r="E191" s="19">
        <f>'Func &amp; Classif'!AA463</f>
        <v>5.6317948019615178</v>
      </c>
      <c r="F191" s="41">
        <f>IF(VLOOKUP($D191,$C$5:$AU$516,3,)=0,0,(VLOOKUP($D191,$C$5:$AU$516,4,)/VLOOKUP($D191,$C$5:$AU$516,3,))*$E191)</f>
        <v>5.1536004803810531</v>
      </c>
      <c r="G191" s="41">
        <f>IF(VLOOKUP($D191,$C$5:$AU$516,3,)=0,0,(VLOOKUP($D191,$C$5:$AU$516,5,)/VLOOKUP($D191,$C$5:$AU$516,3,))*$E191)</f>
        <v>0.38825274494421347</v>
      </c>
      <c r="H191" s="19">
        <f>IF(VLOOKUP($D191,$C$5:$AU$516,3,)=0,0,(VLOOKUP($D191,$C$5:$AU$516,6,)/VLOOKUP($D191,$C$5:$AU$516,3,))*$E191)</f>
        <v>7.123461773950221E-2</v>
      </c>
      <c r="I191" s="19">
        <f>IF(VLOOKUP($D191,$C$5:$AU$516,3,)=0,0,(VLOOKUP($D191,$C$5:$AU$516,7,)/VLOOKUP($D191,$C$5:$AU$516,3,))*$E191)</f>
        <v>3.7784352623136891E-3</v>
      </c>
      <c r="J191" s="19">
        <f>IF(VLOOKUP($D191,$C$5:$AU$516,3,)=0,0,(VLOOKUP($D191,$C$5:$AU$516,8,)/VLOOKUP($D191,$C$5:$AU$516,3,))*$E191)</f>
        <v>0</v>
      </c>
      <c r="K191" s="19">
        <f>IF(VLOOKUP($D191,$C$5:$AU$516,3,)=0,0,(VLOOKUP($D191,$C$5:$AU$516,9,)/VLOOKUP($D191,$C$5:$AU$516,3,))*$E191)</f>
        <v>1.4928523634435458E-2</v>
      </c>
      <c r="L191" s="41">
        <f>IF(VLOOKUP($D191,$C$5:$AU$516,3,)=0,0,(VLOOKUP($D191,$C$5:$AU$516,10,)/VLOOKUP($D191,$C$5:$AU$516,3,))*$E191)</f>
        <v>0</v>
      </c>
      <c r="M191" s="19">
        <f>IF(VLOOKUP($D191,$C$5:$AU$516,3,)=0,0,(VLOOKUP($D191,$C$5:$AU$516,11,)/VLOOKUP($D191,$C$5:$AU$516,3,))*$E191)</f>
        <v>0</v>
      </c>
      <c r="N191" s="19">
        <f>IF(VLOOKUP($D191,$C$5:$AU$516,3,)=0,0,(VLOOKUP($D191,$C$5:$AU$516,12,)/VLOOKUP($D191,$C$5:$AU$516,3,))*$E191)</f>
        <v>0</v>
      </c>
      <c r="O191" s="19">
        <f>IF(VLOOKUP($D191,$C$5:$AU$516,3,)=0,0,(VLOOKUP($D191,$C$5:$AU$516,13,)/VLOOKUP($D191,$C$5:$AU$516,3,))*$E191)</f>
        <v>0</v>
      </c>
      <c r="P191" s="19">
        <f>IF(VLOOKUP($D191,$C$5:$AU$516,3,)=0,0,(VLOOKUP($D191,$C$5:$AU$516,14,)/VLOOKUP($D191,$C$5:$AU$516,3,))*$E191)</f>
        <v>0</v>
      </c>
      <c r="Q191" s="19">
        <f>IF(VLOOKUP($D191,$C$5:$AU$516,3,)=0,0,(VLOOKUP($D191,$C$5:$AU$516,15,)/VLOOKUP($D191,$C$5:$AU$516,3,))*$E191)</f>
        <v>0</v>
      </c>
      <c r="R191" s="19">
        <f>IF(VLOOKUP($D191,$C$5:$AU$516,3,)=0,0,(VLOOKUP($D191,$C$5:$AU$516,16,)/VLOOKUP($D191,$C$5:$AU$516,3,))*$E191)</f>
        <v>0</v>
      </c>
      <c r="S191" s="80">
        <f>IF(VLOOKUP($D191,$C$5:$AU$516,3,)=0,0,(VLOOKUP($D191,$C$5:$AU$516,17,)/VLOOKUP($D191,$C$5:$AU$516,3,))*$E191)</f>
        <v>0</v>
      </c>
      <c r="T191" s="80">
        <f>IF(VLOOKUP($D191,$C$5:$AU$516,3,)=0,0,(VLOOKUP($D191,$C$5:$AU$516,18,)/VLOOKUP($D191,$C$5:$AU$516,3,))*$E191)</f>
        <v>0</v>
      </c>
      <c r="U191" s="80">
        <f>IF(VLOOKUP($D191,$C$5:$AU$516,3,)=0,0,(VLOOKUP($D191,$C$5:$AU$516,19,)/VLOOKUP($D191,$C$5:$AU$516,3,))*$E191)</f>
        <v>0</v>
      </c>
      <c r="V191" s="80">
        <f>IF(VLOOKUP($D191,$C$5:$AU$516,3,)=0,0,(VLOOKUP($D191,$C$5:$AU$516,20,)/VLOOKUP($D191,$C$5:$AU$516,3,))*$E191)</f>
        <v>0</v>
      </c>
      <c r="W191" s="80">
        <f>IF(VLOOKUP($D191,$C$5:$AU$516,3,)=0,0,(VLOOKUP($D191,$C$5:$AU$516,21,)/VLOOKUP($D191,$C$5:$AU$516,3,))*$E191)</f>
        <v>0</v>
      </c>
      <c r="X191" s="80">
        <f>IF(VLOOKUP($D191,$C$5:$AU$516,3,)=0,0,(VLOOKUP($D191,$C$5:$AU$516,22,)/VLOOKUP($D191,$C$5:$AU$516,3,))*$E191)</f>
        <v>0</v>
      </c>
      <c r="Y191" s="80">
        <f>IF(VLOOKUP($D191,$C$5:$AU$516,3,)=0,0,(VLOOKUP($D191,$C$5:$AU$516,23,)/VLOOKUP($D191,$C$5:$AU$516,3,))*$E191)</f>
        <v>0</v>
      </c>
      <c r="Z191" s="80">
        <f>IF(VLOOKUP($D191,$C$5:$AU$516,3,)=0,0,(VLOOKUP($D191,$C$5:$AU$516,24,)/VLOOKUP($D191,$C$5:$AU$516,3,))*$E191)</f>
        <v>0</v>
      </c>
      <c r="AA191" s="80">
        <f>IF(VLOOKUP($D191,$C$5:$AU$516,3,)=0,0,(VLOOKUP($D191,$C$5:$AU$516,25,)/VLOOKUP($D191,$C$5:$AU$516,3,))*$E191)</f>
        <v>0</v>
      </c>
      <c r="AB191" s="80">
        <f>IF(VLOOKUP($D191,$C$5:$AU$516,3,)=0,0,(VLOOKUP($D191,$C$5:$AU$516,26,)/VLOOKUP($D191,$C$5:$AU$516,3,))*$E191)</f>
        <v>0</v>
      </c>
      <c r="AC191" s="80">
        <f>IF(VLOOKUP($D191,$C$5:$AU$516,3,)=0,0,(VLOOKUP($D191,$C$5:$AU$516,27,)/VLOOKUP($D191,$C$5:$AU$516,3,))*$E191)</f>
        <v>0</v>
      </c>
      <c r="AD191" s="80">
        <f>IF(VLOOKUP($D191,$C$5:$AU$516,3,)=0,0,(VLOOKUP($D191,$C$5:$AU$516,28,)/VLOOKUP($D191,$C$5:$AU$516,3,))*$E191)</f>
        <v>0</v>
      </c>
      <c r="AE191" s="80">
        <f>IF(VLOOKUP($D191,$C$5:$AU$516,3,)=0,0,(VLOOKUP($D191,$C$5:$AU$516,29,)/VLOOKUP($D191,$C$5:$AU$516,3,))*$E191)</f>
        <v>0</v>
      </c>
      <c r="AF191" s="80">
        <f>IF(VLOOKUP($D191,$C$5:$AU$516,3,)=0,0,(VLOOKUP($D191,$C$5:$AU$516,30,)/VLOOKUP($D191,$C$5:$AU$516,3,))*$E191)</f>
        <v>0</v>
      </c>
      <c r="AG191" s="65">
        <f>SUM(F191:AF191)</f>
        <v>5.6317948019615178</v>
      </c>
      <c r="AH191" s="12" t="str">
        <f>IF(ABS(E191-AG191)&lt;0.01,"ok","err")</f>
        <v>ok</v>
      </c>
    </row>
    <row r="192" spans="1:34" x14ac:dyDescent="0.2">
      <c r="E192" s="7"/>
    </row>
    <row r="193" spans="1:34" x14ac:dyDescent="0.2">
      <c r="A193" s="3" t="s">
        <v>0</v>
      </c>
      <c r="C193" s="3" t="s">
        <v>284</v>
      </c>
      <c r="E193" s="19">
        <f>E163+E166+E169+E174+E179+E182+E185+E188+E191</f>
        <v>3585932.9999999995</v>
      </c>
      <c r="F193" s="19">
        <f t="shared" ref="F193:R193" si="47">F163+F166+F169+F174+F179+F182+F185+F188+F191</f>
        <v>3009632.4144511102</v>
      </c>
      <c r="G193" s="19">
        <f t="shared" si="47"/>
        <v>196542.91578290038</v>
      </c>
      <c r="H193" s="19">
        <f t="shared" si="47"/>
        <v>166852.07051886944</v>
      </c>
      <c r="I193" s="19">
        <f t="shared" si="47"/>
        <v>61952.645398549801</v>
      </c>
      <c r="J193" s="19">
        <f t="shared" si="47"/>
        <v>20704.427083160004</v>
      </c>
      <c r="K193" s="19">
        <f t="shared" si="47"/>
        <v>130248.52676541022</v>
      </c>
      <c r="L193" s="19">
        <f t="shared" si="47"/>
        <v>0</v>
      </c>
      <c r="M193" s="19">
        <f t="shared" si="47"/>
        <v>0</v>
      </c>
      <c r="N193" s="19">
        <f t="shared" si="47"/>
        <v>0</v>
      </c>
      <c r="O193" s="19">
        <f t="shared" si="47"/>
        <v>0</v>
      </c>
      <c r="P193" s="19">
        <f t="shared" si="47"/>
        <v>0</v>
      </c>
      <c r="Q193" s="19">
        <f t="shared" si="47"/>
        <v>0</v>
      </c>
      <c r="R193" s="19">
        <f t="shared" si="47"/>
        <v>0</v>
      </c>
      <c r="S193" s="80">
        <f t="shared" ref="S193:AF193" si="48">S163+S169+S174+S179+S182+S185+S188+S191</f>
        <v>0</v>
      </c>
      <c r="T193" s="80">
        <f t="shared" si="48"/>
        <v>0</v>
      </c>
      <c r="U193" s="80">
        <f t="shared" si="48"/>
        <v>0</v>
      </c>
      <c r="V193" s="80">
        <f t="shared" si="48"/>
        <v>0</v>
      </c>
      <c r="W193" s="80">
        <f t="shared" si="48"/>
        <v>0</v>
      </c>
      <c r="X193" s="80">
        <f t="shared" si="48"/>
        <v>0</v>
      </c>
      <c r="Y193" s="80">
        <f t="shared" si="48"/>
        <v>0</v>
      </c>
      <c r="Z193" s="80">
        <f t="shared" si="48"/>
        <v>0</v>
      </c>
      <c r="AA193" s="80">
        <f t="shared" si="48"/>
        <v>0</v>
      </c>
      <c r="AB193" s="80">
        <f t="shared" si="48"/>
        <v>0</v>
      </c>
      <c r="AC193" s="80">
        <f t="shared" si="48"/>
        <v>0</v>
      </c>
      <c r="AD193" s="80">
        <f t="shared" si="48"/>
        <v>0</v>
      </c>
      <c r="AE193" s="80">
        <f t="shared" si="48"/>
        <v>0</v>
      </c>
      <c r="AF193" s="80">
        <f t="shared" si="48"/>
        <v>0</v>
      </c>
      <c r="AG193" s="65">
        <f>SUM(F193:AF193)</f>
        <v>3585933</v>
      </c>
      <c r="AH193" s="12" t="str">
        <f>IF(ABS(E193-AG193)&lt;0.01,"ok","err")</f>
        <v>ok</v>
      </c>
    </row>
    <row r="194" spans="1:34" x14ac:dyDescent="0.2">
      <c r="E194" s="178">
        <f>E193/$E193</f>
        <v>1</v>
      </c>
      <c r="F194" s="178">
        <f>F193/$E193</f>
        <v>0.83928852392142028</v>
      </c>
      <c r="G194" s="178">
        <f t="shared" ref="G194" si="49">G193/$E193</f>
        <v>5.4809422201390935E-2</v>
      </c>
      <c r="H194" s="178">
        <f t="shared" ref="H194" si="50">H193/$E193</f>
        <v>4.6529611824557088E-2</v>
      </c>
      <c r="I194" s="178">
        <f t="shared" ref="I194" si="51">I193/$E193</f>
        <v>1.7276576388501906E-2</v>
      </c>
      <c r="J194" s="178">
        <f t="shared" ref="J194" si="52">J193/$E193</f>
        <v>5.7737908330021803E-3</v>
      </c>
      <c r="K194" s="178">
        <f t="shared" ref="K194" si="53">K193/$E193</f>
        <v>3.6322074831127697E-2</v>
      </c>
      <c r="L194" s="178">
        <f t="shared" ref="L194" si="54">L193/$E193</f>
        <v>0</v>
      </c>
      <c r="M194" s="22">
        <f t="shared" ref="M194" si="55">M193/$E193</f>
        <v>0</v>
      </c>
    </row>
    <row r="196" spans="1:34" x14ac:dyDescent="0.2">
      <c r="A196" s="10" t="s">
        <v>184</v>
      </c>
    </row>
    <row r="198" spans="1:34" x14ac:dyDescent="0.2">
      <c r="A198" s="2" t="s">
        <v>864</v>
      </c>
    </row>
    <row r="199" spans="1:34" x14ac:dyDescent="0.2">
      <c r="A199" s="68" t="s">
        <v>208</v>
      </c>
      <c r="C199" s="3" t="s">
        <v>285</v>
      </c>
      <c r="D199" s="3" t="s">
        <v>657</v>
      </c>
      <c r="E199" s="19">
        <f>'Func &amp; Classif'!H312</f>
        <v>0</v>
      </c>
      <c r="F199" s="41">
        <f>IF(VLOOKUP($D199,$C$5:$AU$516,3,)=0,0,(VLOOKUP($D199,$C$5:$AU$516,4,)/VLOOKUP($D199,$C$5:$AU$516,3,))*$E199)</f>
        <v>0</v>
      </c>
      <c r="G199" s="41">
        <f>IF(VLOOKUP($D199,$C$5:$AU$516,3,)=0,0,(VLOOKUP($D199,$C$5:$AU$516,5,)/VLOOKUP($D199,$C$5:$AU$516,3,))*$E199)</f>
        <v>0</v>
      </c>
      <c r="H199" s="19">
        <f>IF(VLOOKUP($D199,$C$5:$AU$516,3,)=0,0,(VLOOKUP($D199,$C$5:$AU$516,6,)/VLOOKUP($D199,$C$5:$AU$516,3,))*$E199)</f>
        <v>0</v>
      </c>
      <c r="I199" s="19">
        <f>IF(VLOOKUP($D199,$C$5:$AU$516,3,)=0,0,(VLOOKUP($D199,$C$5:$AU$516,7,)/VLOOKUP($D199,$C$5:$AU$516,3,))*$E199)</f>
        <v>0</v>
      </c>
      <c r="J199" s="19">
        <f>IF(VLOOKUP($D199,$C$5:$AU$516,3,)=0,0,(VLOOKUP($D199,$C$5:$AU$516,8,)/VLOOKUP($D199,$C$5:$AU$516,3,))*$E199)</f>
        <v>0</v>
      </c>
      <c r="K199" s="19">
        <f>IF(VLOOKUP($D199,$C$5:$AU$516,3,)=0,0,(VLOOKUP($D199,$C$5:$AU$516,9,)/VLOOKUP($D199,$C$5:$AU$516,3,))*$E199)</f>
        <v>0</v>
      </c>
      <c r="L199" s="41">
        <f>IF(VLOOKUP($D199,$C$5:$AU$516,3,)=0,0,(VLOOKUP($D199,$C$5:$AU$516,10,)/VLOOKUP($D199,$C$5:$AU$516,3,))*$E199)</f>
        <v>0</v>
      </c>
      <c r="M199" s="19">
        <f>IF(VLOOKUP($D199,$C$5:$AU$516,3,)=0,0,(VLOOKUP($D199,$C$5:$AU$516,11,)/VLOOKUP($D199,$C$5:$AU$516,3,))*$E199)</f>
        <v>0</v>
      </c>
      <c r="N199" s="19">
        <f>IF(VLOOKUP($D199,$C$5:$AU$516,3,)=0,0,(VLOOKUP($D199,$C$5:$AU$516,12,)/VLOOKUP($D199,$C$5:$AU$516,3,))*$E199)</f>
        <v>0</v>
      </c>
      <c r="O199" s="19">
        <f>IF(VLOOKUP($D199,$C$5:$AU$516,3,)=0,0,(VLOOKUP($D199,$C$5:$AU$516,13,)/VLOOKUP($D199,$C$5:$AU$516,3,))*$E199)</f>
        <v>0</v>
      </c>
      <c r="P199" s="19">
        <f>IF(VLOOKUP($D199,$C$5:$AU$516,3,)=0,0,(VLOOKUP($D199,$C$5:$AU$516,14,)/VLOOKUP($D199,$C$5:$AU$516,3,))*$E199)</f>
        <v>0</v>
      </c>
      <c r="Q199" s="19">
        <f>IF(VLOOKUP($D199,$C$5:$AU$516,3,)=0,0,(VLOOKUP($D199,$C$5:$AU$516,15,)/VLOOKUP($D199,$C$5:$AU$516,3,))*$E199)</f>
        <v>0</v>
      </c>
      <c r="R199" s="19">
        <f>IF(VLOOKUP($D199,$C$5:$AU$516,3,)=0,0,(VLOOKUP($D199,$C$5:$AU$516,16,)/VLOOKUP($D199,$C$5:$AU$516,3,))*$E199)</f>
        <v>0</v>
      </c>
      <c r="S199" s="80">
        <f>IF(VLOOKUP($D199,$C$5:$AU$516,3,)=0,0,(VLOOKUP($D199,$C$5:$AU$516,17,)/VLOOKUP($D199,$C$5:$AU$516,3,))*$E199)</f>
        <v>0</v>
      </c>
      <c r="T199" s="80">
        <f>IF(VLOOKUP($D199,$C$5:$AU$516,3,)=0,0,(VLOOKUP($D199,$C$5:$AU$516,18,)/VLOOKUP($D199,$C$5:$AU$516,3,))*$E199)</f>
        <v>0</v>
      </c>
      <c r="U199" s="80">
        <f>IF(VLOOKUP($D199,$C$5:$AU$516,3,)=0,0,(VLOOKUP($D199,$C$5:$AU$516,19,)/VLOOKUP($D199,$C$5:$AU$516,3,))*$E199)</f>
        <v>0</v>
      </c>
      <c r="V199" s="80">
        <f>IF(VLOOKUP($D199,$C$5:$AU$516,3,)=0,0,(VLOOKUP($D199,$C$5:$AU$516,20,)/VLOOKUP($D199,$C$5:$AU$516,3,))*$E199)</f>
        <v>0</v>
      </c>
      <c r="W199" s="80">
        <f>IF(VLOOKUP($D199,$C$5:$AU$516,3,)=0,0,(VLOOKUP($D199,$C$5:$AU$516,21,)/VLOOKUP($D199,$C$5:$AU$516,3,))*$E199)</f>
        <v>0</v>
      </c>
      <c r="X199" s="80">
        <f>IF(VLOOKUP($D199,$C$5:$AU$516,3,)=0,0,(VLOOKUP($D199,$C$5:$AU$516,22,)/VLOOKUP($D199,$C$5:$AU$516,3,))*$E199)</f>
        <v>0</v>
      </c>
      <c r="Y199" s="80">
        <f>IF(VLOOKUP($D199,$C$5:$AU$516,3,)=0,0,(VLOOKUP($D199,$C$5:$AU$516,23,)/VLOOKUP($D199,$C$5:$AU$516,3,))*$E199)</f>
        <v>0</v>
      </c>
      <c r="Z199" s="80">
        <f>IF(VLOOKUP($D199,$C$5:$AU$516,3,)=0,0,(VLOOKUP($D199,$C$5:$AU$516,24,)/VLOOKUP($D199,$C$5:$AU$516,3,))*$E199)</f>
        <v>0</v>
      </c>
      <c r="AA199" s="80">
        <f>IF(VLOOKUP($D199,$C$5:$AU$516,3,)=0,0,(VLOOKUP($D199,$C$5:$AU$516,25,)/VLOOKUP($D199,$C$5:$AU$516,3,))*$E199)</f>
        <v>0</v>
      </c>
      <c r="AB199" s="80">
        <f>IF(VLOOKUP($D199,$C$5:$AU$516,3,)=0,0,(VLOOKUP($D199,$C$5:$AU$516,26,)/VLOOKUP($D199,$C$5:$AU$516,3,))*$E199)</f>
        <v>0</v>
      </c>
      <c r="AC199" s="80">
        <f>IF(VLOOKUP($D199,$C$5:$AU$516,3,)=0,0,(VLOOKUP($D199,$C$5:$AU$516,27,)/VLOOKUP($D199,$C$5:$AU$516,3,))*$E199)</f>
        <v>0</v>
      </c>
      <c r="AD199" s="80">
        <f>IF(VLOOKUP($D199,$C$5:$AU$516,3,)=0,0,(VLOOKUP($D199,$C$5:$AU$516,28,)/VLOOKUP($D199,$C$5:$AU$516,3,))*$E199)</f>
        <v>0</v>
      </c>
      <c r="AE199" s="80">
        <f>IF(VLOOKUP($D199,$C$5:$AU$516,3,)=0,0,(VLOOKUP($D199,$C$5:$AU$516,29,)/VLOOKUP($D199,$C$5:$AU$516,3,))*$E199)</f>
        <v>0</v>
      </c>
      <c r="AF199" s="80">
        <f>IF(VLOOKUP($D199,$C$5:$AU$516,3,)=0,0,(VLOOKUP($D199,$C$5:$AU$516,30,)/VLOOKUP($D199,$C$5:$AU$516,3,))*$E199)</f>
        <v>0</v>
      </c>
      <c r="AG199" s="65">
        <f>SUM(F199:AF199)</f>
        <v>0</v>
      </c>
      <c r="AH199" s="12" t="str">
        <f>IF(ABS(E199-AG199)&lt;0.01,"ok","err")</f>
        <v>ok</v>
      </c>
    </row>
    <row r="200" spans="1:34" x14ac:dyDescent="0.2">
      <c r="A200" s="68" t="s">
        <v>211</v>
      </c>
      <c r="C200" s="3" t="s">
        <v>286</v>
      </c>
      <c r="D200" s="3" t="s">
        <v>666</v>
      </c>
      <c r="E200" s="7">
        <f>'Func &amp; Classif'!I312</f>
        <v>0</v>
      </c>
      <c r="F200" s="41">
        <f>IF(VLOOKUP($D200,$C$5:$AU$516,3,)=0,0,(VLOOKUP($D200,$C$5:$AU$516,4,)/VLOOKUP($D200,$C$5:$AU$516,3,))*$E200)</f>
        <v>0</v>
      </c>
      <c r="G200" s="41">
        <f>IF(VLOOKUP($D200,$C$5:$AU$516,3,)=0,0,(VLOOKUP($D200,$C$5:$AU$516,5,)/VLOOKUP($D200,$C$5:$AU$516,3,))*$E200)</f>
        <v>0</v>
      </c>
      <c r="H200" s="19">
        <f>IF(VLOOKUP($D200,$C$5:$AU$516,3,)=0,0,(VLOOKUP($D200,$C$5:$AU$516,6,)/VLOOKUP($D200,$C$5:$AU$516,3,))*$E200)</f>
        <v>0</v>
      </c>
      <c r="I200" s="19">
        <f>IF(VLOOKUP($D200,$C$5:$AU$516,3,)=0,0,(VLOOKUP($D200,$C$5:$AU$516,7,)/VLOOKUP($D200,$C$5:$AU$516,3,))*$E200)</f>
        <v>0</v>
      </c>
      <c r="J200" s="19">
        <f>IF(VLOOKUP($D200,$C$5:$AU$516,3,)=0,0,(VLOOKUP($D200,$C$5:$AU$516,8,)/VLOOKUP($D200,$C$5:$AU$516,3,))*$E200)</f>
        <v>0</v>
      </c>
      <c r="K200" s="19">
        <f>IF(VLOOKUP($D200,$C$5:$AU$516,3,)=0,0,(VLOOKUP($D200,$C$5:$AU$516,9,)/VLOOKUP($D200,$C$5:$AU$516,3,))*$E200)</f>
        <v>0</v>
      </c>
      <c r="L200" s="41">
        <f>IF(VLOOKUP($D200,$C$5:$AU$516,3,)=0,0,(VLOOKUP($D200,$C$5:$AU$516,10,)/VLOOKUP($D200,$C$5:$AU$516,3,))*$E200)</f>
        <v>0</v>
      </c>
      <c r="M200" s="19">
        <f>IF(VLOOKUP($D200,$C$5:$AU$516,3,)=0,0,(VLOOKUP($D200,$C$5:$AU$516,11,)/VLOOKUP($D200,$C$5:$AU$516,3,))*$E200)</f>
        <v>0</v>
      </c>
      <c r="N200" s="19">
        <f>IF(VLOOKUP($D200,$C$5:$AU$516,3,)=0,0,(VLOOKUP($D200,$C$5:$AU$516,12,)/VLOOKUP($D200,$C$5:$AU$516,3,))*$E200)</f>
        <v>0</v>
      </c>
      <c r="O200" s="19">
        <f>IF(VLOOKUP($D200,$C$5:$AU$516,3,)=0,0,(VLOOKUP($D200,$C$5:$AU$516,13,)/VLOOKUP($D200,$C$5:$AU$516,3,))*$E200)</f>
        <v>0</v>
      </c>
      <c r="P200" s="19">
        <f>IF(VLOOKUP($D200,$C$5:$AU$516,3,)=0,0,(VLOOKUP($D200,$C$5:$AU$516,14,)/VLOOKUP($D200,$C$5:$AU$516,3,))*$E200)</f>
        <v>0</v>
      </c>
      <c r="Q200" s="19">
        <f>IF(VLOOKUP($D200,$C$5:$AU$516,3,)=0,0,(VLOOKUP($D200,$C$5:$AU$516,15,)/VLOOKUP($D200,$C$5:$AU$516,3,))*$E200)</f>
        <v>0</v>
      </c>
      <c r="R200" s="19">
        <f>IF(VLOOKUP($D200,$C$5:$AU$516,3,)=0,0,(VLOOKUP($D200,$C$5:$AU$516,16,)/VLOOKUP($D200,$C$5:$AU$516,3,))*$E200)</f>
        <v>0</v>
      </c>
      <c r="S200" s="80">
        <f>IF(VLOOKUP($D200,$C$5:$AU$516,3,)=0,0,(VLOOKUP($D200,$C$5:$AU$516,17,)/VLOOKUP($D200,$C$5:$AU$516,3,))*$E200)</f>
        <v>0</v>
      </c>
      <c r="T200" s="80">
        <f>IF(VLOOKUP($D200,$C$5:$AU$516,3,)=0,0,(VLOOKUP($D200,$C$5:$AU$516,18,)/VLOOKUP($D200,$C$5:$AU$516,3,))*$E200)</f>
        <v>0</v>
      </c>
      <c r="U200" s="80">
        <f>IF(VLOOKUP($D200,$C$5:$AU$516,3,)=0,0,(VLOOKUP($D200,$C$5:$AU$516,19,)/VLOOKUP($D200,$C$5:$AU$516,3,))*$E200)</f>
        <v>0</v>
      </c>
      <c r="V200" s="80">
        <f>IF(VLOOKUP($D200,$C$5:$AU$516,3,)=0,0,(VLOOKUP($D200,$C$5:$AU$516,20,)/VLOOKUP($D200,$C$5:$AU$516,3,))*$E200)</f>
        <v>0</v>
      </c>
      <c r="W200" s="80">
        <f>IF(VLOOKUP($D200,$C$5:$AU$516,3,)=0,0,(VLOOKUP($D200,$C$5:$AU$516,21,)/VLOOKUP($D200,$C$5:$AU$516,3,))*$E200)</f>
        <v>0</v>
      </c>
      <c r="X200" s="80">
        <f>IF(VLOOKUP($D200,$C$5:$AU$516,3,)=0,0,(VLOOKUP($D200,$C$5:$AU$516,22,)/VLOOKUP($D200,$C$5:$AU$516,3,))*$E200)</f>
        <v>0</v>
      </c>
      <c r="Y200" s="80">
        <f>IF(VLOOKUP($D200,$C$5:$AU$516,3,)=0,0,(VLOOKUP($D200,$C$5:$AU$516,23,)/VLOOKUP($D200,$C$5:$AU$516,3,))*$E200)</f>
        <v>0</v>
      </c>
      <c r="Z200" s="80">
        <f>IF(VLOOKUP($D200,$C$5:$AU$516,3,)=0,0,(VLOOKUP($D200,$C$5:$AU$516,24,)/VLOOKUP($D200,$C$5:$AU$516,3,))*$E200)</f>
        <v>0</v>
      </c>
      <c r="AA200" s="80">
        <f>IF(VLOOKUP($D200,$C$5:$AU$516,3,)=0,0,(VLOOKUP($D200,$C$5:$AU$516,25,)/VLOOKUP($D200,$C$5:$AU$516,3,))*$E200)</f>
        <v>0</v>
      </c>
      <c r="AB200" s="80">
        <f>IF(VLOOKUP($D200,$C$5:$AU$516,3,)=0,0,(VLOOKUP($D200,$C$5:$AU$516,26,)/VLOOKUP($D200,$C$5:$AU$516,3,))*$E200)</f>
        <v>0</v>
      </c>
      <c r="AC200" s="80">
        <f>IF(VLOOKUP($D200,$C$5:$AU$516,3,)=0,0,(VLOOKUP($D200,$C$5:$AU$516,27,)/VLOOKUP($D200,$C$5:$AU$516,3,))*$E200)</f>
        <v>0</v>
      </c>
      <c r="AD200" s="80">
        <f>IF(VLOOKUP($D200,$C$5:$AU$516,3,)=0,0,(VLOOKUP($D200,$C$5:$AU$516,28,)/VLOOKUP($D200,$C$5:$AU$516,3,))*$E200)</f>
        <v>0</v>
      </c>
      <c r="AE200" s="80">
        <f>IF(VLOOKUP($D200,$C$5:$AU$516,3,)=0,0,(VLOOKUP($D200,$C$5:$AU$516,29,)/VLOOKUP($D200,$C$5:$AU$516,3,))*$E200)</f>
        <v>0</v>
      </c>
      <c r="AF200" s="80">
        <f>IF(VLOOKUP($D200,$C$5:$AU$516,3,)=0,0,(VLOOKUP($D200,$C$5:$AU$516,30,)/VLOOKUP($D200,$C$5:$AU$516,3,))*$E200)</f>
        <v>0</v>
      </c>
      <c r="AG200" s="65">
        <f>SUM(F200:AF200)</f>
        <v>0</v>
      </c>
      <c r="AH200" s="12" t="str">
        <f>IF(ABS(E200-AG200)&lt;0.01,"ok","err")</f>
        <v>ok</v>
      </c>
    </row>
    <row r="201" spans="1:34" x14ac:dyDescent="0.2">
      <c r="A201" s="3" t="s">
        <v>214</v>
      </c>
      <c r="C201" s="3" t="s">
        <v>287</v>
      </c>
      <c r="E201" s="7">
        <f t="shared" ref="E201:T201" si="56">E199+E200</f>
        <v>0</v>
      </c>
      <c r="F201" s="41">
        <f t="shared" si="56"/>
        <v>0</v>
      </c>
      <c r="G201" s="41">
        <f t="shared" si="56"/>
        <v>0</v>
      </c>
      <c r="H201" s="19">
        <f t="shared" si="56"/>
        <v>0</v>
      </c>
      <c r="I201" s="19">
        <f t="shared" si="56"/>
        <v>0</v>
      </c>
      <c r="J201" s="19">
        <f t="shared" si="56"/>
        <v>0</v>
      </c>
      <c r="K201" s="19">
        <f t="shared" si="56"/>
        <v>0</v>
      </c>
      <c r="L201" s="41">
        <f t="shared" si="56"/>
        <v>0</v>
      </c>
      <c r="M201" s="19">
        <f t="shared" si="56"/>
        <v>0</v>
      </c>
      <c r="N201" s="19">
        <f t="shared" si="56"/>
        <v>0</v>
      </c>
      <c r="O201" s="19">
        <f t="shared" si="56"/>
        <v>0</v>
      </c>
      <c r="P201" s="19">
        <f t="shared" si="56"/>
        <v>0</v>
      </c>
      <c r="Q201" s="19">
        <f t="shared" si="56"/>
        <v>0</v>
      </c>
      <c r="R201" s="19">
        <f t="shared" si="56"/>
        <v>0</v>
      </c>
      <c r="S201" s="80">
        <f t="shared" si="56"/>
        <v>0</v>
      </c>
      <c r="T201" s="80">
        <f t="shared" si="56"/>
        <v>0</v>
      </c>
      <c r="U201" s="80">
        <f t="shared" ref="U201:AF201" si="57">U199+U200</f>
        <v>0</v>
      </c>
      <c r="V201" s="80">
        <f t="shared" si="57"/>
        <v>0</v>
      </c>
      <c r="W201" s="80">
        <f t="shared" si="57"/>
        <v>0</v>
      </c>
      <c r="X201" s="80">
        <f t="shared" si="57"/>
        <v>0</v>
      </c>
      <c r="Y201" s="80">
        <f t="shared" si="57"/>
        <v>0</v>
      </c>
      <c r="Z201" s="80">
        <f t="shared" si="57"/>
        <v>0</v>
      </c>
      <c r="AA201" s="80">
        <f t="shared" si="57"/>
        <v>0</v>
      </c>
      <c r="AB201" s="80">
        <f t="shared" si="57"/>
        <v>0</v>
      </c>
      <c r="AC201" s="80">
        <f t="shared" si="57"/>
        <v>0</v>
      </c>
      <c r="AD201" s="80">
        <f t="shared" si="57"/>
        <v>0</v>
      </c>
      <c r="AE201" s="80">
        <f t="shared" si="57"/>
        <v>0</v>
      </c>
      <c r="AF201" s="80">
        <f t="shared" si="57"/>
        <v>0</v>
      </c>
      <c r="AG201" s="65">
        <f>SUM(F201:AF201)</f>
        <v>0</v>
      </c>
      <c r="AH201" s="12" t="str">
        <f>IF(ABS(E201-AG201)&lt;0.01,"ok","err")</f>
        <v>ok</v>
      </c>
    </row>
    <row r="202" spans="1:34" x14ac:dyDescent="0.2">
      <c r="E202" s="7"/>
      <c r="F202" s="24"/>
    </row>
    <row r="203" spans="1:34" x14ac:dyDescent="0.2">
      <c r="A203" s="2" t="s">
        <v>349</v>
      </c>
      <c r="E203" s="7"/>
      <c r="F203" s="24"/>
    </row>
    <row r="204" spans="1:34" x14ac:dyDescent="0.2">
      <c r="A204" s="68" t="s">
        <v>208</v>
      </c>
      <c r="C204" s="3" t="s">
        <v>858</v>
      </c>
      <c r="D204" s="3" t="s">
        <v>600</v>
      </c>
      <c r="E204" s="19">
        <f>'Func &amp; Classif'!K312</f>
        <v>0</v>
      </c>
      <c r="F204" s="41">
        <f>IF(VLOOKUP($D204,$C$5:$AU$516,3,)=0,0,(VLOOKUP($D204,$C$5:$AU$516,4,)/VLOOKUP($D204,$C$5:$AU$516,3,))*$E204)</f>
        <v>0</v>
      </c>
      <c r="G204" s="41">
        <f>IF(VLOOKUP($D204,$C$5:$AU$516,3,)=0,0,(VLOOKUP($D204,$C$5:$AU$516,5,)/VLOOKUP($D204,$C$5:$AU$516,3,))*$E204)</f>
        <v>0</v>
      </c>
      <c r="H204" s="19">
        <f>IF(VLOOKUP($D204,$C$5:$AU$516,3,)=0,0,(VLOOKUP($D204,$C$5:$AU$516,6,)/VLOOKUP($D204,$C$5:$AU$516,3,))*$E204)</f>
        <v>0</v>
      </c>
      <c r="I204" s="19">
        <f>IF(VLOOKUP($D204,$C$5:$AU$516,3,)=0,0,(VLOOKUP($D204,$C$5:$AU$516,7,)/VLOOKUP($D204,$C$5:$AU$516,3,))*$E204)</f>
        <v>0</v>
      </c>
      <c r="J204" s="19">
        <f>IF(VLOOKUP($D204,$C$5:$AU$516,3,)=0,0,(VLOOKUP($D204,$C$5:$AU$516,8,)/VLOOKUP($D204,$C$5:$AU$516,3,))*$E204)</f>
        <v>0</v>
      </c>
      <c r="K204" s="19">
        <f>IF(VLOOKUP($D204,$C$5:$AU$516,3,)=0,0,(VLOOKUP($D204,$C$5:$AU$516,9,)/VLOOKUP($D204,$C$5:$AU$516,3,))*$E204)</f>
        <v>0</v>
      </c>
      <c r="L204" s="41">
        <f>IF(VLOOKUP($D204,$C$5:$AU$516,3,)=0,0,(VLOOKUP($D204,$C$5:$AU$516,10,)/VLOOKUP($D204,$C$5:$AU$516,3,))*$E204)</f>
        <v>0</v>
      </c>
      <c r="M204" s="19">
        <f>IF(VLOOKUP($D204,$C$5:$AU$516,3,)=0,0,(VLOOKUP($D204,$C$5:$AU$516,11,)/VLOOKUP($D204,$C$5:$AU$516,3,))*$E204)</f>
        <v>0</v>
      </c>
      <c r="N204" s="19">
        <f>IF(VLOOKUP($D204,$C$5:$AU$516,3,)=0,0,(VLOOKUP($D204,$C$5:$AU$516,12,)/VLOOKUP($D204,$C$5:$AU$516,3,))*$E204)</f>
        <v>0</v>
      </c>
      <c r="O204" s="19">
        <f>IF(VLOOKUP($D204,$C$5:$AU$516,3,)=0,0,(VLOOKUP($D204,$C$5:$AU$516,13,)/VLOOKUP($D204,$C$5:$AU$516,3,))*$E204)</f>
        <v>0</v>
      </c>
      <c r="P204" s="19">
        <f>IF(VLOOKUP($D204,$C$5:$AU$516,3,)=0,0,(VLOOKUP($D204,$C$5:$AU$516,14,)/VLOOKUP($D204,$C$5:$AU$516,3,))*$E204)</f>
        <v>0</v>
      </c>
      <c r="Q204" s="19">
        <f>IF(VLOOKUP($D204,$C$5:$AU$516,3,)=0,0,(VLOOKUP($D204,$C$5:$AU$516,15,)/VLOOKUP($D204,$C$5:$AU$516,3,))*$E204)</f>
        <v>0</v>
      </c>
      <c r="R204" s="19">
        <f>IF(VLOOKUP($D204,$C$5:$AU$516,3,)=0,0,(VLOOKUP($D204,$C$5:$AU$516,16,)/VLOOKUP($D204,$C$5:$AU$516,3,))*$E204)</f>
        <v>0</v>
      </c>
      <c r="S204" s="80">
        <f>IF(VLOOKUP($D204,$C$5:$AU$516,3,)=0,0,(VLOOKUP($D204,$C$5:$AU$516,17,)/VLOOKUP($D204,$C$5:$AU$516,3,))*$E204)</f>
        <v>0</v>
      </c>
      <c r="T204" s="80">
        <f>IF(VLOOKUP($D204,$C$5:$AU$516,3,)=0,0,(VLOOKUP($D204,$C$5:$AU$516,18,)/VLOOKUP($D204,$C$5:$AU$516,3,))*$E204)</f>
        <v>0</v>
      </c>
      <c r="U204" s="80">
        <f>IF(VLOOKUP($D204,$C$5:$AU$516,3,)=0,0,(VLOOKUP($D204,$C$5:$AU$516,19,)/VLOOKUP($D204,$C$5:$AU$516,3,))*$E204)</f>
        <v>0</v>
      </c>
      <c r="V204" s="80">
        <f>IF(VLOOKUP($D204,$C$5:$AU$516,3,)=0,0,(VLOOKUP($D204,$C$5:$AU$516,20,)/VLOOKUP($D204,$C$5:$AU$516,3,))*$E204)</f>
        <v>0</v>
      </c>
      <c r="W204" s="80">
        <f>IF(VLOOKUP($D204,$C$5:$AU$516,3,)=0,0,(VLOOKUP($D204,$C$5:$AU$516,21,)/VLOOKUP($D204,$C$5:$AU$516,3,))*$E204)</f>
        <v>0</v>
      </c>
      <c r="X204" s="80">
        <f>IF(VLOOKUP($D204,$C$5:$AU$516,3,)=0,0,(VLOOKUP($D204,$C$5:$AU$516,22,)/VLOOKUP($D204,$C$5:$AU$516,3,))*$E204)</f>
        <v>0</v>
      </c>
      <c r="Y204" s="80">
        <f>IF(VLOOKUP($D204,$C$5:$AU$516,3,)=0,0,(VLOOKUP($D204,$C$5:$AU$516,23,)/VLOOKUP($D204,$C$5:$AU$516,3,))*$E204)</f>
        <v>0</v>
      </c>
      <c r="Z204" s="80">
        <f>IF(VLOOKUP($D204,$C$5:$AU$516,3,)=0,0,(VLOOKUP($D204,$C$5:$AU$516,24,)/VLOOKUP($D204,$C$5:$AU$516,3,))*$E204)</f>
        <v>0</v>
      </c>
      <c r="AA204" s="80">
        <f>IF(VLOOKUP($D204,$C$5:$AU$516,3,)=0,0,(VLOOKUP($D204,$C$5:$AU$516,25,)/VLOOKUP($D204,$C$5:$AU$516,3,))*$E204)</f>
        <v>0</v>
      </c>
      <c r="AB204" s="80">
        <f>IF(VLOOKUP($D204,$C$5:$AU$516,3,)=0,0,(VLOOKUP($D204,$C$5:$AU$516,26,)/VLOOKUP($D204,$C$5:$AU$516,3,))*$E204)</f>
        <v>0</v>
      </c>
      <c r="AC204" s="80">
        <f>IF(VLOOKUP($D204,$C$5:$AU$516,3,)=0,0,(VLOOKUP($D204,$C$5:$AU$516,27,)/VLOOKUP($D204,$C$5:$AU$516,3,))*$E204)</f>
        <v>0</v>
      </c>
      <c r="AD204" s="80">
        <f>IF(VLOOKUP($D204,$C$5:$AU$516,3,)=0,0,(VLOOKUP($D204,$C$5:$AU$516,28,)/VLOOKUP($D204,$C$5:$AU$516,3,))*$E204)</f>
        <v>0</v>
      </c>
      <c r="AE204" s="80">
        <f>IF(VLOOKUP($D204,$C$5:$AU$516,3,)=0,0,(VLOOKUP($D204,$C$5:$AU$516,29,)/VLOOKUP($D204,$C$5:$AU$516,3,))*$E204)</f>
        <v>0</v>
      </c>
      <c r="AF204" s="80">
        <f>IF(VLOOKUP($D204,$C$5:$AU$516,3,)=0,0,(VLOOKUP($D204,$C$5:$AU$516,30,)/VLOOKUP($D204,$C$5:$AU$516,3,))*$E204)</f>
        <v>0</v>
      </c>
      <c r="AG204" s="65">
        <f>SUM(F204:AF204)</f>
        <v>0</v>
      </c>
      <c r="AH204" s="12" t="str">
        <f>IF(ABS(E204-AG204)&lt;0.01,"ok","err")</f>
        <v>ok</v>
      </c>
    </row>
    <row r="205" spans="1:34" x14ac:dyDescent="0.2">
      <c r="E205" s="7"/>
    </row>
    <row r="206" spans="1:34" x14ac:dyDescent="0.2">
      <c r="A206" s="2" t="s">
        <v>1</v>
      </c>
      <c r="E206" s="7"/>
      <c r="F206" s="24"/>
    </row>
    <row r="207" spans="1:34" x14ac:dyDescent="0.2">
      <c r="A207" s="68" t="s">
        <v>208</v>
      </c>
      <c r="C207" s="3" t="s">
        <v>288</v>
      </c>
      <c r="D207" s="3" t="s">
        <v>616</v>
      </c>
      <c r="E207" s="19">
        <f>'Func &amp; Classif'!M312</f>
        <v>22856.017768501853</v>
      </c>
      <c r="F207" s="41">
        <f>IF(VLOOKUP($D207,$C$5:$AU$516,3,)=0,0,(VLOOKUP($D207,$C$5:$AU$516,4,)/VLOOKUP($D207,$C$5:$AU$516,3,))*$E207)</f>
        <v>18166.097642088429</v>
      </c>
      <c r="G207" s="41">
        <f>IF(VLOOKUP($D207,$C$5:$AU$516,3,)=0,0,(VLOOKUP($D207,$C$5:$AU$516,5,)/VLOOKUP($D207,$C$5:$AU$516,3,))*$E207)</f>
        <v>1171.1601043216363</v>
      </c>
      <c r="H207" s="19">
        <f>IF(VLOOKUP($D207,$C$5:$AU$516,3,)=0,0,(VLOOKUP($D207,$C$5:$AU$516,6,)/VLOOKUP($D207,$C$5:$AU$516,3,))*$E207)</f>
        <v>2391.0002076862588</v>
      </c>
      <c r="I207" s="19">
        <f>IF(VLOOKUP($D207,$C$5:$AU$516,3,)=0,0,(VLOOKUP($D207,$C$5:$AU$516,7,)/VLOOKUP($D207,$C$5:$AU$516,3,))*$E207)</f>
        <v>381.09919843462751</v>
      </c>
      <c r="J207" s="19">
        <f>IF(VLOOKUP($D207,$C$5:$AU$516,3,)=0,0,(VLOOKUP($D207,$C$5:$AU$516,8,)/VLOOKUP($D207,$C$5:$AU$516,3,))*$E207)</f>
        <v>511.19866756521492</v>
      </c>
      <c r="K207" s="19">
        <f>IF(VLOOKUP($D207,$C$5:$AU$516,3,)=0,0,(VLOOKUP($D207,$C$5:$AU$516,9,)/VLOOKUP($D207,$C$5:$AU$516,3,))*$E207)</f>
        <v>235.46194840568634</v>
      </c>
      <c r="L207" s="41">
        <f>IF(VLOOKUP($D207,$C$5:$AU$516,3,)=0,0,(VLOOKUP($D207,$C$5:$AU$516,10,)/VLOOKUP($D207,$C$5:$AU$516,3,))*$E207)</f>
        <v>0</v>
      </c>
      <c r="M207" s="19">
        <f>IF(VLOOKUP($D207,$C$5:$AU$516,3,)=0,0,(VLOOKUP($D207,$C$5:$AU$516,11,)/VLOOKUP($D207,$C$5:$AU$516,3,))*$E207)</f>
        <v>0</v>
      </c>
      <c r="N207" s="19">
        <f>IF(VLOOKUP($D207,$C$5:$AU$516,3,)=0,0,(VLOOKUP($D207,$C$5:$AU$516,12,)/VLOOKUP($D207,$C$5:$AU$516,3,))*$E207)</f>
        <v>0</v>
      </c>
      <c r="O207" s="19">
        <f>IF(VLOOKUP($D207,$C$5:$AU$516,3,)=0,0,(VLOOKUP($D207,$C$5:$AU$516,13,)/VLOOKUP($D207,$C$5:$AU$516,3,))*$E207)</f>
        <v>0</v>
      </c>
      <c r="P207" s="19">
        <f>IF(VLOOKUP($D207,$C$5:$AU$516,3,)=0,0,(VLOOKUP($D207,$C$5:$AU$516,14,)/VLOOKUP($D207,$C$5:$AU$516,3,))*$E207)</f>
        <v>0</v>
      </c>
      <c r="Q207" s="19">
        <f>IF(VLOOKUP($D207,$C$5:$AU$516,3,)=0,0,(VLOOKUP($D207,$C$5:$AU$516,15,)/VLOOKUP($D207,$C$5:$AU$516,3,))*$E207)</f>
        <v>0</v>
      </c>
      <c r="R207" s="19">
        <f>IF(VLOOKUP($D207,$C$5:$AU$516,3,)=0,0,(VLOOKUP($D207,$C$5:$AU$516,16,)/VLOOKUP($D207,$C$5:$AU$516,3,))*$E207)</f>
        <v>0</v>
      </c>
      <c r="S207" s="80">
        <f>IF(VLOOKUP($D207,$C$5:$AU$516,3,)=0,0,(VLOOKUP($D207,$C$5:$AU$516,17,)/VLOOKUP($D207,$C$5:$AU$516,3,))*$E207)</f>
        <v>0</v>
      </c>
      <c r="T207" s="80">
        <f>IF(VLOOKUP($D207,$C$5:$AU$516,3,)=0,0,(VLOOKUP($D207,$C$5:$AU$516,18,)/VLOOKUP($D207,$C$5:$AU$516,3,))*$E207)</f>
        <v>0</v>
      </c>
      <c r="U207" s="80">
        <f>IF(VLOOKUP($D207,$C$5:$AU$516,3,)=0,0,(VLOOKUP($D207,$C$5:$AU$516,19,)/VLOOKUP($D207,$C$5:$AU$516,3,))*$E207)</f>
        <v>0</v>
      </c>
      <c r="V207" s="80">
        <f>IF(VLOOKUP($D207,$C$5:$AU$516,3,)=0,0,(VLOOKUP($D207,$C$5:$AU$516,20,)/VLOOKUP($D207,$C$5:$AU$516,3,))*$E207)</f>
        <v>0</v>
      </c>
      <c r="W207" s="80">
        <f>IF(VLOOKUP($D207,$C$5:$AU$516,3,)=0,0,(VLOOKUP($D207,$C$5:$AU$516,21,)/VLOOKUP($D207,$C$5:$AU$516,3,))*$E207)</f>
        <v>0</v>
      </c>
      <c r="X207" s="80">
        <f>IF(VLOOKUP($D207,$C$5:$AU$516,3,)=0,0,(VLOOKUP($D207,$C$5:$AU$516,22,)/VLOOKUP($D207,$C$5:$AU$516,3,))*$E207)</f>
        <v>0</v>
      </c>
      <c r="Y207" s="80">
        <f>IF(VLOOKUP($D207,$C$5:$AU$516,3,)=0,0,(VLOOKUP($D207,$C$5:$AU$516,23,)/VLOOKUP($D207,$C$5:$AU$516,3,))*$E207)</f>
        <v>0</v>
      </c>
      <c r="Z207" s="80">
        <f>IF(VLOOKUP($D207,$C$5:$AU$516,3,)=0,0,(VLOOKUP($D207,$C$5:$AU$516,24,)/VLOOKUP($D207,$C$5:$AU$516,3,))*$E207)</f>
        <v>0</v>
      </c>
      <c r="AA207" s="80">
        <f>IF(VLOOKUP($D207,$C$5:$AU$516,3,)=0,0,(VLOOKUP($D207,$C$5:$AU$516,25,)/VLOOKUP($D207,$C$5:$AU$516,3,))*$E207)</f>
        <v>0</v>
      </c>
      <c r="AB207" s="80">
        <f>IF(VLOOKUP($D207,$C$5:$AU$516,3,)=0,0,(VLOOKUP($D207,$C$5:$AU$516,26,)/VLOOKUP($D207,$C$5:$AU$516,3,))*$E207)</f>
        <v>0</v>
      </c>
      <c r="AC207" s="80">
        <f>IF(VLOOKUP($D207,$C$5:$AU$516,3,)=0,0,(VLOOKUP($D207,$C$5:$AU$516,27,)/VLOOKUP($D207,$C$5:$AU$516,3,))*$E207)</f>
        <v>0</v>
      </c>
      <c r="AD207" s="80">
        <f>IF(VLOOKUP($D207,$C$5:$AU$516,3,)=0,0,(VLOOKUP($D207,$C$5:$AU$516,28,)/VLOOKUP($D207,$C$5:$AU$516,3,))*$E207)</f>
        <v>0</v>
      </c>
      <c r="AE207" s="80">
        <f>IF(VLOOKUP($D207,$C$5:$AU$516,3,)=0,0,(VLOOKUP($D207,$C$5:$AU$516,29,)/VLOOKUP($D207,$C$5:$AU$516,3,))*$E207)</f>
        <v>0</v>
      </c>
      <c r="AF207" s="80">
        <f>IF(VLOOKUP($D207,$C$5:$AU$516,3,)=0,0,(VLOOKUP($D207,$C$5:$AU$516,30,)/VLOOKUP($D207,$C$5:$AU$516,3,))*$E207)</f>
        <v>0</v>
      </c>
      <c r="AG207" s="65">
        <f>SUM(F207:AF207)</f>
        <v>22856.017768501853</v>
      </c>
      <c r="AH207" s="12" t="str">
        <f>IF(ABS(E207-AG207)&lt;0.01,"ok","err")</f>
        <v>ok</v>
      </c>
    </row>
    <row r="208" spans="1:34" x14ac:dyDescent="0.2">
      <c r="E208" s="7"/>
    </row>
    <row r="209" spans="1:34" x14ac:dyDescent="0.2">
      <c r="A209" s="2" t="s">
        <v>2</v>
      </c>
      <c r="E209" s="7"/>
    </row>
    <row r="210" spans="1:34" x14ac:dyDescent="0.2">
      <c r="A210" s="68" t="s">
        <v>208</v>
      </c>
      <c r="C210" s="3" t="s">
        <v>289</v>
      </c>
      <c r="D210" s="3" t="s">
        <v>608</v>
      </c>
      <c r="E210" s="19">
        <f>'Func &amp; Classif'!O312</f>
        <v>1168951.566980493</v>
      </c>
      <c r="F210" s="41">
        <f>IF(VLOOKUP($D210,$C$5:$AU$516,3,)=0,0,(VLOOKUP($D210,$C$5:$AU$516,4,)/VLOOKUP($D210,$C$5:$AU$516,3,))*$E210)</f>
        <v>838547.38771768729</v>
      </c>
      <c r="G210" s="41">
        <f>IF(VLOOKUP($D210,$C$5:$AU$516,3,)=0,0,(VLOOKUP($D210,$C$5:$AU$516,5,)/VLOOKUP($D210,$C$5:$AU$516,3,))*$E210)</f>
        <v>30318.237486933685</v>
      </c>
      <c r="H210" s="19">
        <f>IF(VLOOKUP($D210,$C$5:$AU$516,3,)=0,0,(VLOOKUP($D210,$C$5:$AU$516,6,)/VLOOKUP($D210,$C$5:$AU$516,3,))*$E210)</f>
        <v>130092.36095034871</v>
      </c>
      <c r="I210" s="19">
        <f>IF(VLOOKUP($D210,$C$5:$AU$516,3,)=0,0,(VLOOKUP($D210,$C$5:$AU$516,7,)/VLOOKUP($D210,$C$5:$AU$516,3,))*$E210)</f>
        <v>63173.544792020431</v>
      </c>
      <c r="J210" s="19">
        <f>IF(VLOOKUP($D210,$C$5:$AU$516,3,)=0,0,(VLOOKUP($D210,$C$5:$AU$516,8,)/VLOOKUP($D210,$C$5:$AU$516,3,))*$E210)</f>
        <v>22083.704681066174</v>
      </c>
      <c r="K210" s="19">
        <f>IF(VLOOKUP($D210,$C$5:$AU$516,3,)=0,0,(VLOOKUP($D210,$C$5:$AU$516,9,)/VLOOKUP($D210,$C$5:$AU$516,3,))*$E210)</f>
        <v>84736.331352436682</v>
      </c>
      <c r="L210" s="41">
        <f>IF(VLOOKUP($D210,$C$5:$AU$516,3,)=0,0,(VLOOKUP($D210,$C$5:$AU$516,10,)/VLOOKUP($D210,$C$5:$AU$516,3,))*$E210)</f>
        <v>0</v>
      </c>
      <c r="M210" s="19">
        <f>IF(VLOOKUP($D210,$C$5:$AU$516,3,)=0,0,(VLOOKUP($D210,$C$5:$AU$516,11,)/VLOOKUP($D210,$C$5:$AU$516,3,))*$E210)</f>
        <v>0</v>
      </c>
      <c r="N210" s="19">
        <f>IF(VLOOKUP($D210,$C$5:$AU$516,3,)=0,0,(VLOOKUP($D210,$C$5:$AU$516,12,)/VLOOKUP($D210,$C$5:$AU$516,3,))*$E210)</f>
        <v>0</v>
      </c>
      <c r="O210" s="19">
        <f>IF(VLOOKUP($D210,$C$5:$AU$516,3,)=0,0,(VLOOKUP($D210,$C$5:$AU$516,13,)/VLOOKUP($D210,$C$5:$AU$516,3,))*$E210)</f>
        <v>0</v>
      </c>
      <c r="P210" s="19">
        <f>IF(VLOOKUP($D210,$C$5:$AU$516,3,)=0,0,(VLOOKUP($D210,$C$5:$AU$516,14,)/VLOOKUP($D210,$C$5:$AU$516,3,))*$E210)</f>
        <v>0</v>
      </c>
      <c r="Q210" s="19">
        <f>IF(VLOOKUP($D210,$C$5:$AU$516,3,)=0,0,(VLOOKUP($D210,$C$5:$AU$516,15,)/VLOOKUP($D210,$C$5:$AU$516,3,))*$E210)</f>
        <v>0</v>
      </c>
      <c r="R210" s="19">
        <f>IF(VLOOKUP($D210,$C$5:$AU$516,3,)=0,0,(VLOOKUP($D210,$C$5:$AU$516,16,)/VLOOKUP($D210,$C$5:$AU$516,3,))*$E210)</f>
        <v>0</v>
      </c>
      <c r="S210" s="80">
        <f>IF(VLOOKUP($D210,$C$5:$AU$516,3,)=0,0,(VLOOKUP($D210,$C$5:$AU$516,17,)/VLOOKUP($D210,$C$5:$AU$516,3,))*$E210)</f>
        <v>0</v>
      </c>
      <c r="T210" s="80">
        <f>IF(VLOOKUP($D210,$C$5:$AU$516,3,)=0,0,(VLOOKUP($D210,$C$5:$AU$516,18,)/VLOOKUP($D210,$C$5:$AU$516,3,))*$E210)</f>
        <v>0</v>
      </c>
      <c r="U210" s="80">
        <f>IF(VLOOKUP($D210,$C$5:$AU$516,3,)=0,0,(VLOOKUP($D210,$C$5:$AU$516,19,)/VLOOKUP($D210,$C$5:$AU$516,3,))*$E210)</f>
        <v>0</v>
      </c>
      <c r="V210" s="80">
        <f>IF(VLOOKUP($D210,$C$5:$AU$516,3,)=0,0,(VLOOKUP($D210,$C$5:$AU$516,20,)/VLOOKUP($D210,$C$5:$AU$516,3,))*$E210)</f>
        <v>0</v>
      </c>
      <c r="W210" s="80">
        <f>IF(VLOOKUP($D210,$C$5:$AU$516,3,)=0,0,(VLOOKUP($D210,$C$5:$AU$516,21,)/VLOOKUP($D210,$C$5:$AU$516,3,))*$E210)</f>
        <v>0</v>
      </c>
      <c r="X210" s="80">
        <f>IF(VLOOKUP($D210,$C$5:$AU$516,3,)=0,0,(VLOOKUP($D210,$C$5:$AU$516,22,)/VLOOKUP($D210,$C$5:$AU$516,3,))*$E210)</f>
        <v>0</v>
      </c>
      <c r="Y210" s="80">
        <f>IF(VLOOKUP($D210,$C$5:$AU$516,3,)=0,0,(VLOOKUP($D210,$C$5:$AU$516,23,)/VLOOKUP($D210,$C$5:$AU$516,3,))*$E210)</f>
        <v>0</v>
      </c>
      <c r="Z210" s="80">
        <f>IF(VLOOKUP($D210,$C$5:$AU$516,3,)=0,0,(VLOOKUP($D210,$C$5:$AU$516,24,)/VLOOKUP($D210,$C$5:$AU$516,3,))*$E210)</f>
        <v>0</v>
      </c>
      <c r="AA210" s="80">
        <f>IF(VLOOKUP($D210,$C$5:$AU$516,3,)=0,0,(VLOOKUP($D210,$C$5:$AU$516,25,)/VLOOKUP($D210,$C$5:$AU$516,3,))*$E210)</f>
        <v>0</v>
      </c>
      <c r="AB210" s="80">
        <f>IF(VLOOKUP($D210,$C$5:$AU$516,3,)=0,0,(VLOOKUP($D210,$C$5:$AU$516,26,)/VLOOKUP($D210,$C$5:$AU$516,3,))*$E210)</f>
        <v>0</v>
      </c>
      <c r="AC210" s="80">
        <f>IF(VLOOKUP($D210,$C$5:$AU$516,3,)=0,0,(VLOOKUP($D210,$C$5:$AU$516,27,)/VLOOKUP($D210,$C$5:$AU$516,3,))*$E210)</f>
        <v>0</v>
      </c>
      <c r="AD210" s="80">
        <f>IF(VLOOKUP($D210,$C$5:$AU$516,3,)=0,0,(VLOOKUP($D210,$C$5:$AU$516,28,)/VLOOKUP($D210,$C$5:$AU$516,3,))*$E210)</f>
        <v>0</v>
      </c>
      <c r="AE210" s="80">
        <f>IF(VLOOKUP($D210,$C$5:$AU$516,3,)=0,0,(VLOOKUP($D210,$C$5:$AU$516,29,)/VLOOKUP($D210,$C$5:$AU$516,3,))*$E210)</f>
        <v>0</v>
      </c>
      <c r="AF210" s="80">
        <f>IF(VLOOKUP($D210,$C$5:$AU$516,3,)=0,0,(VLOOKUP($D210,$C$5:$AU$516,30,)/VLOOKUP($D210,$C$5:$AU$516,3,))*$E210)</f>
        <v>0</v>
      </c>
      <c r="AG210" s="65">
        <f>SUM(F210:AF210)</f>
        <v>1168951.5669804928</v>
      </c>
      <c r="AH210" s="12" t="str">
        <f>IF(ABS(E210-AG210)&lt;0.01,"ok","err")</f>
        <v>ok</v>
      </c>
    </row>
    <row r="211" spans="1:34" x14ac:dyDescent="0.2">
      <c r="A211" s="68" t="s">
        <v>220</v>
      </c>
      <c r="C211" s="3" t="s">
        <v>290</v>
      </c>
      <c r="D211" s="3" t="s">
        <v>222</v>
      </c>
      <c r="E211" s="7">
        <f>'Func &amp; Classif'!P312</f>
        <v>784883.26495331735</v>
      </c>
      <c r="F211" s="41">
        <f>IF(VLOOKUP($D211,$C$5:$AU$516,3,)=0,0,(VLOOKUP($D211,$C$5:$AU$516,4,)/VLOOKUP($D211,$C$5:$AU$516,3,))*$E211)</f>
        <v>718182.33189142856</v>
      </c>
      <c r="G211" s="41">
        <f>IF(VLOOKUP($D211,$C$5:$AU$516,3,)=0,0,(VLOOKUP($D211,$C$5:$AU$516,5,)/VLOOKUP($D211,$C$5:$AU$516,3,))*$E211)</f>
        <v>54105.137328508317</v>
      </c>
      <c r="H211" s="19">
        <f>IF(VLOOKUP($D211,$C$5:$AU$516,3,)=0,0,(VLOOKUP($D211,$C$5:$AU$516,6,)/VLOOKUP($D211,$C$5:$AU$516,3,))*$E211)</f>
        <v>9926.9324570862991</v>
      </c>
      <c r="I211" s="19">
        <f>IF(VLOOKUP($D211,$C$5:$AU$516,3,)=0,0,(VLOOKUP($D211,$C$5:$AU$516,7,)/VLOOKUP($D211,$C$5:$AU$516,3,))*$E211)</f>
        <v>526.54555934623113</v>
      </c>
      <c r="J211" s="19">
        <f>IF(VLOOKUP($D211,$C$5:$AU$516,3,)=0,0,(VLOOKUP($D211,$C$5:$AU$516,8,)/VLOOKUP($D211,$C$5:$AU$516,3,))*$E211)</f>
        <v>61.946536393674251</v>
      </c>
      <c r="K211" s="19">
        <f>IF(VLOOKUP($D211,$C$5:$AU$516,3,)=0,0,(VLOOKUP($D211,$C$5:$AU$516,9,)/VLOOKUP($D211,$C$5:$AU$516,3,))*$E211)</f>
        <v>2080.3711805542271</v>
      </c>
      <c r="L211" s="41">
        <f>IF(VLOOKUP($D211,$C$5:$AU$516,3,)=0,0,(VLOOKUP($D211,$C$5:$AU$516,10,)/VLOOKUP($D211,$C$5:$AU$516,3,))*$E211)</f>
        <v>0</v>
      </c>
      <c r="M211" s="19">
        <f>IF(VLOOKUP($D211,$C$5:$AU$516,3,)=0,0,(VLOOKUP($D211,$C$5:$AU$516,11,)/VLOOKUP($D211,$C$5:$AU$516,3,))*$E211)</f>
        <v>0</v>
      </c>
      <c r="N211" s="19">
        <f>IF(VLOOKUP($D211,$C$5:$AU$516,3,)=0,0,(VLOOKUP($D211,$C$5:$AU$516,12,)/VLOOKUP($D211,$C$5:$AU$516,3,))*$E211)</f>
        <v>0</v>
      </c>
      <c r="O211" s="19">
        <f>IF(VLOOKUP($D211,$C$5:$AU$516,3,)=0,0,(VLOOKUP($D211,$C$5:$AU$516,13,)/VLOOKUP($D211,$C$5:$AU$516,3,))*$E211)</f>
        <v>0</v>
      </c>
      <c r="P211" s="19">
        <f>IF(VLOOKUP($D211,$C$5:$AU$516,3,)=0,0,(VLOOKUP($D211,$C$5:$AU$516,14,)/VLOOKUP($D211,$C$5:$AU$516,3,))*$E211)</f>
        <v>0</v>
      </c>
      <c r="Q211" s="19">
        <f>IF(VLOOKUP($D211,$C$5:$AU$516,3,)=0,0,(VLOOKUP($D211,$C$5:$AU$516,15,)/VLOOKUP($D211,$C$5:$AU$516,3,))*$E211)</f>
        <v>0</v>
      </c>
      <c r="R211" s="19">
        <f>IF(VLOOKUP($D211,$C$5:$AU$516,3,)=0,0,(VLOOKUP($D211,$C$5:$AU$516,16,)/VLOOKUP($D211,$C$5:$AU$516,3,))*$E211)</f>
        <v>0</v>
      </c>
      <c r="S211" s="80">
        <f>IF(VLOOKUP($D211,$C$5:$AU$516,3,)=0,0,(VLOOKUP($D211,$C$5:$AU$516,17,)/VLOOKUP($D211,$C$5:$AU$516,3,))*$E211)</f>
        <v>0</v>
      </c>
      <c r="T211" s="80">
        <f>IF(VLOOKUP($D211,$C$5:$AU$516,3,)=0,0,(VLOOKUP($D211,$C$5:$AU$516,18,)/VLOOKUP($D211,$C$5:$AU$516,3,))*$E211)</f>
        <v>0</v>
      </c>
      <c r="U211" s="80">
        <f>IF(VLOOKUP($D211,$C$5:$AU$516,3,)=0,0,(VLOOKUP($D211,$C$5:$AU$516,19,)/VLOOKUP($D211,$C$5:$AU$516,3,))*$E211)</f>
        <v>0</v>
      </c>
      <c r="V211" s="80">
        <f>IF(VLOOKUP($D211,$C$5:$AU$516,3,)=0,0,(VLOOKUP($D211,$C$5:$AU$516,20,)/VLOOKUP($D211,$C$5:$AU$516,3,))*$E211)</f>
        <v>0</v>
      </c>
      <c r="W211" s="80">
        <f>IF(VLOOKUP($D211,$C$5:$AU$516,3,)=0,0,(VLOOKUP($D211,$C$5:$AU$516,21,)/VLOOKUP($D211,$C$5:$AU$516,3,))*$E211)</f>
        <v>0</v>
      </c>
      <c r="X211" s="80">
        <f>IF(VLOOKUP($D211,$C$5:$AU$516,3,)=0,0,(VLOOKUP($D211,$C$5:$AU$516,22,)/VLOOKUP($D211,$C$5:$AU$516,3,))*$E211)</f>
        <v>0</v>
      </c>
      <c r="Y211" s="80">
        <f>IF(VLOOKUP($D211,$C$5:$AU$516,3,)=0,0,(VLOOKUP($D211,$C$5:$AU$516,23,)/VLOOKUP($D211,$C$5:$AU$516,3,))*$E211)</f>
        <v>0</v>
      </c>
      <c r="Z211" s="80">
        <f>IF(VLOOKUP($D211,$C$5:$AU$516,3,)=0,0,(VLOOKUP($D211,$C$5:$AU$516,24,)/VLOOKUP($D211,$C$5:$AU$516,3,))*$E211)</f>
        <v>0</v>
      </c>
      <c r="AA211" s="80">
        <f>IF(VLOOKUP($D211,$C$5:$AU$516,3,)=0,0,(VLOOKUP($D211,$C$5:$AU$516,25,)/VLOOKUP($D211,$C$5:$AU$516,3,))*$E211)</f>
        <v>0</v>
      </c>
      <c r="AB211" s="80">
        <f>IF(VLOOKUP($D211,$C$5:$AU$516,3,)=0,0,(VLOOKUP($D211,$C$5:$AU$516,26,)/VLOOKUP($D211,$C$5:$AU$516,3,))*$E211)</f>
        <v>0</v>
      </c>
      <c r="AC211" s="80">
        <f>IF(VLOOKUP($D211,$C$5:$AU$516,3,)=0,0,(VLOOKUP($D211,$C$5:$AU$516,27,)/VLOOKUP($D211,$C$5:$AU$516,3,))*$E211)</f>
        <v>0</v>
      </c>
      <c r="AD211" s="80">
        <f>IF(VLOOKUP($D211,$C$5:$AU$516,3,)=0,0,(VLOOKUP($D211,$C$5:$AU$516,28,)/VLOOKUP($D211,$C$5:$AU$516,3,))*$E211)</f>
        <v>0</v>
      </c>
      <c r="AE211" s="80">
        <f>IF(VLOOKUP($D211,$C$5:$AU$516,3,)=0,0,(VLOOKUP($D211,$C$5:$AU$516,29,)/VLOOKUP($D211,$C$5:$AU$516,3,))*$E211)</f>
        <v>0</v>
      </c>
      <c r="AF211" s="80">
        <f>IF(VLOOKUP($D211,$C$5:$AU$516,3,)=0,0,(VLOOKUP($D211,$C$5:$AU$516,30,)/VLOOKUP($D211,$C$5:$AU$516,3,))*$E211)</f>
        <v>0</v>
      </c>
      <c r="AG211" s="65">
        <f>SUM(F211:AF211)</f>
        <v>784883.26495331735</v>
      </c>
      <c r="AH211" s="12" t="str">
        <f>IF(ABS(E211-AG211)&lt;0.01,"ok","err")</f>
        <v>ok</v>
      </c>
    </row>
    <row r="212" spans="1:34" x14ac:dyDescent="0.2">
      <c r="A212" s="3" t="s">
        <v>223</v>
      </c>
      <c r="E212" s="19">
        <f t="shared" ref="E212:T212" si="58">E210+E211</f>
        <v>1953834.8319338104</v>
      </c>
      <c r="F212" s="41">
        <f t="shared" si="58"/>
        <v>1556729.7196091157</v>
      </c>
      <c r="G212" s="41">
        <f t="shared" si="58"/>
        <v>84423.374815442003</v>
      </c>
      <c r="H212" s="19">
        <f t="shared" si="58"/>
        <v>140019.29340743501</v>
      </c>
      <c r="I212" s="19">
        <f t="shared" si="58"/>
        <v>63700.090351366664</v>
      </c>
      <c r="J212" s="19">
        <f t="shared" si="58"/>
        <v>22145.651217459847</v>
      </c>
      <c r="K212" s="19">
        <f t="shared" si="58"/>
        <v>86816.702532990908</v>
      </c>
      <c r="L212" s="41">
        <f t="shared" si="58"/>
        <v>0</v>
      </c>
      <c r="M212" s="19">
        <f t="shared" si="58"/>
        <v>0</v>
      </c>
      <c r="N212" s="19">
        <f t="shared" si="58"/>
        <v>0</v>
      </c>
      <c r="O212" s="19">
        <f t="shared" si="58"/>
        <v>0</v>
      </c>
      <c r="P212" s="19">
        <f t="shared" si="58"/>
        <v>0</v>
      </c>
      <c r="Q212" s="19">
        <f t="shared" si="58"/>
        <v>0</v>
      </c>
      <c r="R212" s="19">
        <f t="shared" si="58"/>
        <v>0</v>
      </c>
      <c r="S212" s="80">
        <f t="shared" si="58"/>
        <v>0</v>
      </c>
      <c r="T212" s="80">
        <f t="shared" si="58"/>
        <v>0</v>
      </c>
      <c r="U212" s="80">
        <f t="shared" ref="U212:AF212" si="59">U210+U211</f>
        <v>0</v>
      </c>
      <c r="V212" s="80">
        <f t="shared" si="59"/>
        <v>0</v>
      </c>
      <c r="W212" s="80">
        <f t="shared" si="59"/>
        <v>0</v>
      </c>
      <c r="X212" s="80">
        <f t="shared" si="59"/>
        <v>0</v>
      </c>
      <c r="Y212" s="80">
        <f t="shared" si="59"/>
        <v>0</v>
      </c>
      <c r="Z212" s="80">
        <f t="shared" si="59"/>
        <v>0</v>
      </c>
      <c r="AA212" s="80">
        <f t="shared" si="59"/>
        <v>0</v>
      </c>
      <c r="AB212" s="80">
        <f t="shared" si="59"/>
        <v>0</v>
      </c>
      <c r="AC212" s="80">
        <f t="shared" si="59"/>
        <v>0</v>
      </c>
      <c r="AD212" s="80">
        <f t="shared" si="59"/>
        <v>0</v>
      </c>
      <c r="AE212" s="80">
        <f t="shared" si="59"/>
        <v>0</v>
      </c>
      <c r="AF212" s="80">
        <f t="shared" si="59"/>
        <v>0</v>
      </c>
      <c r="AG212" s="65">
        <f>SUM(F212:AF212)</f>
        <v>1953834.8319338101</v>
      </c>
      <c r="AH212" s="12" t="str">
        <f>IF(ABS(E212-AG212)&lt;0.01,"ok","err")</f>
        <v>ok</v>
      </c>
    </row>
    <row r="213" spans="1:34" x14ac:dyDescent="0.2">
      <c r="E213" s="7"/>
    </row>
    <row r="214" spans="1:34" x14ac:dyDescent="0.2">
      <c r="A214" s="2" t="s">
        <v>3</v>
      </c>
      <c r="E214" s="7"/>
    </row>
    <row r="215" spans="1:34" x14ac:dyDescent="0.2">
      <c r="A215" s="68" t="s">
        <v>208</v>
      </c>
      <c r="C215" s="3" t="s">
        <v>291</v>
      </c>
      <c r="D215" s="3" t="s">
        <v>700</v>
      </c>
      <c r="E215" s="19">
        <f>'Func &amp; Classif'!R312</f>
        <v>0</v>
      </c>
      <c r="F215" s="41">
        <f>IF(VLOOKUP($D215,$C$5:$AU$516,3,)=0,0,(VLOOKUP($D215,$C$5:$AU$516,4,)/VLOOKUP($D215,$C$5:$AU$516,3,))*$E215)</f>
        <v>0</v>
      </c>
      <c r="G215" s="41">
        <f>IF(VLOOKUP($D215,$C$5:$AU$516,3,)=0,0,(VLOOKUP($D215,$C$5:$AU$516,5,)/VLOOKUP($D215,$C$5:$AU$516,3,))*$E215)</f>
        <v>0</v>
      </c>
      <c r="H215" s="19">
        <f>IF(VLOOKUP($D215,$C$5:$AU$516,3,)=0,0,(VLOOKUP($D215,$C$5:$AU$516,6,)/VLOOKUP($D215,$C$5:$AU$516,3,))*$E215)</f>
        <v>0</v>
      </c>
      <c r="I215" s="19">
        <f>IF(VLOOKUP($D215,$C$5:$AU$516,3,)=0,0,(VLOOKUP($D215,$C$5:$AU$516,7,)/VLOOKUP($D215,$C$5:$AU$516,3,))*$E215)</f>
        <v>0</v>
      </c>
      <c r="J215" s="19">
        <f>IF(VLOOKUP($D215,$C$5:$AU$516,3,)=0,0,(VLOOKUP($D215,$C$5:$AU$516,8,)/VLOOKUP($D215,$C$5:$AU$516,3,))*$E215)</f>
        <v>0</v>
      </c>
      <c r="K215" s="19">
        <f>IF(VLOOKUP($D215,$C$5:$AU$516,3,)=0,0,(VLOOKUP($D215,$C$5:$AU$516,9,)/VLOOKUP($D215,$C$5:$AU$516,3,))*$E215)</f>
        <v>0</v>
      </c>
      <c r="L215" s="41">
        <f>IF(VLOOKUP($D215,$C$5:$AU$516,3,)=0,0,(VLOOKUP($D215,$C$5:$AU$516,10,)/VLOOKUP($D215,$C$5:$AU$516,3,))*$E215)</f>
        <v>0</v>
      </c>
      <c r="M215" s="19">
        <f>IF(VLOOKUP($D215,$C$5:$AU$516,3,)=0,0,(VLOOKUP($D215,$C$5:$AU$516,11,)/VLOOKUP($D215,$C$5:$AU$516,3,))*$E215)</f>
        <v>0</v>
      </c>
      <c r="N215" s="19">
        <f>IF(VLOOKUP($D215,$C$5:$AU$516,3,)=0,0,(VLOOKUP($D215,$C$5:$AU$516,12,)/VLOOKUP($D215,$C$5:$AU$516,3,))*$E215)</f>
        <v>0</v>
      </c>
      <c r="O215" s="19">
        <f>IF(VLOOKUP($D215,$C$5:$AU$516,3,)=0,0,(VLOOKUP($D215,$C$5:$AU$516,13,)/VLOOKUP($D215,$C$5:$AU$516,3,))*$E215)</f>
        <v>0</v>
      </c>
      <c r="P215" s="19">
        <f>IF(VLOOKUP($D215,$C$5:$AU$516,3,)=0,0,(VLOOKUP($D215,$C$5:$AU$516,14,)/VLOOKUP($D215,$C$5:$AU$516,3,))*$E215)</f>
        <v>0</v>
      </c>
      <c r="Q215" s="19">
        <f>IF(VLOOKUP($D215,$C$5:$AU$516,3,)=0,0,(VLOOKUP($D215,$C$5:$AU$516,15,)/VLOOKUP($D215,$C$5:$AU$516,3,))*$E215)</f>
        <v>0</v>
      </c>
      <c r="R215" s="19">
        <f>IF(VLOOKUP($D215,$C$5:$AU$516,3,)=0,0,(VLOOKUP($D215,$C$5:$AU$516,16,)/VLOOKUP($D215,$C$5:$AU$516,3,))*$E215)</f>
        <v>0</v>
      </c>
      <c r="S215" s="80">
        <f>IF(VLOOKUP($D215,$C$5:$AU$516,3,)=0,0,(VLOOKUP($D215,$C$5:$AU$516,17,)/VLOOKUP($D215,$C$5:$AU$516,3,))*$E215)</f>
        <v>0</v>
      </c>
      <c r="T215" s="80">
        <f>IF(VLOOKUP($D215,$C$5:$AU$516,3,)=0,0,(VLOOKUP($D215,$C$5:$AU$516,18,)/VLOOKUP($D215,$C$5:$AU$516,3,))*$E215)</f>
        <v>0</v>
      </c>
      <c r="U215" s="80">
        <f>IF(VLOOKUP($D215,$C$5:$AU$516,3,)=0,0,(VLOOKUP($D215,$C$5:$AU$516,19,)/VLOOKUP($D215,$C$5:$AU$516,3,))*$E215)</f>
        <v>0</v>
      </c>
      <c r="V215" s="80">
        <f>IF(VLOOKUP($D215,$C$5:$AU$516,3,)=0,0,(VLOOKUP($D215,$C$5:$AU$516,20,)/VLOOKUP($D215,$C$5:$AU$516,3,))*$E215)</f>
        <v>0</v>
      </c>
      <c r="W215" s="80">
        <f>IF(VLOOKUP($D215,$C$5:$AU$516,3,)=0,0,(VLOOKUP($D215,$C$5:$AU$516,21,)/VLOOKUP($D215,$C$5:$AU$516,3,))*$E215)</f>
        <v>0</v>
      </c>
      <c r="X215" s="80">
        <f>IF(VLOOKUP($D215,$C$5:$AU$516,3,)=0,0,(VLOOKUP($D215,$C$5:$AU$516,22,)/VLOOKUP($D215,$C$5:$AU$516,3,))*$E215)</f>
        <v>0</v>
      </c>
      <c r="Y215" s="80">
        <f>IF(VLOOKUP($D215,$C$5:$AU$516,3,)=0,0,(VLOOKUP($D215,$C$5:$AU$516,23,)/VLOOKUP($D215,$C$5:$AU$516,3,))*$E215)</f>
        <v>0</v>
      </c>
      <c r="Z215" s="80">
        <f>IF(VLOOKUP($D215,$C$5:$AU$516,3,)=0,0,(VLOOKUP($D215,$C$5:$AU$516,24,)/VLOOKUP($D215,$C$5:$AU$516,3,))*$E215)</f>
        <v>0</v>
      </c>
      <c r="AA215" s="80">
        <f>IF(VLOOKUP($D215,$C$5:$AU$516,3,)=0,0,(VLOOKUP($D215,$C$5:$AU$516,25,)/VLOOKUP($D215,$C$5:$AU$516,3,))*$E215)</f>
        <v>0</v>
      </c>
      <c r="AB215" s="80">
        <f>IF(VLOOKUP($D215,$C$5:$AU$516,3,)=0,0,(VLOOKUP($D215,$C$5:$AU$516,26,)/VLOOKUP($D215,$C$5:$AU$516,3,))*$E215)</f>
        <v>0</v>
      </c>
      <c r="AC215" s="80">
        <f>IF(VLOOKUP($D215,$C$5:$AU$516,3,)=0,0,(VLOOKUP($D215,$C$5:$AU$516,27,)/VLOOKUP($D215,$C$5:$AU$516,3,))*$E215)</f>
        <v>0</v>
      </c>
      <c r="AD215" s="80">
        <f>IF(VLOOKUP($D215,$C$5:$AU$516,3,)=0,0,(VLOOKUP($D215,$C$5:$AU$516,28,)/VLOOKUP($D215,$C$5:$AU$516,3,))*$E215)</f>
        <v>0</v>
      </c>
      <c r="AE215" s="80">
        <f>IF(VLOOKUP($D215,$C$5:$AU$516,3,)=0,0,(VLOOKUP($D215,$C$5:$AU$516,29,)/VLOOKUP($D215,$C$5:$AU$516,3,))*$E215)</f>
        <v>0</v>
      </c>
      <c r="AF215" s="80">
        <f>IF(VLOOKUP($D215,$C$5:$AU$516,3,)=0,0,(VLOOKUP($D215,$C$5:$AU$516,30,)/VLOOKUP($D215,$C$5:$AU$516,3,))*$E215)</f>
        <v>0</v>
      </c>
      <c r="AG215" s="65">
        <f>SUM(F215:AF215)</f>
        <v>0</v>
      </c>
      <c r="AH215" s="12" t="str">
        <f>IF(ABS(E215-AG215)&lt;0.01,"ok","err")</f>
        <v>ok</v>
      </c>
    </row>
    <row r="216" spans="1:34" x14ac:dyDescent="0.2">
      <c r="A216" s="68" t="s">
        <v>220</v>
      </c>
      <c r="C216" s="3" t="s">
        <v>292</v>
      </c>
      <c r="D216" s="3" t="s">
        <v>700</v>
      </c>
      <c r="E216" s="7">
        <f>'Func &amp; Classif'!S312</f>
        <v>295434.69369376608</v>
      </c>
      <c r="F216" s="41">
        <f>IF(VLOOKUP($D216,$C$5:$AU$516,3,)=0,0,(VLOOKUP($D216,$C$5:$AU$516,4,)/VLOOKUP($D216,$C$5:$AU$516,3,))*$E216)</f>
        <v>262797.84007817501</v>
      </c>
      <c r="G216" s="41">
        <f>IF(VLOOKUP($D216,$C$5:$AU$516,3,)=0,0,(VLOOKUP($D216,$C$5:$AU$516,5,)/VLOOKUP($D216,$C$5:$AU$516,3,))*$E216)</f>
        <v>19798.194129362877</v>
      </c>
      <c r="H216" s="19">
        <f>IF(VLOOKUP($D216,$C$5:$AU$516,3,)=0,0,(VLOOKUP($D216,$C$5:$AU$516,6,)/VLOOKUP($D216,$C$5:$AU$516,3,))*$E216)</f>
        <v>8173.0594837535382</v>
      </c>
      <c r="I216" s="19">
        <f>IF(VLOOKUP($D216,$C$5:$AU$516,3,)=0,0,(VLOOKUP($D216,$C$5:$AU$516,7,)/VLOOKUP($D216,$C$5:$AU$516,3,))*$E216)</f>
        <v>4665.6000024746936</v>
      </c>
      <c r="J216" s="19">
        <f>IF(VLOOKUP($D216,$C$5:$AU$516,3,)=0,0,(VLOOKUP($D216,$C$5:$AU$516,8,)/VLOOKUP($D216,$C$5:$AU$516,3,))*$E216)</f>
        <v>0</v>
      </c>
      <c r="K216" s="19">
        <f>IF(VLOOKUP($D216,$C$5:$AU$516,3,)=0,0,(VLOOKUP($D216,$C$5:$AU$516,9,)/VLOOKUP($D216,$C$5:$AU$516,3,))*$E216)</f>
        <v>0</v>
      </c>
      <c r="L216" s="41">
        <f>IF(VLOOKUP($D216,$C$5:$AU$516,3,)=0,0,(VLOOKUP($D216,$C$5:$AU$516,10,)/VLOOKUP($D216,$C$5:$AU$516,3,))*$E216)</f>
        <v>0</v>
      </c>
      <c r="M216" s="19">
        <f>IF(VLOOKUP($D216,$C$5:$AU$516,3,)=0,0,(VLOOKUP($D216,$C$5:$AU$516,11,)/VLOOKUP($D216,$C$5:$AU$516,3,))*$E216)</f>
        <v>0</v>
      </c>
      <c r="N216" s="19">
        <f>IF(VLOOKUP($D216,$C$5:$AU$516,3,)=0,0,(VLOOKUP($D216,$C$5:$AU$516,12,)/VLOOKUP($D216,$C$5:$AU$516,3,))*$E216)</f>
        <v>0</v>
      </c>
      <c r="O216" s="19">
        <f>IF(VLOOKUP($D216,$C$5:$AU$516,3,)=0,0,(VLOOKUP($D216,$C$5:$AU$516,13,)/VLOOKUP($D216,$C$5:$AU$516,3,))*$E216)</f>
        <v>0</v>
      </c>
      <c r="P216" s="19">
        <f>IF(VLOOKUP($D216,$C$5:$AU$516,3,)=0,0,(VLOOKUP($D216,$C$5:$AU$516,14,)/VLOOKUP($D216,$C$5:$AU$516,3,))*$E216)</f>
        <v>0</v>
      </c>
      <c r="Q216" s="19">
        <f>IF(VLOOKUP($D216,$C$5:$AU$516,3,)=0,0,(VLOOKUP($D216,$C$5:$AU$516,15,)/VLOOKUP($D216,$C$5:$AU$516,3,))*$E216)</f>
        <v>0</v>
      </c>
      <c r="R216" s="19">
        <f>IF(VLOOKUP($D216,$C$5:$AU$516,3,)=0,0,(VLOOKUP($D216,$C$5:$AU$516,16,)/VLOOKUP($D216,$C$5:$AU$516,3,))*$E216)</f>
        <v>0</v>
      </c>
      <c r="S216" s="80">
        <f>IF(VLOOKUP($D216,$C$5:$AU$516,3,)=0,0,(VLOOKUP($D216,$C$5:$AU$516,17,)/VLOOKUP($D216,$C$5:$AU$516,3,))*$E216)</f>
        <v>0</v>
      </c>
      <c r="T216" s="80">
        <f>IF(VLOOKUP($D216,$C$5:$AU$516,3,)=0,0,(VLOOKUP($D216,$C$5:$AU$516,18,)/VLOOKUP($D216,$C$5:$AU$516,3,))*$E216)</f>
        <v>0</v>
      </c>
      <c r="U216" s="80">
        <f>IF(VLOOKUP($D216,$C$5:$AU$516,3,)=0,0,(VLOOKUP($D216,$C$5:$AU$516,19,)/VLOOKUP($D216,$C$5:$AU$516,3,))*$E216)</f>
        <v>0</v>
      </c>
      <c r="V216" s="80">
        <f>IF(VLOOKUP($D216,$C$5:$AU$516,3,)=0,0,(VLOOKUP($D216,$C$5:$AU$516,20,)/VLOOKUP($D216,$C$5:$AU$516,3,))*$E216)</f>
        <v>0</v>
      </c>
      <c r="W216" s="80">
        <f>IF(VLOOKUP($D216,$C$5:$AU$516,3,)=0,0,(VLOOKUP($D216,$C$5:$AU$516,21,)/VLOOKUP($D216,$C$5:$AU$516,3,))*$E216)</f>
        <v>0</v>
      </c>
      <c r="X216" s="80">
        <f>IF(VLOOKUP($D216,$C$5:$AU$516,3,)=0,0,(VLOOKUP($D216,$C$5:$AU$516,22,)/VLOOKUP($D216,$C$5:$AU$516,3,))*$E216)</f>
        <v>0</v>
      </c>
      <c r="Y216" s="80">
        <f>IF(VLOOKUP($D216,$C$5:$AU$516,3,)=0,0,(VLOOKUP($D216,$C$5:$AU$516,23,)/VLOOKUP($D216,$C$5:$AU$516,3,))*$E216)</f>
        <v>0</v>
      </c>
      <c r="Z216" s="80">
        <f>IF(VLOOKUP($D216,$C$5:$AU$516,3,)=0,0,(VLOOKUP($D216,$C$5:$AU$516,24,)/VLOOKUP($D216,$C$5:$AU$516,3,))*$E216)</f>
        <v>0</v>
      </c>
      <c r="AA216" s="80">
        <f>IF(VLOOKUP($D216,$C$5:$AU$516,3,)=0,0,(VLOOKUP($D216,$C$5:$AU$516,25,)/VLOOKUP($D216,$C$5:$AU$516,3,))*$E216)</f>
        <v>0</v>
      </c>
      <c r="AB216" s="80">
        <f>IF(VLOOKUP($D216,$C$5:$AU$516,3,)=0,0,(VLOOKUP($D216,$C$5:$AU$516,26,)/VLOOKUP($D216,$C$5:$AU$516,3,))*$E216)</f>
        <v>0</v>
      </c>
      <c r="AC216" s="80">
        <f>IF(VLOOKUP($D216,$C$5:$AU$516,3,)=0,0,(VLOOKUP($D216,$C$5:$AU$516,27,)/VLOOKUP($D216,$C$5:$AU$516,3,))*$E216)</f>
        <v>0</v>
      </c>
      <c r="AD216" s="80">
        <f>IF(VLOOKUP($D216,$C$5:$AU$516,3,)=0,0,(VLOOKUP($D216,$C$5:$AU$516,28,)/VLOOKUP($D216,$C$5:$AU$516,3,))*$E216)</f>
        <v>0</v>
      </c>
      <c r="AE216" s="80">
        <f>IF(VLOOKUP($D216,$C$5:$AU$516,3,)=0,0,(VLOOKUP($D216,$C$5:$AU$516,29,)/VLOOKUP($D216,$C$5:$AU$516,3,))*$E216)</f>
        <v>0</v>
      </c>
      <c r="AF216" s="80">
        <f>IF(VLOOKUP($D216,$C$5:$AU$516,3,)=0,0,(VLOOKUP($D216,$C$5:$AU$516,30,)/VLOOKUP($D216,$C$5:$AU$516,3,))*$E216)</f>
        <v>0</v>
      </c>
      <c r="AG216" s="65">
        <f>SUM(F216:AF216)</f>
        <v>295434.69369376608</v>
      </c>
      <c r="AH216" s="12" t="str">
        <f>IF(ABS(E216-AG216)&lt;0.01,"ok","err")</f>
        <v>ok</v>
      </c>
    </row>
    <row r="217" spans="1:34" x14ac:dyDescent="0.2">
      <c r="A217" s="3" t="s">
        <v>227</v>
      </c>
      <c r="E217" s="19">
        <f t="shared" ref="E217:T217" si="60">E215+E216</f>
        <v>295434.69369376608</v>
      </c>
      <c r="F217" s="41">
        <f t="shared" si="60"/>
        <v>262797.84007817501</v>
      </c>
      <c r="G217" s="41">
        <f t="shared" si="60"/>
        <v>19798.194129362877</v>
      </c>
      <c r="H217" s="19">
        <f t="shared" si="60"/>
        <v>8173.0594837535382</v>
      </c>
      <c r="I217" s="19">
        <f t="shared" si="60"/>
        <v>4665.6000024746936</v>
      </c>
      <c r="J217" s="19">
        <f t="shared" si="60"/>
        <v>0</v>
      </c>
      <c r="K217" s="19">
        <f t="shared" si="60"/>
        <v>0</v>
      </c>
      <c r="L217" s="41">
        <f t="shared" si="60"/>
        <v>0</v>
      </c>
      <c r="M217" s="19">
        <f t="shared" si="60"/>
        <v>0</v>
      </c>
      <c r="N217" s="19">
        <f t="shared" si="60"/>
        <v>0</v>
      </c>
      <c r="O217" s="19">
        <f t="shared" si="60"/>
        <v>0</v>
      </c>
      <c r="P217" s="19">
        <f t="shared" si="60"/>
        <v>0</v>
      </c>
      <c r="Q217" s="19">
        <f t="shared" si="60"/>
        <v>0</v>
      </c>
      <c r="R217" s="19">
        <f t="shared" si="60"/>
        <v>0</v>
      </c>
      <c r="S217" s="80">
        <f t="shared" si="60"/>
        <v>0</v>
      </c>
      <c r="T217" s="80">
        <f t="shared" si="60"/>
        <v>0</v>
      </c>
      <c r="U217" s="80">
        <f t="shared" ref="U217:AF217" si="61">U215+U216</f>
        <v>0</v>
      </c>
      <c r="V217" s="80">
        <f t="shared" si="61"/>
        <v>0</v>
      </c>
      <c r="W217" s="80">
        <f t="shared" si="61"/>
        <v>0</v>
      </c>
      <c r="X217" s="80">
        <f t="shared" si="61"/>
        <v>0</v>
      </c>
      <c r="Y217" s="80">
        <f t="shared" si="61"/>
        <v>0</v>
      </c>
      <c r="Z217" s="80">
        <f t="shared" si="61"/>
        <v>0</v>
      </c>
      <c r="AA217" s="80">
        <f t="shared" si="61"/>
        <v>0</v>
      </c>
      <c r="AB217" s="80">
        <f t="shared" si="61"/>
        <v>0</v>
      </c>
      <c r="AC217" s="80">
        <f t="shared" si="61"/>
        <v>0</v>
      </c>
      <c r="AD217" s="80">
        <f t="shared" si="61"/>
        <v>0</v>
      </c>
      <c r="AE217" s="80">
        <f t="shared" si="61"/>
        <v>0</v>
      </c>
      <c r="AF217" s="80">
        <f t="shared" si="61"/>
        <v>0</v>
      </c>
      <c r="AG217" s="65">
        <f>SUM(F217:AF217)</f>
        <v>295434.69369376608</v>
      </c>
      <c r="AH217" s="12" t="str">
        <f>IF(ABS(E217-AG217)&lt;0.01,"ok","err")</f>
        <v>ok</v>
      </c>
    </row>
    <row r="218" spans="1:34" x14ac:dyDescent="0.2">
      <c r="E218" s="7"/>
    </row>
    <row r="219" spans="1:34" x14ac:dyDescent="0.2">
      <c r="A219" s="2" t="s">
        <v>4</v>
      </c>
      <c r="E219" s="7"/>
    </row>
    <row r="220" spans="1:34" x14ac:dyDescent="0.2">
      <c r="A220" s="68" t="s">
        <v>220</v>
      </c>
      <c r="C220" s="3" t="s">
        <v>293</v>
      </c>
      <c r="D220" s="3" t="s">
        <v>229</v>
      </c>
      <c r="E220" s="19">
        <f>'Func &amp; Classif'!U312</f>
        <v>178330.86307952052</v>
      </c>
      <c r="F220" s="41">
        <f>IF(VLOOKUP($D220,$C$5:$AU$516,3,)=0,0,(VLOOKUP($D220,$C$5:$AU$516,4,)/VLOOKUP($D220,$C$5:$AU$516,3,))*$E220)</f>
        <v>159948.57885915483</v>
      </c>
      <c r="G220" s="41">
        <f>IF(VLOOKUP($D220,$C$5:$AU$516,3,)=0,0,(VLOOKUP($D220,$C$5:$AU$516,5,)/VLOOKUP($D220,$C$5:$AU$516,3,))*$E220)</f>
        <v>12049.920250589777</v>
      </c>
      <c r="H220" s="19">
        <f>IF(VLOOKUP($D220,$C$5:$AU$516,3,)=0,0,(VLOOKUP($D220,$C$5:$AU$516,6,)/VLOOKUP($D220,$C$5:$AU$516,3,))*$E220)</f>
        <v>5908.9872269503558</v>
      </c>
      <c r="I220" s="19">
        <f>IF(VLOOKUP($D220,$C$5:$AU$516,3,)=0,0,(VLOOKUP($D220,$C$5:$AU$516,7,)/VLOOKUP($D220,$C$5:$AU$516,3,))*$E220)</f>
        <v>378.81076989655639</v>
      </c>
      <c r="J220" s="19">
        <f>IF(VLOOKUP($D220,$C$5:$AU$516,3,)=0,0,(VLOOKUP($D220,$C$5:$AU$516,8,)/VLOOKUP($D220,$C$5:$AU$516,3,))*$E220)</f>
        <v>44.565972929006634</v>
      </c>
      <c r="K220" s="19">
        <f>IF(VLOOKUP($D220,$C$5:$AU$516,3,)=0,0,(VLOOKUP($D220,$C$5:$AU$516,9,)/VLOOKUP($D220,$C$5:$AU$516,3,))*$E220)</f>
        <v>0</v>
      </c>
      <c r="L220" s="41">
        <f>IF(VLOOKUP($D220,$C$5:$AU$516,3,)=0,0,(VLOOKUP($D220,$C$5:$AU$516,10,)/VLOOKUP($D220,$C$5:$AU$516,3,))*$E220)</f>
        <v>0</v>
      </c>
      <c r="M220" s="19">
        <f>IF(VLOOKUP($D220,$C$5:$AU$516,3,)=0,0,(VLOOKUP($D220,$C$5:$AU$516,11,)/VLOOKUP($D220,$C$5:$AU$516,3,))*$E220)</f>
        <v>0</v>
      </c>
      <c r="N220" s="19">
        <f>IF(VLOOKUP($D220,$C$5:$AU$516,3,)=0,0,(VLOOKUP($D220,$C$5:$AU$516,12,)/VLOOKUP($D220,$C$5:$AU$516,3,))*$E220)</f>
        <v>0</v>
      </c>
      <c r="O220" s="19">
        <f>IF(VLOOKUP($D220,$C$5:$AU$516,3,)=0,0,(VLOOKUP($D220,$C$5:$AU$516,13,)/VLOOKUP($D220,$C$5:$AU$516,3,))*$E220)</f>
        <v>0</v>
      </c>
      <c r="P220" s="19">
        <f>IF(VLOOKUP($D220,$C$5:$AU$516,3,)=0,0,(VLOOKUP($D220,$C$5:$AU$516,14,)/VLOOKUP($D220,$C$5:$AU$516,3,))*$E220)</f>
        <v>0</v>
      </c>
      <c r="Q220" s="19">
        <f>IF(VLOOKUP($D220,$C$5:$AU$516,3,)=0,0,(VLOOKUP($D220,$C$5:$AU$516,15,)/VLOOKUP($D220,$C$5:$AU$516,3,))*$E220)</f>
        <v>0</v>
      </c>
      <c r="R220" s="19">
        <f>IF(VLOOKUP($D220,$C$5:$AU$516,3,)=0,0,(VLOOKUP($D220,$C$5:$AU$516,16,)/VLOOKUP($D220,$C$5:$AU$516,3,))*$E220)</f>
        <v>0</v>
      </c>
      <c r="S220" s="80">
        <f>IF(VLOOKUP($D220,$C$5:$AU$516,3,)=0,0,(VLOOKUP($D220,$C$5:$AU$516,17,)/VLOOKUP($D220,$C$5:$AU$516,3,))*$E220)</f>
        <v>0</v>
      </c>
      <c r="T220" s="80">
        <f>IF(VLOOKUP($D220,$C$5:$AU$516,3,)=0,0,(VLOOKUP($D220,$C$5:$AU$516,18,)/VLOOKUP($D220,$C$5:$AU$516,3,))*$E220)</f>
        <v>0</v>
      </c>
      <c r="U220" s="80">
        <f>IF(VLOOKUP($D220,$C$5:$AU$516,3,)=0,0,(VLOOKUP($D220,$C$5:$AU$516,19,)/VLOOKUP($D220,$C$5:$AU$516,3,))*$E220)</f>
        <v>0</v>
      </c>
      <c r="V220" s="80">
        <f>IF(VLOOKUP($D220,$C$5:$AU$516,3,)=0,0,(VLOOKUP($D220,$C$5:$AU$516,20,)/VLOOKUP($D220,$C$5:$AU$516,3,))*$E220)</f>
        <v>0</v>
      </c>
      <c r="W220" s="80">
        <f>IF(VLOOKUP($D220,$C$5:$AU$516,3,)=0,0,(VLOOKUP($D220,$C$5:$AU$516,21,)/VLOOKUP($D220,$C$5:$AU$516,3,))*$E220)</f>
        <v>0</v>
      </c>
      <c r="X220" s="80">
        <f>IF(VLOOKUP($D220,$C$5:$AU$516,3,)=0,0,(VLOOKUP($D220,$C$5:$AU$516,22,)/VLOOKUP($D220,$C$5:$AU$516,3,))*$E220)</f>
        <v>0</v>
      </c>
      <c r="Y220" s="80">
        <f>IF(VLOOKUP($D220,$C$5:$AU$516,3,)=0,0,(VLOOKUP($D220,$C$5:$AU$516,23,)/VLOOKUP($D220,$C$5:$AU$516,3,))*$E220)</f>
        <v>0</v>
      </c>
      <c r="Z220" s="80">
        <f>IF(VLOOKUP($D220,$C$5:$AU$516,3,)=0,0,(VLOOKUP($D220,$C$5:$AU$516,24,)/VLOOKUP($D220,$C$5:$AU$516,3,))*$E220)</f>
        <v>0</v>
      </c>
      <c r="AA220" s="80">
        <f>IF(VLOOKUP($D220,$C$5:$AU$516,3,)=0,0,(VLOOKUP($D220,$C$5:$AU$516,25,)/VLOOKUP($D220,$C$5:$AU$516,3,))*$E220)</f>
        <v>0</v>
      </c>
      <c r="AB220" s="80">
        <f>IF(VLOOKUP($D220,$C$5:$AU$516,3,)=0,0,(VLOOKUP($D220,$C$5:$AU$516,26,)/VLOOKUP($D220,$C$5:$AU$516,3,))*$E220)</f>
        <v>0</v>
      </c>
      <c r="AC220" s="80">
        <f>IF(VLOOKUP($D220,$C$5:$AU$516,3,)=0,0,(VLOOKUP($D220,$C$5:$AU$516,27,)/VLOOKUP($D220,$C$5:$AU$516,3,))*$E220)</f>
        <v>0</v>
      </c>
      <c r="AD220" s="80">
        <f>IF(VLOOKUP($D220,$C$5:$AU$516,3,)=0,0,(VLOOKUP($D220,$C$5:$AU$516,28,)/VLOOKUP($D220,$C$5:$AU$516,3,))*$E220)</f>
        <v>0</v>
      </c>
      <c r="AE220" s="80">
        <f>IF(VLOOKUP($D220,$C$5:$AU$516,3,)=0,0,(VLOOKUP($D220,$C$5:$AU$516,29,)/VLOOKUP($D220,$C$5:$AU$516,3,))*$E220)</f>
        <v>0</v>
      </c>
      <c r="AF220" s="80">
        <f>IF(VLOOKUP($D220,$C$5:$AU$516,3,)=0,0,(VLOOKUP($D220,$C$5:$AU$516,30,)/VLOOKUP($D220,$C$5:$AU$516,3,))*$E220)</f>
        <v>0</v>
      </c>
      <c r="AG220" s="65">
        <f>SUM(F220:AF220)</f>
        <v>178330.86307952052</v>
      </c>
      <c r="AH220" s="12" t="str">
        <f>IF(ABS(E220-AG220)&lt;0.01,"ok","err")</f>
        <v>ok</v>
      </c>
    </row>
    <row r="221" spans="1:34" x14ac:dyDescent="0.2">
      <c r="E221" s="7"/>
    </row>
    <row r="222" spans="1:34" x14ac:dyDescent="0.2">
      <c r="A222" s="2" t="s">
        <v>5</v>
      </c>
      <c r="E222" s="7"/>
    </row>
    <row r="223" spans="1:34" x14ac:dyDescent="0.2">
      <c r="A223" s="68" t="s">
        <v>220</v>
      </c>
      <c r="C223" s="3" t="s">
        <v>294</v>
      </c>
      <c r="D223" s="3" t="s">
        <v>231</v>
      </c>
      <c r="E223" s="19">
        <f>'Func &amp; Classif'!W312</f>
        <v>178823.54352440173</v>
      </c>
      <c r="F223" s="41">
        <f>IF(VLOOKUP($D223,$C$5:$AU$516,3,)=0,0,(VLOOKUP($D223,$C$5:$AU$516,4,)/VLOOKUP($D223,$C$5:$AU$516,3,))*$E223)</f>
        <v>0</v>
      </c>
      <c r="G223" s="41">
        <f>IF(VLOOKUP($D223,$C$5:$AU$516,3,)=0,0,(VLOOKUP($D223,$C$5:$AU$516,5,)/VLOOKUP($D223,$C$5:$AU$516,3,))*$E223)</f>
        <v>0</v>
      </c>
      <c r="H223" s="19">
        <f>IF(VLOOKUP($D223,$C$5:$AU$516,3,)=0,0,(VLOOKUP($D223,$C$5:$AU$516,6,)/VLOOKUP($D223,$C$5:$AU$516,3,))*$E223)</f>
        <v>0</v>
      </c>
      <c r="I223" s="19">
        <f>IF(VLOOKUP($D223,$C$5:$AU$516,3,)=0,0,(VLOOKUP($D223,$C$5:$AU$516,7,)/VLOOKUP($D223,$C$5:$AU$516,3,))*$E223)</f>
        <v>0</v>
      </c>
      <c r="J223" s="19">
        <f>IF(VLOOKUP($D223,$C$5:$AU$516,3,)=0,0,(VLOOKUP($D223,$C$5:$AU$516,8,)/VLOOKUP($D223,$C$5:$AU$516,3,))*$E223)</f>
        <v>0</v>
      </c>
      <c r="K223" s="19">
        <f>IF(VLOOKUP($D223,$C$5:$AU$516,3,)=0,0,(VLOOKUP($D223,$C$5:$AU$516,9,)/VLOOKUP($D223,$C$5:$AU$516,3,))*$E223)</f>
        <v>178823.54352440173</v>
      </c>
      <c r="L223" s="41">
        <f>IF(VLOOKUP($D223,$C$5:$AU$516,3,)=0,0,(VLOOKUP($D223,$C$5:$AU$516,10,)/VLOOKUP($D223,$C$5:$AU$516,3,))*$E223)</f>
        <v>0</v>
      </c>
      <c r="M223" s="19">
        <f>IF(VLOOKUP($D223,$C$5:$AU$516,3,)=0,0,(VLOOKUP($D223,$C$5:$AU$516,11,)/VLOOKUP($D223,$C$5:$AU$516,3,))*$E223)</f>
        <v>0</v>
      </c>
      <c r="N223" s="19">
        <f>IF(VLOOKUP($D223,$C$5:$AU$516,3,)=0,0,(VLOOKUP($D223,$C$5:$AU$516,12,)/VLOOKUP($D223,$C$5:$AU$516,3,))*$E223)</f>
        <v>0</v>
      </c>
      <c r="O223" s="19">
        <f>IF(VLOOKUP($D223,$C$5:$AU$516,3,)=0,0,(VLOOKUP($D223,$C$5:$AU$516,13,)/VLOOKUP($D223,$C$5:$AU$516,3,))*$E223)</f>
        <v>0</v>
      </c>
      <c r="P223" s="19">
        <f>IF(VLOOKUP($D223,$C$5:$AU$516,3,)=0,0,(VLOOKUP($D223,$C$5:$AU$516,14,)/VLOOKUP($D223,$C$5:$AU$516,3,))*$E223)</f>
        <v>0</v>
      </c>
      <c r="Q223" s="19">
        <f>IF(VLOOKUP($D223,$C$5:$AU$516,3,)=0,0,(VLOOKUP($D223,$C$5:$AU$516,15,)/VLOOKUP($D223,$C$5:$AU$516,3,))*$E223)</f>
        <v>0</v>
      </c>
      <c r="R223" s="19">
        <f>IF(VLOOKUP($D223,$C$5:$AU$516,3,)=0,0,(VLOOKUP($D223,$C$5:$AU$516,16,)/VLOOKUP($D223,$C$5:$AU$516,3,))*$E223)</f>
        <v>0</v>
      </c>
      <c r="S223" s="80">
        <f>IF(VLOOKUP($D223,$C$5:$AU$516,3,)=0,0,(VLOOKUP($D223,$C$5:$AU$516,17,)/VLOOKUP($D223,$C$5:$AU$516,3,))*$E223)</f>
        <v>0</v>
      </c>
      <c r="T223" s="80">
        <f>IF(VLOOKUP($D223,$C$5:$AU$516,3,)=0,0,(VLOOKUP($D223,$C$5:$AU$516,18,)/VLOOKUP($D223,$C$5:$AU$516,3,))*$E223)</f>
        <v>0</v>
      </c>
      <c r="U223" s="80">
        <f>IF(VLOOKUP($D223,$C$5:$AU$516,3,)=0,0,(VLOOKUP($D223,$C$5:$AU$516,19,)/VLOOKUP($D223,$C$5:$AU$516,3,))*$E223)</f>
        <v>0</v>
      </c>
      <c r="V223" s="80">
        <f>IF(VLOOKUP($D223,$C$5:$AU$516,3,)=0,0,(VLOOKUP($D223,$C$5:$AU$516,20,)/VLOOKUP($D223,$C$5:$AU$516,3,))*$E223)</f>
        <v>0</v>
      </c>
      <c r="W223" s="80">
        <f>IF(VLOOKUP($D223,$C$5:$AU$516,3,)=0,0,(VLOOKUP($D223,$C$5:$AU$516,21,)/VLOOKUP($D223,$C$5:$AU$516,3,))*$E223)</f>
        <v>0</v>
      </c>
      <c r="X223" s="80">
        <f>IF(VLOOKUP($D223,$C$5:$AU$516,3,)=0,0,(VLOOKUP($D223,$C$5:$AU$516,22,)/VLOOKUP($D223,$C$5:$AU$516,3,))*$E223)</f>
        <v>0</v>
      </c>
      <c r="Y223" s="80">
        <f>IF(VLOOKUP($D223,$C$5:$AU$516,3,)=0,0,(VLOOKUP($D223,$C$5:$AU$516,23,)/VLOOKUP($D223,$C$5:$AU$516,3,))*$E223)</f>
        <v>0</v>
      </c>
      <c r="Z223" s="80">
        <f>IF(VLOOKUP($D223,$C$5:$AU$516,3,)=0,0,(VLOOKUP($D223,$C$5:$AU$516,24,)/VLOOKUP($D223,$C$5:$AU$516,3,))*$E223)</f>
        <v>0</v>
      </c>
      <c r="AA223" s="80">
        <f>IF(VLOOKUP($D223,$C$5:$AU$516,3,)=0,0,(VLOOKUP($D223,$C$5:$AU$516,25,)/VLOOKUP($D223,$C$5:$AU$516,3,))*$E223)</f>
        <v>0</v>
      </c>
      <c r="AB223" s="80">
        <f>IF(VLOOKUP($D223,$C$5:$AU$516,3,)=0,0,(VLOOKUP($D223,$C$5:$AU$516,26,)/VLOOKUP($D223,$C$5:$AU$516,3,))*$E223)</f>
        <v>0</v>
      </c>
      <c r="AC223" s="80">
        <f>IF(VLOOKUP($D223,$C$5:$AU$516,3,)=0,0,(VLOOKUP($D223,$C$5:$AU$516,27,)/VLOOKUP($D223,$C$5:$AU$516,3,))*$E223)</f>
        <v>0</v>
      </c>
      <c r="AD223" s="80">
        <f>IF(VLOOKUP($D223,$C$5:$AU$516,3,)=0,0,(VLOOKUP($D223,$C$5:$AU$516,28,)/VLOOKUP($D223,$C$5:$AU$516,3,))*$E223)</f>
        <v>0</v>
      </c>
      <c r="AE223" s="80">
        <f>IF(VLOOKUP($D223,$C$5:$AU$516,3,)=0,0,(VLOOKUP($D223,$C$5:$AU$516,29,)/VLOOKUP($D223,$C$5:$AU$516,3,))*$E223)</f>
        <v>0</v>
      </c>
      <c r="AF223" s="80">
        <f>IF(VLOOKUP($D223,$C$5:$AU$516,3,)=0,0,(VLOOKUP($D223,$C$5:$AU$516,30,)/VLOOKUP($D223,$C$5:$AU$516,3,))*$E223)</f>
        <v>0</v>
      </c>
      <c r="AG223" s="65">
        <f>SUM(F223:AF223)</f>
        <v>178823.54352440173</v>
      </c>
      <c r="AH223" s="12" t="str">
        <f>IF(ABS(E223-AG223)&lt;0.01,"ok","err")</f>
        <v>ok</v>
      </c>
    </row>
    <row r="224" spans="1:34" x14ac:dyDescent="0.2">
      <c r="E224" s="7"/>
    </row>
    <row r="225" spans="1:34" x14ac:dyDescent="0.2">
      <c r="A225" s="2" t="s">
        <v>545</v>
      </c>
      <c r="E225" s="7"/>
    </row>
    <row r="226" spans="1:34" x14ac:dyDescent="0.2">
      <c r="A226" s="68" t="s">
        <v>220</v>
      </c>
      <c r="C226" s="3" t="s">
        <v>295</v>
      </c>
      <c r="D226" s="3" t="s">
        <v>233</v>
      </c>
      <c r="E226" s="19">
        <f>'Func &amp; Classif'!Y312</f>
        <v>0</v>
      </c>
      <c r="F226" s="41">
        <f>IF(VLOOKUP($D226,$C$5:$AU$516,3,)=0,0,(VLOOKUP($D226,$C$5:$AU$516,4,)/VLOOKUP($D226,$C$5:$AU$516,3,))*$E226)</f>
        <v>0</v>
      </c>
      <c r="G226" s="41">
        <f>IF(VLOOKUP($D226,$C$5:$AU$516,3,)=0,0,(VLOOKUP($D226,$C$5:$AU$516,5,)/VLOOKUP($D226,$C$5:$AU$516,3,))*$E226)</f>
        <v>0</v>
      </c>
      <c r="H226" s="19">
        <f>IF(VLOOKUP($D226,$C$5:$AU$516,3,)=0,0,(VLOOKUP($D226,$C$5:$AU$516,6,)/VLOOKUP($D226,$C$5:$AU$516,3,))*$E226)</f>
        <v>0</v>
      </c>
      <c r="I226" s="19">
        <f>IF(VLOOKUP($D226,$C$5:$AU$516,3,)=0,0,(VLOOKUP($D226,$C$5:$AU$516,7,)/VLOOKUP($D226,$C$5:$AU$516,3,))*$E226)</f>
        <v>0</v>
      </c>
      <c r="J226" s="19">
        <f>IF(VLOOKUP($D226,$C$5:$AU$516,3,)=0,0,(VLOOKUP($D226,$C$5:$AU$516,8,)/VLOOKUP($D226,$C$5:$AU$516,3,))*$E226)</f>
        <v>0</v>
      </c>
      <c r="K226" s="19">
        <f>IF(VLOOKUP($D226,$C$5:$AU$516,3,)=0,0,(VLOOKUP($D226,$C$5:$AU$516,9,)/VLOOKUP($D226,$C$5:$AU$516,3,))*$E226)</f>
        <v>0</v>
      </c>
      <c r="L226" s="41">
        <f>IF(VLOOKUP($D226,$C$5:$AU$516,3,)=0,0,(VLOOKUP($D226,$C$5:$AU$516,10,)/VLOOKUP($D226,$C$5:$AU$516,3,))*$E226)</f>
        <v>0</v>
      </c>
      <c r="M226" s="19">
        <f>IF(VLOOKUP($D226,$C$5:$AU$516,3,)=0,0,(VLOOKUP($D226,$C$5:$AU$516,11,)/VLOOKUP($D226,$C$5:$AU$516,3,))*$E226)</f>
        <v>0</v>
      </c>
      <c r="N226" s="19">
        <f>IF(VLOOKUP($D226,$C$5:$AU$516,3,)=0,0,(VLOOKUP($D226,$C$5:$AU$516,12,)/VLOOKUP($D226,$C$5:$AU$516,3,))*$E226)</f>
        <v>0</v>
      </c>
      <c r="O226" s="19">
        <f>IF(VLOOKUP($D226,$C$5:$AU$516,3,)=0,0,(VLOOKUP($D226,$C$5:$AU$516,13,)/VLOOKUP($D226,$C$5:$AU$516,3,))*$E226)</f>
        <v>0</v>
      </c>
      <c r="P226" s="19">
        <f>IF(VLOOKUP($D226,$C$5:$AU$516,3,)=0,0,(VLOOKUP($D226,$C$5:$AU$516,14,)/VLOOKUP($D226,$C$5:$AU$516,3,))*$E226)</f>
        <v>0</v>
      </c>
      <c r="Q226" s="19">
        <f>IF(VLOOKUP($D226,$C$5:$AU$516,3,)=0,0,(VLOOKUP($D226,$C$5:$AU$516,15,)/VLOOKUP($D226,$C$5:$AU$516,3,))*$E226)</f>
        <v>0</v>
      </c>
      <c r="R226" s="19">
        <f>IF(VLOOKUP($D226,$C$5:$AU$516,3,)=0,0,(VLOOKUP($D226,$C$5:$AU$516,16,)/VLOOKUP($D226,$C$5:$AU$516,3,))*$E226)</f>
        <v>0</v>
      </c>
      <c r="S226" s="80">
        <f>IF(VLOOKUP($D226,$C$5:$AU$516,3,)=0,0,(VLOOKUP($D226,$C$5:$AU$516,17,)/VLOOKUP($D226,$C$5:$AU$516,3,))*$E226)</f>
        <v>0</v>
      </c>
      <c r="T226" s="80">
        <f>IF(VLOOKUP($D226,$C$5:$AU$516,3,)=0,0,(VLOOKUP($D226,$C$5:$AU$516,18,)/VLOOKUP($D226,$C$5:$AU$516,3,))*$E226)</f>
        <v>0</v>
      </c>
      <c r="U226" s="80">
        <f>IF(VLOOKUP($D226,$C$5:$AU$516,3,)=0,0,(VLOOKUP($D226,$C$5:$AU$516,19,)/VLOOKUP($D226,$C$5:$AU$516,3,))*$E226)</f>
        <v>0</v>
      </c>
      <c r="V226" s="80">
        <f>IF(VLOOKUP($D226,$C$5:$AU$516,3,)=0,0,(VLOOKUP($D226,$C$5:$AU$516,20,)/VLOOKUP($D226,$C$5:$AU$516,3,))*$E226)</f>
        <v>0</v>
      </c>
      <c r="W226" s="80">
        <f>IF(VLOOKUP($D226,$C$5:$AU$516,3,)=0,0,(VLOOKUP($D226,$C$5:$AU$516,21,)/VLOOKUP($D226,$C$5:$AU$516,3,))*$E226)</f>
        <v>0</v>
      </c>
      <c r="X226" s="80">
        <f>IF(VLOOKUP($D226,$C$5:$AU$516,3,)=0,0,(VLOOKUP($D226,$C$5:$AU$516,22,)/VLOOKUP($D226,$C$5:$AU$516,3,))*$E226)</f>
        <v>0</v>
      </c>
      <c r="Y226" s="80">
        <f>IF(VLOOKUP($D226,$C$5:$AU$516,3,)=0,0,(VLOOKUP($D226,$C$5:$AU$516,23,)/VLOOKUP($D226,$C$5:$AU$516,3,))*$E226)</f>
        <v>0</v>
      </c>
      <c r="Z226" s="80">
        <f>IF(VLOOKUP($D226,$C$5:$AU$516,3,)=0,0,(VLOOKUP($D226,$C$5:$AU$516,24,)/VLOOKUP($D226,$C$5:$AU$516,3,))*$E226)</f>
        <v>0</v>
      </c>
      <c r="AA226" s="80">
        <f>IF(VLOOKUP($D226,$C$5:$AU$516,3,)=0,0,(VLOOKUP($D226,$C$5:$AU$516,25,)/VLOOKUP($D226,$C$5:$AU$516,3,))*$E226)</f>
        <v>0</v>
      </c>
      <c r="AB226" s="80">
        <f>IF(VLOOKUP($D226,$C$5:$AU$516,3,)=0,0,(VLOOKUP($D226,$C$5:$AU$516,26,)/VLOOKUP($D226,$C$5:$AU$516,3,))*$E226)</f>
        <v>0</v>
      </c>
      <c r="AC226" s="80">
        <f>IF(VLOOKUP($D226,$C$5:$AU$516,3,)=0,0,(VLOOKUP($D226,$C$5:$AU$516,27,)/VLOOKUP($D226,$C$5:$AU$516,3,))*$E226)</f>
        <v>0</v>
      </c>
      <c r="AD226" s="80">
        <f>IF(VLOOKUP($D226,$C$5:$AU$516,3,)=0,0,(VLOOKUP($D226,$C$5:$AU$516,28,)/VLOOKUP($D226,$C$5:$AU$516,3,))*$E226)</f>
        <v>0</v>
      </c>
      <c r="AE226" s="80">
        <f>IF(VLOOKUP($D226,$C$5:$AU$516,3,)=0,0,(VLOOKUP($D226,$C$5:$AU$516,29,)/VLOOKUP($D226,$C$5:$AU$516,3,))*$E226)</f>
        <v>0</v>
      </c>
      <c r="AF226" s="80">
        <f>IF(VLOOKUP($D226,$C$5:$AU$516,3,)=0,0,(VLOOKUP($D226,$C$5:$AU$516,30,)/VLOOKUP($D226,$C$5:$AU$516,3,))*$E226)</f>
        <v>0</v>
      </c>
      <c r="AG226" s="65">
        <f>SUM(F226:AF226)</f>
        <v>0</v>
      </c>
      <c r="AH226" s="12" t="str">
        <f>IF(ABS(E226-AG226)&lt;0.01,"ok","err")</f>
        <v>ok</v>
      </c>
    </row>
    <row r="227" spans="1:34" x14ac:dyDescent="0.2">
      <c r="E227" s="7"/>
    </row>
    <row r="228" spans="1:34" x14ac:dyDescent="0.2">
      <c r="A228" s="2" t="s">
        <v>470</v>
      </c>
      <c r="E228" s="7"/>
    </row>
    <row r="229" spans="1:34" x14ac:dyDescent="0.2">
      <c r="A229" s="68" t="s">
        <v>220</v>
      </c>
      <c r="C229" s="3" t="s">
        <v>292</v>
      </c>
      <c r="D229" s="3" t="s">
        <v>234</v>
      </c>
      <c r="E229" s="19">
        <f>'Func &amp; Classif'!AA312</f>
        <v>0</v>
      </c>
      <c r="F229" s="41">
        <f>IF(VLOOKUP($D229,$C$5:$AU$516,3,)=0,0,(VLOOKUP($D229,$C$5:$AU$516,4,)/VLOOKUP($D229,$C$5:$AU$516,3,))*$E229)</f>
        <v>0</v>
      </c>
      <c r="G229" s="41">
        <f>IF(VLOOKUP($D229,$C$5:$AU$516,3,)=0,0,(VLOOKUP($D229,$C$5:$AU$516,5,)/VLOOKUP($D229,$C$5:$AU$516,3,))*$E229)</f>
        <v>0</v>
      </c>
      <c r="H229" s="19">
        <f>IF(VLOOKUP($D229,$C$5:$AU$516,3,)=0,0,(VLOOKUP($D229,$C$5:$AU$516,6,)/VLOOKUP($D229,$C$5:$AU$516,3,))*$E229)</f>
        <v>0</v>
      </c>
      <c r="I229" s="19">
        <f>IF(VLOOKUP($D229,$C$5:$AU$516,3,)=0,0,(VLOOKUP($D229,$C$5:$AU$516,7,)/VLOOKUP($D229,$C$5:$AU$516,3,))*$E229)</f>
        <v>0</v>
      </c>
      <c r="J229" s="19">
        <f>IF(VLOOKUP($D229,$C$5:$AU$516,3,)=0,0,(VLOOKUP($D229,$C$5:$AU$516,8,)/VLOOKUP($D229,$C$5:$AU$516,3,))*$E229)</f>
        <v>0</v>
      </c>
      <c r="K229" s="19">
        <f>IF(VLOOKUP($D229,$C$5:$AU$516,3,)=0,0,(VLOOKUP($D229,$C$5:$AU$516,9,)/VLOOKUP($D229,$C$5:$AU$516,3,))*$E229)</f>
        <v>0</v>
      </c>
      <c r="L229" s="41">
        <f>IF(VLOOKUP($D229,$C$5:$AU$516,3,)=0,0,(VLOOKUP($D229,$C$5:$AU$516,10,)/VLOOKUP($D229,$C$5:$AU$516,3,))*$E229)</f>
        <v>0</v>
      </c>
      <c r="M229" s="19">
        <f>IF(VLOOKUP($D229,$C$5:$AU$516,3,)=0,0,(VLOOKUP($D229,$C$5:$AU$516,11,)/VLOOKUP($D229,$C$5:$AU$516,3,))*$E229)</f>
        <v>0</v>
      </c>
      <c r="N229" s="19">
        <f>IF(VLOOKUP($D229,$C$5:$AU$516,3,)=0,0,(VLOOKUP($D229,$C$5:$AU$516,12,)/VLOOKUP($D229,$C$5:$AU$516,3,))*$E229)</f>
        <v>0</v>
      </c>
      <c r="O229" s="19">
        <f>IF(VLOOKUP($D229,$C$5:$AU$516,3,)=0,0,(VLOOKUP($D229,$C$5:$AU$516,13,)/VLOOKUP($D229,$C$5:$AU$516,3,))*$E229)</f>
        <v>0</v>
      </c>
      <c r="P229" s="19">
        <f>IF(VLOOKUP($D229,$C$5:$AU$516,3,)=0,0,(VLOOKUP($D229,$C$5:$AU$516,14,)/VLOOKUP($D229,$C$5:$AU$516,3,))*$E229)</f>
        <v>0</v>
      </c>
      <c r="Q229" s="19">
        <f>IF(VLOOKUP($D229,$C$5:$AU$516,3,)=0,0,(VLOOKUP($D229,$C$5:$AU$516,15,)/VLOOKUP($D229,$C$5:$AU$516,3,))*$E229)</f>
        <v>0</v>
      </c>
      <c r="R229" s="19">
        <f>IF(VLOOKUP($D229,$C$5:$AU$516,3,)=0,0,(VLOOKUP($D229,$C$5:$AU$516,16,)/VLOOKUP($D229,$C$5:$AU$516,3,))*$E229)</f>
        <v>0</v>
      </c>
      <c r="S229" s="80">
        <f>IF(VLOOKUP($D229,$C$5:$AU$516,3,)=0,0,(VLOOKUP($D229,$C$5:$AU$516,17,)/VLOOKUP($D229,$C$5:$AU$516,3,))*$E229)</f>
        <v>0</v>
      </c>
      <c r="T229" s="80">
        <f>IF(VLOOKUP($D229,$C$5:$AU$516,3,)=0,0,(VLOOKUP($D229,$C$5:$AU$516,18,)/VLOOKUP($D229,$C$5:$AU$516,3,))*$E229)</f>
        <v>0</v>
      </c>
      <c r="U229" s="80">
        <f>IF(VLOOKUP($D229,$C$5:$AU$516,3,)=0,0,(VLOOKUP($D229,$C$5:$AU$516,19,)/VLOOKUP($D229,$C$5:$AU$516,3,))*$E229)</f>
        <v>0</v>
      </c>
      <c r="V229" s="80">
        <f>IF(VLOOKUP($D229,$C$5:$AU$516,3,)=0,0,(VLOOKUP($D229,$C$5:$AU$516,20,)/VLOOKUP($D229,$C$5:$AU$516,3,))*$E229)</f>
        <v>0</v>
      </c>
      <c r="W229" s="80">
        <f>IF(VLOOKUP($D229,$C$5:$AU$516,3,)=0,0,(VLOOKUP($D229,$C$5:$AU$516,21,)/VLOOKUP($D229,$C$5:$AU$516,3,))*$E229)</f>
        <v>0</v>
      </c>
      <c r="X229" s="80">
        <f>IF(VLOOKUP($D229,$C$5:$AU$516,3,)=0,0,(VLOOKUP($D229,$C$5:$AU$516,22,)/VLOOKUP($D229,$C$5:$AU$516,3,))*$E229)</f>
        <v>0</v>
      </c>
      <c r="Y229" s="80">
        <f>IF(VLOOKUP($D229,$C$5:$AU$516,3,)=0,0,(VLOOKUP($D229,$C$5:$AU$516,23,)/VLOOKUP($D229,$C$5:$AU$516,3,))*$E229)</f>
        <v>0</v>
      </c>
      <c r="Z229" s="80">
        <f>IF(VLOOKUP($D229,$C$5:$AU$516,3,)=0,0,(VLOOKUP($D229,$C$5:$AU$516,24,)/VLOOKUP($D229,$C$5:$AU$516,3,))*$E229)</f>
        <v>0</v>
      </c>
      <c r="AA229" s="80">
        <f>IF(VLOOKUP($D229,$C$5:$AU$516,3,)=0,0,(VLOOKUP($D229,$C$5:$AU$516,25,)/VLOOKUP($D229,$C$5:$AU$516,3,))*$E229)</f>
        <v>0</v>
      </c>
      <c r="AB229" s="80">
        <f>IF(VLOOKUP($D229,$C$5:$AU$516,3,)=0,0,(VLOOKUP($D229,$C$5:$AU$516,26,)/VLOOKUP($D229,$C$5:$AU$516,3,))*$E229)</f>
        <v>0</v>
      </c>
      <c r="AC229" s="80">
        <f>IF(VLOOKUP($D229,$C$5:$AU$516,3,)=0,0,(VLOOKUP($D229,$C$5:$AU$516,27,)/VLOOKUP($D229,$C$5:$AU$516,3,))*$E229)</f>
        <v>0</v>
      </c>
      <c r="AD229" s="80">
        <f>IF(VLOOKUP($D229,$C$5:$AU$516,3,)=0,0,(VLOOKUP($D229,$C$5:$AU$516,28,)/VLOOKUP($D229,$C$5:$AU$516,3,))*$E229)</f>
        <v>0</v>
      </c>
      <c r="AE229" s="80">
        <f>IF(VLOOKUP($D229,$C$5:$AU$516,3,)=0,0,(VLOOKUP($D229,$C$5:$AU$516,29,)/VLOOKUP($D229,$C$5:$AU$516,3,))*$E229)</f>
        <v>0</v>
      </c>
      <c r="AF229" s="80">
        <f>IF(VLOOKUP($D229,$C$5:$AU$516,3,)=0,0,(VLOOKUP($D229,$C$5:$AU$516,30,)/VLOOKUP($D229,$C$5:$AU$516,3,))*$E229)</f>
        <v>0</v>
      </c>
      <c r="AG229" s="65">
        <f>SUM(F229:AF229)</f>
        <v>0</v>
      </c>
      <c r="AH229" s="12" t="str">
        <f>IF(ABS(E229-AG229)&lt;0.01,"ok","err")</f>
        <v>ok</v>
      </c>
    </row>
    <row r="230" spans="1:34" x14ac:dyDescent="0.2">
      <c r="E230" s="7"/>
    </row>
    <row r="231" spans="1:34" x14ac:dyDescent="0.2">
      <c r="A231" s="3" t="s">
        <v>0</v>
      </c>
      <c r="C231" s="3" t="s">
        <v>296</v>
      </c>
      <c r="E231" s="19">
        <f>E201+E204+E207+E212+E217+E220+E223+E226+E229</f>
        <v>2629279.9500000002</v>
      </c>
      <c r="F231" s="19">
        <f t="shared" ref="F231:R231" si="62">F201+F204+F207+F212+F217+F220+F223+F226+F229</f>
        <v>1997642.2361885342</v>
      </c>
      <c r="G231" s="19">
        <f t="shared" si="62"/>
        <v>117442.64929971629</v>
      </c>
      <c r="H231" s="19">
        <f t="shared" si="62"/>
        <v>156492.34032582518</v>
      </c>
      <c r="I231" s="19">
        <f t="shared" si="62"/>
        <v>69125.60032217254</v>
      </c>
      <c r="J231" s="19">
        <f t="shared" si="62"/>
        <v>22701.415857954067</v>
      </c>
      <c r="K231" s="19">
        <f t="shared" si="62"/>
        <v>265875.70800579834</v>
      </c>
      <c r="L231" s="19">
        <f t="shared" si="62"/>
        <v>0</v>
      </c>
      <c r="M231" s="19">
        <f t="shared" si="62"/>
        <v>0</v>
      </c>
      <c r="N231" s="19">
        <f t="shared" si="62"/>
        <v>0</v>
      </c>
      <c r="O231" s="19">
        <f t="shared" si="62"/>
        <v>0</v>
      </c>
      <c r="P231" s="19">
        <f t="shared" si="62"/>
        <v>0</v>
      </c>
      <c r="Q231" s="19">
        <f t="shared" si="62"/>
        <v>0</v>
      </c>
      <c r="R231" s="19">
        <f t="shared" si="62"/>
        <v>0</v>
      </c>
      <c r="S231" s="80">
        <f t="shared" ref="S231:AF231" si="63">S201+S207+S212+S217+S220+S223+S226+S229</f>
        <v>0</v>
      </c>
      <c r="T231" s="80">
        <f t="shared" si="63"/>
        <v>0</v>
      </c>
      <c r="U231" s="80">
        <f t="shared" si="63"/>
        <v>0</v>
      </c>
      <c r="V231" s="80">
        <f t="shared" si="63"/>
        <v>0</v>
      </c>
      <c r="W231" s="80">
        <f t="shared" si="63"/>
        <v>0</v>
      </c>
      <c r="X231" s="80">
        <f t="shared" si="63"/>
        <v>0</v>
      </c>
      <c r="Y231" s="80">
        <f t="shared" si="63"/>
        <v>0</v>
      </c>
      <c r="Z231" s="80">
        <f t="shared" si="63"/>
        <v>0</v>
      </c>
      <c r="AA231" s="80">
        <f t="shared" si="63"/>
        <v>0</v>
      </c>
      <c r="AB231" s="80">
        <f t="shared" si="63"/>
        <v>0</v>
      </c>
      <c r="AC231" s="80">
        <f t="shared" si="63"/>
        <v>0</v>
      </c>
      <c r="AD231" s="80">
        <f t="shared" si="63"/>
        <v>0</v>
      </c>
      <c r="AE231" s="80">
        <f t="shared" si="63"/>
        <v>0</v>
      </c>
      <c r="AF231" s="80">
        <f t="shared" si="63"/>
        <v>0</v>
      </c>
      <c r="AG231" s="65">
        <f>SUM(F231:AF231)</f>
        <v>2629279.9500000007</v>
      </c>
      <c r="AH231" s="12" t="str">
        <f>IF(ABS(E231-AG231)&lt;0.01,"ok","err")</f>
        <v>ok</v>
      </c>
    </row>
    <row r="232" spans="1:34" x14ac:dyDescent="0.2">
      <c r="E232" s="178">
        <f>E231/$E231</f>
        <v>1</v>
      </c>
      <c r="F232" s="178">
        <f>F231/$E231</f>
        <v>0.7597677973349829</v>
      </c>
      <c r="G232" s="178">
        <f t="shared" ref="G232" si="64">G231/$E231</f>
        <v>4.4667228873713612E-2</v>
      </c>
      <c r="H232" s="178">
        <f t="shared" ref="H232" si="65">H231/$E231</f>
        <v>5.9519086328492773E-2</v>
      </c>
      <c r="I232" s="178">
        <f t="shared" ref="I232" si="66">I231/$E231</f>
        <v>2.6290696174126507E-2</v>
      </c>
      <c r="J232" s="178">
        <f t="shared" ref="J232" si="67">J231/$E231</f>
        <v>8.6340809231645593E-3</v>
      </c>
      <c r="K232" s="178">
        <f t="shared" ref="K232" si="68">K231/$E231</f>
        <v>0.10112111036551978</v>
      </c>
      <c r="L232" s="178">
        <f t="shared" ref="L232" si="69">L231/$E231</f>
        <v>0</v>
      </c>
      <c r="M232" s="22">
        <f t="shared" ref="M232" si="70">M231/$E231</f>
        <v>0</v>
      </c>
    </row>
    <row r="234" spans="1:34" x14ac:dyDescent="0.2">
      <c r="A234" s="10" t="s">
        <v>187</v>
      </c>
    </row>
    <row r="236" spans="1:34" x14ac:dyDescent="0.2">
      <c r="A236" s="2" t="s">
        <v>864</v>
      </c>
    </row>
    <row r="237" spans="1:34" x14ac:dyDescent="0.2">
      <c r="A237" s="68" t="s">
        <v>208</v>
      </c>
      <c r="C237" s="3" t="s">
        <v>297</v>
      </c>
      <c r="D237" s="3" t="s">
        <v>657</v>
      </c>
      <c r="E237" s="19">
        <f>'Func &amp; Classif'!H314</f>
        <v>0</v>
      </c>
      <c r="F237" s="41">
        <f>IF(VLOOKUP($D237,$C$5:$AU$516,3,)=0,0,(VLOOKUP($D237,$C$5:$AU$516,4,)/VLOOKUP($D237,$C$5:$AU$516,3,))*$E237)</f>
        <v>0</v>
      </c>
      <c r="G237" s="41">
        <f>IF(VLOOKUP($D237,$C$5:$AU$516,3,)=0,0,(VLOOKUP($D237,$C$5:$AU$516,5,)/VLOOKUP($D237,$C$5:$AU$516,3,))*$E237)</f>
        <v>0</v>
      </c>
      <c r="H237" s="19">
        <f>IF(VLOOKUP($D237,$C$5:$AU$516,3,)=0,0,(VLOOKUP($D237,$C$5:$AU$516,6,)/VLOOKUP($D237,$C$5:$AU$516,3,))*$E237)</f>
        <v>0</v>
      </c>
      <c r="I237" s="19">
        <f>IF(VLOOKUP($D237,$C$5:$AU$516,3,)=0,0,(VLOOKUP($D237,$C$5:$AU$516,7,)/VLOOKUP($D237,$C$5:$AU$516,3,))*$E237)</f>
        <v>0</v>
      </c>
      <c r="J237" s="19">
        <f>IF(VLOOKUP($D237,$C$5:$AU$516,3,)=0,0,(VLOOKUP($D237,$C$5:$AU$516,8,)/VLOOKUP($D237,$C$5:$AU$516,3,))*$E237)</f>
        <v>0</v>
      </c>
      <c r="K237" s="19">
        <f>IF(VLOOKUP($D237,$C$5:$AU$516,3,)=0,0,(VLOOKUP($D237,$C$5:$AU$516,9,)/VLOOKUP($D237,$C$5:$AU$516,3,))*$E237)</f>
        <v>0</v>
      </c>
      <c r="L237" s="41">
        <f>IF(VLOOKUP($D237,$C$5:$AU$516,3,)=0,0,(VLOOKUP($D237,$C$5:$AU$516,10,)/VLOOKUP($D237,$C$5:$AU$516,3,))*$E237)</f>
        <v>0</v>
      </c>
      <c r="M237" s="19">
        <f>IF(VLOOKUP($D237,$C$5:$AU$516,3,)=0,0,(VLOOKUP($D237,$C$5:$AU$516,11,)/VLOOKUP($D237,$C$5:$AU$516,3,))*$E237)</f>
        <v>0</v>
      </c>
      <c r="N237" s="19">
        <f>IF(VLOOKUP($D237,$C$5:$AU$516,3,)=0,0,(VLOOKUP($D237,$C$5:$AU$516,12,)/VLOOKUP($D237,$C$5:$AU$516,3,))*$E237)</f>
        <v>0</v>
      </c>
      <c r="O237" s="19">
        <f>IF(VLOOKUP($D237,$C$5:$AU$516,3,)=0,0,(VLOOKUP($D237,$C$5:$AU$516,13,)/VLOOKUP($D237,$C$5:$AU$516,3,))*$E237)</f>
        <v>0</v>
      </c>
      <c r="P237" s="19">
        <f>IF(VLOOKUP($D237,$C$5:$AU$516,3,)=0,0,(VLOOKUP($D237,$C$5:$AU$516,14,)/VLOOKUP($D237,$C$5:$AU$516,3,))*$E237)</f>
        <v>0</v>
      </c>
      <c r="Q237" s="19">
        <f>IF(VLOOKUP($D237,$C$5:$AU$516,3,)=0,0,(VLOOKUP($D237,$C$5:$AU$516,15,)/VLOOKUP($D237,$C$5:$AU$516,3,))*$E237)</f>
        <v>0</v>
      </c>
      <c r="R237" s="19">
        <f>IF(VLOOKUP($D237,$C$5:$AU$516,3,)=0,0,(VLOOKUP($D237,$C$5:$AU$516,16,)/VLOOKUP($D237,$C$5:$AU$516,3,))*$E237)</f>
        <v>0</v>
      </c>
      <c r="S237" s="80">
        <f>IF(VLOOKUP($D237,$C$5:$AU$516,3,)=0,0,(VLOOKUP($D237,$C$5:$AU$516,17,)/VLOOKUP($D237,$C$5:$AU$516,3,))*$E237)</f>
        <v>0</v>
      </c>
      <c r="T237" s="80">
        <f>IF(VLOOKUP($D237,$C$5:$AU$516,3,)=0,0,(VLOOKUP($D237,$C$5:$AU$516,18,)/VLOOKUP($D237,$C$5:$AU$516,3,))*$E237)</f>
        <v>0</v>
      </c>
      <c r="U237" s="80">
        <f>IF(VLOOKUP($D237,$C$5:$AU$516,3,)=0,0,(VLOOKUP($D237,$C$5:$AU$516,19,)/VLOOKUP($D237,$C$5:$AU$516,3,))*$E237)</f>
        <v>0</v>
      </c>
      <c r="V237" s="80">
        <f>IF(VLOOKUP($D237,$C$5:$AU$516,3,)=0,0,(VLOOKUP($D237,$C$5:$AU$516,20,)/VLOOKUP($D237,$C$5:$AU$516,3,))*$E237)</f>
        <v>0</v>
      </c>
      <c r="W237" s="80">
        <f>IF(VLOOKUP($D237,$C$5:$AU$516,3,)=0,0,(VLOOKUP($D237,$C$5:$AU$516,21,)/VLOOKUP($D237,$C$5:$AU$516,3,))*$E237)</f>
        <v>0</v>
      </c>
      <c r="X237" s="80">
        <f>IF(VLOOKUP($D237,$C$5:$AU$516,3,)=0,0,(VLOOKUP($D237,$C$5:$AU$516,22,)/VLOOKUP($D237,$C$5:$AU$516,3,))*$E237)</f>
        <v>0</v>
      </c>
      <c r="Y237" s="80">
        <f>IF(VLOOKUP($D237,$C$5:$AU$516,3,)=0,0,(VLOOKUP($D237,$C$5:$AU$516,23,)/VLOOKUP($D237,$C$5:$AU$516,3,))*$E237)</f>
        <v>0</v>
      </c>
      <c r="Z237" s="80">
        <f>IF(VLOOKUP($D237,$C$5:$AU$516,3,)=0,0,(VLOOKUP($D237,$C$5:$AU$516,24,)/VLOOKUP($D237,$C$5:$AU$516,3,))*$E237)</f>
        <v>0</v>
      </c>
      <c r="AA237" s="80">
        <f>IF(VLOOKUP($D237,$C$5:$AU$516,3,)=0,0,(VLOOKUP($D237,$C$5:$AU$516,25,)/VLOOKUP($D237,$C$5:$AU$516,3,))*$E237)</f>
        <v>0</v>
      </c>
      <c r="AB237" s="80">
        <f>IF(VLOOKUP($D237,$C$5:$AU$516,3,)=0,0,(VLOOKUP($D237,$C$5:$AU$516,26,)/VLOOKUP($D237,$C$5:$AU$516,3,))*$E237)</f>
        <v>0</v>
      </c>
      <c r="AC237" s="80">
        <f>IF(VLOOKUP($D237,$C$5:$AU$516,3,)=0,0,(VLOOKUP($D237,$C$5:$AU$516,27,)/VLOOKUP($D237,$C$5:$AU$516,3,))*$E237)</f>
        <v>0</v>
      </c>
      <c r="AD237" s="80">
        <f>IF(VLOOKUP($D237,$C$5:$AU$516,3,)=0,0,(VLOOKUP($D237,$C$5:$AU$516,28,)/VLOOKUP($D237,$C$5:$AU$516,3,))*$E237)</f>
        <v>0</v>
      </c>
      <c r="AE237" s="80">
        <f>IF(VLOOKUP($D237,$C$5:$AU$516,3,)=0,0,(VLOOKUP($D237,$C$5:$AU$516,29,)/VLOOKUP($D237,$C$5:$AU$516,3,))*$E237)</f>
        <v>0</v>
      </c>
      <c r="AF237" s="80">
        <f>IF(VLOOKUP($D237,$C$5:$AU$516,3,)=0,0,(VLOOKUP($D237,$C$5:$AU$516,30,)/VLOOKUP($D237,$C$5:$AU$516,3,))*$E237)</f>
        <v>0</v>
      </c>
      <c r="AG237" s="65">
        <f>SUM(F237:AF237)</f>
        <v>0</v>
      </c>
      <c r="AH237" s="12" t="str">
        <f>IF(ABS(E237-AG237)&lt;0.01,"ok","err")</f>
        <v>ok</v>
      </c>
    </row>
    <row r="238" spans="1:34" x14ac:dyDescent="0.2">
      <c r="A238" s="68" t="s">
        <v>211</v>
      </c>
      <c r="C238" s="3" t="s">
        <v>298</v>
      </c>
      <c r="D238" s="3" t="s">
        <v>666</v>
      </c>
      <c r="E238" s="7">
        <f>'Func &amp; Classif'!I314</f>
        <v>0</v>
      </c>
      <c r="F238" s="41">
        <f>IF(VLOOKUP($D238,$C$5:$AU$516,3,)=0,0,(VLOOKUP($D238,$C$5:$AU$516,4,)/VLOOKUP($D238,$C$5:$AU$516,3,))*$E238)</f>
        <v>0</v>
      </c>
      <c r="G238" s="41">
        <f>IF(VLOOKUP($D238,$C$5:$AU$516,3,)=0,0,(VLOOKUP($D238,$C$5:$AU$516,5,)/VLOOKUP($D238,$C$5:$AU$516,3,))*$E238)</f>
        <v>0</v>
      </c>
      <c r="H238" s="19">
        <f>IF(VLOOKUP($D238,$C$5:$AU$516,3,)=0,0,(VLOOKUP($D238,$C$5:$AU$516,6,)/VLOOKUP($D238,$C$5:$AU$516,3,))*$E238)</f>
        <v>0</v>
      </c>
      <c r="I238" s="19">
        <f>IF(VLOOKUP($D238,$C$5:$AU$516,3,)=0,0,(VLOOKUP($D238,$C$5:$AU$516,7,)/VLOOKUP($D238,$C$5:$AU$516,3,))*$E238)</f>
        <v>0</v>
      </c>
      <c r="J238" s="19">
        <f>IF(VLOOKUP($D238,$C$5:$AU$516,3,)=0,0,(VLOOKUP($D238,$C$5:$AU$516,8,)/VLOOKUP($D238,$C$5:$AU$516,3,))*$E238)</f>
        <v>0</v>
      </c>
      <c r="K238" s="19">
        <f>IF(VLOOKUP($D238,$C$5:$AU$516,3,)=0,0,(VLOOKUP($D238,$C$5:$AU$516,9,)/VLOOKUP($D238,$C$5:$AU$516,3,))*$E238)</f>
        <v>0</v>
      </c>
      <c r="L238" s="41">
        <f>IF(VLOOKUP($D238,$C$5:$AU$516,3,)=0,0,(VLOOKUP($D238,$C$5:$AU$516,10,)/VLOOKUP($D238,$C$5:$AU$516,3,))*$E238)</f>
        <v>0</v>
      </c>
      <c r="M238" s="19">
        <f>IF(VLOOKUP($D238,$C$5:$AU$516,3,)=0,0,(VLOOKUP($D238,$C$5:$AU$516,11,)/VLOOKUP($D238,$C$5:$AU$516,3,))*$E238)</f>
        <v>0</v>
      </c>
      <c r="N238" s="19">
        <f>IF(VLOOKUP($D238,$C$5:$AU$516,3,)=0,0,(VLOOKUP($D238,$C$5:$AU$516,12,)/VLOOKUP($D238,$C$5:$AU$516,3,))*$E238)</f>
        <v>0</v>
      </c>
      <c r="O238" s="19">
        <f>IF(VLOOKUP($D238,$C$5:$AU$516,3,)=0,0,(VLOOKUP($D238,$C$5:$AU$516,13,)/VLOOKUP($D238,$C$5:$AU$516,3,))*$E238)</f>
        <v>0</v>
      </c>
      <c r="P238" s="19">
        <f>IF(VLOOKUP($D238,$C$5:$AU$516,3,)=0,0,(VLOOKUP($D238,$C$5:$AU$516,14,)/VLOOKUP($D238,$C$5:$AU$516,3,))*$E238)</f>
        <v>0</v>
      </c>
      <c r="Q238" s="19">
        <f>IF(VLOOKUP($D238,$C$5:$AU$516,3,)=0,0,(VLOOKUP($D238,$C$5:$AU$516,15,)/VLOOKUP($D238,$C$5:$AU$516,3,))*$E238)</f>
        <v>0</v>
      </c>
      <c r="R238" s="19">
        <f>IF(VLOOKUP($D238,$C$5:$AU$516,3,)=0,0,(VLOOKUP($D238,$C$5:$AU$516,16,)/VLOOKUP($D238,$C$5:$AU$516,3,))*$E238)</f>
        <v>0</v>
      </c>
      <c r="S238" s="80">
        <f>IF(VLOOKUP($D238,$C$5:$AU$516,3,)=0,0,(VLOOKUP($D238,$C$5:$AU$516,17,)/VLOOKUP($D238,$C$5:$AU$516,3,))*$E238)</f>
        <v>0</v>
      </c>
      <c r="T238" s="80">
        <f>IF(VLOOKUP($D238,$C$5:$AU$516,3,)=0,0,(VLOOKUP($D238,$C$5:$AU$516,18,)/VLOOKUP($D238,$C$5:$AU$516,3,))*$E238)</f>
        <v>0</v>
      </c>
      <c r="U238" s="80">
        <f>IF(VLOOKUP($D238,$C$5:$AU$516,3,)=0,0,(VLOOKUP($D238,$C$5:$AU$516,19,)/VLOOKUP($D238,$C$5:$AU$516,3,))*$E238)</f>
        <v>0</v>
      </c>
      <c r="V238" s="80">
        <f>IF(VLOOKUP($D238,$C$5:$AU$516,3,)=0,0,(VLOOKUP($D238,$C$5:$AU$516,20,)/VLOOKUP($D238,$C$5:$AU$516,3,))*$E238)</f>
        <v>0</v>
      </c>
      <c r="W238" s="80">
        <f>IF(VLOOKUP($D238,$C$5:$AU$516,3,)=0,0,(VLOOKUP($D238,$C$5:$AU$516,21,)/VLOOKUP($D238,$C$5:$AU$516,3,))*$E238)</f>
        <v>0</v>
      </c>
      <c r="X238" s="80">
        <f>IF(VLOOKUP($D238,$C$5:$AU$516,3,)=0,0,(VLOOKUP($D238,$C$5:$AU$516,22,)/VLOOKUP($D238,$C$5:$AU$516,3,))*$E238)</f>
        <v>0</v>
      </c>
      <c r="Y238" s="80">
        <f>IF(VLOOKUP($D238,$C$5:$AU$516,3,)=0,0,(VLOOKUP($D238,$C$5:$AU$516,23,)/VLOOKUP($D238,$C$5:$AU$516,3,))*$E238)</f>
        <v>0</v>
      </c>
      <c r="Z238" s="80">
        <f>IF(VLOOKUP($D238,$C$5:$AU$516,3,)=0,0,(VLOOKUP($D238,$C$5:$AU$516,24,)/VLOOKUP($D238,$C$5:$AU$516,3,))*$E238)</f>
        <v>0</v>
      </c>
      <c r="AA238" s="80">
        <f>IF(VLOOKUP($D238,$C$5:$AU$516,3,)=0,0,(VLOOKUP($D238,$C$5:$AU$516,25,)/VLOOKUP($D238,$C$5:$AU$516,3,))*$E238)</f>
        <v>0</v>
      </c>
      <c r="AB238" s="80">
        <f>IF(VLOOKUP($D238,$C$5:$AU$516,3,)=0,0,(VLOOKUP($D238,$C$5:$AU$516,26,)/VLOOKUP($D238,$C$5:$AU$516,3,))*$E238)</f>
        <v>0</v>
      </c>
      <c r="AC238" s="80">
        <f>IF(VLOOKUP($D238,$C$5:$AU$516,3,)=0,0,(VLOOKUP($D238,$C$5:$AU$516,27,)/VLOOKUP($D238,$C$5:$AU$516,3,))*$E238)</f>
        <v>0</v>
      </c>
      <c r="AD238" s="80">
        <f>IF(VLOOKUP($D238,$C$5:$AU$516,3,)=0,0,(VLOOKUP($D238,$C$5:$AU$516,28,)/VLOOKUP($D238,$C$5:$AU$516,3,))*$E238)</f>
        <v>0</v>
      </c>
      <c r="AE238" s="80">
        <f>IF(VLOOKUP($D238,$C$5:$AU$516,3,)=0,0,(VLOOKUP($D238,$C$5:$AU$516,29,)/VLOOKUP($D238,$C$5:$AU$516,3,))*$E238)</f>
        <v>0</v>
      </c>
      <c r="AF238" s="80">
        <f>IF(VLOOKUP($D238,$C$5:$AU$516,3,)=0,0,(VLOOKUP($D238,$C$5:$AU$516,30,)/VLOOKUP($D238,$C$5:$AU$516,3,))*$E238)</f>
        <v>0</v>
      </c>
      <c r="AG238" s="65">
        <f>SUM(F238:AF238)</f>
        <v>0</v>
      </c>
      <c r="AH238" s="12" t="str">
        <f>IF(ABS(E238-AG238)&lt;0.01,"ok","err")</f>
        <v>ok</v>
      </c>
    </row>
    <row r="239" spans="1:34" x14ac:dyDescent="0.2">
      <c r="A239" s="3" t="s">
        <v>214</v>
      </c>
      <c r="C239" s="3" t="s">
        <v>299</v>
      </c>
      <c r="E239" s="7">
        <f t="shared" ref="E239:T239" si="71">E237+E238</f>
        <v>0</v>
      </c>
      <c r="F239" s="41">
        <f t="shared" si="71"/>
        <v>0</v>
      </c>
      <c r="G239" s="41">
        <f t="shared" si="71"/>
        <v>0</v>
      </c>
      <c r="H239" s="19">
        <f t="shared" si="71"/>
        <v>0</v>
      </c>
      <c r="I239" s="19">
        <f t="shared" si="71"/>
        <v>0</v>
      </c>
      <c r="J239" s="19">
        <f t="shared" si="71"/>
        <v>0</v>
      </c>
      <c r="K239" s="19">
        <f t="shared" si="71"/>
        <v>0</v>
      </c>
      <c r="L239" s="41">
        <f t="shared" si="71"/>
        <v>0</v>
      </c>
      <c r="M239" s="19">
        <f t="shared" si="71"/>
        <v>0</v>
      </c>
      <c r="N239" s="19">
        <f t="shared" si="71"/>
        <v>0</v>
      </c>
      <c r="O239" s="19">
        <f t="shared" si="71"/>
        <v>0</v>
      </c>
      <c r="P239" s="19">
        <f t="shared" si="71"/>
        <v>0</v>
      </c>
      <c r="Q239" s="19">
        <f t="shared" si="71"/>
        <v>0</v>
      </c>
      <c r="R239" s="19">
        <f t="shared" si="71"/>
        <v>0</v>
      </c>
      <c r="S239" s="80">
        <f t="shared" si="71"/>
        <v>0</v>
      </c>
      <c r="T239" s="80">
        <f t="shared" si="71"/>
        <v>0</v>
      </c>
      <c r="U239" s="80">
        <f t="shared" ref="U239:AF239" si="72">U237+U238</f>
        <v>0</v>
      </c>
      <c r="V239" s="80">
        <f t="shared" si="72"/>
        <v>0</v>
      </c>
      <c r="W239" s="80">
        <f t="shared" si="72"/>
        <v>0</v>
      </c>
      <c r="X239" s="80">
        <f t="shared" si="72"/>
        <v>0</v>
      </c>
      <c r="Y239" s="80">
        <f t="shared" si="72"/>
        <v>0</v>
      </c>
      <c r="Z239" s="80">
        <f t="shared" si="72"/>
        <v>0</v>
      </c>
      <c r="AA239" s="80">
        <f t="shared" si="72"/>
        <v>0</v>
      </c>
      <c r="AB239" s="80">
        <f t="shared" si="72"/>
        <v>0</v>
      </c>
      <c r="AC239" s="80">
        <f t="shared" si="72"/>
        <v>0</v>
      </c>
      <c r="AD239" s="80">
        <f t="shared" si="72"/>
        <v>0</v>
      </c>
      <c r="AE239" s="80">
        <f t="shared" si="72"/>
        <v>0</v>
      </c>
      <c r="AF239" s="80">
        <f t="shared" si="72"/>
        <v>0</v>
      </c>
      <c r="AG239" s="65">
        <f>SUM(F239:AF239)</f>
        <v>0</v>
      </c>
      <c r="AH239" s="12" t="str">
        <f>IF(ABS(E239-AG239)&lt;0.01,"ok","err")</f>
        <v>ok</v>
      </c>
    </row>
    <row r="240" spans="1:34" x14ac:dyDescent="0.2">
      <c r="E240" s="7"/>
      <c r="F240" s="24"/>
    </row>
    <row r="241" spans="1:34" x14ac:dyDescent="0.2">
      <c r="A241" s="2" t="s">
        <v>349</v>
      </c>
      <c r="E241" s="7"/>
      <c r="F241" s="24"/>
    </row>
    <row r="242" spans="1:34" x14ac:dyDescent="0.2">
      <c r="A242" s="68" t="s">
        <v>208</v>
      </c>
      <c r="C242" s="3" t="s">
        <v>859</v>
      </c>
      <c r="D242" s="3" t="s">
        <v>625</v>
      </c>
      <c r="E242" s="19">
        <f>'Func &amp; Classif'!K314</f>
        <v>0</v>
      </c>
      <c r="F242" s="41">
        <f>IF(VLOOKUP($D242,$C$5:$AU$516,3,)=0,0,(VLOOKUP($D242,$C$5:$AU$516,4,)/VLOOKUP($D242,$C$5:$AU$516,3,))*$E242)</f>
        <v>0</v>
      </c>
      <c r="G242" s="41">
        <f>IF(VLOOKUP($D242,$C$5:$AU$516,3,)=0,0,(VLOOKUP($D242,$C$5:$AU$516,5,)/VLOOKUP($D242,$C$5:$AU$516,3,))*$E242)</f>
        <v>0</v>
      </c>
      <c r="H242" s="19">
        <f>IF(VLOOKUP($D242,$C$5:$AU$516,3,)=0,0,(VLOOKUP($D242,$C$5:$AU$516,6,)/VLOOKUP($D242,$C$5:$AU$516,3,))*$E242)</f>
        <v>0</v>
      </c>
      <c r="I242" s="19">
        <f>IF(VLOOKUP($D242,$C$5:$AU$516,3,)=0,0,(VLOOKUP($D242,$C$5:$AU$516,7,)/VLOOKUP($D242,$C$5:$AU$516,3,))*$E242)</f>
        <v>0</v>
      </c>
      <c r="J242" s="19">
        <f>IF(VLOOKUP($D242,$C$5:$AU$516,3,)=0,0,(VLOOKUP($D242,$C$5:$AU$516,8,)/VLOOKUP($D242,$C$5:$AU$516,3,))*$E242)</f>
        <v>0</v>
      </c>
      <c r="K242" s="19">
        <f>IF(VLOOKUP($D242,$C$5:$AU$516,3,)=0,0,(VLOOKUP($D242,$C$5:$AU$516,9,)/VLOOKUP($D242,$C$5:$AU$516,3,))*$E242)</f>
        <v>0</v>
      </c>
      <c r="L242" s="41">
        <f>IF(VLOOKUP($D242,$C$5:$AU$516,3,)=0,0,(VLOOKUP($D242,$C$5:$AU$516,10,)/VLOOKUP($D242,$C$5:$AU$516,3,))*$E242)</f>
        <v>0</v>
      </c>
      <c r="M242" s="19">
        <f>IF(VLOOKUP($D242,$C$5:$AU$516,3,)=0,0,(VLOOKUP($D242,$C$5:$AU$516,11,)/VLOOKUP($D242,$C$5:$AU$516,3,))*$E242)</f>
        <v>0</v>
      </c>
      <c r="N242" s="19">
        <f>IF(VLOOKUP($D242,$C$5:$AU$516,3,)=0,0,(VLOOKUP($D242,$C$5:$AU$516,12,)/VLOOKUP($D242,$C$5:$AU$516,3,))*$E242)</f>
        <v>0</v>
      </c>
      <c r="O242" s="19">
        <f>IF(VLOOKUP($D242,$C$5:$AU$516,3,)=0,0,(VLOOKUP($D242,$C$5:$AU$516,13,)/VLOOKUP($D242,$C$5:$AU$516,3,))*$E242)</f>
        <v>0</v>
      </c>
      <c r="P242" s="19">
        <f>IF(VLOOKUP($D242,$C$5:$AU$516,3,)=0,0,(VLOOKUP($D242,$C$5:$AU$516,14,)/VLOOKUP($D242,$C$5:$AU$516,3,))*$E242)</f>
        <v>0</v>
      </c>
      <c r="Q242" s="19">
        <f>IF(VLOOKUP($D242,$C$5:$AU$516,3,)=0,0,(VLOOKUP($D242,$C$5:$AU$516,15,)/VLOOKUP($D242,$C$5:$AU$516,3,))*$E242)</f>
        <v>0</v>
      </c>
      <c r="R242" s="19">
        <f>IF(VLOOKUP($D242,$C$5:$AU$516,3,)=0,0,(VLOOKUP($D242,$C$5:$AU$516,16,)/VLOOKUP($D242,$C$5:$AU$516,3,))*$E242)</f>
        <v>0</v>
      </c>
      <c r="S242" s="80">
        <f>IF(VLOOKUP($D242,$C$5:$AU$516,3,)=0,0,(VLOOKUP($D242,$C$5:$AU$516,17,)/VLOOKUP($D242,$C$5:$AU$516,3,))*$E242)</f>
        <v>0</v>
      </c>
      <c r="T242" s="80">
        <f>IF(VLOOKUP($D242,$C$5:$AU$516,3,)=0,0,(VLOOKUP($D242,$C$5:$AU$516,18,)/VLOOKUP($D242,$C$5:$AU$516,3,))*$E242)</f>
        <v>0</v>
      </c>
      <c r="U242" s="80">
        <f>IF(VLOOKUP($D242,$C$5:$AU$516,3,)=0,0,(VLOOKUP($D242,$C$5:$AU$516,19,)/VLOOKUP($D242,$C$5:$AU$516,3,))*$E242)</f>
        <v>0</v>
      </c>
      <c r="V242" s="80">
        <f>IF(VLOOKUP($D242,$C$5:$AU$516,3,)=0,0,(VLOOKUP($D242,$C$5:$AU$516,20,)/VLOOKUP($D242,$C$5:$AU$516,3,))*$E242)</f>
        <v>0</v>
      </c>
      <c r="W242" s="80">
        <f>IF(VLOOKUP($D242,$C$5:$AU$516,3,)=0,0,(VLOOKUP($D242,$C$5:$AU$516,21,)/VLOOKUP($D242,$C$5:$AU$516,3,))*$E242)</f>
        <v>0</v>
      </c>
      <c r="X242" s="80">
        <f>IF(VLOOKUP($D242,$C$5:$AU$516,3,)=0,0,(VLOOKUP($D242,$C$5:$AU$516,22,)/VLOOKUP($D242,$C$5:$AU$516,3,))*$E242)</f>
        <v>0</v>
      </c>
      <c r="Y242" s="80">
        <f>IF(VLOOKUP($D242,$C$5:$AU$516,3,)=0,0,(VLOOKUP($D242,$C$5:$AU$516,23,)/VLOOKUP($D242,$C$5:$AU$516,3,))*$E242)</f>
        <v>0</v>
      </c>
      <c r="Z242" s="80">
        <f>IF(VLOOKUP($D242,$C$5:$AU$516,3,)=0,0,(VLOOKUP($D242,$C$5:$AU$516,24,)/VLOOKUP($D242,$C$5:$AU$516,3,))*$E242)</f>
        <v>0</v>
      </c>
      <c r="AA242" s="80">
        <f>IF(VLOOKUP($D242,$C$5:$AU$516,3,)=0,0,(VLOOKUP($D242,$C$5:$AU$516,25,)/VLOOKUP($D242,$C$5:$AU$516,3,))*$E242)</f>
        <v>0</v>
      </c>
      <c r="AB242" s="80">
        <f>IF(VLOOKUP($D242,$C$5:$AU$516,3,)=0,0,(VLOOKUP($D242,$C$5:$AU$516,26,)/VLOOKUP($D242,$C$5:$AU$516,3,))*$E242)</f>
        <v>0</v>
      </c>
      <c r="AC242" s="80">
        <f>IF(VLOOKUP($D242,$C$5:$AU$516,3,)=0,0,(VLOOKUP($D242,$C$5:$AU$516,27,)/VLOOKUP($D242,$C$5:$AU$516,3,))*$E242)</f>
        <v>0</v>
      </c>
      <c r="AD242" s="80">
        <f>IF(VLOOKUP($D242,$C$5:$AU$516,3,)=0,0,(VLOOKUP($D242,$C$5:$AU$516,28,)/VLOOKUP($D242,$C$5:$AU$516,3,))*$E242)</f>
        <v>0</v>
      </c>
      <c r="AE242" s="80">
        <f>IF(VLOOKUP($D242,$C$5:$AU$516,3,)=0,0,(VLOOKUP($D242,$C$5:$AU$516,29,)/VLOOKUP($D242,$C$5:$AU$516,3,))*$E242)</f>
        <v>0</v>
      </c>
      <c r="AF242" s="80">
        <f>IF(VLOOKUP($D242,$C$5:$AU$516,3,)=0,0,(VLOOKUP($D242,$C$5:$AU$516,30,)/VLOOKUP($D242,$C$5:$AU$516,3,))*$E242)</f>
        <v>0</v>
      </c>
      <c r="AG242" s="65">
        <f>SUM(F242:AF242)</f>
        <v>0</v>
      </c>
      <c r="AH242" s="12" t="str">
        <f>IF(ABS(E242-AG242)&lt;0.01,"ok","err")</f>
        <v>ok</v>
      </c>
    </row>
    <row r="243" spans="1:34" x14ac:dyDescent="0.2">
      <c r="E243" s="7"/>
    </row>
    <row r="244" spans="1:34" x14ac:dyDescent="0.2">
      <c r="A244" s="2" t="s">
        <v>1</v>
      </c>
      <c r="E244" s="7"/>
      <c r="F244" s="24"/>
    </row>
    <row r="245" spans="1:34" x14ac:dyDescent="0.2">
      <c r="A245" s="68" t="s">
        <v>208</v>
      </c>
      <c r="C245" s="3" t="s">
        <v>300</v>
      </c>
      <c r="D245" s="3" t="s">
        <v>632</v>
      </c>
      <c r="E245" s="19">
        <f>'Func &amp; Classif'!M314</f>
        <v>0</v>
      </c>
      <c r="F245" s="41">
        <f>IF(VLOOKUP($D245,$C$5:$AU$516,3,)=0,0,(VLOOKUP($D245,$C$5:$AU$516,4,)/VLOOKUP($D245,$C$5:$AU$516,3,))*$E245)</f>
        <v>0</v>
      </c>
      <c r="G245" s="41">
        <f>IF(VLOOKUP($D245,$C$5:$AU$516,3,)=0,0,(VLOOKUP($D245,$C$5:$AU$516,5,)/VLOOKUP($D245,$C$5:$AU$516,3,))*$E245)</f>
        <v>0</v>
      </c>
      <c r="H245" s="19">
        <f>IF(VLOOKUP($D245,$C$5:$AU$516,3,)=0,0,(VLOOKUP($D245,$C$5:$AU$516,6,)/VLOOKUP($D245,$C$5:$AU$516,3,))*$E245)</f>
        <v>0</v>
      </c>
      <c r="I245" s="19">
        <f>IF(VLOOKUP($D245,$C$5:$AU$516,3,)=0,0,(VLOOKUP($D245,$C$5:$AU$516,7,)/VLOOKUP($D245,$C$5:$AU$516,3,))*$E245)</f>
        <v>0</v>
      </c>
      <c r="J245" s="19">
        <f>IF(VLOOKUP($D245,$C$5:$AU$516,3,)=0,0,(VLOOKUP($D245,$C$5:$AU$516,8,)/VLOOKUP($D245,$C$5:$AU$516,3,))*$E245)</f>
        <v>0</v>
      </c>
      <c r="K245" s="19">
        <f>IF(VLOOKUP($D245,$C$5:$AU$516,3,)=0,0,(VLOOKUP($D245,$C$5:$AU$516,9,)/VLOOKUP($D245,$C$5:$AU$516,3,))*$E245)</f>
        <v>0</v>
      </c>
      <c r="L245" s="41">
        <f>IF(VLOOKUP($D245,$C$5:$AU$516,3,)=0,0,(VLOOKUP($D245,$C$5:$AU$516,10,)/VLOOKUP($D245,$C$5:$AU$516,3,))*$E245)</f>
        <v>0</v>
      </c>
      <c r="M245" s="19">
        <f>IF(VLOOKUP($D245,$C$5:$AU$516,3,)=0,0,(VLOOKUP($D245,$C$5:$AU$516,11,)/VLOOKUP($D245,$C$5:$AU$516,3,))*$E245)</f>
        <v>0</v>
      </c>
      <c r="N245" s="19">
        <f>IF(VLOOKUP($D245,$C$5:$AU$516,3,)=0,0,(VLOOKUP($D245,$C$5:$AU$516,12,)/VLOOKUP($D245,$C$5:$AU$516,3,))*$E245)</f>
        <v>0</v>
      </c>
      <c r="O245" s="19">
        <f>IF(VLOOKUP($D245,$C$5:$AU$516,3,)=0,0,(VLOOKUP($D245,$C$5:$AU$516,13,)/VLOOKUP($D245,$C$5:$AU$516,3,))*$E245)</f>
        <v>0</v>
      </c>
      <c r="P245" s="19">
        <f>IF(VLOOKUP($D245,$C$5:$AU$516,3,)=0,0,(VLOOKUP($D245,$C$5:$AU$516,14,)/VLOOKUP($D245,$C$5:$AU$516,3,))*$E245)</f>
        <v>0</v>
      </c>
      <c r="Q245" s="19">
        <f>IF(VLOOKUP($D245,$C$5:$AU$516,3,)=0,0,(VLOOKUP($D245,$C$5:$AU$516,15,)/VLOOKUP($D245,$C$5:$AU$516,3,))*$E245)</f>
        <v>0</v>
      </c>
      <c r="R245" s="19">
        <f>IF(VLOOKUP($D245,$C$5:$AU$516,3,)=0,0,(VLOOKUP($D245,$C$5:$AU$516,16,)/VLOOKUP($D245,$C$5:$AU$516,3,))*$E245)</f>
        <v>0</v>
      </c>
      <c r="S245" s="80">
        <f>IF(VLOOKUP($D245,$C$5:$AU$516,3,)=0,0,(VLOOKUP($D245,$C$5:$AU$516,17,)/VLOOKUP($D245,$C$5:$AU$516,3,))*$E245)</f>
        <v>0</v>
      </c>
      <c r="T245" s="80">
        <f>IF(VLOOKUP($D245,$C$5:$AU$516,3,)=0,0,(VLOOKUP($D245,$C$5:$AU$516,18,)/VLOOKUP($D245,$C$5:$AU$516,3,))*$E245)</f>
        <v>0</v>
      </c>
      <c r="U245" s="80">
        <f>IF(VLOOKUP($D245,$C$5:$AU$516,3,)=0,0,(VLOOKUP($D245,$C$5:$AU$516,19,)/VLOOKUP($D245,$C$5:$AU$516,3,))*$E245)</f>
        <v>0</v>
      </c>
      <c r="V245" s="80">
        <f>IF(VLOOKUP($D245,$C$5:$AU$516,3,)=0,0,(VLOOKUP($D245,$C$5:$AU$516,20,)/VLOOKUP($D245,$C$5:$AU$516,3,))*$E245)</f>
        <v>0</v>
      </c>
      <c r="W245" s="80">
        <f>IF(VLOOKUP($D245,$C$5:$AU$516,3,)=0,0,(VLOOKUP($D245,$C$5:$AU$516,21,)/VLOOKUP($D245,$C$5:$AU$516,3,))*$E245)</f>
        <v>0</v>
      </c>
      <c r="X245" s="80">
        <f>IF(VLOOKUP($D245,$C$5:$AU$516,3,)=0,0,(VLOOKUP($D245,$C$5:$AU$516,22,)/VLOOKUP($D245,$C$5:$AU$516,3,))*$E245)</f>
        <v>0</v>
      </c>
      <c r="Y245" s="80">
        <f>IF(VLOOKUP($D245,$C$5:$AU$516,3,)=0,0,(VLOOKUP($D245,$C$5:$AU$516,23,)/VLOOKUP($D245,$C$5:$AU$516,3,))*$E245)</f>
        <v>0</v>
      </c>
      <c r="Z245" s="80">
        <f>IF(VLOOKUP($D245,$C$5:$AU$516,3,)=0,0,(VLOOKUP($D245,$C$5:$AU$516,24,)/VLOOKUP($D245,$C$5:$AU$516,3,))*$E245)</f>
        <v>0</v>
      </c>
      <c r="AA245" s="80">
        <f>IF(VLOOKUP($D245,$C$5:$AU$516,3,)=0,0,(VLOOKUP($D245,$C$5:$AU$516,25,)/VLOOKUP($D245,$C$5:$AU$516,3,))*$E245)</f>
        <v>0</v>
      </c>
      <c r="AB245" s="80">
        <f>IF(VLOOKUP($D245,$C$5:$AU$516,3,)=0,0,(VLOOKUP($D245,$C$5:$AU$516,26,)/VLOOKUP($D245,$C$5:$AU$516,3,))*$E245)</f>
        <v>0</v>
      </c>
      <c r="AC245" s="80">
        <f>IF(VLOOKUP($D245,$C$5:$AU$516,3,)=0,0,(VLOOKUP($D245,$C$5:$AU$516,27,)/VLOOKUP($D245,$C$5:$AU$516,3,))*$E245)</f>
        <v>0</v>
      </c>
      <c r="AD245" s="80">
        <f>IF(VLOOKUP($D245,$C$5:$AU$516,3,)=0,0,(VLOOKUP($D245,$C$5:$AU$516,28,)/VLOOKUP($D245,$C$5:$AU$516,3,))*$E245)</f>
        <v>0</v>
      </c>
      <c r="AE245" s="80">
        <f>IF(VLOOKUP($D245,$C$5:$AU$516,3,)=0,0,(VLOOKUP($D245,$C$5:$AU$516,29,)/VLOOKUP($D245,$C$5:$AU$516,3,))*$E245)</f>
        <v>0</v>
      </c>
      <c r="AF245" s="80">
        <f>IF(VLOOKUP($D245,$C$5:$AU$516,3,)=0,0,(VLOOKUP($D245,$C$5:$AU$516,30,)/VLOOKUP($D245,$C$5:$AU$516,3,))*$E245)</f>
        <v>0</v>
      </c>
      <c r="AG245" s="65">
        <f>SUM(F245:AF245)</f>
        <v>0</v>
      </c>
      <c r="AH245" s="12" t="str">
        <f>IF(ABS(E245-AG245)&lt;0.01,"ok","err")</f>
        <v>ok</v>
      </c>
    </row>
    <row r="246" spans="1:34" x14ac:dyDescent="0.2">
      <c r="E246" s="7"/>
    </row>
    <row r="247" spans="1:34" x14ac:dyDescent="0.2">
      <c r="A247" s="2" t="s">
        <v>2</v>
      </c>
      <c r="E247" s="7"/>
    </row>
    <row r="248" spans="1:34" x14ac:dyDescent="0.2">
      <c r="A248" s="68" t="s">
        <v>208</v>
      </c>
      <c r="C248" s="3" t="s">
        <v>301</v>
      </c>
      <c r="D248" s="3" t="s">
        <v>629</v>
      </c>
      <c r="E248" s="19">
        <f>'Func &amp; Classif'!O314</f>
        <v>0</v>
      </c>
      <c r="F248" s="41">
        <f>IF(VLOOKUP($D248,$C$5:$AU$516,3,)=0,0,(VLOOKUP($D248,$C$5:$AU$516,4,)/VLOOKUP($D248,$C$5:$AU$516,3,))*$E248)</f>
        <v>0</v>
      </c>
      <c r="G248" s="41">
        <f>IF(VLOOKUP($D248,$C$5:$AU$516,3,)=0,0,(VLOOKUP($D248,$C$5:$AU$516,5,)/VLOOKUP($D248,$C$5:$AU$516,3,))*$E248)</f>
        <v>0</v>
      </c>
      <c r="H248" s="19">
        <f>IF(VLOOKUP($D248,$C$5:$AU$516,3,)=0,0,(VLOOKUP($D248,$C$5:$AU$516,6,)/VLOOKUP($D248,$C$5:$AU$516,3,))*$E248)</f>
        <v>0</v>
      </c>
      <c r="I248" s="19">
        <f>IF(VLOOKUP($D248,$C$5:$AU$516,3,)=0,0,(VLOOKUP($D248,$C$5:$AU$516,7,)/VLOOKUP($D248,$C$5:$AU$516,3,))*$E248)</f>
        <v>0</v>
      </c>
      <c r="J248" s="19">
        <f>IF(VLOOKUP($D248,$C$5:$AU$516,3,)=0,0,(VLOOKUP($D248,$C$5:$AU$516,8,)/VLOOKUP($D248,$C$5:$AU$516,3,))*$E248)</f>
        <v>0</v>
      </c>
      <c r="K248" s="19">
        <f>IF(VLOOKUP($D248,$C$5:$AU$516,3,)=0,0,(VLOOKUP($D248,$C$5:$AU$516,9,)/VLOOKUP($D248,$C$5:$AU$516,3,))*$E248)</f>
        <v>0</v>
      </c>
      <c r="L248" s="41">
        <f>IF(VLOOKUP($D248,$C$5:$AU$516,3,)=0,0,(VLOOKUP($D248,$C$5:$AU$516,10,)/VLOOKUP($D248,$C$5:$AU$516,3,))*$E248)</f>
        <v>0</v>
      </c>
      <c r="M248" s="19">
        <f>IF(VLOOKUP($D248,$C$5:$AU$516,3,)=0,0,(VLOOKUP($D248,$C$5:$AU$516,11,)/VLOOKUP($D248,$C$5:$AU$516,3,))*$E248)</f>
        <v>0</v>
      </c>
      <c r="N248" s="19">
        <f>IF(VLOOKUP($D248,$C$5:$AU$516,3,)=0,0,(VLOOKUP($D248,$C$5:$AU$516,12,)/VLOOKUP($D248,$C$5:$AU$516,3,))*$E248)</f>
        <v>0</v>
      </c>
      <c r="O248" s="19">
        <f>IF(VLOOKUP($D248,$C$5:$AU$516,3,)=0,0,(VLOOKUP($D248,$C$5:$AU$516,13,)/VLOOKUP($D248,$C$5:$AU$516,3,))*$E248)</f>
        <v>0</v>
      </c>
      <c r="P248" s="19">
        <f>IF(VLOOKUP($D248,$C$5:$AU$516,3,)=0,0,(VLOOKUP($D248,$C$5:$AU$516,14,)/VLOOKUP($D248,$C$5:$AU$516,3,))*$E248)</f>
        <v>0</v>
      </c>
      <c r="Q248" s="19">
        <f>IF(VLOOKUP($D248,$C$5:$AU$516,3,)=0,0,(VLOOKUP($D248,$C$5:$AU$516,15,)/VLOOKUP($D248,$C$5:$AU$516,3,))*$E248)</f>
        <v>0</v>
      </c>
      <c r="R248" s="19">
        <f>IF(VLOOKUP($D248,$C$5:$AU$516,3,)=0,0,(VLOOKUP($D248,$C$5:$AU$516,16,)/VLOOKUP($D248,$C$5:$AU$516,3,))*$E248)</f>
        <v>0</v>
      </c>
      <c r="S248" s="80">
        <f>IF(VLOOKUP($D248,$C$5:$AU$516,3,)=0,0,(VLOOKUP($D248,$C$5:$AU$516,17,)/VLOOKUP($D248,$C$5:$AU$516,3,))*$E248)</f>
        <v>0</v>
      </c>
      <c r="T248" s="80">
        <f>IF(VLOOKUP($D248,$C$5:$AU$516,3,)=0,0,(VLOOKUP($D248,$C$5:$AU$516,18,)/VLOOKUP($D248,$C$5:$AU$516,3,))*$E248)</f>
        <v>0</v>
      </c>
      <c r="U248" s="80">
        <f>IF(VLOOKUP($D248,$C$5:$AU$516,3,)=0,0,(VLOOKUP($D248,$C$5:$AU$516,19,)/VLOOKUP($D248,$C$5:$AU$516,3,))*$E248)</f>
        <v>0</v>
      </c>
      <c r="V248" s="80">
        <f>IF(VLOOKUP($D248,$C$5:$AU$516,3,)=0,0,(VLOOKUP($D248,$C$5:$AU$516,20,)/VLOOKUP($D248,$C$5:$AU$516,3,))*$E248)</f>
        <v>0</v>
      </c>
      <c r="W248" s="80">
        <f>IF(VLOOKUP($D248,$C$5:$AU$516,3,)=0,0,(VLOOKUP($D248,$C$5:$AU$516,21,)/VLOOKUP($D248,$C$5:$AU$516,3,))*$E248)</f>
        <v>0</v>
      </c>
      <c r="X248" s="80">
        <f>IF(VLOOKUP($D248,$C$5:$AU$516,3,)=0,0,(VLOOKUP($D248,$C$5:$AU$516,22,)/VLOOKUP($D248,$C$5:$AU$516,3,))*$E248)</f>
        <v>0</v>
      </c>
      <c r="Y248" s="80">
        <f>IF(VLOOKUP($D248,$C$5:$AU$516,3,)=0,0,(VLOOKUP($D248,$C$5:$AU$516,23,)/VLOOKUP($D248,$C$5:$AU$516,3,))*$E248)</f>
        <v>0</v>
      </c>
      <c r="Z248" s="80">
        <f>IF(VLOOKUP($D248,$C$5:$AU$516,3,)=0,0,(VLOOKUP($D248,$C$5:$AU$516,24,)/VLOOKUP($D248,$C$5:$AU$516,3,))*$E248)</f>
        <v>0</v>
      </c>
      <c r="AA248" s="80">
        <f>IF(VLOOKUP($D248,$C$5:$AU$516,3,)=0,0,(VLOOKUP($D248,$C$5:$AU$516,25,)/VLOOKUP($D248,$C$5:$AU$516,3,))*$E248)</f>
        <v>0</v>
      </c>
      <c r="AB248" s="80">
        <f>IF(VLOOKUP($D248,$C$5:$AU$516,3,)=0,0,(VLOOKUP($D248,$C$5:$AU$516,26,)/VLOOKUP($D248,$C$5:$AU$516,3,))*$E248)</f>
        <v>0</v>
      </c>
      <c r="AC248" s="80">
        <f>IF(VLOOKUP($D248,$C$5:$AU$516,3,)=0,0,(VLOOKUP($D248,$C$5:$AU$516,27,)/VLOOKUP($D248,$C$5:$AU$516,3,))*$E248)</f>
        <v>0</v>
      </c>
      <c r="AD248" s="80">
        <f>IF(VLOOKUP($D248,$C$5:$AU$516,3,)=0,0,(VLOOKUP($D248,$C$5:$AU$516,28,)/VLOOKUP($D248,$C$5:$AU$516,3,))*$E248)</f>
        <v>0</v>
      </c>
      <c r="AE248" s="80">
        <f>IF(VLOOKUP($D248,$C$5:$AU$516,3,)=0,0,(VLOOKUP($D248,$C$5:$AU$516,29,)/VLOOKUP($D248,$C$5:$AU$516,3,))*$E248)</f>
        <v>0</v>
      </c>
      <c r="AF248" s="80">
        <f>IF(VLOOKUP($D248,$C$5:$AU$516,3,)=0,0,(VLOOKUP($D248,$C$5:$AU$516,30,)/VLOOKUP($D248,$C$5:$AU$516,3,))*$E248)</f>
        <v>0</v>
      </c>
      <c r="AG248" s="65">
        <f>SUM(F248:AF248)</f>
        <v>0</v>
      </c>
      <c r="AH248" s="12" t="str">
        <f>IF(ABS(E248-AG248)&lt;0.01,"ok","err")</f>
        <v>ok</v>
      </c>
    </row>
    <row r="249" spans="1:34" x14ac:dyDescent="0.2">
      <c r="A249" s="68" t="s">
        <v>220</v>
      </c>
      <c r="C249" s="3" t="s">
        <v>302</v>
      </c>
      <c r="D249" s="3" t="s">
        <v>222</v>
      </c>
      <c r="E249" s="7">
        <f>'Func &amp; Classif'!P314</f>
        <v>0</v>
      </c>
      <c r="F249" s="41">
        <f>IF(VLOOKUP($D249,$C$5:$AU$516,3,)=0,0,(VLOOKUP($D249,$C$5:$AU$516,4,)/VLOOKUP($D249,$C$5:$AU$516,3,))*$E249)</f>
        <v>0</v>
      </c>
      <c r="G249" s="41">
        <f>IF(VLOOKUP($D249,$C$5:$AU$516,3,)=0,0,(VLOOKUP($D249,$C$5:$AU$516,5,)/VLOOKUP($D249,$C$5:$AU$516,3,))*$E249)</f>
        <v>0</v>
      </c>
      <c r="H249" s="19">
        <f>IF(VLOOKUP($D249,$C$5:$AU$516,3,)=0,0,(VLOOKUP($D249,$C$5:$AU$516,6,)/VLOOKUP($D249,$C$5:$AU$516,3,))*$E249)</f>
        <v>0</v>
      </c>
      <c r="I249" s="19">
        <f>IF(VLOOKUP($D249,$C$5:$AU$516,3,)=0,0,(VLOOKUP($D249,$C$5:$AU$516,7,)/VLOOKUP($D249,$C$5:$AU$516,3,))*$E249)</f>
        <v>0</v>
      </c>
      <c r="J249" s="19">
        <f>IF(VLOOKUP($D249,$C$5:$AU$516,3,)=0,0,(VLOOKUP($D249,$C$5:$AU$516,8,)/VLOOKUP($D249,$C$5:$AU$516,3,))*$E249)</f>
        <v>0</v>
      </c>
      <c r="K249" s="19">
        <f>IF(VLOOKUP($D249,$C$5:$AU$516,3,)=0,0,(VLOOKUP($D249,$C$5:$AU$516,9,)/VLOOKUP($D249,$C$5:$AU$516,3,))*$E249)</f>
        <v>0</v>
      </c>
      <c r="L249" s="41">
        <f>IF(VLOOKUP($D249,$C$5:$AU$516,3,)=0,0,(VLOOKUP($D249,$C$5:$AU$516,10,)/VLOOKUP($D249,$C$5:$AU$516,3,))*$E249)</f>
        <v>0</v>
      </c>
      <c r="M249" s="19">
        <f>IF(VLOOKUP($D249,$C$5:$AU$516,3,)=0,0,(VLOOKUP($D249,$C$5:$AU$516,11,)/VLOOKUP($D249,$C$5:$AU$516,3,))*$E249)</f>
        <v>0</v>
      </c>
      <c r="N249" s="19">
        <f>IF(VLOOKUP($D249,$C$5:$AU$516,3,)=0,0,(VLOOKUP($D249,$C$5:$AU$516,12,)/VLOOKUP($D249,$C$5:$AU$516,3,))*$E249)</f>
        <v>0</v>
      </c>
      <c r="O249" s="19">
        <f>IF(VLOOKUP($D249,$C$5:$AU$516,3,)=0,0,(VLOOKUP($D249,$C$5:$AU$516,13,)/VLOOKUP($D249,$C$5:$AU$516,3,))*$E249)</f>
        <v>0</v>
      </c>
      <c r="P249" s="19">
        <f>IF(VLOOKUP($D249,$C$5:$AU$516,3,)=0,0,(VLOOKUP($D249,$C$5:$AU$516,14,)/VLOOKUP($D249,$C$5:$AU$516,3,))*$E249)</f>
        <v>0</v>
      </c>
      <c r="Q249" s="19">
        <f>IF(VLOOKUP($D249,$C$5:$AU$516,3,)=0,0,(VLOOKUP($D249,$C$5:$AU$516,15,)/VLOOKUP($D249,$C$5:$AU$516,3,))*$E249)</f>
        <v>0</v>
      </c>
      <c r="R249" s="19">
        <f>IF(VLOOKUP($D249,$C$5:$AU$516,3,)=0,0,(VLOOKUP($D249,$C$5:$AU$516,16,)/VLOOKUP($D249,$C$5:$AU$516,3,))*$E249)</f>
        <v>0</v>
      </c>
      <c r="S249" s="80">
        <f>IF(VLOOKUP($D249,$C$5:$AU$516,3,)=0,0,(VLOOKUP($D249,$C$5:$AU$516,17,)/VLOOKUP($D249,$C$5:$AU$516,3,))*$E249)</f>
        <v>0</v>
      </c>
      <c r="T249" s="80">
        <f>IF(VLOOKUP($D249,$C$5:$AU$516,3,)=0,0,(VLOOKUP($D249,$C$5:$AU$516,18,)/VLOOKUP($D249,$C$5:$AU$516,3,))*$E249)</f>
        <v>0</v>
      </c>
      <c r="U249" s="80">
        <f>IF(VLOOKUP($D249,$C$5:$AU$516,3,)=0,0,(VLOOKUP($D249,$C$5:$AU$516,19,)/VLOOKUP($D249,$C$5:$AU$516,3,))*$E249)</f>
        <v>0</v>
      </c>
      <c r="V249" s="80">
        <f>IF(VLOOKUP($D249,$C$5:$AU$516,3,)=0,0,(VLOOKUP($D249,$C$5:$AU$516,20,)/VLOOKUP($D249,$C$5:$AU$516,3,))*$E249)</f>
        <v>0</v>
      </c>
      <c r="W249" s="80">
        <f>IF(VLOOKUP($D249,$C$5:$AU$516,3,)=0,0,(VLOOKUP($D249,$C$5:$AU$516,21,)/VLOOKUP($D249,$C$5:$AU$516,3,))*$E249)</f>
        <v>0</v>
      </c>
      <c r="X249" s="80">
        <f>IF(VLOOKUP($D249,$C$5:$AU$516,3,)=0,0,(VLOOKUP($D249,$C$5:$AU$516,22,)/VLOOKUP($D249,$C$5:$AU$516,3,))*$E249)</f>
        <v>0</v>
      </c>
      <c r="Y249" s="80">
        <f>IF(VLOOKUP($D249,$C$5:$AU$516,3,)=0,0,(VLOOKUP($D249,$C$5:$AU$516,23,)/VLOOKUP($D249,$C$5:$AU$516,3,))*$E249)</f>
        <v>0</v>
      </c>
      <c r="Z249" s="80">
        <f>IF(VLOOKUP($D249,$C$5:$AU$516,3,)=0,0,(VLOOKUP($D249,$C$5:$AU$516,24,)/VLOOKUP($D249,$C$5:$AU$516,3,))*$E249)</f>
        <v>0</v>
      </c>
      <c r="AA249" s="80">
        <f>IF(VLOOKUP($D249,$C$5:$AU$516,3,)=0,0,(VLOOKUP($D249,$C$5:$AU$516,25,)/VLOOKUP($D249,$C$5:$AU$516,3,))*$E249)</f>
        <v>0</v>
      </c>
      <c r="AB249" s="80">
        <f>IF(VLOOKUP($D249,$C$5:$AU$516,3,)=0,0,(VLOOKUP($D249,$C$5:$AU$516,26,)/VLOOKUP($D249,$C$5:$AU$516,3,))*$E249)</f>
        <v>0</v>
      </c>
      <c r="AC249" s="80">
        <f>IF(VLOOKUP($D249,$C$5:$AU$516,3,)=0,0,(VLOOKUP($D249,$C$5:$AU$516,27,)/VLOOKUP($D249,$C$5:$AU$516,3,))*$E249)</f>
        <v>0</v>
      </c>
      <c r="AD249" s="80">
        <f>IF(VLOOKUP($D249,$C$5:$AU$516,3,)=0,0,(VLOOKUP($D249,$C$5:$AU$516,28,)/VLOOKUP($D249,$C$5:$AU$516,3,))*$E249)</f>
        <v>0</v>
      </c>
      <c r="AE249" s="80">
        <f>IF(VLOOKUP($D249,$C$5:$AU$516,3,)=0,0,(VLOOKUP($D249,$C$5:$AU$516,29,)/VLOOKUP($D249,$C$5:$AU$516,3,))*$E249)</f>
        <v>0</v>
      </c>
      <c r="AF249" s="80">
        <f>IF(VLOOKUP($D249,$C$5:$AU$516,3,)=0,0,(VLOOKUP($D249,$C$5:$AU$516,30,)/VLOOKUP($D249,$C$5:$AU$516,3,))*$E249)</f>
        <v>0</v>
      </c>
      <c r="AG249" s="65">
        <f>SUM(F249:AF249)</f>
        <v>0</v>
      </c>
      <c r="AH249" s="12" t="str">
        <f>IF(ABS(E249-AG249)&lt;0.01,"ok","err")</f>
        <v>ok</v>
      </c>
    </row>
    <row r="250" spans="1:34" x14ac:dyDescent="0.2">
      <c r="A250" s="3" t="s">
        <v>223</v>
      </c>
      <c r="E250" s="19">
        <f t="shared" ref="E250:T250" si="73">E248+E249</f>
        <v>0</v>
      </c>
      <c r="F250" s="41">
        <f t="shared" si="73"/>
        <v>0</v>
      </c>
      <c r="G250" s="41">
        <f t="shared" si="73"/>
        <v>0</v>
      </c>
      <c r="H250" s="19">
        <f t="shared" si="73"/>
        <v>0</v>
      </c>
      <c r="I250" s="19">
        <f t="shared" si="73"/>
        <v>0</v>
      </c>
      <c r="J250" s="19">
        <f t="shared" si="73"/>
        <v>0</v>
      </c>
      <c r="K250" s="19">
        <f t="shared" si="73"/>
        <v>0</v>
      </c>
      <c r="L250" s="41">
        <f t="shared" si="73"/>
        <v>0</v>
      </c>
      <c r="M250" s="19">
        <f t="shared" si="73"/>
        <v>0</v>
      </c>
      <c r="N250" s="19">
        <f t="shared" si="73"/>
        <v>0</v>
      </c>
      <c r="O250" s="19">
        <f t="shared" si="73"/>
        <v>0</v>
      </c>
      <c r="P250" s="19">
        <f t="shared" si="73"/>
        <v>0</v>
      </c>
      <c r="Q250" s="19">
        <f t="shared" si="73"/>
        <v>0</v>
      </c>
      <c r="R250" s="19">
        <f t="shared" si="73"/>
        <v>0</v>
      </c>
      <c r="S250" s="80">
        <f t="shared" si="73"/>
        <v>0</v>
      </c>
      <c r="T250" s="80">
        <f t="shared" si="73"/>
        <v>0</v>
      </c>
      <c r="U250" s="80">
        <f t="shared" ref="U250:AF250" si="74">U248+U249</f>
        <v>0</v>
      </c>
      <c r="V250" s="80">
        <f t="shared" si="74"/>
        <v>0</v>
      </c>
      <c r="W250" s="80">
        <f t="shared" si="74"/>
        <v>0</v>
      </c>
      <c r="X250" s="80">
        <f t="shared" si="74"/>
        <v>0</v>
      </c>
      <c r="Y250" s="80">
        <f t="shared" si="74"/>
        <v>0</v>
      </c>
      <c r="Z250" s="80">
        <f t="shared" si="74"/>
        <v>0</v>
      </c>
      <c r="AA250" s="80">
        <f t="shared" si="74"/>
        <v>0</v>
      </c>
      <c r="AB250" s="80">
        <f t="shared" si="74"/>
        <v>0</v>
      </c>
      <c r="AC250" s="80">
        <f t="shared" si="74"/>
        <v>0</v>
      </c>
      <c r="AD250" s="80">
        <f t="shared" si="74"/>
        <v>0</v>
      </c>
      <c r="AE250" s="80">
        <f t="shared" si="74"/>
        <v>0</v>
      </c>
      <c r="AF250" s="80">
        <f t="shared" si="74"/>
        <v>0</v>
      </c>
      <c r="AG250" s="65">
        <f>SUM(F250:AF250)</f>
        <v>0</v>
      </c>
      <c r="AH250" s="12" t="str">
        <f>IF(ABS(E250-AG250)&lt;0.01,"ok","err")</f>
        <v>ok</v>
      </c>
    </row>
    <row r="251" spans="1:34" x14ac:dyDescent="0.2">
      <c r="E251" s="7"/>
    </row>
    <row r="252" spans="1:34" x14ac:dyDescent="0.2">
      <c r="A252" s="2" t="s">
        <v>3</v>
      </c>
      <c r="E252" s="7"/>
    </row>
    <row r="253" spans="1:34" x14ac:dyDescent="0.2">
      <c r="A253" s="68" t="s">
        <v>208</v>
      </c>
      <c r="C253" s="3" t="s">
        <v>303</v>
      </c>
      <c r="D253" s="3" t="s">
        <v>700</v>
      </c>
      <c r="E253" s="19">
        <f>'Func &amp; Classif'!R314</f>
        <v>0</v>
      </c>
      <c r="F253" s="41">
        <f>IF(VLOOKUP($D253,$C$5:$AU$516,3,)=0,0,(VLOOKUP($D253,$C$5:$AU$516,4,)/VLOOKUP($D253,$C$5:$AU$516,3,))*$E253)</f>
        <v>0</v>
      </c>
      <c r="G253" s="41">
        <f>IF(VLOOKUP($D253,$C$5:$AU$516,3,)=0,0,(VLOOKUP($D253,$C$5:$AU$516,5,)/VLOOKUP($D253,$C$5:$AU$516,3,))*$E253)</f>
        <v>0</v>
      </c>
      <c r="H253" s="19">
        <f>IF(VLOOKUP($D253,$C$5:$AU$516,3,)=0,0,(VLOOKUP($D253,$C$5:$AU$516,6,)/VLOOKUP($D253,$C$5:$AU$516,3,))*$E253)</f>
        <v>0</v>
      </c>
      <c r="I253" s="19">
        <f>IF(VLOOKUP($D253,$C$5:$AU$516,3,)=0,0,(VLOOKUP($D253,$C$5:$AU$516,7,)/VLOOKUP($D253,$C$5:$AU$516,3,))*$E253)</f>
        <v>0</v>
      </c>
      <c r="J253" s="19">
        <f>IF(VLOOKUP($D253,$C$5:$AU$516,3,)=0,0,(VLOOKUP($D253,$C$5:$AU$516,8,)/VLOOKUP($D253,$C$5:$AU$516,3,))*$E253)</f>
        <v>0</v>
      </c>
      <c r="K253" s="19">
        <f>IF(VLOOKUP($D253,$C$5:$AU$516,3,)=0,0,(VLOOKUP($D253,$C$5:$AU$516,9,)/VLOOKUP($D253,$C$5:$AU$516,3,))*$E253)</f>
        <v>0</v>
      </c>
      <c r="L253" s="41">
        <f>IF(VLOOKUP($D253,$C$5:$AU$516,3,)=0,0,(VLOOKUP($D253,$C$5:$AU$516,10,)/VLOOKUP($D253,$C$5:$AU$516,3,))*$E253)</f>
        <v>0</v>
      </c>
      <c r="M253" s="19">
        <f>IF(VLOOKUP($D253,$C$5:$AU$516,3,)=0,0,(VLOOKUP($D253,$C$5:$AU$516,11,)/VLOOKUP($D253,$C$5:$AU$516,3,))*$E253)</f>
        <v>0</v>
      </c>
      <c r="N253" s="19">
        <f>IF(VLOOKUP($D253,$C$5:$AU$516,3,)=0,0,(VLOOKUP($D253,$C$5:$AU$516,12,)/VLOOKUP($D253,$C$5:$AU$516,3,))*$E253)</f>
        <v>0</v>
      </c>
      <c r="O253" s="19">
        <f>IF(VLOOKUP($D253,$C$5:$AU$516,3,)=0,0,(VLOOKUP($D253,$C$5:$AU$516,13,)/VLOOKUP($D253,$C$5:$AU$516,3,))*$E253)</f>
        <v>0</v>
      </c>
      <c r="P253" s="19">
        <f>IF(VLOOKUP($D253,$C$5:$AU$516,3,)=0,0,(VLOOKUP($D253,$C$5:$AU$516,14,)/VLOOKUP($D253,$C$5:$AU$516,3,))*$E253)</f>
        <v>0</v>
      </c>
      <c r="Q253" s="19">
        <f>IF(VLOOKUP($D253,$C$5:$AU$516,3,)=0,0,(VLOOKUP($D253,$C$5:$AU$516,15,)/VLOOKUP($D253,$C$5:$AU$516,3,))*$E253)</f>
        <v>0</v>
      </c>
      <c r="R253" s="19">
        <f>IF(VLOOKUP($D253,$C$5:$AU$516,3,)=0,0,(VLOOKUP($D253,$C$5:$AU$516,16,)/VLOOKUP($D253,$C$5:$AU$516,3,))*$E253)</f>
        <v>0</v>
      </c>
      <c r="S253" s="80">
        <f>IF(VLOOKUP($D253,$C$5:$AU$516,3,)=0,0,(VLOOKUP($D253,$C$5:$AU$516,17,)/VLOOKUP($D253,$C$5:$AU$516,3,))*$E253)</f>
        <v>0</v>
      </c>
      <c r="T253" s="80">
        <f>IF(VLOOKUP($D253,$C$5:$AU$516,3,)=0,0,(VLOOKUP($D253,$C$5:$AU$516,18,)/VLOOKUP($D253,$C$5:$AU$516,3,))*$E253)</f>
        <v>0</v>
      </c>
      <c r="U253" s="80">
        <f>IF(VLOOKUP($D253,$C$5:$AU$516,3,)=0,0,(VLOOKUP($D253,$C$5:$AU$516,19,)/VLOOKUP($D253,$C$5:$AU$516,3,))*$E253)</f>
        <v>0</v>
      </c>
      <c r="V253" s="80">
        <f>IF(VLOOKUP($D253,$C$5:$AU$516,3,)=0,0,(VLOOKUP($D253,$C$5:$AU$516,20,)/VLOOKUP($D253,$C$5:$AU$516,3,))*$E253)</f>
        <v>0</v>
      </c>
      <c r="W253" s="80">
        <f>IF(VLOOKUP($D253,$C$5:$AU$516,3,)=0,0,(VLOOKUP($D253,$C$5:$AU$516,21,)/VLOOKUP($D253,$C$5:$AU$516,3,))*$E253)</f>
        <v>0</v>
      </c>
      <c r="X253" s="80">
        <f>IF(VLOOKUP($D253,$C$5:$AU$516,3,)=0,0,(VLOOKUP($D253,$C$5:$AU$516,22,)/VLOOKUP($D253,$C$5:$AU$516,3,))*$E253)</f>
        <v>0</v>
      </c>
      <c r="Y253" s="80">
        <f>IF(VLOOKUP($D253,$C$5:$AU$516,3,)=0,0,(VLOOKUP($D253,$C$5:$AU$516,23,)/VLOOKUP($D253,$C$5:$AU$516,3,))*$E253)</f>
        <v>0</v>
      </c>
      <c r="Z253" s="80">
        <f>IF(VLOOKUP($D253,$C$5:$AU$516,3,)=0,0,(VLOOKUP($D253,$C$5:$AU$516,24,)/VLOOKUP($D253,$C$5:$AU$516,3,))*$E253)</f>
        <v>0</v>
      </c>
      <c r="AA253" s="80">
        <f>IF(VLOOKUP($D253,$C$5:$AU$516,3,)=0,0,(VLOOKUP($D253,$C$5:$AU$516,25,)/VLOOKUP($D253,$C$5:$AU$516,3,))*$E253)</f>
        <v>0</v>
      </c>
      <c r="AB253" s="80">
        <f>IF(VLOOKUP($D253,$C$5:$AU$516,3,)=0,0,(VLOOKUP($D253,$C$5:$AU$516,26,)/VLOOKUP($D253,$C$5:$AU$516,3,))*$E253)</f>
        <v>0</v>
      </c>
      <c r="AC253" s="80">
        <f>IF(VLOOKUP($D253,$C$5:$AU$516,3,)=0,0,(VLOOKUP($D253,$C$5:$AU$516,27,)/VLOOKUP($D253,$C$5:$AU$516,3,))*$E253)</f>
        <v>0</v>
      </c>
      <c r="AD253" s="80">
        <f>IF(VLOOKUP($D253,$C$5:$AU$516,3,)=0,0,(VLOOKUP($D253,$C$5:$AU$516,28,)/VLOOKUP($D253,$C$5:$AU$516,3,))*$E253)</f>
        <v>0</v>
      </c>
      <c r="AE253" s="80">
        <f>IF(VLOOKUP($D253,$C$5:$AU$516,3,)=0,0,(VLOOKUP($D253,$C$5:$AU$516,29,)/VLOOKUP($D253,$C$5:$AU$516,3,))*$E253)</f>
        <v>0</v>
      </c>
      <c r="AF253" s="80">
        <f>IF(VLOOKUP($D253,$C$5:$AU$516,3,)=0,0,(VLOOKUP($D253,$C$5:$AU$516,30,)/VLOOKUP($D253,$C$5:$AU$516,3,))*$E253)</f>
        <v>0</v>
      </c>
      <c r="AG253" s="65">
        <f>SUM(F253:AF253)</f>
        <v>0</v>
      </c>
      <c r="AH253" s="12" t="str">
        <f>IF(ABS(E253-AG253)&lt;0.01,"ok","err")</f>
        <v>ok</v>
      </c>
    </row>
    <row r="254" spans="1:34" x14ac:dyDescent="0.2">
      <c r="A254" s="68" t="s">
        <v>220</v>
      </c>
      <c r="C254" s="3" t="s">
        <v>304</v>
      </c>
      <c r="D254" s="3" t="s">
        <v>700</v>
      </c>
      <c r="E254" s="7">
        <f>'Func &amp; Classif'!S314</f>
        <v>0</v>
      </c>
      <c r="F254" s="41">
        <f>IF(VLOOKUP($D254,$C$5:$AU$516,3,)=0,0,(VLOOKUP($D254,$C$5:$AU$516,4,)/VLOOKUP($D254,$C$5:$AU$516,3,))*$E254)</f>
        <v>0</v>
      </c>
      <c r="G254" s="41">
        <f>IF(VLOOKUP($D254,$C$5:$AU$516,3,)=0,0,(VLOOKUP($D254,$C$5:$AU$516,5,)/VLOOKUP($D254,$C$5:$AU$516,3,))*$E254)</f>
        <v>0</v>
      </c>
      <c r="H254" s="19">
        <f>IF(VLOOKUP($D254,$C$5:$AU$516,3,)=0,0,(VLOOKUP($D254,$C$5:$AU$516,6,)/VLOOKUP($D254,$C$5:$AU$516,3,))*$E254)</f>
        <v>0</v>
      </c>
      <c r="I254" s="19">
        <f>IF(VLOOKUP($D254,$C$5:$AU$516,3,)=0,0,(VLOOKUP($D254,$C$5:$AU$516,7,)/VLOOKUP($D254,$C$5:$AU$516,3,))*$E254)</f>
        <v>0</v>
      </c>
      <c r="J254" s="19">
        <f>IF(VLOOKUP($D254,$C$5:$AU$516,3,)=0,0,(VLOOKUP($D254,$C$5:$AU$516,8,)/VLOOKUP($D254,$C$5:$AU$516,3,))*$E254)</f>
        <v>0</v>
      </c>
      <c r="K254" s="19">
        <f>IF(VLOOKUP($D254,$C$5:$AU$516,3,)=0,0,(VLOOKUP($D254,$C$5:$AU$516,9,)/VLOOKUP($D254,$C$5:$AU$516,3,))*$E254)</f>
        <v>0</v>
      </c>
      <c r="L254" s="41">
        <f>IF(VLOOKUP($D254,$C$5:$AU$516,3,)=0,0,(VLOOKUP($D254,$C$5:$AU$516,10,)/VLOOKUP($D254,$C$5:$AU$516,3,))*$E254)</f>
        <v>0</v>
      </c>
      <c r="M254" s="19">
        <f>IF(VLOOKUP($D254,$C$5:$AU$516,3,)=0,0,(VLOOKUP($D254,$C$5:$AU$516,11,)/VLOOKUP($D254,$C$5:$AU$516,3,))*$E254)</f>
        <v>0</v>
      </c>
      <c r="N254" s="19">
        <f>IF(VLOOKUP($D254,$C$5:$AU$516,3,)=0,0,(VLOOKUP($D254,$C$5:$AU$516,12,)/VLOOKUP($D254,$C$5:$AU$516,3,))*$E254)</f>
        <v>0</v>
      </c>
      <c r="O254" s="19">
        <f>IF(VLOOKUP($D254,$C$5:$AU$516,3,)=0,0,(VLOOKUP($D254,$C$5:$AU$516,13,)/VLOOKUP($D254,$C$5:$AU$516,3,))*$E254)</f>
        <v>0</v>
      </c>
      <c r="P254" s="19">
        <f>IF(VLOOKUP($D254,$C$5:$AU$516,3,)=0,0,(VLOOKUP($D254,$C$5:$AU$516,14,)/VLOOKUP($D254,$C$5:$AU$516,3,))*$E254)</f>
        <v>0</v>
      </c>
      <c r="Q254" s="19">
        <f>IF(VLOOKUP($D254,$C$5:$AU$516,3,)=0,0,(VLOOKUP($D254,$C$5:$AU$516,15,)/VLOOKUP($D254,$C$5:$AU$516,3,))*$E254)</f>
        <v>0</v>
      </c>
      <c r="R254" s="19">
        <f>IF(VLOOKUP($D254,$C$5:$AU$516,3,)=0,0,(VLOOKUP($D254,$C$5:$AU$516,16,)/VLOOKUP($D254,$C$5:$AU$516,3,))*$E254)</f>
        <v>0</v>
      </c>
      <c r="S254" s="80">
        <f>IF(VLOOKUP($D254,$C$5:$AU$516,3,)=0,0,(VLOOKUP($D254,$C$5:$AU$516,17,)/VLOOKUP($D254,$C$5:$AU$516,3,))*$E254)</f>
        <v>0</v>
      </c>
      <c r="T254" s="80">
        <f>IF(VLOOKUP($D254,$C$5:$AU$516,3,)=0,0,(VLOOKUP($D254,$C$5:$AU$516,18,)/VLOOKUP($D254,$C$5:$AU$516,3,))*$E254)</f>
        <v>0</v>
      </c>
      <c r="U254" s="80">
        <f>IF(VLOOKUP($D254,$C$5:$AU$516,3,)=0,0,(VLOOKUP($D254,$C$5:$AU$516,19,)/VLOOKUP($D254,$C$5:$AU$516,3,))*$E254)</f>
        <v>0</v>
      </c>
      <c r="V254" s="80">
        <f>IF(VLOOKUP($D254,$C$5:$AU$516,3,)=0,0,(VLOOKUP($D254,$C$5:$AU$516,20,)/VLOOKUP($D254,$C$5:$AU$516,3,))*$E254)</f>
        <v>0</v>
      </c>
      <c r="W254" s="80">
        <f>IF(VLOOKUP($D254,$C$5:$AU$516,3,)=0,0,(VLOOKUP($D254,$C$5:$AU$516,21,)/VLOOKUP($D254,$C$5:$AU$516,3,))*$E254)</f>
        <v>0</v>
      </c>
      <c r="X254" s="80">
        <f>IF(VLOOKUP($D254,$C$5:$AU$516,3,)=0,0,(VLOOKUP($D254,$C$5:$AU$516,22,)/VLOOKUP($D254,$C$5:$AU$516,3,))*$E254)</f>
        <v>0</v>
      </c>
      <c r="Y254" s="80">
        <f>IF(VLOOKUP($D254,$C$5:$AU$516,3,)=0,0,(VLOOKUP($D254,$C$5:$AU$516,23,)/VLOOKUP($D254,$C$5:$AU$516,3,))*$E254)</f>
        <v>0</v>
      </c>
      <c r="Z254" s="80">
        <f>IF(VLOOKUP($D254,$C$5:$AU$516,3,)=0,0,(VLOOKUP($D254,$C$5:$AU$516,24,)/VLOOKUP($D254,$C$5:$AU$516,3,))*$E254)</f>
        <v>0</v>
      </c>
      <c r="AA254" s="80">
        <f>IF(VLOOKUP($D254,$C$5:$AU$516,3,)=0,0,(VLOOKUP($D254,$C$5:$AU$516,25,)/VLOOKUP($D254,$C$5:$AU$516,3,))*$E254)</f>
        <v>0</v>
      </c>
      <c r="AB254" s="80">
        <f>IF(VLOOKUP($D254,$C$5:$AU$516,3,)=0,0,(VLOOKUP($D254,$C$5:$AU$516,26,)/VLOOKUP($D254,$C$5:$AU$516,3,))*$E254)</f>
        <v>0</v>
      </c>
      <c r="AC254" s="80">
        <f>IF(VLOOKUP($D254,$C$5:$AU$516,3,)=0,0,(VLOOKUP($D254,$C$5:$AU$516,27,)/VLOOKUP($D254,$C$5:$AU$516,3,))*$E254)</f>
        <v>0</v>
      </c>
      <c r="AD254" s="80">
        <f>IF(VLOOKUP($D254,$C$5:$AU$516,3,)=0,0,(VLOOKUP($D254,$C$5:$AU$516,28,)/VLOOKUP($D254,$C$5:$AU$516,3,))*$E254)</f>
        <v>0</v>
      </c>
      <c r="AE254" s="80">
        <f>IF(VLOOKUP($D254,$C$5:$AU$516,3,)=0,0,(VLOOKUP($D254,$C$5:$AU$516,29,)/VLOOKUP($D254,$C$5:$AU$516,3,))*$E254)</f>
        <v>0</v>
      </c>
      <c r="AF254" s="80">
        <f>IF(VLOOKUP($D254,$C$5:$AU$516,3,)=0,0,(VLOOKUP($D254,$C$5:$AU$516,30,)/VLOOKUP($D254,$C$5:$AU$516,3,))*$E254)</f>
        <v>0</v>
      </c>
      <c r="AG254" s="65">
        <f>SUM(F254:AF254)</f>
        <v>0</v>
      </c>
      <c r="AH254" s="12" t="str">
        <f>IF(ABS(E254-AG254)&lt;0.01,"ok","err")</f>
        <v>ok</v>
      </c>
    </row>
    <row r="255" spans="1:34" x14ac:dyDescent="0.2">
      <c r="A255" s="3" t="s">
        <v>227</v>
      </c>
      <c r="E255" s="19">
        <f t="shared" ref="E255:T255" si="75">E253+E254</f>
        <v>0</v>
      </c>
      <c r="F255" s="41">
        <f t="shared" si="75"/>
        <v>0</v>
      </c>
      <c r="G255" s="41">
        <f t="shared" si="75"/>
        <v>0</v>
      </c>
      <c r="H255" s="19">
        <f t="shared" si="75"/>
        <v>0</v>
      </c>
      <c r="I255" s="19">
        <f t="shared" si="75"/>
        <v>0</v>
      </c>
      <c r="J255" s="19">
        <f t="shared" si="75"/>
        <v>0</v>
      </c>
      <c r="K255" s="19">
        <f t="shared" si="75"/>
        <v>0</v>
      </c>
      <c r="L255" s="41">
        <f t="shared" si="75"/>
        <v>0</v>
      </c>
      <c r="M255" s="19">
        <f t="shared" si="75"/>
        <v>0</v>
      </c>
      <c r="N255" s="19">
        <f t="shared" si="75"/>
        <v>0</v>
      </c>
      <c r="O255" s="19">
        <f t="shared" si="75"/>
        <v>0</v>
      </c>
      <c r="P255" s="19">
        <f t="shared" si="75"/>
        <v>0</v>
      </c>
      <c r="Q255" s="19">
        <f t="shared" si="75"/>
        <v>0</v>
      </c>
      <c r="R255" s="19">
        <f t="shared" si="75"/>
        <v>0</v>
      </c>
      <c r="S255" s="80">
        <f t="shared" si="75"/>
        <v>0</v>
      </c>
      <c r="T255" s="80">
        <f t="shared" si="75"/>
        <v>0</v>
      </c>
      <c r="U255" s="80">
        <f t="shared" ref="U255:AF255" si="76">U253+U254</f>
        <v>0</v>
      </c>
      <c r="V255" s="80">
        <f t="shared" si="76"/>
        <v>0</v>
      </c>
      <c r="W255" s="80">
        <f t="shared" si="76"/>
        <v>0</v>
      </c>
      <c r="X255" s="80">
        <f t="shared" si="76"/>
        <v>0</v>
      </c>
      <c r="Y255" s="80">
        <f t="shared" si="76"/>
        <v>0</v>
      </c>
      <c r="Z255" s="80">
        <f t="shared" si="76"/>
        <v>0</v>
      </c>
      <c r="AA255" s="80">
        <f t="shared" si="76"/>
        <v>0</v>
      </c>
      <c r="AB255" s="80">
        <f t="shared" si="76"/>
        <v>0</v>
      </c>
      <c r="AC255" s="80">
        <f t="shared" si="76"/>
        <v>0</v>
      </c>
      <c r="AD255" s="80">
        <f t="shared" si="76"/>
        <v>0</v>
      </c>
      <c r="AE255" s="80">
        <f t="shared" si="76"/>
        <v>0</v>
      </c>
      <c r="AF255" s="80">
        <f t="shared" si="76"/>
        <v>0</v>
      </c>
      <c r="AG255" s="65">
        <f>SUM(F255:AF255)</f>
        <v>0</v>
      </c>
      <c r="AH255" s="12" t="str">
        <f>IF(ABS(E255-AG255)&lt;0.01,"ok","err")</f>
        <v>ok</v>
      </c>
    </row>
    <row r="256" spans="1:34" x14ac:dyDescent="0.2">
      <c r="E256" s="7"/>
    </row>
    <row r="257" spans="1:34" x14ac:dyDescent="0.2">
      <c r="A257" s="2" t="s">
        <v>4</v>
      </c>
      <c r="E257" s="7"/>
    </row>
    <row r="258" spans="1:34" x14ac:dyDescent="0.2">
      <c r="A258" s="68" t="s">
        <v>220</v>
      </c>
      <c r="C258" s="3" t="s">
        <v>305</v>
      </c>
      <c r="D258" s="3" t="s">
        <v>229</v>
      </c>
      <c r="E258" s="19">
        <f>'Func &amp; Classif'!U314</f>
        <v>0</v>
      </c>
      <c r="F258" s="41">
        <f>IF(VLOOKUP($D258,$C$5:$AU$516,3,)=0,0,(VLOOKUP($D258,$C$5:$AU$516,4,)/VLOOKUP($D258,$C$5:$AU$516,3,))*$E258)</f>
        <v>0</v>
      </c>
      <c r="G258" s="41">
        <f>IF(VLOOKUP($D258,$C$5:$AU$516,3,)=0,0,(VLOOKUP($D258,$C$5:$AU$516,5,)/VLOOKUP($D258,$C$5:$AU$516,3,))*$E258)</f>
        <v>0</v>
      </c>
      <c r="H258" s="19">
        <f>IF(VLOOKUP($D258,$C$5:$AU$516,3,)=0,0,(VLOOKUP($D258,$C$5:$AU$516,6,)/VLOOKUP($D258,$C$5:$AU$516,3,))*$E258)</f>
        <v>0</v>
      </c>
      <c r="I258" s="19">
        <f>IF(VLOOKUP($D258,$C$5:$AU$516,3,)=0,0,(VLOOKUP($D258,$C$5:$AU$516,7,)/VLOOKUP($D258,$C$5:$AU$516,3,))*$E258)</f>
        <v>0</v>
      </c>
      <c r="J258" s="19">
        <f>IF(VLOOKUP($D258,$C$5:$AU$516,3,)=0,0,(VLOOKUP($D258,$C$5:$AU$516,8,)/VLOOKUP($D258,$C$5:$AU$516,3,))*$E258)</f>
        <v>0</v>
      </c>
      <c r="K258" s="19">
        <f>IF(VLOOKUP($D258,$C$5:$AU$516,3,)=0,0,(VLOOKUP($D258,$C$5:$AU$516,9,)/VLOOKUP($D258,$C$5:$AU$516,3,))*$E258)</f>
        <v>0</v>
      </c>
      <c r="L258" s="41">
        <f>IF(VLOOKUP($D258,$C$5:$AU$516,3,)=0,0,(VLOOKUP($D258,$C$5:$AU$516,10,)/VLOOKUP($D258,$C$5:$AU$516,3,))*$E258)</f>
        <v>0</v>
      </c>
      <c r="M258" s="19">
        <f>IF(VLOOKUP($D258,$C$5:$AU$516,3,)=0,0,(VLOOKUP($D258,$C$5:$AU$516,11,)/VLOOKUP($D258,$C$5:$AU$516,3,))*$E258)</f>
        <v>0</v>
      </c>
      <c r="N258" s="19">
        <f>IF(VLOOKUP($D258,$C$5:$AU$516,3,)=0,0,(VLOOKUP($D258,$C$5:$AU$516,12,)/VLOOKUP($D258,$C$5:$AU$516,3,))*$E258)</f>
        <v>0</v>
      </c>
      <c r="O258" s="19">
        <f>IF(VLOOKUP($D258,$C$5:$AU$516,3,)=0,0,(VLOOKUP($D258,$C$5:$AU$516,13,)/VLOOKUP($D258,$C$5:$AU$516,3,))*$E258)</f>
        <v>0</v>
      </c>
      <c r="P258" s="19">
        <f>IF(VLOOKUP($D258,$C$5:$AU$516,3,)=0,0,(VLOOKUP($D258,$C$5:$AU$516,14,)/VLOOKUP($D258,$C$5:$AU$516,3,))*$E258)</f>
        <v>0</v>
      </c>
      <c r="Q258" s="19">
        <f>IF(VLOOKUP($D258,$C$5:$AU$516,3,)=0,0,(VLOOKUP($D258,$C$5:$AU$516,15,)/VLOOKUP($D258,$C$5:$AU$516,3,))*$E258)</f>
        <v>0</v>
      </c>
      <c r="R258" s="19">
        <f>IF(VLOOKUP($D258,$C$5:$AU$516,3,)=0,0,(VLOOKUP($D258,$C$5:$AU$516,16,)/VLOOKUP($D258,$C$5:$AU$516,3,))*$E258)</f>
        <v>0</v>
      </c>
      <c r="S258" s="80">
        <f>IF(VLOOKUP($D258,$C$5:$AU$516,3,)=0,0,(VLOOKUP($D258,$C$5:$AU$516,17,)/VLOOKUP($D258,$C$5:$AU$516,3,))*$E258)</f>
        <v>0</v>
      </c>
      <c r="T258" s="80">
        <f>IF(VLOOKUP($D258,$C$5:$AU$516,3,)=0,0,(VLOOKUP($D258,$C$5:$AU$516,18,)/VLOOKUP($D258,$C$5:$AU$516,3,))*$E258)</f>
        <v>0</v>
      </c>
      <c r="U258" s="80">
        <f>IF(VLOOKUP($D258,$C$5:$AU$516,3,)=0,0,(VLOOKUP($D258,$C$5:$AU$516,19,)/VLOOKUP($D258,$C$5:$AU$516,3,))*$E258)</f>
        <v>0</v>
      </c>
      <c r="V258" s="80">
        <f>IF(VLOOKUP($D258,$C$5:$AU$516,3,)=0,0,(VLOOKUP($D258,$C$5:$AU$516,20,)/VLOOKUP($D258,$C$5:$AU$516,3,))*$E258)</f>
        <v>0</v>
      </c>
      <c r="W258" s="80">
        <f>IF(VLOOKUP($D258,$C$5:$AU$516,3,)=0,0,(VLOOKUP($D258,$C$5:$AU$516,21,)/VLOOKUP($D258,$C$5:$AU$516,3,))*$E258)</f>
        <v>0</v>
      </c>
      <c r="X258" s="80">
        <f>IF(VLOOKUP($D258,$C$5:$AU$516,3,)=0,0,(VLOOKUP($D258,$C$5:$AU$516,22,)/VLOOKUP($D258,$C$5:$AU$516,3,))*$E258)</f>
        <v>0</v>
      </c>
      <c r="Y258" s="80">
        <f>IF(VLOOKUP($D258,$C$5:$AU$516,3,)=0,0,(VLOOKUP($D258,$C$5:$AU$516,23,)/VLOOKUP($D258,$C$5:$AU$516,3,))*$E258)</f>
        <v>0</v>
      </c>
      <c r="Z258" s="80">
        <f>IF(VLOOKUP($D258,$C$5:$AU$516,3,)=0,0,(VLOOKUP($D258,$C$5:$AU$516,24,)/VLOOKUP($D258,$C$5:$AU$516,3,))*$E258)</f>
        <v>0</v>
      </c>
      <c r="AA258" s="80">
        <f>IF(VLOOKUP($D258,$C$5:$AU$516,3,)=0,0,(VLOOKUP($D258,$C$5:$AU$516,25,)/VLOOKUP($D258,$C$5:$AU$516,3,))*$E258)</f>
        <v>0</v>
      </c>
      <c r="AB258" s="80">
        <f>IF(VLOOKUP($D258,$C$5:$AU$516,3,)=0,0,(VLOOKUP($D258,$C$5:$AU$516,26,)/VLOOKUP($D258,$C$5:$AU$516,3,))*$E258)</f>
        <v>0</v>
      </c>
      <c r="AC258" s="80">
        <f>IF(VLOOKUP($D258,$C$5:$AU$516,3,)=0,0,(VLOOKUP($D258,$C$5:$AU$516,27,)/VLOOKUP($D258,$C$5:$AU$516,3,))*$E258)</f>
        <v>0</v>
      </c>
      <c r="AD258" s="80">
        <f>IF(VLOOKUP($D258,$C$5:$AU$516,3,)=0,0,(VLOOKUP($D258,$C$5:$AU$516,28,)/VLOOKUP($D258,$C$5:$AU$516,3,))*$E258)</f>
        <v>0</v>
      </c>
      <c r="AE258" s="80">
        <f>IF(VLOOKUP($D258,$C$5:$AU$516,3,)=0,0,(VLOOKUP($D258,$C$5:$AU$516,29,)/VLOOKUP($D258,$C$5:$AU$516,3,))*$E258)</f>
        <v>0</v>
      </c>
      <c r="AF258" s="80">
        <f>IF(VLOOKUP($D258,$C$5:$AU$516,3,)=0,0,(VLOOKUP($D258,$C$5:$AU$516,30,)/VLOOKUP($D258,$C$5:$AU$516,3,))*$E258)</f>
        <v>0</v>
      </c>
      <c r="AG258" s="65">
        <f>SUM(F258:AF258)</f>
        <v>0</v>
      </c>
      <c r="AH258" s="12" t="str">
        <f>IF(ABS(E258-AG258)&lt;0.01,"ok","err")</f>
        <v>ok</v>
      </c>
    </row>
    <row r="259" spans="1:34" x14ac:dyDescent="0.2">
      <c r="E259" s="7"/>
    </row>
    <row r="260" spans="1:34" x14ac:dyDescent="0.2">
      <c r="A260" s="2" t="s">
        <v>5</v>
      </c>
      <c r="E260" s="7"/>
    </row>
    <row r="261" spans="1:34" x14ac:dyDescent="0.2">
      <c r="A261" s="68" t="s">
        <v>220</v>
      </c>
      <c r="C261" s="3" t="s">
        <v>306</v>
      </c>
      <c r="D261" s="3" t="s">
        <v>231</v>
      </c>
      <c r="E261" s="19">
        <f>'Func &amp; Classif'!W314</f>
        <v>0</v>
      </c>
      <c r="F261" s="41">
        <f>IF(VLOOKUP($D261,$C$5:$AU$516,3,)=0,0,(VLOOKUP($D261,$C$5:$AU$516,4,)/VLOOKUP($D261,$C$5:$AU$516,3,))*$E261)</f>
        <v>0</v>
      </c>
      <c r="G261" s="41">
        <f>IF(VLOOKUP($D261,$C$5:$AU$516,3,)=0,0,(VLOOKUP($D261,$C$5:$AU$516,5,)/VLOOKUP($D261,$C$5:$AU$516,3,))*$E261)</f>
        <v>0</v>
      </c>
      <c r="H261" s="19">
        <f>IF(VLOOKUP($D261,$C$5:$AU$516,3,)=0,0,(VLOOKUP($D261,$C$5:$AU$516,6,)/VLOOKUP($D261,$C$5:$AU$516,3,))*$E261)</f>
        <v>0</v>
      </c>
      <c r="I261" s="19">
        <f>IF(VLOOKUP($D261,$C$5:$AU$516,3,)=0,0,(VLOOKUP($D261,$C$5:$AU$516,7,)/VLOOKUP($D261,$C$5:$AU$516,3,))*$E261)</f>
        <v>0</v>
      </c>
      <c r="J261" s="19">
        <f>IF(VLOOKUP($D261,$C$5:$AU$516,3,)=0,0,(VLOOKUP($D261,$C$5:$AU$516,8,)/VLOOKUP($D261,$C$5:$AU$516,3,))*$E261)</f>
        <v>0</v>
      </c>
      <c r="K261" s="19">
        <f>IF(VLOOKUP($D261,$C$5:$AU$516,3,)=0,0,(VLOOKUP($D261,$C$5:$AU$516,9,)/VLOOKUP($D261,$C$5:$AU$516,3,))*$E261)</f>
        <v>0</v>
      </c>
      <c r="L261" s="41">
        <f>IF(VLOOKUP($D261,$C$5:$AU$516,3,)=0,0,(VLOOKUP($D261,$C$5:$AU$516,10,)/VLOOKUP($D261,$C$5:$AU$516,3,))*$E261)</f>
        <v>0</v>
      </c>
      <c r="M261" s="19">
        <f>IF(VLOOKUP($D261,$C$5:$AU$516,3,)=0,0,(VLOOKUP($D261,$C$5:$AU$516,11,)/VLOOKUP($D261,$C$5:$AU$516,3,))*$E261)</f>
        <v>0</v>
      </c>
      <c r="N261" s="19">
        <f>IF(VLOOKUP($D261,$C$5:$AU$516,3,)=0,0,(VLOOKUP($D261,$C$5:$AU$516,12,)/VLOOKUP($D261,$C$5:$AU$516,3,))*$E261)</f>
        <v>0</v>
      </c>
      <c r="O261" s="19">
        <f>IF(VLOOKUP($D261,$C$5:$AU$516,3,)=0,0,(VLOOKUP($D261,$C$5:$AU$516,13,)/VLOOKUP($D261,$C$5:$AU$516,3,))*$E261)</f>
        <v>0</v>
      </c>
      <c r="P261" s="19">
        <f>IF(VLOOKUP($D261,$C$5:$AU$516,3,)=0,0,(VLOOKUP($D261,$C$5:$AU$516,14,)/VLOOKUP($D261,$C$5:$AU$516,3,))*$E261)</f>
        <v>0</v>
      </c>
      <c r="Q261" s="19">
        <f>IF(VLOOKUP($D261,$C$5:$AU$516,3,)=0,0,(VLOOKUP($D261,$C$5:$AU$516,15,)/VLOOKUP($D261,$C$5:$AU$516,3,))*$E261)</f>
        <v>0</v>
      </c>
      <c r="R261" s="19">
        <f>IF(VLOOKUP($D261,$C$5:$AU$516,3,)=0,0,(VLOOKUP($D261,$C$5:$AU$516,16,)/VLOOKUP($D261,$C$5:$AU$516,3,))*$E261)</f>
        <v>0</v>
      </c>
      <c r="S261" s="80">
        <f>IF(VLOOKUP($D261,$C$5:$AU$516,3,)=0,0,(VLOOKUP($D261,$C$5:$AU$516,17,)/VLOOKUP($D261,$C$5:$AU$516,3,))*$E261)</f>
        <v>0</v>
      </c>
      <c r="T261" s="80">
        <f>IF(VLOOKUP($D261,$C$5:$AU$516,3,)=0,0,(VLOOKUP($D261,$C$5:$AU$516,18,)/VLOOKUP($D261,$C$5:$AU$516,3,))*$E261)</f>
        <v>0</v>
      </c>
      <c r="U261" s="80">
        <f>IF(VLOOKUP($D261,$C$5:$AU$516,3,)=0,0,(VLOOKUP($D261,$C$5:$AU$516,19,)/VLOOKUP($D261,$C$5:$AU$516,3,))*$E261)</f>
        <v>0</v>
      </c>
      <c r="V261" s="80">
        <f>IF(VLOOKUP($D261,$C$5:$AU$516,3,)=0,0,(VLOOKUP($D261,$C$5:$AU$516,20,)/VLOOKUP($D261,$C$5:$AU$516,3,))*$E261)</f>
        <v>0</v>
      </c>
      <c r="W261" s="80">
        <f>IF(VLOOKUP($D261,$C$5:$AU$516,3,)=0,0,(VLOOKUP($D261,$C$5:$AU$516,21,)/VLOOKUP($D261,$C$5:$AU$516,3,))*$E261)</f>
        <v>0</v>
      </c>
      <c r="X261" s="80">
        <f>IF(VLOOKUP($D261,$C$5:$AU$516,3,)=0,0,(VLOOKUP($D261,$C$5:$AU$516,22,)/VLOOKUP($D261,$C$5:$AU$516,3,))*$E261)</f>
        <v>0</v>
      </c>
      <c r="Y261" s="80">
        <f>IF(VLOOKUP($D261,$C$5:$AU$516,3,)=0,0,(VLOOKUP($D261,$C$5:$AU$516,23,)/VLOOKUP($D261,$C$5:$AU$516,3,))*$E261)</f>
        <v>0</v>
      </c>
      <c r="Z261" s="80">
        <f>IF(VLOOKUP($D261,$C$5:$AU$516,3,)=0,0,(VLOOKUP($D261,$C$5:$AU$516,24,)/VLOOKUP($D261,$C$5:$AU$516,3,))*$E261)</f>
        <v>0</v>
      </c>
      <c r="AA261" s="80">
        <f>IF(VLOOKUP($D261,$C$5:$AU$516,3,)=0,0,(VLOOKUP($D261,$C$5:$AU$516,25,)/VLOOKUP($D261,$C$5:$AU$516,3,))*$E261)</f>
        <v>0</v>
      </c>
      <c r="AB261" s="80">
        <f>IF(VLOOKUP($D261,$C$5:$AU$516,3,)=0,0,(VLOOKUP($D261,$C$5:$AU$516,26,)/VLOOKUP($D261,$C$5:$AU$516,3,))*$E261)</f>
        <v>0</v>
      </c>
      <c r="AC261" s="80">
        <f>IF(VLOOKUP($D261,$C$5:$AU$516,3,)=0,0,(VLOOKUP($D261,$C$5:$AU$516,27,)/VLOOKUP($D261,$C$5:$AU$516,3,))*$E261)</f>
        <v>0</v>
      </c>
      <c r="AD261" s="80">
        <f>IF(VLOOKUP($D261,$C$5:$AU$516,3,)=0,0,(VLOOKUP($D261,$C$5:$AU$516,28,)/VLOOKUP($D261,$C$5:$AU$516,3,))*$E261)</f>
        <v>0</v>
      </c>
      <c r="AE261" s="80">
        <f>IF(VLOOKUP($D261,$C$5:$AU$516,3,)=0,0,(VLOOKUP($D261,$C$5:$AU$516,29,)/VLOOKUP($D261,$C$5:$AU$516,3,))*$E261)</f>
        <v>0</v>
      </c>
      <c r="AF261" s="80">
        <f>IF(VLOOKUP($D261,$C$5:$AU$516,3,)=0,0,(VLOOKUP($D261,$C$5:$AU$516,30,)/VLOOKUP($D261,$C$5:$AU$516,3,))*$E261)</f>
        <v>0</v>
      </c>
      <c r="AG261" s="65">
        <f>SUM(F261:AF261)</f>
        <v>0</v>
      </c>
      <c r="AH261" s="12" t="str">
        <f>IF(ABS(E261-AG261)&lt;0.01,"ok","err")</f>
        <v>ok</v>
      </c>
    </row>
    <row r="262" spans="1:34" x14ac:dyDescent="0.2">
      <c r="E262" s="7"/>
    </row>
    <row r="263" spans="1:34" x14ac:dyDescent="0.2">
      <c r="A263" s="2" t="s">
        <v>545</v>
      </c>
      <c r="E263" s="7"/>
    </row>
    <row r="264" spans="1:34" x14ac:dyDescent="0.2">
      <c r="A264" s="68" t="s">
        <v>220</v>
      </c>
      <c r="C264" s="3" t="s">
        <v>307</v>
      </c>
      <c r="D264" s="3" t="s">
        <v>233</v>
      </c>
      <c r="E264" s="19">
        <f>'Func &amp; Classif'!Y314</f>
        <v>0</v>
      </c>
      <c r="F264" s="41">
        <f>IF(VLOOKUP($D264,$C$5:$AU$516,3,)=0,0,(VLOOKUP($D264,$C$5:$AU$516,4,)/VLOOKUP($D264,$C$5:$AU$516,3,))*$E264)</f>
        <v>0</v>
      </c>
      <c r="G264" s="41">
        <f>IF(VLOOKUP($D264,$C$5:$AU$516,3,)=0,0,(VLOOKUP($D264,$C$5:$AU$516,5,)/VLOOKUP($D264,$C$5:$AU$516,3,))*$E264)</f>
        <v>0</v>
      </c>
      <c r="H264" s="19">
        <f>IF(VLOOKUP($D264,$C$5:$AU$516,3,)=0,0,(VLOOKUP($D264,$C$5:$AU$516,6,)/VLOOKUP($D264,$C$5:$AU$516,3,))*$E264)</f>
        <v>0</v>
      </c>
      <c r="I264" s="19">
        <f>IF(VLOOKUP($D264,$C$5:$AU$516,3,)=0,0,(VLOOKUP($D264,$C$5:$AU$516,7,)/VLOOKUP($D264,$C$5:$AU$516,3,))*$E264)</f>
        <v>0</v>
      </c>
      <c r="J264" s="19">
        <f>IF(VLOOKUP($D264,$C$5:$AU$516,3,)=0,0,(VLOOKUP($D264,$C$5:$AU$516,8,)/VLOOKUP($D264,$C$5:$AU$516,3,))*$E264)</f>
        <v>0</v>
      </c>
      <c r="K264" s="19">
        <f>IF(VLOOKUP($D264,$C$5:$AU$516,3,)=0,0,(VLOOKUP($D264,$C$5:$AU$516,9,)/VLOOKUP($D264,$C$5:$AU$516,3,))*$E264)</f>
        <v>0</v>
      </c>
      <c r="L264" s="41">
        <f>IF(VLOOKUP($D264,$C$5:$AU$516,3,)=0,0,(VLOOKUP($D264,$C$5:$AU$516,10,)/VLOOKUP($D264,$C$5:$AU$516,3,))*$E264)</f>
        <v>0</v>
      </c>
      <c r="M264" s="19">
        <f>IF(VLOOKUP($D264,$C$5:$AU$516,3,)=0,0,(VLOOKUP($D264,$C$5:$AU$516,11,)/VLOOKUP($D264,$C$5:$AU$516,3,))*$E264)</f>
        <v>0</v>
      </c>
      <c r="N264" s="19">
        <f>IF(VLOOKUP($D264,$C$5:$AU$516,3,)=0,0,(VLOOKUP($D264,$C$5:$AU$516,12,)/VLOOKUP($D264,$C$5:$AU$516,3,))*$E264)</f>
        <v>0</v>
      </c>
      <c r="O264" s="19">
        <f>IF(VLOOKUP($D264,$C$5:$AU$516,3,)=0,0,(VLOOKUP($D264,$C$5:$AU$516,13,)/VLOOKUP($D264,$C$5:$AU$516,3,))*$E264)</f>
        <v>0</v>
      </c>
      <c r="P264" s="19">
        <f>IF(VLOOKUP($D264,$C$5:$AU$516,3,)=0,0,(VLOOKUP($D264,$C$5:$AU$516,14,)/VLOOKUP($D264,$C$5:$AU$516,3,))*$E264)</f>
        <v>0</v>
      </c>
      <c r="Q264" s="19">
        <f>IF(VLOOKUP($D264,$C$5:$AU$516,3,)=0,0,(VLOOKUP($D264,$C$5:$AU$516,15,)/VLOOKUP($D264,$C$5:$AU$516,3,))*$E264)</f>
        <v>0</v>
      </c>
      <c r="R264" s="19">
        <f>IF(VLOOKUP($D264,$C$5:$AU$516,3,)=0,0,(VLOOKUP($D264,$C$5:$AU$516,16,)/VLOOKUP($D264,$C$5:$AU$516,3,))*$E264)</f>
        <v>0</v>
      </c>
      <c r="S264" s="80">
        <f>IF(VLOOKUP($D264,$C$5:$AU$516,3,)=0,0,(VLOOKUP($D264,$C$5:$AU$516,17,)/VLOOKUP($D264,$C$5:$AU$516,3,))*$E264)</f>
        <v>0</v>
      </c>
      <c r="T264" s="80">
        <f>IF(VLOOKUP($D264,$C$5:$AU$516,3,)=0,0,(VLOOKUP($D264,$C$5:$AU$516,18,)/VLOOKUP($D264,$C$5:$AU$516,3,))*$E264)</f>
        <v>0</v>
      </c>
      <c r="U264" s="80">
        <f>IF(VLOOKUP($D264,$C$5:$AU$516,3,)=0,0,(VLOOKUP($D264,$C$5:$AU$516,19,)/VLOOKUP($D264,$C$5:$AU$516,3,))*$E264)</f>
        <v>0</v>
      </c>
      <c r="V264" s="80">
        <f>IF(VLOOKUP($D264,$C$5:$AU$516,3,)=0,0,(VLOOKUP($D264,$C$5:$AU$516,20,)/VLOOKUP($D264,$C$5:$AU$516,3,))*$E264)</f>
        <v>0</v>
      </c>
      <c r="W264" s="80">
        <f>IF(VLOOKUP($D264,$C$5:$AU$516,3,)=0,0,(VLOOKUP($D264,$C$5:$AU$516,21,)/VLOOKUP($D264,$C$5:$AU$516,3,))*$E264)</f>
        <v>0</v>
      </c>
      <c r="X264" s="80">
        <f>IF(VLOOKUP($D264,$C$5:$AU$516,3,)=0,0,(VLOOKUP($D264,$C$5:$AU$516,22,)/VLOOKUP($D264,$C$5:$AU$516,3,))*$E264)</f>
        <v>0</v>
      </c>
      <c r="Y264" s="80">
        <f>IF(VLOOKUP($D264,$C$5:$AU$516,3,)=0,0,(VLOOKUP($D264,$C$5:$AU$516,23,)/VLOOKUP($D264,$C$5:$AU$516,3,))*$E264)</f>
        <v>0</v>
      </c>
      <c r="Z264" s="80">
        <f>IF(VLOOKUP($D264,$C$5:$AU$516,3,)=0,0,(VLOOKUP($D264,$C$5:$AU$516,24,)/VLOOKUP($D264,$C$5:$AU$516,3,))*$E264)</f>
        <v>0</v>
      </c>
      <c r="AA264" s="80">
        <f>IF(VLOOKUP($D264,$C$5:$AU$516,3,)=0,0,(VLOOKUP($D264,$C$5:$AU$516,25,)/VLOOKUP($D264,$C$5:$AU$516,3,))*$E264)</f>
        <v>0</v>
      </c>
      <c r="AB264" s="80">
        <f>IF(VLOOKUP($D264,$C$5:$AU$516,3,)=0,0,(VLOOKUP($D264,$C$5:$AU$516,26,)/VLOOKUP($D264,$C$5:$AU$516,3,))*$E264)</f>
        <v>0</v>
      </c>
      <c r="AC264" s="80">
        <f>IF(VLOOKUP($D264,$C$5:$AU$516,3,)=0,0,(VLOOKUP($D264,$C$5:$AU$516,27,)/VLOOKUP($D264,$C$5:$AU$516,3,))*$E264)</f>
        <v>0</v>
      </c>
      <c r="AD264" s="80">
        <f>IF(VLOOKUP($D264,$C$5:$AU$516,3,)=0,0,(VLOOKUP($D264,$C$5:$AU$516,28,)/VLOOKUP($D264,$C$5:$AU$516,3,))*$E264)</f>
        <v>0</v>
      </c>
      <c r="AE264" s="80">
        <f>IF(VLOOKUP($D264,$C$5:$AU$516,3,)=0,0,(VLOOKUP($D264,$C$5:$AU$516,29,)/VLOOKUP($D264,$C$5:$AU$516,3,))*$E264)</f>
        <v>0</v>
      </c>
      <c r="AF264" s="80">
        <f>IF(VLOOKUP($D264,$C$5:$AU$516,3,)=0,0,(VLOOKUP($D264,$C$5:$AU$516,30,)/VLOOKUP($D264,$C$5:$AU$516,3,))*$E264)</f>
        <v>0</v>
      </c>
      <c r="AG264" s="65">
        <f>SUM(F264:AF264)</f>
        <v>0</v>
      </c>
      <c r="AH264" s="12" t="str">
        <f>IF(ABS(E264-AG264)&lt;0.01,"ok","err")</f>
        <v>ok</v>
      </c>
    </row>
    <row r="265" spans="1:34" x14ac:dyDescent="0.2">
      <c r="E265" s="7"/>
    </row>
    <row r="266" spans="1:34" x14ac:dyDescent="0.2">
      <c r="A266" s="2" t="s">
        <v>470</v>
      </c>
      <c r="E266" s="7"/>
    </row>
    <row r="267" spans="1:34" x14ac:dyDescent="0.2">
      <c r="A267" s="68" t="s">
        <v>220</v>
      </c>
      <c r="C267" s="3" t="s">
        <v>304</v>
      </c>
      <c r="D267" s="3" t="s">
        <v>234</v>
      </c>
      <c r="E267" s="19">
        <f>'Func &amp; Classif'!AA314</f>
        <v>0</v>
      </c>
      <c r="F267" s="41">
        <f>IF(VLOOKUP($D267,$C$5:$AU$516,3,)=0,0,(VLOOKUP($D267,$C$5:$AU$516,4,)/VLOOKUP($D267,$C$5:$AU$516,3,))*$E267)</f>
        <v>0</v>
      </c>
      <c r="G267" s="41">
        <f>IF(VLOOKUP($D267,$C$5:$AU$516,3,)=0,0,(VLOOKUP($D267,$C$5:$AU$516,5,)/VLOOKUP($D267,$C$5:$AU$516,3,))*$E267)</f>
        <v>0</v>
      </c>
      <c r="H267" s="19">
        <f>IF(VLOOKUP($D267,$C$5:$AU$516,3,)=0,0,(VLOOKUP($D267,$C$5:$AU$516,6,)/VLOOKUP($D267,$C$5:$AU$516,3,))*$E267)</f>
        <v>0</v>
      </c>
      <c r="I267" s="19">
        <f>IF(VLOOKUP($D267,$C$5:$AU$516,3,)=0,0,(VLOOKUP($D267,$C$5:$AU$516,7,)/VLOOKUP($D267,$C$5:$AU$516,3,))*$E267)</f>
        <v>0</v>
      </c>
      <c r="J267" s="19">
        <f>IF(VLOOKUP($D267,$C$5:$AU$516,3,)=0,0,(VLOOKUP($D267,$C$5:$AU$516,8,)/VLOOKUP($D267,$C$5:$AU$516,3,))*$E267)</f>
        <v>0</v>
      </c>
      <c r="K267" s="19">
        <f>IF(VLOOKUP($D267,$C$5:$AU$516,3,)=0,0,(VLOOKUP($D267,$C$5:$AU$516,9,)/VLOOKUP($D267,$C$5:$AU$516,3,))*$E267)</f>
        <v>0</v>
      </c>
      <c r="L267" s="41">
        <f>IF(VLOOKUP($D267,$C$5:$AU$516,3,)=0,0,(VLOOKUP($D267,$C$5:$AU$516,10,)/VLOOKUP($D267,$C$5:$AU$516,3,))*$E267)</f>
        <v>0</v>
      </c>
      <c r="M267" s="19">
        <f>IF(VLOOKUP($D267,$C$5:$AU$516,3,)=0,0,(VLOOKUP($D267,$C$5:$AU$516,11,)/VLOOKUP($D267,$C$5:$AU$516,3,))*$E267)</f>
        <v>0</v>
      </c>
      <c r="N267" s="19">
        <f>IF(VLOOKUP($D267,$C$5:$AU$516,3,)=0,0,(VLOOKUP($D267,$C$5:$AU$516,12,)/VLOOKUP($D267,$C$5:$AU$516,3,))*$E267)</f>
        <v>0</v>
      </c>
      <c r="O267" s="19">
        <f>IF(VLOOKUP($D267,$C$5:$AU$516,3,)=0,0,(VLOOKUP($D267,$C$5:$AU$516,13,)/VLOOKUP($D267,$C$5:$AU$516,3,))*$E267)</f>
        <v>0</v>
      </c>
      <c r="P267" s="19">
        <f>IF(VLOOKUP($D267,$C$5:$AU$516,3,)=0,0,(VLOOKUP($D267,$C$5:$AU$516,14,)/VLOOKUP($D267,$C$5:$AU$516,3,))*$E267)</f>
        <v>0</v>
      </c>
      <c r="Q267" s="19">
        <f>IF(VLOOKUP($D267,$C$5:$AU$516,3,)=0,0,(VLOOKUP($D267,$C$5:$AU$516,15,)/VLOOKUP($D267,$C$5:$AU$516,3,))*$E267)</f>
        <v>0</v>
      </c>
      <c r="R267" s="19">
        <f>IF(VLOOKUP($D267,$C$5:$AU$516,3,)=0,0,(VLOOKUP($D267,$C$5:$AU$516,16,)/VLOOKUP($D267,$C$5:$AU$516,3,))*$E267)</f>
        <v>0</v>
      </c>
      <c r="S267" s="80">
        <f>IF(VLOOKUP($D267,$C$5:$AU$516,3,)=0,0,(VLOOKUP($D267,$C$5:$AU$516,17,)/VLOOKUP($D267,$C$5:$AU$516,3,))*$E267)</f>
        <v>0</v>
      </c>
      <c r="T267" s="80">
        <f>IF(VLOOKUP($D267,$C$5:$AU$516,3,)=0,0,(VLOOKUP($D267,$C$5:$AU$516,18,)/VLOOKUP($D267,$C$5:$AU$516,3,))*$E267)</f>
        <v>0</v>
      </c>
      <c r="U267" s="80">
        <f>IF(VLOOKUP($D267,$C$5:$AU$516,3,)=0,0,(VLOOKUP($D267,$C$5:$AU$516,19,)/VLOOKUP($D267,$C$5:$AU$516,3,))*$E267)</f>
        <v>0</v>
      </c>
      <c r="V267" s="80">
        <f>IF(VLOOKUP($D267,$C$5:$AU$516,3,)=0,0,(VLOOKUP($D267,$C$5:$AU$516,20,)/VLOOKUP($D267,$C$5:$AU$516,3,))*$E267)</f>
        <v>0</v>
      </c>
      <c r="W267" s="80">
        <f>IF(VLOOKUP($D267,$C$5:$AU$516,3,)=0,0,(VLOOKUP($D267,$C$5:$AU$516,21,)/VLOOKUP($D267,$C$5:$AU$516,3,))*$E267)</f>
        <v>0</v>
      </c>
      <c r="X267" s="80">
        <f>IF(VLOOKUP($D267,$C$5:$AU$516,3,)=0,0,(VLOOKUP($D267,$C$5:$AU$516,22,)/VLOOKUP($D267,$C$5:$AU$516,3,))*$E267)</f>
        <v>0</v>
      </c>
      <c r="Y267" s="80">
        <f>IF(VLOOKUP($D267,$C$5:$AU$516,3,)=0,0,(VLOOKUP($D267,$C$5:$AU$516,23,)/VLOOKUP($D267,$C$5:$AU$516,3,))*$E267)</f>
        <v>0</v>
      </c>
      <c r="Z267" s="80">
        <f>IF(VLOOKUP($D267,$C$5:$AU$516,3,)=0,0,(VLOOKUP($D267,$C$5:$AU$516,24,)/VLOOKUP($D267,$C$5:$AU$516,3,))*$E267)</f>
        <v>0</v>
      </c>
      <c r="AA267" s="80">
        <f>IF(VLOOKUP($D267,$C$5:$AU$516,3,)=0,0,(VLOOKUP($D267,$C$5:$AU$516,25,)/VLOOKUP($D267,$C$5:$AU$516,3,))*$E267)</f>
        <v>0</v>
      </c>
      <c r="AB267" s="80">
        <f>IF(VLOOKUP($D267,$C$5:$AU$516,3,)=0,0,(VLOOKUP($D267,$C$5:$AU$516,26,)/VLOOKUP($D267,$C$5:$AU$516,3,))*$E267)</f>
        <v>0</v>
      </c>
      <c r="AC267" s="80">
        <f>IF(VLOOKUP($D267,$C$5:$AU$516,3,)=0,0,(VLOOKUP($D267,$C$5:$AU$516,27,)/VLOOKUP($D267,$C$5:$AU$516,3,))*$E267)</f>
        <v>0</v>
      </c>
      <c r="AD267" s="80">
        <f>IF(VLOOKUP($D267,$C$5:$AU$516,3,)=0,0,(VLOOKUP($D267,$C$5:$AU$516,28,)/VLOOKUP($D267,$C$5:$AU$516,3,))*$E267)</f>
        <v>0</v>
      </c>
      <c r="AE267" s="80">
        <f>IF(VLOOKUP($D267,$C$5:$AU$516,3,)=0,0,(VLOOKUP($D267,$C$5:$AU$516,29,)/VLOOKUP($D267,$C$5:$AU$516,3,))*$E267)</f>
        <v>0</v>
      </c>
      <c r="AF267" s="80">
        <f>IF(VLOOKUP($D267,$C$5:$AU$516,3,)=0,0,(VLOOKUP($D267,$C$5:$AU$516,30,)/VLOOKUP($D267,$C$5:$AU$516,3,))*$E267)</f>
        <v>0</v>
      </c>
      <c r="AG267" s="65">
        <f>SUM(F267:AF267)</f>
        <v>0</v>
      </c>
      <c r="AH267" s="12" t="str">
        <f>IF(ABS(E267-AG267)&lt;0.01,"ok","err")</f>
        <v>ok</v>
      </c>
    </row>
    <row r="268" spans="1:34" x14ac:dyDescent="0.2">
      <c r="E268" s="7"/>
    </row>
    <row r="269" spans="1:34" x14ac:dyDescent="0.2">
      <c r="A269" s="3" t="s">
        <v>0</v>
      </c>
      <c r="C269" s="3" t="s">
        <v>308</v>
      </c>
      <c r="E269" s="19">
        <f>E239+E242+E245+E250+E255+E258+E261+E264+E267</f>
        <v>0</v>
      </c>
      <c r="F269" s="19">
        <f t="shared" ref="F269:R269" si="77">F239+F242+F245+F250+F255+F258+F261+F264+F267</f>
        <v>0</v>
      </c>
      <c r="G269" s="19">
        <f t="shared" si="77"/>
        <v>0</v>
      </c>
      <c r="H269" s="19">
        <f t="shared" si="77"/>
        <v>0</v>
      </c>
      <c r="I269" s="19">
        <f t="shared" si="77"/>
        <v>0</v>
      </c>
      <c r="J269" s="19">
        <f t="shared" si="77"/>
        <v>0</v>
      </c>
      <c r="K269" s="19">
        <f t="shared" si="77"/>
        <v>0</v>
      </c>
      <c r="L269" s="19">
        <f t="shared" si="77"/>
        <v>0</v>
      </c>
      <c r="M269" s="19">
        <f t="shared" si="77"/>
        <v>0</v>
      </c>
      <c r="N269" s="19">
        <f t="shared" si="77"/>
        <v>0</v>
      </c>
      <c r="O269" s="19">
        <f t="shared" si="77"/>
        <v>0</v>
      </c>
      <c r="P269" s="19">
        <f t="shared" si="77"/>
        <v>0</v>
      </c>
      <c r="Q269" s="19">
        <f t="shared" si="77"/>
        <v>0</v>
      </c>
      <c r="R269" s="19">
        <f t="shared" si="77"/>
        <v>0</v>
      </c>
      <c r="S269" s="80">
        <f t="shared" ref="S269:AF269" si="78">S239+S245+S250+S255+S258+S261+S264+S267</f>
        <v>0</v>
      </c>
      <c r="T269" s="80">
        <f t="shared" si="78"/>
        <v>0</v>
      </c>
      <c r="U269" s="80">
        <f t="shared" si="78"/>
        <v>0</v>
      </c>
      <c r="V269" s="80">
        <f t="shared" si="78"/>
        <v>0</v>
      </c>
      <c r="W269" s="80">
        <f t="shared" si="78"/>
        <v>0</v>
      </c>
      <c r="X269" s="80">
        <f t="shared" si="78"/>
        <v>0</v>
      </c>
      <c r="Y269" s="80">
        <f t="shared" si="78"/>
        <v>0</v>
      </c>
      <c r="Z269" s="80">
        <f t="shared" si="78"/>
        <v>0</v>
      </c>
      <c r="AA269" s="80">
        <f t="shared" si="78"/>
        <v>0</v>
      </c>
      <c r="AB269" s="80">
        <f t="shared" si="78"/>
        <v>0</v>
      </c>
      <c r="AC269" s="80">
        <f t="shared" si="78"/>
        <v>0</v>
      </c>
      <c r="AD269" s="80">
        <f t="shared" si="78"/>
        <v>0</v>
      </c>
      <c r="AE269" s="80">
        <f t="shared" si="78"/>
        <v>0</v>
      </c>
      <c r="AF269" s="80">
        <f t="shared" si="78"/>
        <v>0</v>
      </c>
      <c r="AG269" s="65">
        <f>SUM(F269:AF269)</f>
        <v>0</v>
      </c>
      <c r="AH269" s="12" t="str">
        <f>IF(ABS(E269-AG269)&lt;0.01,"ok","err")</f>
        <v>ok</v>
      </c>
    </row>
    <row r="272" spans="1:34" x14ac:dyDescent="0.2">
      <c r="A272" s="10" t="s">
        <v>309</v>
      </c>
    </row>
    <row r="274" spans="1:34" x14ac:dyDescent="0.2">
      <c r="A274" s="2" t="s">
        <v>864</v>
      </c>
    </row>
    <row r="275" spans="1:34" x14ac:dyDescent="0.2">
      <c r="A275" s="68" t="s">
        <v>208</v>
      </c>
      <c r="C275" s="3" t="s">
        <v>310</v>
      </c>
      <c r="D275" s="3" t="s">
        <v>657</v>
      </c>
      <c r="E275" s="19">
        <f>'Func &amp; Classif'!H316</f>
        <v>0</v>
      </c>
      <c r="F275" s="41">
        <f>IF(VLOOKUP($D275,$C$5:$AU$516,3,)=0,0,(VLOOKUP($D275,$C$5:$AU$516,4,)/VLOOKUP($D275,$C$5:$AU$516,3,))*$E275)</f>
        <v>0</v>
      </c>
      <c r="G275" s="41">
        <f>IF(VLOOKUP($D275,$C$5:$AU$516,3,)=0,0,(VLOOKUP($D275,$C$5:$AU$516,5,)/VLOOKUP($D275,$C$5:$AU$516,3,))*$E275)</f>
        <v>0</v>
      </c>
      <c r="H275" s="19">
        <f>IF(VLOOKUP($D275,$C$5:$AU$516,3,)=0,0,(VLOOKUP($D275,$C$5:$AU$516,6,)/VLOOKUP($D275,$C$5:$AU$516,3,))*$E275)</f>
        <v>0</v>
      </c>
      <c r="I275" s="19">
        <f>IF(VLOOKUP($D275,$C$5:$AU$516,3,)=0,0,(VLOOKUP($D275,$C$5:$AU$516,7,)/VLOOKUP($D275,$C$5:$AU$516,3,))*$E275)</f>
        <v>0</v>
      </c>
      <c r="J275" s="19">
        <f>IF(VLOOKUP($D275,$C$5:$AU$516,3,)=0,0,(VLOOKUP($D275,$C$5:$AU$516,8,)/VLOOKUP($D275,$C$5:$AU$516,3,))*$E275)</f>
        <v>0</v>
      </c>
      <c r="K275" s="19">
        <f>IF(VLOOKUP($D275,$C$5:$AU$516,3,)=0,0,(VLOOKUP($D275,$C$5:$AU$516,9,)/VLOOKUP($D275,$C$5:$AU$516,3,))*$E275)</f>
        <v>0</v>
      </c>
      <c r="L275" s="41">
        <f>IF(VLOOKUP($D275,$C$5:$AU$516,3,)=0,0,(VLOOKUP($D275,$C$5:$AU$516,10,)/VLOOKUP($D275,$C$5:$AU$516,3,))*$E275)</f>
        <v>0</v>
      </c>
      <c r="M275" s="19">
        <f>IF(VLOOKUP($D275,$C$5:$AU$516,3,)=0,0,(VLOOKUP($D275,$C$5:$AU$516,11,)/VLOOKUP($D275,$C$5:$AU$516,3,))*$E275)</f>
        <v>0</v>
      </c>
      <c r="N275" s="19">
        <f>IF(VLOOKUP($D275,$C$5:$AU$516,3,)=0,0,(VLOOKUP($D275,$C$5:$AU$516,12,)/VLOOKUP($D275,$C$5:$AU$516,3,))*$E275)</f>
        <v>0</v>
      </c>
      <c r="O275" s="19">
        <f>IF(VLOOKUP($D275,$C$5:$AU$516,3,)=0,0,(VLOOKUP($D275,$C$5:$AU$516,13,)/VLOOKUP($D275,$C$5:$AU$516,3,))*$E275)</f>
        <v>0</v>
      </c>
      <c r="P275" s="19">
        <f>IF(VLOOKUP($D275,$C$5:$AU$516,3,)=0,0,(VLOOKUP($D275,$C$5:$AU$516,14,)/VLOOKUP($D275,$C$5:$AU$516,3,))*$E275)</f>
        <v>0</v>
      </c>
      <c r="Q275" s="19">
        <f>IF(VLOOKUP($D275,$C$5:$AU$516,3,)=0,0,(VLOOKUP($D275,$C$5:$AU$516,15,)/VLOOKUP($D275,$C$5:$AU$516,3,))*$E275)</f>
        <v>0</v>
      </c>
      <c r="R275" s="19">
        <f>IF(VLOOKUP($D275,$C$5:$AU$516,3,)=0,0,(VLOOKUP($D275,$C$5:$AU$516,16,)/VLOOKUP($D275,$C$5:$AU$516,3,))*$E275)</f>
        <v>0</v>
      </c>
      <c r="S275" s="80">
        <f>IF(VLOOKUP($D275,$C$5:$AU$516,3,)=0,0,(VLOOKUP($D275,$C$5:$AU$516,17,)/VLOOKUP($D275,$C$5:$AU$516,3,))*$E275)</f>
        <v>0</v>
      </c>
      <c r="T275" s="80">
        <f>IF(VLOOKUP($D275,$C$5:$AU$516,3,)=0,0,(VLOOKUP($D275,$C$5:$AU$516,18,)/VLOOKUP($D275,$C$5:$AU$516,3,))*$E275)</f>
        <v>0</v>
      </c>
      <c r="U275" s="80">
        <f>IF(VLOOKUP($D275,$C$5:$AU$516,3,)=0,0,(VLOOKUP($D275,$C$5:$AU$516,19,)/VLOOKUP($D275,$C$5:$AU$516,3,))*$E275)</f>
        <v>0</v>
      </c>
      <c r="V275" s="80">
        <f>IF(VLOOKUP($D275,$C$5:$AU$516,3,)=0,0,(VLOOKUP($D275,$C$5:$AU$516,20,)/VLOOKUP($D275,$C$5:$AU$516,3,))*$E275)</f>
        <v>0</v>
      </c>
      <c r="W275" s="80">
        <f>IF(VLOOKUP($D275,$C$5:$AU$516,3,)=0,0,(VLOOKUP($D275,$C$5:$AU$516,21,)/VLOOKUP($D275,$C$5:$AU$516,3,))*$E275)</f>
        <v>0</v>
      </c>
      <c r="X275" s="80">
        <f>IF(VLOOKUP($D275,$C$5:$AU$516,3,)=0,0,(VLOOKUP($D275,$C$5:$AU$516,22,)/VLOOKUP($D275,$C$5:$AU$516,3,))*$E275)</f>
        <v>0</v>
      </c>
      <c r="Y275" s="80">
        <f>IF(VLOOKUP($D275,$C$5:$AU$516,3,)=0,0,(VLOOKUP($D275,$C$5:$AU$516,23,)/VLOOKUP($D275,$C$5:$AU$516,3,))*$E275)</f>
        <v>0</v>
      </c>
      <c r="Z275" s="80">
        <f>IF(VLOOKUP($D275,$C$5:$AU$516,3,)=0,0,(VLOOKUP($D275,$C$5:$AU$516,24,)/VLOOKUP($D275,$C$5:$AU$516,3,))*$E275)</f>
        <v>0</v>
      </c>
      <c r="AA275" s="80">
        <f>IF(VLOOKUP($D275,$C$5:$AU$516,3,)=0,0,(VLOOKUP($D275,$C$5:$AU$516,25,)/VLOOKUP($D275,$C$5:$AU$516,3,))*$E275)</f>
        <v>0</v>
      </c>
      <c r="AB275" s="80">
        <f>IF(VLOOKUP($D275,$C$5:$AU$516,3,)=0,0,(VLOOKUP($D275,$C$5:$AU$516,26,)/VLOOKUP($D275,$C$5:$AU$516,3,))*$E275)</f>
        <v>0</v>
      </c>
      <c r="AC275" s="80">
        <f>IF(VLOOKUP($D275,$C$5:$AU$516,3,)=0,0,(VLOOKUP($D275,$C$5:$AU$516,27,)/VLOOKUP($D275,$C$5:$AU$516,3,))*$E275)</f>
        <v>0</v>
      </c>
      <c r="AD275" s="80">
        <f>IF(VLOOKUP($D275,$C$5:$AU$516,3,)=0,0,(VLOOKUP($D275,$C$5:$AU$516,28,)/VLOOKUP($D275,$C$5:$AU$516,3,))*$E275)</f>
        <v>0</v>
      </c>
      <c r="AE275" s="80">
        <f>IF(VLOOKUP($D275,$C$5:$AU$516,3,)=0,0,(VLOOKUP($D275,$C$5:$AU$516,29,)/VLOOKUP($D275,$C$5:$AU$516,3,))*$E275)</f>
        <v>0</v>
      </c>
      <c r="AF275" s="80">
        <f>IF(VLOOKUP($D275,$C$5:$AU$516,3,)=0,0,(VLOOKUP($D275,$C$5:$AU$516,30,)/VLOOKUP($D275,$C$5:$AU$516,3,))*$E275)</f>
        <v>0</v>
      </c>
      <c r="AG275" s="65">
        <f>SUM(F275:AF275)</f>
        <v>0</v>
      </c>
      <c r="AH275" s="12" t="str">
        <f>IF(ABS(E275-AG275)&lt;0.01,"ok","err")</f>
        <v>ok</v>
      </c>
    </row>
    <row r="276" spans="1:34" x14ac:dyDescent="0.2">
      <c r="A276" s="68" t="s">
        <v>211</v>
      </c>
      <c r="C276" s="3" t="s">
        <v>311</v>
      </c>
      <c r="D276" s="3" t="s">
        <v>666</v>
      </c>
      <c r="E276" s="7">
        <f>'Func &amp; Classif'!I316</f>
        <v>0</v>
      </c>
      <c r="F276" s="41">
        <f>IF(VLOOKUP($D276,$C$5:$AU$516,3,)=0,0,(VLOOKUP($D276,$C$5:$AU$516,4,)/VLOOKUP($D276,$C$5:$AU$516,3,))*$E276)</f>
        <v>0</v>
      </c>
      <c r="G276" s="41">
        <f>IF(VLOOKUP($D276,$C$5:$AU$516,3,)=0,0,(VLOOKUP($D276,$C$5:$AU$516,5,)/VLOOKUP($D276,$C$5:$AU$516,3,))*$E276)</f>
        <v>0</v>
      </c>
      <c r="H276" s="19">
        <f>IF(VLOOKUP($D276,$C$5:$AU$516,3,)=0,0,(VLOOKUP($D276,$C$5:$AU$516,6,)/VLOOKUP($D276,$C$5:$AU$516,3,))*$E276)</f>
        <v>0</v>
      </c>
      <c r="I276" s="19">
        <f>IF(VLOOKUP($D276,$C$5:$AU$516,3,)=0,0,(VLOOKUP($D276,$C$5:$AU$516,7,)/VLOOKUP($D276,$C$5:$AU$516,3,))*$E276)</f>
        <v>0</v>
      </c>
      <c r="J276" s="19">
        <f>IF(VLOOKUP($D276,$C$5:$AU$516,3,)=0,0,(VLOOKUP($D276,$C$5:$AU$516,8,)/VLOOKUP($D276,$C$5:$AU$516,3,))*$E276)</f>
        <v>0</v>
      </c>
      <c r="K276" s="19">
        <f>IF(VLOOKUP($D276,$C$5:$AU$516,3,)=0,0,(VLOOKUP($D276,$C$5:$AU$516,9,)/VLOOKUP($D276,$C$5:$AU$516,3,))*$E276)</f>
        <v>0</v>
      </c>
      <c r="L276" s="41">
        <f>IF(VLOOKUP($D276,$C$5:$AU$516,3,)=0,0,(VLOOKUP($D276,$C$5:$AU$516,10,)/VLOOKUP($D276,$C$5:$AU$516,3,))*$E276)</f>
        <v>0</v>
      </c>
      <c r="M276" s="19">
        <f>IF(VLOOKUP($D276,$C$5:$AU$516,3,)=0,0,(VLOOKUP($D276,$C$5:$AU$516,11,)/VLOOKUP($D276,$C$5:$AU$516,3,))*$E276)</f>
        <v>0</v>
      </c>
      <c r="N276" s="19">
        <f>IF(VLOOKUP($D276,$C$5:$AU$516,3,)=0,0,(VLOOKUP($D276,$C$5:$AU$516,12,)/VLOOKUP($D276,$C$5:$AU$516,3,))*$E276)</f>
        <v>0</v>
      </c>
      <c r="O276" s="19">
        <f>IF(VLOOKUP($D276,$C$5:$AU$516,3,)=0,0,(VLOOKUP($D276,$C$5:$AU$516,13,)/VLOOKUP($D276,$C$5:$AU$516,3,))*$E276)</f>
        <v>0</v>
      </c>
      <c r="P276" s="19">
        <f>IF(VLOOKUP($D276,$C$5:$AU$516,3,)=0,0,(VLOOKUP($D276,$C$5:$AU$516,14,)/VLOOKUP($D276,$C$5:$AU$516,3,))*$E276)</f>
        <v>0</v>
      </c>
      <c r="Q276" s="19">
        <f>IF(VLOOKUP($D276,$C$5:$AU$516,3,)=0,0,(VLOOKUP($D276,$C$5:$AU$516,15,)/VLOOKUP($D276,$C$5:$AU$516,3,))*$E276)</f>
        <v>0</v>
      </c>
      <c r="R276" s="19">
        <f>IF(VLOOKUP($D276,$C$5:$AU$516,3,)=0,0,(VLOOKUP($D276,$C$5:$AU$516,16,)/VLOOKUP($D276,$C$5:$AU$516,3,))*$E276)</f>
        <v>0</v>
      </c>
      <c r="S276" s="80">
        <f>IF(VLOOKUP($D276,$C$5:$AU$516,3,)=0,0,(VLOOKUP($D276,$C$5:$AU$516,17,)/VLOOKUP($D276,$C$5:$AU$516,3,))*$E276)</f>
        <v>0</v>
      </c>
      <c r="T276" s="80">
        <f>IF(VLOOKUP($D276,$C$5:$AU$516,3,)=0,0,(VLOOKUP($D276,$C$5:$AU$516,18,)/VLOOKUP($D276,$C$5:$AU$516,3,))*$E276)</f>
        <v>0</v>
      </c>
      <c r="U276" s="80">
        <f>IF(VLOOKUP($D276,$C$5:$AU$516,3,)=0,0,(VLOOKUP($D276,$C$5:$AU$516,19,)/VLOOKUP($D276,$C$5:$AU$516,3,))*$E276)</f>
        <v>0</v>
      </c>
      <c r="V276" s="80">
        <f>IF(VLOOKUP($D276,$C$5:$AU$516,3,)=0,0,(VLOOKUP($D276,$C$5:$AU$516,20,)/VLOOKUP($D276,$C$5:$AU$516,3,))*$E276)</f>
        <v>0</v>
      </c>
      <c r="W276" s="80">
        <f>IF(VLOOKUP($D276,$C$5:$AU$516,3,)=0,0,(VLOOKUP($D276,$C$5:$AU$516,21,)/VLOOKUP($D276,$C$5:$AU$516,3,))*$E276)</f>
        <v>0</v>
      </c>
      <c r="X276" s="80">
        <f>IF(VLOOKUP($D276,$C$5:$AU$516,3,)=0,0,(VLOOKUP($D276,$C$5:$AU$516,22,)/VLOOKUP($D276,$C$5:$AU$516,3,))*$E276)</f>
        <v>0</v>
      </c>
      <c r="Y276" s="80">
        <f>IF(VLOOKUP($D276,$C$5:$AU$516,3,)=0,0,(VLOOKUP($D276,$C$5:$AU$516,23,)/VLOOKUP($D276,$C$5:$AU$516,3,))*$E276)</f>
        <v>0</v>
      </c>
      <c r="Z276" s="80">
        <f>IF(VLOOKUP($D276,$C$5:$AU$516,3,)=0,0,(VLOOKUP($D276,$C$5:$AU$516,24,)/VLOOKUP($D276,$C$5:$AU$516,3,))*$E276)</f>
        <v>0</v>
      </c>
      <c r="AA276" s="80">
        <f>IF(VLOOKUP($D276,$C$5:$AU$516,3,)=0,0,(VLOOKUP($D276,$C$5:$AU$516,25,)/VLOOKUP($D276,$C$5:$AU$516,3,))*$E276)</f>
        <v>0</v>
      </c>
      <c r="AB276" s="80">
        <f>IF(VLOOKUP($D276,$C$5:$AU$516,3,)=0,0,(VLOOKUP($D276,$C$5:$AU$516,26,)/VLOOKUP($D276,$C$5:$AU$516,3,))*$E276)</f>
        <v>0</v>
      </c>
      <c r="AC276" s="80">
        <f>IF(VLOOKUP($D276,$C$5:$AU$516,3,)=0,0,(VLOOKUP($D276,$C$5:$AU$516,27,)/VLOOKUP($D276,$C$5:$AU$516,3,))*$E276)</f>
        <v>0</v>
      </c>
      <c r="AD276" s="80">
        <f>IF(VLOOKUP($D276,$C$5:$AU$516,3,)=0,0,(VLOOKUP($D276,$C$5:$AU$516,28,)/VLOOKUP($D276,$C$5:$AU$516,3,))*$E276)</f>
        <v>0</v>
      </c>
      <c r="AE276" s="80">
        <f>IF(VLOOKUP($D276,$C$5:$AU$516,3,)=0,0,(VLOOKUP($D276,$C$5:$AU$516,29,)/VLOOKUP($D276,$C$5:$AU$516,3,))*$E276)</f>
        <v>0</v>
      </c>
      <c r="AF276" s="80">
        <f>IF(VLOOKUP($D276,$C$5:$AU$516,3,)=0,0,(VLOOKUP($D276,$C$5:$AU$516,30,)/VLOOKUP($D276,$C$5:$AU$516,3,))*$E276)</f>
        <v>0</v>
      </c>
      <c r="AG276" s="65">
        <f>SUM(F276:AF276)</f>
        <v>0</v>
      </c>
      <c r="AH276" s="12" t="str">
        <f>IF(ABS(E276-AG276)&lt;0.01,"ok","err")</f>
        <v>ok</v>
      </c>
    </row>
    <row r="277" spans="1:34" x14ac:dyDescent="0.2">
      <c r="A277" s="3" t="s">
        <v>214</v>
      </c>
      <c r="C277" s="3" t="s">
        <v>312</v>
      </c>
      <c r="E277" s="7">
        <f t="shared" ref="E277:T277" si="79">E275+E276</f>
        <v>0</v>
      </c>
      <c r="F277" s="41">
        <f t="shared" si="79"/>
        <v>0</v>
      </c>
      <c r="G277" s="41">
        <f t="shared" si="79"/>
        <v>0</v>
      </c>
      <c r="H277" s="19">
        <f t="shared" si="79"/>
        <v>0</v>
      </c>
      <c r="I277" s="19">
        <f t="shared" si="79"/>
        <v>0</v>
      </c>
      <c r="J277" s="19">
        <f t="shared" si="79"/>
        <v>0</v>
      </c>
      <c r="K277" s="19">
        <f t="shared" si="79"/>
        <v>0</v>
      </c>
      <c r="L277" s="41">
        <f t="shared" si="79"/>
        <v>0</v>
      </c>
      <c r="M277" s="19">
        <f t="shared" si="79"/>
        <v>0</v>
      </c>
      <c r="N277" s="19">
        <f t="shared" si="79"/>
        <v>0</v>
      </c>
      <c r="O277" s="19">
        <f t="shared" si="79"/>
        <v>0</v>
      </c>
      <c r="P277" s="19">
        <f t="shared" si="79"/>
        <v>0</v>
      </c>
      <c r="Q277" s="19">
        <f t="shared" si="79"/>
        <v>0</v>
      </c>
      <c r="R277" s="19">
        <f t="shared" si="79"/>
        <v>0</v>
      </c>
      <c r="S277" s="80">
        <f t="shared" si="79"/>
        <v>0</v>
      </c>
      <c r="T277" s="80">
        <f t="shared" si="79"/>
        <v>0</v>
      </c>
      <c r="U277" s="80">
        <f t="shared" ref="U277:AF277" si="80">U275+U276</f>
        <v>0</v>
      </c>
      <c r="V277" s="80">
        <f t="shared" si="80"/>
        <v>0</v>
      </c>
      <c r="W277" s="80">
        <f t="shared" si="80"/>
        <v>0</v>
      </c>
      <c r="X277" s="80">
        <f t="shared" si="80"/>
        <v>0</v>
      </c>
      <c r="Y277" s="80">
        <f t="shared" si="80"/>
        <v>0</v>
      </c>
      <c r="Z277" s="80">
        <f t="shared" si="80"/>
        <v>0</v>
      </c>
      <c r="AA277" s="80">
        <f t="shared" si="80"/>
        <v>0</v>
      </c>
      <c r="AB277" s="80">
        <f t="shared" si="80"/>
        <v>0</v>
      </c>
      <c r="AC277" s="80">
        <f t="shared" si="80"/>
        <v>0</v>
      </c>
      <c r="AD277" s="80">
        <f t="shared" si="80"/>
        <v>0</v>
      </c>
      <c r="AE277" s="80">
        <f t="shared" si="80"/>
        <v>0</v>
      </c>
      <c r="AF277" s="80">
        <f t="shared" si="80"/>
        <v>0</v>
      </c>
      <c r="AG277" s="65">
        <f>SUM(F277:AF277)</f>
        <v>0</v>
      </c>
      <c r="AH277" s="12" t="str">
        <f>IF(ABS(E277-AG277)&lt;0.01,"ok","err")</f>
        <v>ok</v>
      </c>
    </row>
    <row r="278" spans="1:34" x14ac:dyDescent="0.2">
      <c r="E278" s="7"/>
      <c r="F278" s="24"/>
    </row>
    <row r="279" spans="1:34" x14ac:dyDescent="0.2">
      <c r="A279" s="2" t="s">
        <v>349</v>
      </c>
      <c r="E279" s="7"/>
      <c r="F279" s="24"/>
    </row>
    <row r="280" spans="1:34" x14ac:dyDescent="0.2">
      <c r="A280" s="68" t="s">
        <v>208</v>
      </c>
      <c r="C280" s="3" t="s">
        <v>860</v>
      </c>
      <c r="D280" s="3" t="s">
        <v>625</v>
      </c>
      <c r="E280" s="19">
        <f>'Func &amp; Classif'!K316</f>
        <v>0</v>
      </c>
      <c r="F280" s="41">
        <f>IF(VLOOKUP($D280,$C$5:$AU$516,3,)=0,0,(VLOOKUP($D280,$C$5:$AU$516,4,)/VLOOKUP($D280,$C$5:$AU$516,3,))*$E280)</f>
        <v>0</v>
      </c>
      <c r="G280" s="41">
        <f>IF(VLOOKUP($D280,$C$5:$AU$516,3,)=0,0,(VLOOKUP($D280,$C$5:$AU$516,5,)/VLOOKUP($D280,$C$5:$AU$516,3,))*$E280)</f>
        <v>0</v>
      </c>
      <c r="H280" s="19">
        <f>IF(VLOOKUP($D280,$C$5:$AU$516,3,)=0,0,(VLOOKUP($D280,$C$5:$AU$516,6,)/VLOOKUP($D280,$C$5:$AU$516,3,))*$E280)</f>
        <v>0</v>
      </c>
      <c r="I280" s="19">
        <f>IF(VLOOKUP($D280,$C$5:$AU$516,3,)=0,0,(VLOOKUP($D280,$C$5:$AU$516,7,)/VLOOKUP($D280,$C$5:$AU$516,3,))*$E280)</f>
        <v>0</v>
      </c>
      <c r="J280" s="19">
        <f>IF(VLOOKUP($D280,$C$5:$AU$516,3,)=0,0,(VLOOKUP($D280,$C$5:$AU$516,8,)/VLOOKUP($D280,$C$5:$AU$516,3,))*$E280)</f>
        <v>0</v>
      </c>
      <c r="K280" s="19">
        <f>IF(VLOOKUP($D280,$C$5:$AU$516,3,)=0,0,(VLOOKUP($D280,$C$5:$AU$516,9,)/VLOOKUP($D280,$C$5:$AU$516,3,))*$E280)</f>
        <v>0</v>
      </c>
      <c r="L280" s="41">
        <f>IF(VLOOKUP($D280,$C$5:$AU$516,3,)=0,0,(VLOOKUP($D280,$C$5:$AU$516,10,)/VLOOKUP($D280,$C$5:$AU$516,3,))*$E280)</f>
        <v>0</v>
      </c>
      <c r="M280" s="19">
        <f>IF(VLOOKUP($D280,$C$5:$AU$516,3,)=0,0,(VLOOKUP($D280,$C$5:$AU$516,11,)/VLOOKUP($D280,$C$5:$AU$516,3,))*$E280)</f>
        <v>0</v>
      </c>
      <c r="N280" s="19">
        <f>IF(VLOOKUP($D280,$C$5:$AU$516,3,)=0,0,(VLOOKUP($D280,$C$5:$AU$516,12,)/VLOOKUP($D280,$C$5:$AU$516,3,))*$E280)</f>
        <v>0</v>
      </c>
      <c r="O280" s="19">
        <f>IF(VLOOKUP($D280,$C$5:$AU$516,3,)=0,0,(VLOOKUP($D280,$C$5:$AU$516,13,)/VLOOKUP($D280,$C$5:$AU$516,3,))*$E280)</f>
        <v>0</v>
      </c>
      <c r="P280" s="19">
        <f>IF(VLOOKUP($D280,$C$5:$AU$516,3,)=0,0,(VLOOKUP($D280,$C$5:$AU$516,14,)/VLOOKUP($D280,$C$5:$AU$516,3,))*$E280)</f>
        <v>0</v>
      </c>
      <c r="Q280" s="19">
        <f>IF(VLOOKUP($D280,$C$5:$AU$516,3,)=0,0,(VLOOKUP($D280,$C$5:$AU$516,15,)/VLOOKUP($D280,$C$5:$AU$516,3,))*$E280)</f>
        <v>0</v>
      </c>
      <c r="R280" s="19">
        <f>IF(VLOOKUP($D280,$C$5:$AU$516,3,)=0,0,(VLOOKUP($D280,$C$5:$AU$516,16,)/VLOOKUP($D280,$C$5:$AU$516,3,))*$E280)</f>
        <v>0</v>
      </c>
      <c r="S280" s="80">
        <f>IF(VLOOKUP($D280,$C$5:$AU$516,3,)=0,0,(VLOOKUP($D280,$C$5:$AU$516,17,)/VLOOKUP($D280,$C$5:$AU$516,3,))*$E280)</f>
        <v>0</v>
      </c>
      <c r="T280" s="80">
        <f>IF(VLOOKUP($D280,$C$5:$AU$516,3,)=0,0,(VLOOKUP($D280,$C$5:$AU$516,18,)/VLOOKUP($D280,$C$5:$AU$516,3,))*$E280)</f>
        <v>0</v>
      </c>
      <c r="U280" s="80">
        <f>IF(VLOOKUP($D280,$C$5:$AU$516,3,)=0,0,(VLOOKUP($D280,$C$5:$AU$516,19,)/VLOOKUP($D280,$C$5:$AU$516,3,))*$E280)</f>
        <v>0</v>
      </c>
      <c r="V280" s="80">
        <f>IF(VLOOKUP($D280,$C$5:$AU$516,3,)=0,0,(VLOOKUP($D280,$C$5:$AU$516,20,)/VLOOKUP($D280,$C$5:$AU$516,3,))*$E280)</f>
        <v>0</v>
      </c>
      <c r="W280" s="80">
        <f>IF(VLOOKUP($D280,$C$5:$AU$516,3,)=0,0,(VLOOKUP($D280,$C$5:$AU$516,21,)/VLOOKUP($D280,$C$5:$AU$516,3,))*$E280)</f>
        <v>0</v>
      </c>
      <c r="X280" s="80">
        <f>IF(VLOOKUP($D280,$C$5:$AU$516,3,)=0,0,(VLOOKUP($D280,$C$5:$AU$516,22,)/VLOOKUP($D280,$C$5:$AU$516,3,))*$E280)</f>
        <v>0</v>
      </c>
      <c r="Y280" s="80">
        <f>IF(VLOOKUP($D280,$C$5:$AU$516,3,)=0,0,(VLOOKUP($D280,$C$5:$AU$516,23,)/VLOOKUP($D280,$C$5:$AU$516,3,))*$E280)</f>
        <v>0</v>
      </c>
      <c r="Z280" s="80">
        <f>IF(VLOOKUP($D280,$C$5:$AU$516,3,)=0,0,(VLOOKUP($D280,$C$5:$AU$516,24,)/VLOOKUP($D280,$C$5:$AU$516,3,))*$E280)</f>
        <v>0</v>
      </c>
      <c r="AA280" s="80">
        <f>IF(VLOOKUP($D280,$C$5:$AU$516,3,)=0,0,(VLOOKUP($D280,$C$5:$AU$516,25,)/VLOOKUP($D280,$C$5:$AU$516,3,))*$E280)</f>
        <v>0</v>
      </c>
      <c r="AB280" s="80">
        <f>IF(VLOOKUP($D280,$C$5:$AU$516,3,)=0,0,(VLOOKUP($D280,$C$5:$AU$516,26,)/VLOOKUP($D280,$C$5:$AU$516,3,))*$E280)</f>
        <v>0</v>
      </c>
      <c r="AC280" s="80">
        <f>IF(VLOOKUP($D280,$C$5:$AU$516,3,)=0,0,(VLOOKUP($D280,$C$5:$AU$516,27,)/VLOOKUP($D280,$C$5:$AU$516,3,))*$E280)</f>
        <v>0</v>
      </c>
      <c r="AD280" s="80">
        <f>IF(VLOOKUP($D280,$C$5:$AU$516,3,)=0,0,(VLOOKUP($D280,$C$5:$AU$516,28,)/VLOOKUP($D280,$C$5:$AU$516,3,))*$E280)</f>
        <v>0</v>
      </c>
      <c r="AE280" s="80">
        <f>IF(VLOOKUP($D280,$C$5:$AU$516,3,)=0,0,(VLOOKUP($D280,$C$5:$AU$516,29,)/VLOOKUP($D280,$C$5:$AU$516,3,))*$E280)</f>
        <v>0</v>
      </c>
      <c r="AF280" s="80">
        <f>IF(VLOOKUP($D280,$C$5:$AU$516,3,)=0,0,(VLOOKUP($D280,$C$5:$AU$516,30,)/VLOOKUP($D280,$C$5:$AU$516,3,))*$E280)</f>
        <v>0</v>
      </c>
      <c r="AG280" s="65">
        <f>SUM(F280:AF280)</f>
        <v>0</v>
      </c>
      <c r="AH280" s="12" t="str">
        <f>IF(ABS(E280-AG280)&lt;0.01,"ok","err")</f>
        <v>ok</v>
      </c>
    </row>
    <row r="281" spans="1:34" x14ac:dyDescent="0.2">
      <c r="E281" s="7"/>
    </row>
    <row r="282" spans="1:34" x14ac:dyDescent="0.2">
      <c r="A282" s="2" t="s">
        <v>1</v>
      </c>
      <c r="E282" s="7"/>
      <c r="F282" s="24"/>
    </row>
    <row r="283" spans="1:34" x14ac:dyDescent="0.2">
      <c r="A283" s="68" t="s">
        <v>208</v>
      </c>
      <c r="C283" s="3" t="s">
        <v>313</v>
      </c>
      <c r="D283" s="3" t="s">
        <v>632</v>
      </c>
      <c r="E283" s="19">
        <f>'Func &amp; Classif'!M316</f>
        <v>225.71934851475933</v>
      </c>
      <c r="F283" s="41">
        <f>IF(VLOOKUP($D283,$C$5:$AU$516,3,)=0,0,(VLOOKUP($D283,$C$5:$AU$516,4,)/VLOOKUP($D283,$C$5:$AU$516,3,))*$E283)</f>
        <v>179.40306865173031</v>
      </c>
      <c r="G283" s="41">
        <f>IF(VLOOKUP($D283,$C$5:$AU$516,3,)=0,0,(VLOOKUP($D283,$C$5:$AU$516,5,)/VLOOKUP($D283,$C$5:$AU$516,3,))*$E283)</f>
        <v>11.566034749862068</v>
      </c>
      <c r="H283" s="19">
        <f>IF(VLOOKUP($D283,$C$5:$AU$516,3,)=0,0,(VLOOKUP($D283,$C$5:$AU$516,6,)/VLOOKUP($D283,$C$5:$AU$516,3,))*$E283)</f>
        <v>23.612818936523428</v>
      </c>
      <c r="I283" s="19">
        <f>IF(VLOOKUP($D283,$C$5:$AU$516,3,)=0,0,(VLOOKUP($D283,$C$5:$AU$516,7,)/VLOOKUP($D283,$C$5:$AU$516,3,))*$E283)</f>
        <v>3.7636242525462289</v>
      </c>
      <c r="J283" s="19">
        <f>IF(VLOOKUP($D283,$C$5:$AU$516,3,)=0,0,(VLOOKUP($D283,$C$5:$AU$516,8,)/VLOOKUP($D283,$C$5:$AU$516,3,))*$E283)</f>
        <v>5.0484485693500867</v>
      </c>
      <c r="K283" s="19">
        <f>IF(VLOOKUP($D283,$C$5:$AU$516,3,)=0,0,(VLOOKUP($D283,$C$5:$AU$516,9,)/VLOOKUP($D283,$C$5:$AU$516,3,))*$E283)</f>
        <v>2.3253533547471998</v>
      </c>
      <c r="L283" s="41">
        <f>IF(VLOOKUP($D283,$C$5:$AU$516,3,)=0,0,(VLOOKUP($D283,$C$5:$AU$516,10,)/VLOOKUP($D283,$C$5:$AU$516,3,))*$E283)</f>
        <v>0</v>
      </c>
      <c r="M283" s="19">
        <f>IF(VLOOKUP($D283,$C$5:$AU$516,3,)=0,0,(VLOOKUP($D283,$C$5:$AU$516,11,)/VLOOKUP($D283,$C$5:$AU$516,3,))*$E283)</f>
        <v>0</v>
      </c>
      <c r="N283" s="19">
        <f>IF(VLOOKUP($D283,$C$5:$AU$516,3,)=0,0,(VLOOKUP($D283,$C$5:$AU$516,12,)/VLOOKUP($D283,$C$5:$AU$516,3,))*$E283)</f>
        <v>0</v>
      </c>
      <c r="O283" s="19">
        <f>IF(VLOOKUP($D283,$C$5:$AU$516,3,)=0,0,(VLOOKUP($D283,$C$5:$AU$516,13,)/VLOOKUP($D283,$C$5:$AU$516,3,))*$E283)</f>
        <v>0</v>
      </c>
      <c r="P283" s="19">
        <f>IF(VLOOKUP($D283,$C$5:$AU$516,3,)=0,0,(VLOOKUP($D283,$C$5:$AU$516,14,)/VLOOKUP($D283,$C$5:$AU$516,3,))*$E283)</f>
        <v>0</v>
      </c>
      <c r="Q283" s="19">
        <f>IF(VLOOKUP($D283,$C$5:$AU$516,3,)=0,0,(VLOOKUP($D283,$C$5:$AU$516,15,)/VLOOKUP($D283,$C$5:$AU$516,3,))*$E283)</f>
        <v>0</v>
      </c>
      <c r="R283" s="19">
        <f>IF(VLOOKUP($D283,$C$5:$AU$516,3,)=0,0,(VLOOKUP($D283,$C$5:$AU$516,16,)/VLOOKUP($D283,$C$5:$AU$516,3,))*$E283)</f>
        <v>0</v>
      </c>
      <c r="S283" s="80">
        <f>IF(VLOOKUP($D283,$C$5:$AU$516,3,)=0,0,(VLOOKUP($D283,$C$5:$AU$516,17,)/VLOOKUP($D283,$C$5:$AU$516,3,))*$E283)</f>
        <v>0</v>
      </c>
      <c r="T283" s="80">
        <f>IF(VLOOKUP($D283,$C$5:$AU$516,3,)=0,0,(VLOOKUP($D283,$C$5:$AU$516,18,)/VLOOKUP($D283,$C$5:$AU$516,3,))*$E283)</f>
        <v>0</v>
      </c>
      <c r="U283" s="80">
        <f>IF(VLOOKUP($D283,$C$5:$AU$516,3,)=0,0,(VLOOKUP($D283,$C$5:$AU$516,19,)/VLOOKUP($D283,$C$5:$AU$516,3,))*$E283)</f>
        <v>0</v>
      </c>
      <c r="V283" s="80">
        <f>IF(VLOOKUP($D283,$C$5:$AU$516,3,)=0,0,(VLOOKUP($D283,$C$5:$AU$516,20,)/VLOOKUP($D283,$C$5:$AU$516,3,))*$E283)</f>
        <v>0</v>
      </c>
      <c r="W283" s="80">
        <f>IF(VLOOKUP($D283,$C$5:$AU$516,3,)=0,0,(VLOOKUP($D283,$C$5:$AU$516,21,)/VLOOKUP($D283,$C$5:$AU$516,3,))*$E283)</f>
        <v>0</v>
      </c>
      <c r="X283" s="80">
        <f>IF(VLOOKUP($D283,$C$5:$AU$516,3,)=0,0,(VLOOKUP($D283,$C$5:$AU$516,22,)/VLOOKUP($D283,$C$5:$AU$516,3,))*$E283)</f>
        <v>0</v>
      </c>
      <c r="Y283" s="80">
        <f>IF(VLOOKUP($D283,$C$5:$AU$516,3,)=0,0,(VLOOKUP($D283,$C$5:$AU$516,23,)/VLOOKUP($D283,$C$5:$AU$516,3,))*$E283)</f>
        <v>0</v>
      </c>
      <c r="Z283" s="80">
        <f>IF(VLOOKUP($D283,$C$5:$AU$516,3,)=0,0,(VLOOKUP($D283,$C$5:$AU$516,24,)/VLOOKUP($D283,$C$5:$AU$516,3,))*$E283)</f>
        <v>0</v>
      </c>
      <c r="AA283" s="80">
        <f>IF(VLOOKUP($D283,$C$5:$AU$516,3,)=0,0,(VLOOKUP($D283,$C$5:$AU$516,25,)/VLOOKUP($D283,$C$5:$AU$516,3,))*$E283)</f>
        <v>0</v>
      </c>
      <c r="AB283" s="80">
        <f>IF(VLOOKUP($D283,$C$5:$AU$516,3,)=0,0,(VLOOKUP($D283,$C$5:$AU$516,26,)/VLOOKUP($D283,$C$5:$AU$516,3,))*$E283)</f>
        <v>0</v>
      </c>
      <c r="AC283" s="80">
        <f>IF(VLOOKUP($D283,$C$5:$AU$516,3,)=0,0,(VLOOKUP($D283,$C$5:$AU$516,27,)/VLOOKUP($D283,$C$5:$AU$516,3,))*$E283)</f>
        <v>0</v>
      </c>
      <c r="AD283" s="80">
        <f>IF(VLOOKUP($D283,$C$5:$AU$516,3,)=0,0,(VLOOKUP($D283,$C$5:$AU$516,28,)/VLOOKUP($D283,$C$5:$AU$516,3,))*$E283)</f>
        <v>0</v>
      </c>
      <c r="AE283" s="80">
        <f>IF(VLOOKUP($D283,$C$5:$AU$516,3,)=0,0,(VLOOKUP($D283,$C$5:$AU$516,29,)/VLOOKUP($D283,$C$5:$AU$516,3,))*$E283)</f>
        <v>0</v>
      </c>
      <c r="AF283" s="80">
        <f>IF(VLOOKUP($D283,$C$5:$AU$516,3,)=0,0,(VLOOKUP($D283,$C$5:$AU$516,30,)/VLOOKUP($D283,$C$5:$AU$516,3,))*$E283)</f>
        <v>0</v>
      </c>
      <c r="AG283" s="65">
        <f>SUM(F283:AF283)</f>
        <v>225.71934851475933</v>
      </c>
      <c r="AH283" s="12" t="str">
        <f>IF(ABS(E283-AG283)&lt;0.01,"ok","err")</f>
        <v>ok</v>
      </c>
    </row>
    <row r="284" spans="1:34" x14ac:dyDescent="0.2">
      <c r="E284" s="7"/>
    </row>
    <row r="285" spans="1:34" x14ac:dyDescent="0.2">
      <c r="A285" s="2" t="s">
        <v>2</v>
      </c>
      <c r="E285" s="7"/>
    </row>
    <row r="286" spans="1:34" x14ac:dyDescent="0.2">
      <c r="A286" s="68" t="s">
        <v>208</v>
      </c>
      <c r="C286" s="3" t="s">
        <v>314</v>
      </c>
      <c r="D286" s="3" t="s">
        <v>629</v>
      </c>
      <c r="E286" s="19">
        <f>'Func &amp; Classif'!O316</f>
        <v>11544.223880844442</v>
      </c>
      <c r="F286" s="41">
        <f>IF(VLOOKUP($D286,$C$5:$AU$516,3,)=0,0,(VLOOKUP($D286,$C$5:$AU$516,4,)/VLOOKUP($D286,$C$5:$AU$516,3,))*$E286)</f>
        <v>8281.2488147096956</v>
      </c>
      <c r="G286" s="41">
        <f>IF(VLOOKUP($D286,$C$5:$AU$516,3,)=0,0,(VLOOKUP($D286,$C$5:$AU$516,5,)/VLOOKUP($D286,$C$5:$AU$516,3,))*$E286)</f>
        <v>299.41404854424877</v>
      </c>
      <c r="H286" s="19">
        <f>IF(VLOOKUP($D286,$C$5:$AU$516,3,)=0,0,(VLOOKUP($D286,$C$5:$AU$516,6,)/VLOOKUP($D286,$C$5:$AU$516,3,))*$E286)</f>
        <v>1284.7541184942113</v>
      </c>
      <c r="I286" s="19">
        <f>IF(VLOOKUP($D286,$C$5:$AU$516,3,)=0,0,(VLOOKUP($D286,$C$5:$AU$516,7,)/VLOOKUP($D286,$C$5:$AU$516,3,))*$E286)</f>
        <v>623.88345678808469</v>
      </c>
      <c r="J286" s="19">
        <f>IF(VLOOKUP($D286,$C$5:$AU$516,3,)=0,0,(VLOOKUP($D286,$C$5:$AU$516,8,)/VLOOKUP($D286,$C$5:$AU$516,3,))*$E286)</f>
        <v>218.09221028310972</v>
      </c>
      <c r="K286" s="19">
        <f>IF(VLOOKUP($D286,$C$5:$AU$516,3,)=0,0,(VLOOKUP($D286,$C$5:$AU$516,9,)/VLOOKUP($D286,$C$5:$AU$516,3,))*$E286)</f>
        <v>836.83123202509137</v>
      </c>
      <c r="L286" s="41">
        <f>IF(VLOOKUP($D286,$C$5:$AU$516,3,)=0,0,(VLOOKUP($D286,$C$5:$AU$516,10,)/VLOOKUP($D286,$C$5:$AU$516,3,))*$E286)</f>
        <v>0</v>
      </c>
      <c r="M286" s="19">
        <f>IF(VLOOKUP($D286,$C$5:$AU$516,3,)=0,0,(VLOOKUP($D286,$C$5:$AU$516,11,)/VLOOKUP($D286,$C$5:$AU$516,3,))*$E286)</f>
        <v>0</v>
      </c>
      <c r="N286" s="19">
        <f>IF(VLOOKUP($D286,$C$5:$AU$516,3,)=0,0,(VLOOKUP($D286,$C$5:$AU$516,12,)/VLOOKUP($D286,$C$5:$AU$516,3,))*$E286)</f>
        <v>0</v>
      </c>
      <c r="O286" s="19">
        <f>IF(VLOOKUP($D286,$C$5:$AU$516,3,)=0,0,(VLOOKUP($D286,$C$5:$AU$516,13,)/VLOOKUP($D286,$C$5:$AU$516,3,))*$E286)</f>
        <v>0</v>
      </c>
      <c r="P286" s="19">
        <f>IF(VLOOKUP($D286,$C$5:$AU$516,3,)=0,0,(VLOOKUP($D286,$C$5:$AU$516,14,)/VLOOKUP($D286,$C$5:$AU$516,3,))*$E286)</f>
        <v>0</v>
      </c>
      <c r="Q286" s="19">
        <f>IF(VLOOKUP($D286,$C$5:$AU$516,3,)=0,0,(VLOOKUP($D286,$C$5:$AU$516,15,)/VLOOKUP($D286,$C$5:$AU$516,3,))*$E286)</f>
        <v>0</v>
      </c>
      <c r="R286" s="19">
        <f>IF(VLOOKUP($D286,$C$5:$AU$516,3,)=0,0,(VLOOKUP($D286,$C$5:$AU$516,16,)/VLOOKUP($D286,$C$5:$AU$516,3,))*$E286)</f>
        <v>0</v>
      </c>
      <c r="S286" s="80">
        <f>IF(VLOOKUP($D286,$C$5:$AU$516,3,)=0,0,(VLOOKUP($D286,$C$5:$AU$516,17,)/VLOOKUP($D286,$C$5:$AU$516,3,))*$E286)</f>
        <v>0</v>
      </c>
      <c r="T286" s="80">
        <f>IF(VLOOKUP($D286,$C$5:$AU$516,3,)=0,0,(VLOOKUP($D286,$C$5:$AU$516,18,)/VLOOKUP($D286,$C$5:$AU$516,3,))*$E286)</f>
        <v>0</v>
      </c>
      <c r="U286" s="80">
        <f>IF(VLOOKUP($D286,$C$5:$AU$516,3,)=0,0,(VLOOKUP($D286,$C$5:$AU$516,19,)/VLOOKUP($D286,$C$5:$AU$516,3,))*$E286)</f>
        <v>0</v>
      </c>
      <c r="V286" s="80">
        <f>IF(VLOOKUP($D286,$C$5:$AU$516,3,)=0,0,(VLOOKUP($D286,$C$5:$AU$516,20,)/VLOOKUP($D286,$C$5:$AU$516,3,))*$E286)</f>
        <v>0</v>
      </c>
      <c r="W286" s="80">
        <f>IF(VLOOKUP($D286,$C$5:$AU$516,3,)=0,0,(VLOOKUP($D286,$C$5:$AU$516,21,)/VLOOKUP($D286,$C$5:$AU$516,3,))*$E286)</f>
        <v>0</v>
      </c>
      <c r="X286" s="80">
        <f>IF(VLOOKUP($D286,$C$5:$AU$516,3,)=0,0,(VLOOKUP($D286,$C$5:$AU$516,22,)/VLOOKUP($D286,$C$5:$AU$516,3,))*$E286)</f>
        <v>0</v>
      </c>
      <c r="Y286" s="80">
        <f>IF(VLOOKUP($D286,$C$5:$AU$516,3,)=0,0,(VLOOKUP($D286,$C$5:$AU$516,23,)/VLOOKUP($D286,$C$5:$AU$516,3,))*$E286)</f>
        <v>0</v>
      </c>
      <c r="Z286" s="80">
        <f>IF(VLOOKUP($D286,$C$5:$AU$516,3,)=0,0,(VLOOKUP($D286,$C$5:$AU$516,24,)/VLOOKUP($D286,$C$5:$AU$516,3,))*$E286)</f>
        <v>0</v>
      </c>
      <c r="AA286" s="80">
        <f>IF(VLOOKUP($D286,$C$5:$AU$516,3,)=0,0,(VLOOKUP($D286,$C$5:$AU$516,25,)/VLOOKUP($D286,$C$5:$AU$516,3,))*$E286)</f>
        <v>0</v>
      </c>
      <c r="AB286" s="80">
        <f>IF(VLOOKUP($D286,$C$5:$AU$516,3,)=0,0,(VLOOKUP($D286,$C$5:$AU$516,26,)/VLOOKUP($D286,$C$5:$AU$516,3,))*$E286)</f>
        <v>0</v>
      </c>
      <c r="AC286" s="80">
        <f>IF(VLOOKUP($D286,$C$5:$AU$516,3,)=0,0,(VLOOKUP($D286,$C$5:$AU$516,27,)/VLOOKUP($D286,$C$5:$AU$516,3,))*$E286)</f>
        <v>0</v>
      </c>
      <c r="AD286" s="80">
        <f>IF(VLOOKUP($D286,$C$5:$AU$516,3,)=0,0,(VLOOKUP($D286,$C$5:$AU$516,28,)/VLOOKUP($D286,$C$5:$AU$516,3,))*$E286)</f>
        <v>0</v>
      </c>
      <c r="AE286" s="80">
        <f>IF(VLOOKUP($D286,$C$5:$AU$516,3,)=0,0,(VLOOKUP($D286,$C$5:$AU$516,29,)/VLOOKUP($D286,$C$5:$AU$516,3,))*$E286)</f>
        <v>0</v>
      </c>
      <c r="AF286" s="80">
        <f>IF(VLOOKUP($D286,$C$5:$AU$516,3,)=0,0,(VLOOKUP($D286,$C$5:$AU$516,30,)/VLOOKUP($D286,$C$5:$AU$516,3,))*$E286)</f>
        <v>0</v>
      </c>
      <c r="AG286" s="65">
        <f>SUM(F286:AF286)</f>
        <v>11544.223880844442</v>
      </c>
      <c r="AH286" s="12" t="str">
        <f>IF(ABS(E286-AG286)&lt;0.01,"ok","err")</f>
        <v>ok</v>
      </c>
    </row>
    <row r="287" spans="1:34" x14ac:dyDescent="0.2">
      <c r="A287" s="68" t="s">
        <v>220</v>
      </c>
      <c r="C287" s="3" t="s">
        <v>315</v>
      </c>
      <c r="D287" s="3" t="s">
        <v>222</v>
      </c>
      <c r="E287" s="7">
        <f>'Func &amp; Classif'!P316</f>
        <v>7751.2776293668676</v>
      </c>
      <c r="F287" s="41">
        <f>IF(VLOOKUP($D287,$C$5:$AU$516,3,)=0,0,(VLOOKUP($D287,$C$5:$AU$516,4,)/VLOOKUP($D287,$C$5:$AU$516,3,))*$E287)</f>
        <v>7092.5587174134243</v>
      </c>
      <c r="G287" s="41">
        <f>IF(VLOOKUP($D287,$C$5:$AU$516,3,)=0,0,(VLOOKUP($D287,$C$5:$AU$516,5,)/VLOOKUP($D287,$C$5:$AU$516,3,))*$E287)</f>
        <v>534.32651622815854</v>
      </c>
      <c r="H287" s="19">
        <f>IF(VLOOKUP($D287,$C$5:$AU$516,3,)=0,0,(VLOOKUP($D287,$C$5:$AU$516,6,)/VLOOKUP($D287,$C$5:$AU$516,3,))*$E287)</f>
        <v>98.03548236873857</v>
      </c>
      <c r="I287" s="19">
        <f>IF(VLOOKUP($D287,$C$5:$AU$516,3,)=0,0,(VLOOKUP($D287,$C$5:$AU$516,7,)/VLOOKUP($D287,$C$5:$AU$516,3,))*$E287)</f>
        <v>5.200009985237303</v>
      </c>
      <c r="J287" s="19">
        <f>IF(VLOOKUP($D287,$C$5:$AU$516,3,)=0,0,(VLOOKUP($D287,$C$5:$AU$516,8,)/VLOOKUP($D287,$C$5:$AU$516,3,))*$E287)</f>
        <v>0.61176588061615322</v>
      </c>
      <c r="K287" s="19">
        <f>IF(VLOOKUP($D287,$C$5:$AU$516,3,)=0,0,(VLOOKUP($D287,$C$5:$AU$516,9,)/VLOOKUP($D287,$C$5:$AU$516,3,))*$E287)</f>
        <v>20.545137490692479</v>
      </c>
      <c r="L287" s="41">
        <f>IF(VLOOKUP($D287,$C$5:$AU$516,3,)=0,0,(VLOOKUP($D287,$C$5:$AU$516,10,)/VLOOKUP($D287,$C$5:$AU$516,3,))*$E287)</f>
        <v>0</v>
      </c>
      <c r="M287" s="19">
        <f>IF(VLOOKUP($D287,$C$5:$AU$516,3,)=0,0,(VLOOKUP($D287,$C$5:$AU$516,11,)/VLOOKUP($D287,$C$5:$AU$516,3,))*$E287)</f>
        <v>0</v>
      </c>
      <c r="N287" s="19">
        <f>IF(VLOOKUP($D287,$C$5:$AU$516,3,)=0,0,(VLOOKUP($D287,$C$5:$AU$516,12,)/VLOOKUP($D287,$C$5:$AU$516,3,))*$E287)</f>
        <v>0</v>
      </c>
      <c r="O287" s="19">
        <f>IF(VLOOKUP($D287,$C$5:$AU$516,3,)=0,0,(VLOOKUP($D287,$C$5:$AU$516,13,)/VLOOKUP($D287,$C$5:$AU$516,3,))*$E287)</f>
        <v>0</v>
      </c>
      <c r="P287" s="19">
        <f>IF(VLOOKUP($D287,$C$5:$AU$516,3,)=0,0,(VLOOKUP($D287,$C$5:$AU$516,14,)/VLOOKUP($D287,$C$5:$AU$516,3,))*$E287)</f>
        <v>0</v>
      </c>
      <c r="Q287" s="19">
        <f>IF(VLOOKUP($D287,$C$5:$AU$516,3,)=0,0,(VLOOKUP($D287,$C$5:$AU$516,15,)/VLOOKUP($D287,$C$5:$AU$516,3,))*$E287)</f>
        <v>0</v>
      </c>
      <c r="R287" s="19">
        <f>IF(VLOOKUP($D287,$C$5:$AU$516,3,)=0,0,(VLOOKUP($D287,$C$5:$AU$516,16,)/VLOOKUP($D287,$C$5:$AU$516,3,))*$E287)</f>
        <v>0</v>
      </c>
      <c r="S287" s="80">
        <f>IF(VLOOKUP($D287,$C$5:$AU$516,3,)=0,0,(VLOOKUP($D287,$C$5:$AU$516,17,)/VLOOKUP($D287,$C$5:$AU$516,3,))*$E287)</f>
        <v>0</v>
      </c>
      <c r="T287" s="80">
        <f>IF(VLOOKUP($D287,$C$5:$AU$516,3,)=0,0,(VLOOKUP($D287,$C$5:$AU$516,18,)/VLOOKUP($D287,$C$5:$AU$516,3,))*$E287)</f>
        <v>0</v>
      </c>
      <c r="U287" s="80">
        <f>IF(VLOOKUP($D287,$C$5:$AU$516,3,)=0,0,(VLOOKUP($D287,$C$5:$AU$516,19,)/VLOOKUP($D287,$C$5:$AU$516,3,))*$E287)</f>
        <v>0</v>
      </c>
      <c r="V287" s="80">
        <f>IF(VLOOKUP($D287,$C$5:$AU$516,3,)=0,0,(VLOOKUP($D287,$C$5:$AU$516,20,)/VLOOKUP($D287,$C$5:$AU$516,3,))*$E287)</f>
        <v>0</v>
      </c>
      <c r="W287" s="80">
        <f>IF(VLOOKUP($D287,$C$5:$AU$516,3,)=0,0,(VLOOKUP($D287,$C$5:$AU$516,21,)/VLOOKUP($D287,$C$5:$AU$516,3,))*$E287)</f>
        <v>0</v>
      </c>
      <c r="X287" s="80">
        <f>IF(VLOOKUP($D287,$C$5:$AU$516,3,)=0,0,(VLOOKUP($D287,$C$5:$AU$516,22,)/VLOOKUP($D287,$C$5:$AU$516,3,))*$E287)</f>
        <v>0</v>
      </c>
      <c r="Y287" s="80">
        <f>IF(VLOOKUP($D287,$C$5:$AU$516,3,)=0,0,(VLOOKUP($D287,$C$5:$AU$516,23,)/VLOOKUP($D287,$C$5:$AU$516,3,))*$E287)</f>
        <v>0</v>
      </c>
      <c r="Z287" s="80">
        <f>IF(VLOOKUP($D287,$C$5:$AU$516,3,)=0,0,(VLOOKUP($D287,$C$5:$AU$516,24,)/VLOOKUP($D287,$C$5:$AU$516,3,))*$E287)</f>
        <v>0</v>
      </c>
      <c r="AA287" s="80">
        <f>IF(VLOOKUP($D287,$C$5:$AU$516,3,)=0,0,(VLOOKUP($D287,$C$5:$AU$516,25,)/VLOOKUP($D287,$C$5:$AU$516,3,))*$E287)</f>
        <v>0</v>
      </c>
      <c r="AB287" s="80">
        <f>IF(VLOOKUP($D287,$C$5:$AU$516,3,)=0,0,(VLOOKUP($D287,$C$5:$AU$516,26,)/VLOOKUP($D287,$C$5:$AU$516,3,))*$E287)</f>
        <v>0</v>
      </c>
      <c r="AC287" s="80">
        <f>IF(VLOOKUP($D287,$C$5:$AU$516,3,)=0,0,(VLOOKUP($D287,$C$5:$AU$516,27,)/VLOOKUP($D287,$C$5:$AU$516,3,))*$E287)</f>
        <v>0</v>
      </c>
      <c r="AD287" s="80">
        <f>IF(VLOOKUP($D287,$C$5:$AU$516,3,)=0,0,(VLOOKUP($D287,$C$5:$AU$516,28,)/VLOOKUP($D287,$C$5:$AU$516,3,))*$E287)</f>
        <v>0</v>
      </c>
      <c r="AE287" s="80">
        <f>IF(VLOOKUP($D287,$C$5:$AU$516,3,)=0,0,(VLOOKUP($D287,$C$5:$AU$516,29,)/VLOOKUP($D287,$C$5:$AU$516,3,))*$E287)</f>
        <v>0</v>
      </c>
      <c r="AF287" s="80">
        <f>IF(VLOOKUP($D287,$C$5:$AU$516,3,)=0,0,(VLOOKUP($D287,$C$5:$AU$516,30,)/VLOOKUP($D287,$C$5:$AU$516,3,))*$E287)</f>
        <v>0</v>
      </c>
      <c r="AG287" s="65">
        <f>SUM(F287:AF287)</f>
        <v>7751.2776293668676</v>
      </c>
      <c r="AH287" s="12" t="str">
        <f>IF(ABS(E287-AG287)&lt;0.01,"ok","err")</f>
        <v>ok</v>
      </c>
    </row>
    <row r="288" spans="1:34" x14ac:dyDescent="0.2">
      <c r="A288" s="3" t="s">
        <v>223</v>
      </c>
      <c r="E288" s="19">
        <f t="shared" ref="E288:T288" si="81">E286+E287</f>
        <v>19295.50151021131</v>
      </c>
      <c r="F288" s="41">
        <f t="shared" si="81"/>
        <v>15373.807532123119</v>
      </c>
      <c r="G288" s="41">
        <f t="shared" si="81"/>
        <v>833.74056477240731</v>
      </c>
      <c r="H288" s="19">
        <f t="shared" si="81"/>
        <v>1382.7896008629498</v>
      </c>
      <c r="I288" s="19">
        <f t="shared" si="81"/>
        <v>629.08346677332202</v>
      </c>
      <c r="J288" s="19">
        <f t="shared" si="81"/>
        <v>218.70397616372588</v>
      </c>
      <c r="K288" s="19">
        <f t="shared" si="81"/>
        <v>857.37636951578384</v>
      </c>
      <c r="L288" s="41">
        <f t="shared" si="81"/>
        <v>0</v>
      </c>
      <c r="M288" s="19">
        <f t="shared" si="81"/>
        <v>0</v>
      </c>
      <c r="N288" s="19">
        <f t="shared" si="81"/>
        <v>0</v>
      </c>
      <c r="O288" s="19">
        <f t="shared" si="81"/>
        <v>0</v>
      </c>
      <c r="P288" s="19">
        <f t="shared" si="81"/>
        <v>0</v>
      </c>
      <c r="Q288" s="19">
        <f t="shared" si="81"/>
        <v>0</v>
      </c>
      <c r="R288" s="19">
        <f t="shared" si="81"/>
        <v>0</v>
      </c>
      <c r="S288" s="80">
        <f t="shared" si="81"/>
        <v>0</v>
      </c>
      <c r="T288" s="80">
        <f t="shared" si="81"/>
        <v>0</v>
      </c>
      <c r="U288" s="80">
        <f t="shared" ref="U288:AF288" si="82">U286+U287</f>
        <v>0</v>
      </c>
      <c r="V288" s="80">
        <f t="shared" si="82"/>
        <v>0</v>
      </c>
      <c r="W288" s="80">
        <f t="shared" si="82"/>
        <v>0</v>
      </c>
      <c r="X288" s="80">
        <f t="shared" si="82"/>
        <v>0</v>
      </c>
      <c r="Y288" s="80">
        <f t="shared" si="82"/>
        <v>0</v>
      </c>
      <c r="Z288" s="80">
        <f t="shared" si="82"/>
        <v>0</v>
      </c>
      <c r="AA288" s="80">
        <f t="shared" si="82"/>
        <v>0</v>
      </c>
      <c r="AB288" s="80">
        <f t="shared" si="82"/>
        <v>0</v>
      </c>
      <c r="AC288" s="80">
        <f t="shared" si="82"/>
        <v>0</v>
      </c>
      <c r="AD288" s="80">
        <f t="shared" si="82"/>
        <v>0</v>
      </c>
      <c r="AE288" s="80">
        <f t="shared" si="82"/>
        <v>0</v>
      </c>
      <c r="AF288" s="80">
        <f t="shared" si="82"/>
        <v>0</v>
      </c>
      <c r="AG288" s="65">
        <f>SUM(F288:AF288)</f>
        <v>19295.501510211307</v>
      </c>
      <c r="AH288" s="12" t="str">
        <f>IF(ABS(E288-AG288)&lt;0.01,"ok","err")</f>
        <v>ok</v>
      </c>
    </row>
    <row r="289" spans="1:34" x14ac:dyDescent="0.2">
      <c r="E289" s="7"/>
    </row>
    <row r="290" spans="1:34" x14ac:dyDescent="0.2">
      <c r="A290" s="2" t="s">
        <v>3</v>
      </c>
      <c r="E290" s="7"/>
    </row>
    <row r="291" spans="1:34" x14ac:dyDescent="0.2">
      <c r="A291" s="68" t="s">
        <v>208</v>
      </c>
      <c r="C291" s="3" t="s">
        <v>316</v>
      </c>
      <c r="D291" s="3" t="s">
        <v>700</v>
      </c>
      <c r="E291" s="19">
        <f>'Func &amp; Classif'!R316</f>
        <v>0</v>
      </c>
      <c r="F291" s="41">
        <f>IF(VLOOKUP($D291,$C$5:$AU$516,3,)=0,0,(VLOOKUP($D291,$C$5:$AU$516,4,)/VLOOKUP($D291,$C$5:$AU$516,3,))*$E291)</f>
        <v>0</v>
      </c>
      <c r="G291" s="41">
        <f>IF(VLOOKUP($D291,$C$5:$AU$516,3,)=0,0,(VLOOKUP($D291,$C$5:$AU$516,5,)/VLOOKUP($D291,$C$5:$AU$516,3,))*$E291)</f>
        <v>0</v>
      </c>
      <c r="H291" s="19">
        <f>IF(VLOOKUP($D291,$C$5:$AU$516,3,)=0,0,(VLOOKUP($D291,$C$5:$AU$516,6,)/VLOOKUP($D291,$C$5:$AU$516,3,))*$E291)</f>
        <v>0</v>
      </c>
      <c r="I291" s="19">
        <f>IF(VLOOKUP($D291,$C$5:$AU$516,3,)=0,0,(VLOOKUP($D291,$C$5:$AU$516,7,)/VLOOKUP($D291,$C$5:$AU$516,3,))*$E291)</f>
        <v>0</v>
      </c>
      <c r="J291" s="19">
        <f>IF(VLOOKUP($D291,$C$5:$AU$516,3,)=0,0,(VLOOKUP($D291,$C$5:$AU$516,8,)/VLOOKUP($D291,$C$5:$AU$516,3,))*$E291)</f>
        <v>0</v>
      </c>
      <c r="K291" s="19">
        <f>IF(VLOOKUP($D291,$C$5:$AU$516,3,)=0,0,(VLOOKUP($D291,$C$5:$AU$516,9,)/VLOOKUP($D291,$C$5:$AU$516,3,))*$E291)</f>
        <v>0</v>
      </c>
      <c r="L291" s="41">
        <f>IF(VLOOKUP($D291,$C$5:$AU$516,3,)=0,0,(VLOOKUP($D291,$C$5:$AU$516,10,)/VLOOKUP($D291,$C$5:$AU$516,3,))*$E291)</f>
        <v>0</v>
      </c>
      <c r="M291" s="19">
        <f>IF(VLOOKUP($D291,$C$5:$AU$516,3,)=0,0,(VLOOKUP($D291,$C$5:$AU$516,11,)/VLOOKUP($D291,$C$5:$AU$516,3,))*$E291)</f>
        <v>0</v>
      </c>
      <c r="N291" s="19">
        <f>IF(VLOOKUP($D291,$C$5:$AU$516,3,)=0,0,(VLOOKUP($D291,$C$5:$AU$516,12,)/VLOOKUP($D291,$C$5:$AU$516,3,))*$E291)</f>
        <v>0</v>
      </c>
      <c r="O291" s="19">
        <f>IF(VLOOKUP($D291,$C$5:$AU$516,3,)=0,0,(VLOOKUP($D291,$C$5:$AU$516,13,)/VLOOKUP($D291,$C$5:$AU$516,3,))*$E291)</f>
        <v>0</v>
      </c>
      <c r="P291" s="19">
        <f>IF(VLOOKUP($D291,$C$5:$AU$516,3,)=0,0,(VLOOKUP($D291,$C$5:$AU$516,14,)/VLOOKUP($D291,$C$5:$AU$516,3,))*$E291)</f>
        <v>0</v>
      </c>
      <c r="Q291" s="19">
        <f>IF(VLOOKUP($D291,$C$5:$AU$516,3,)=0,0,(VLOOKUP($D291,$C$5:$AU$516,15,)/VLOOKUP($D291,$C$5:$AU$516,3,))*$E291)</f>
        <v>0</v>
      </c>
      <c r="R291" s="19">
        <f>IF(VLOOKUP($D291,$C$5:$AU$516,3,)=0,0,(VLOOKUP($D291,$C$5:$AU$516,16,)/VLOOKUP($D291,$C$5:$AU$516,3,))*$E291)</f>
        <v>0</v>
      </c>
      <c r="S291" s="80">
        <f>IF(VLOOKUP($D291,$C$5:$AU$516,3,)=0,0,(VLOOKUP($D291,$C$5:$AU$516,17,)/VLOOKUP($D291,$C$5:$AU$516,3,))*$E291)</f>
        <v>0</v>
      </c>
      <c r="T291" s="80">
        <f>IF(VLOOKUP($D291,$C$5:$AU$516,3,)=0,0,(VLOOKUP($D291,$C$5:$AU$516,18,)/VLOOKUP($D291,$C$5:$AU$516,3,))*$E291)</f>
        <v>0</v>
      </c>
      <c r="U291" s="80">
        <f>IF(VLOOKUP($D291,$C$5:$AU$516,3,)=0,0,(VLOOKUP($D291,$C$5:$AU$516,19,)/VLOOKUP($D291,$C$5:$AU$516,3,))*$E291)</f>
        <v>0</v>
      </c>
      <c r="V291" s="80">
        <f>IF(VLOOKUP($D291,$C$5:$AU$516,3,)=0,0,(VLOOKUP($D291,$C$5:$AU$516,20,)/VLOOKUP($D291,$C$5:$AU$516,3,))*$E291)</f>
        <v>0</v>
      </c>
      <c r="W291" s="80">
        <f>IF(VLOOKUP($D291,$C$5:$AU$516,3,)=0,0,(VLOOKUP($D291,$C$5:$AU$516,21,)/VLOOKUP($D291,$C$5:$AU$516,3,))*$E291)</f>
        <v>0</v>
      </c>
      <c r="X291" s="80">
        <f>IF(VLOOKUP($D291,$C$5:$AU$516,3,)=0,0,(VLOOKUP($D291,$C$5:$AU$516,22,)/VLOOKUP($D291,$C$5:$AU$516,3,))*$E291)</f>
        <v>0</v>
      </c>
      <c r="Y291" s="80">
        <f>IF(VLOOKUP($D291,$C$5:$AU$516,3,)=0,0,(VLOOKUP($D291,$C$5:$AU$516,23,)/VLOOKUP($D291,$C$5:$AU$516,3,))*$E291)</f>
        <v>0</v>
      </c>
      <c r="Z291" s="80">
        <f>IF(VLOOKUP($D291,$C$5:$AU$516,3,)=0,0,(VLOOKUP($D291,$C$5:$AU$516,24,)/VLOOKUP($D291,$C$5:$AU$516,3,))*$E291)</f>
        <v>0</v>
      </c>
      <c r="AA291" s="80">
        <f>IF(VLOOKUP($D291,$C$5:$AU$516,3,)=0,0,(VLOOKUP($D291,$C$5:$AU$516,25,)/VLOOKUP($D291,$C$5:$AU$516,3,))*$E291)</f>
        <v>0</v>
      </c>
      <c r="AB291" s="80">
        <f>IF(VLOOKUP($D291,$C$5:$AU$516,3,)=0,0,(VLOOKUP($D291,$C$5:$AU$516,26,)/VLOOKUP($D291,$C$5:$AU$516,3,))*$E291)</f>
        <v>0</v>
      </c>
      <c r="AC291" s="80">
        <f>IF(VLOOKUP($D291,$C$5:$AU$516,3,)=0,0,(VLOOKUP($D291,$C$5:$AU$516,27,)/VLOOKUP($D291,$C$5:$AU$516,3,))*$E291)</f>
        <v>0</v>
      </c>
      <c r="AD291" s="80">
        <f>IF(VLOOKUP($D291,$C$5:$AU$516,3,)=0,0,(VLOOKUP($D291,$C$5:$AU$516,28,)/VLOOKUP($D291,$C$5:$AU$516,3,))*$E291)</f>
        <v>0</v>
      </c>
      <c r="AE291" s="80">
        <f>IF(VLOOKUP($D291,$C$5:$AU$516,3,)=0,0,(VLOOKUP($D291,$C$5:$AU$516,29,)/VLOOKUP($D291,$C$5:$AU$516,3,))*$E291)</f>
        <v>0</v>
      </c>
      <c r="AF291" s="80">
        <f>IF(VLOOKUP($D291,$C$5:$AU$516,3,)=0,0,(VLOOKUP($D291,$C$5:$AU$516,30,)/VLOOKUP($D291,$C$5:$AU$516,3,))*$E291)</f>
        <v>0</v>
      </c>
      <c r="AG291" s="65">
        <f>SUM(F291:AF291)</f>
        <v>0</v>
      </c>
      <c r="AH291" s="12" t="str">
        <f>IF(ABS(E291-AG291)&lt;0.01,"ok","err")</f>
        <v>ok</v>
      </c>
    </row>
    <row r="292" spans="1:34" x14ac:dyDescent="0.2">
      <c r="A292" s="68" t="s">
        <v>220</v>
      </c>
      <c r="C292" s="3" t="s">
        <v>317</v>
      </c>
      <c r="D292" s="3" t="s">
        <v>700</v>
      </c>
      <c r="E292" s="7">
        <f>'Func &amp; Classif'!S316</f>
        <v>2917.626651529567</v>
      </c>
      <c r="F292" s="41">
        <f>IF(VLOOKUP($D292,$C$5:$AU$516,3,)=0,0,(VLOOKUP($D292,$C$5:$AU$516,4,)/VLOOKUP($D292,$C$5:$AU$516,3,))*$E292)</f>
        <v>2595.3146280485994</v>
      </c>
      <c r="G292" s="41">
        <f>IF(VLOOKUP($D292,$C$5:$AU$516,3,)=0,0,(VLOOKUP($D292,$C$5:$AU$516,5,)/VLOOKUP($D292,$C$5:$AU$516,3,))*$E292)</f>
        <v>195.52117634451071</v>
      </c>
      <c r="H292" s="19">
        <f>IF(VLOOKUP($D292,$C$5:$AU$516,3,)=0,0,(VLOOKUP($D292,$C$5:$AU$516,6,)/VLOOKUP($D292,$C$5:$AU$516,3,))*$E292)</f>
        <v>80.714745706384093</v>
      </c>
      <c r="I292" s="19">
        <f>IF(VLOOKUP($D292,$C$5:$AU$516,3,)=0,0,(VLOOKUP($D292,$C$5:$AU$516,7,)/VLOOKUP($D292,$C$5:$AU$516,3,))*$E292)</f>
        <v>46.076101430073216</v>
      </c>
      <c r="J292" s="19">
        <f>IF(VLOOKUP($D292,$C$5:$AU$516,3,)=0,0,(VLOOKUP($D292,$C$5:$AU$516,8,)/VLOOKUP($D292,$C$5:$AU$516,3,))*$E292)</f>
        <v>0</v>
      </c>
      <c r="K292" s="19">
        <f>IF(VLOOKUP($D292,$C$5:$AU$516,3,)=0,0,(VLOOKUP($D292,$C$5:$AU$516,9,)/VLOOKUP($D292,$C$5:$AU$516,3,))*$E292)</f>
        <v>0</v>
      </c>
      <c r="L292" s="41">
        <f>IF(VLOOKUP($D292,$C$5:$AU$516,3,)=0,0,(VLOOKUP($D292,$C$5:$AU$516,10,)/VLOOKUP($D292,$C$5:$AU$516,3,))*$E292)</f>
        <v>0</v>
      </c>
      <c r="M292" s="19">
        <f>IF(VLOOKUP($D292,$C$5:$AU$516,3,)=0,0,(VLOOKUP($D292,$C$5:$AU$516,11,)/VLOOKUP($D292,$C$5:$AU$516,3,))*$E292)</f>
        <v>0</v>
      </c>
      <c r="N292" s="19">
        <f>IF(VLOOKUP($D292,$C$5:$AU$516,3,)=0,0,(VLOOKUP($D292,$C$5:$AU$516,12,)/VLOOKUP($D292,$C$5:$AU$516,3,))*$E292)</f>
        <v>0</v>
      </c>
      <c r="O292" s="19">
        <f>IF(VLOOKUP($D292,$C$5:$AU$516,3,)=0,0,(VLOOKUP($D292,$C$5:$AU$516,13,)/VLOOKUP($D292,$C$5:$AU$516,3,))*$E292)</f>
        <v>0</v>
      </c>
      <c r="P292" s="19">
        <f>IF(VLOOKUP($D292,$C$5:$AU$516,3,)=0,0,(VLOOKUP($D292,$C$5:$AU$516,14,)/VLOOKUP($D292,$C$5:$AU$516,3,))*$E292)</f>
        <v>0</v>
      </c>
      <c r="Q292" s="19">
        <f>IF(VLOOKUP($D292,$C$5:$AU$516,3,)=0,0,(VLOOKUP($D292,$C$5:$AU$516,15,)/VLOOKUP($D292,$C$5:$AU$516,3,))*$E292)</f>
        <v>0</v>
      </c>
      <c r="R292" s="19">
        <f>IF(VLOOKUP($D292,$C$5:$AU$516,3,)=0,0,(VLOOKUP($D292,$C$5:$AU$516,16,)/VLOOKUP($D292,$C$5:$AU$516,3,))*$E292)</f>
        <v>0</v>
      </c>
      <c r="S292" s="80">
        <f>IF(VLOOKUP($D292,$C$5:$AU$516,3,)=0,0,(VLOOKUP($D292,$C$5:$AU$516,17,)/VLOOKUP($D292,$C$5:$AU$516,3,))*$E292)</f>
        <v>0</v>
      </c>
      <c r="T292" s="80">
        <f>IF(VLOOKUP($D292,$C$5:$AU$516,3,)=0,0,(VLOOKUP($D292,$C$5:$AU$516,18,)/VLOOKUP($D292,$C$5:$AU$516,3,))*$E292)</f>
        <v>0</v>
      </c>
      <c r="U292" s="80">
        <f>IF(VLOOKUP($D292,$C$5:$AU$516,3,)=0,0,(VLOOKUP($D292,$C$5:$AU$516,19,)/VLOOKUP($D292,$C$5:$AU$516,3,))*$E292)</f>
        <v>0</v>
      </c>
      <c r="V292" s="80">
        <f>IF(VLOOKUP($D292,$C$5:$AU$516,3,)=0,0,(VLOOKUP($D292,$C$5:$AU$516,20,)/VLOOKUP($D292,$C$5:$AU$516,3,))*$E292)</f>
        <v>0</v>
      </c>
      <c r="W292" s="80">
        <f>IF(VLOOKUP($D292,$C$5:$AU$516,3,)=0,0,(VLOOKUP($D292,$C$5:$AU$516,21,)/VLOOKUP($D292,$C$5:$AU$516,3,))*$E292)</f>
        <v>0</v>
      </c>
      <c r="X292" s="80">
        <f>IF(VLOOKUP($D292,$C$5:$AU$516,3,)=0,0,(VLOOKUP($D292,$C$5:$AU$516,22,)/VLOOKUP($D292,$C$5:$AU$516,3,))*$E292)</f>
        <v>0</v>
      </c>
      <c r="Y292" s="80">
        <f>IF(VLOOKUP($D292,$C$5:$AU$516,3,)=0,0,(VLOOKUP($D292,$C$5:$AU$516,23,)/VLOOKUP($D292,$C$5:$AU$516,3,))*$E292)</f>
        <v>0</v>
      </c>
      <c r="Z292" s="80">
        <f>IF(VLOOKUP($D292,$C$5:$AU$516,3,)=0,0,(VLOOKUP($D292,$C$5:$AU$516,24,)/VLOOKUP($D292,$C$5:$AU$516,3,))*$E292)</f>
        <v>0</v>
      </c>
      <c r="AA292" s="80">
        <f>IF(VLOOKUP($D292,$C$5:$AU$516,3,)=0,0,(VLOOKUP($D292,$C$5:$AU$516,25,)/VLOOKUP($D292,$C$5:$AU$516,3,))*$E292)</f>
        <v>0</v>
      </c>
      <c r="AB292" s="80">
        <f>IF(VLOOKUP($D292,$C$5:$AU$516,3,)=0,0,(VLOOKUP($D292,$C$5:$AU$516,26,)/VLOOKUP($D292,$C$5:$AU$516,3,))*$E292)</f>
        <v>0</v>
      </c>
      <c r="AC292" s="80">
        <f>IF(VLOOKUP($D292,$C$5:$AU$516,3,)=0,0,(VLOOKUP($D292,$C$5:$AU$516,27,)/VLOOKUP($D292,$C$5:$AU$516,3,))*$E292)</f>
        <v>0</v>
      </c>
      <c r="AD292" s="80">
        <f>IF(VLOOKUP($D292,$C$5:$AU$516,3,)=0,0,(VLOOKUP($D292,$C$5:$AU$516,28,)/VLOOKUP($D292,$C$5:$AU$516,3,))*$E292)</f>
        <v>0</v>
      </c>
      <c r="AE292" s="80">
        <f>IF(VLOOKUP($D292,$C$5:$AU$516,3,)=0,0,(VLOOKUP($D292,$C$5:$AU$516,29,)/VLOOKUP($D292,$C$5:$AU$516,3,))*$E292)</f>
        <v>0</v>
      </c>
      <c r="AF292" s="80">
        <f>IF(VLOOKUP($D292,$C$5:$AU$516,3,)=0,0,(VLOOKUP($D292,$C$5:$AU$516,30,)/VLOOKUP($D292,$C$5:$AU$516,3,))*$E292)</f>
        <v>0</v>
      </c>
      <c r="AG292" s="65">
        <f>SUM(F292:AF292)</f>
        <v>2917.6266515295679</v>
      </c>
      <c r="AH292" s="12" t="str">
        <f>IF(ABS(E292-AG292)&lt;0.01,"ok","err")</f>
        <v>ok</v>
      </c>
    </row>
    <row r="293" spans="1:34" x14ac:dyDescent="0.2">
      <c r="A293" s="3" t="s">
        <v>227</v>
      </c>
      <c r="E293" s="19">
        <f t="shared" ref="E293:T293" si="83">E291+E292</f>
        <v>2917.626651529567</v>
      </c>
      <c r="F293" s="41">
        <f t="shared" si="83"/>
        <v>2595.3146280485994</v>
      </c>
      <c r="G293" s="41">
        <f t="shared" si="83"/>
        <v>195.52117634451071</v>
      </c>
      <c r="H293" s="19">
        <f t="shared" si="83"/>
        <v>80.714745706384093</v>
      </c>
      <c r="I293" s="19">
        <f t="shared" si="83"/>
        <v>46.076101430073216</v>
      </c>
      <c r="J293" s="19">
        <f t="shared" si="83"/>
        <v>0</v>
      </c>
      <c r="K293" s="19">
        <f t="shared" si="83"/>
        <v>0</v>
      </c>
      <c r="L293" s="41">
        <f t="shared" si="83"/>
        <v>0</v>
      </c>
      <c r="M293" s="19">
        <f t="shared" si="83"/>
        <v>0</v>
      </c>
      <c r="N293" s="19">
        <f t="shared" si="83"/>
        <v>0</v>
      </c>
      <c r="O293" s="19">
        <f t="shared" si="83"/>
        <v>0</v>
      </c>
      <c r="P293" s="19">
        <f t="shared" si="83"/>
        <v>0</v>
      </c>
      <c r="Q293" s="19">
        <f t="shared" si="83"/>
        <v>0</v>
      </c>
      <c r="R293" s="19">
        <f t="shared" si="83"/>
        <v>0</v>
      </c>
      <c r="S293" s="80">
        <f t="shared" si="83"/>
        <v>0</v>
      </c>
      <c r="T293" s="80">
        <f t="shared" si="83"/>
        <v>0</v>
      </c>
      <c r="U293" s="80">
        <f t="shared" ref="U293:AF293" si="84">U291+U292</f>
        <v>0</v>
      </c>
      <c r="V293" s="80">
        <f t="shared" si="84"/>
        <v>0</v>
      </c>
      <c r="W293" s="80">
        <f t="shared" si="84"/>
        <v>0</v>
      </c>
      <c r="X293" s="80">
        <f t="shared" si="84"/>
        <v>0</v>
      </c>
      <c r="Y293" s="80">
        <f t="shared" si="84"/>
        <v>0</v>
      </c>
      <c r="Z293" s="80">
        <f t="shared" si="84"/>
        <v>0</v>
      </c>
      <c r="AA293" s="80">
        <f t="shared" si="84"/>
        <v>0</v>
      </c>
      <c r="AB293" s="80">
        <f t="shared" si="84"/>
        <v>0</v>
      </c>
      <c r="AC293" s="80">
        <f t="shared" si="84"/>
        <v>0</v>
      </c>
      <c r="AD293" s="80">
        <f t="shared" si="84"/>
        <v>0</v>
      </c>
      <c r="AE293" s="80">
        <f t="shared" si="84"/>
        <v>0</v>
      </c>
      <c r="AF293" s="80">
        <f t="shared" si="84"/>
        <v>0</v>
      </c>
      <c r="AG293" s="65">
        <f>SUM(F293:AF293)</f>
        <v>2917.6266515295679</v>
      </c>
      <c r="AH293" s="12" t="str">
        <f>IF(ABS(E293-AG293)&lt;0.01,"ok","err")</f>
        <v>ok</v>
      </c>
    </row>
    <row r="294" spans="1:34" x14ac:dyDescent="0.2">
      <c r="E294" s="7"/>
    </row>
    <row r="295" spans="1:34" x14ac:dyDescent="0.2">
      <c r="A295" s="2" t="s">
        <v>4</v>
      </c>
      <c r="E295" s="7"/>
    </row>
    <row r="296" spans="1:34" x14ac:dyDescent="0.2">
      <c r="A296" s="68" t="s">
        <v>220</v>
      </c>
      <c r="C296" s="3" t="s">
        <v>318</v>
      </c>
      <c r="D296" s="3" t="s">
        <v>229</v>
      </c>
      <c r="E296" s="19">
        <f>'Func &amp; Classif'!U316</f>
        <v>1761.143460863811</v>
      </c>
      <c r="F296" s="41">
        <f>IF(VLOOKUP($D296,$C$5:$AU$516,3,)=0,0,(VLOOKUP($D296,$C$5:$AU$516,4,)/VLOOKUP($D296,$C$5:$AU$516,3,))*$E296)</f>
        <v>1579.6053967767155</v>
      </c>
      <c r="G296" s="41">
        <f>IF(VLOOKUP($D296,$C$5:$AU$516,3,)=0,0,(VLOOKUP($D296,$C$5:$AU$516,5,)/VLOOKUP($D296,$C$5:$AU$516,3,))*$E296)</f>
        <v>119.00148906806749</v>
      </c>
      <c r="H296" s="19">
        <f>IF(VLOOKUP($D296,$C$5:$AU$516,3,)=0,0,(VLOOKUP($D296,$C$5:$AU$516,6,)/VLOOKUP($D296,$C$5:$AU$516,3,))*$E296)</f>
        <v>58.355430099785636</v>
      </c>
      <c r="I296" s="19">
        <f>IF(VLOOKUP($D296,$C$5:$AU$516,3,)=0,0,(VLOOKUP($D296,$C$5:$AU$516,7,)/VLOOKUP($D296,$C$5:$AU$516,3,))*$E296)</f>
        <v>3.7410244014274627</v>
      </c>
      <c r="J296" s="19">
        <f>IF(VLOOKUP($D296,$C$5:$AU$516,3,)=0,0,(VLOOKUP($D296,$C$5:$AU$516,8,)/VLOOKUP($D296,$C$5:$AU$516,3,))*$E296)</f>
        <v>0.44012051781499562</v>
      </c>
      <c r="K296" s="19">
        <f>IF(VLOOKUP($D296,$C$5:$AU$516,3,)=0,0,(VLOOKUP($D296,$C$5:$AU$516,9,)/VLOOKUP($D296,$C$5:$AU$516,3,))*$E296)</f>
        <v>0</v>
      </c>
      <c r="L296" s="41">
        <f>IF(VLOOKUP($D296,$C$5:$AU$516,3,)=0,0,(VLOOKUP($D296,$C$5:$AU$516,10,)/VLOOKUP($D296,$C$5:$AU$516,3,))*$E296)</f>
        <v>0</v>
      </c>
      <c r="M296" s="19">
        <f>IF(VLOOKUP($D296,$C$5:$AU$516,3,)=0,0,(VLOOKUP($D296,$C$5:$AU$516,11,)/VLOOKUP($D296,$C$5:$AU$516,3,))*$E296)</f>
        <v>0</v>
      </c>
      <c r="N296" s="19">
        <f>IF(VLOOKUP($D296,$C$5:$AU$516,3,)=0,0,(VLOOKUP($D296,$C$5:$AU$516,12,)/VLOOKUP($D296,$C$5:$AU$516,3,))*$E296)</f>
        <v>0</v>
      </c>
      <c r="O296" s="19">
        <f>IF(VLOOKUP($D296,$C$5:$AU$516,3,)=0,0,(VLOOKUP($D296,$C$5:$AU$516,13,)/VLOOKUP($D296,$C$5:$AU$516,3,))*$E296)</f>
        <v>0</v>
      </c>
      <c r="P296" s="19">
        <f>IF(VLOOKUP($D296,$C$5:$AU$516,3,)=0,0,(VLOOKUP($D296,$C$5:$AU$516,14,)/VLOOKUP($D296,$C$5:$AU$516,3,))*$E296)</f>
        <v>0</v>
      </c>
      <c r="Q296" s="19">
        <f>IF(VLOOKUP($D296,$C$5:$AU$516,3,)=0,0,(VLOOKUP($D296,$C$5:$AU$516,15,)/VLOOKUP($D296,$C$5:$AU$516,3,))*$E296)</f>
        <v>0</v>
      </c>
      <c r="R296" s="19">
        <f>IF(VLOOKUP($D296,$C$5:$AU$516,3,)=0,0,(VLOOKUP($D296,$C$5:$AU$516,16,)/VLOOKUP($D296,$C$5:$AU$516,3,))*$E296)</f>
        <v>0</v>
      </c>
      <c r="S296" s="80">
        <f>IF(VLOOKUP($D296,$C$5:$AU$516,3,)=0,0,(VLOOKUP($D296,$C$5:$AU$516,17,)/VLOOKUP($D296,$C$5:$AU$516,3,))*$E296)</f>
        <v>0</v>
      </c>
      <c r="T296" s="80">
        <f>IF(VLOOKUP($D296,$C$5:$AU$516,3,)=0,0,(VLOOKUP($D296,$C$5:$AU$516,18,)/VLOOKUP($D296,$C$5:$AU$516,3,))*$E296)</f>
        <v>0</v>
      </c>
      <c r="U296" s="80">
        <f>IF(VLOOKUP($D296,$C$5:$AU$516,3,)=0,0,(VLOOKUP($D296,$C$5:$AU$516,19,)/VLOOKUP($D296,$C$5:$AU$516,3,))*$E296)</f>
        <v>0</v>
      </c>
      <c r="V296" s="80">
        <f>IF(VLOOKUP($D296,$C$5:$AU$516,3,)=0,0,(VLOOKUP($D296,$C$5:$AU$516,20,)/VLOOKUP($D296,$C$5:$AU$516,3,))*$E296)</f>
        <v>0</v>
      </c>
      <c r="W296" s="80">
        <f>IF(VLOOKUP($D296,$C$5:$AU$516,3,)=0,0,(VLOOKUP($D296,$C$5:$AU$516,21,)/VLOOKUP($D296,$C$5:$AU$516,3,))*$E296)</f>
        <v>0</v>
      </c>
      <c r="X296" s="80">
        <f>IF(VLOOKUP($D296,$C$5:$AU$516,3,)=0,0,(VLOOKUP($D296,$C$5:$AU$516,22,)/VLOOKUP($D296,$C$5:$AU$516,3,))*$E296)</f>
        <v>0</v>
      </c>
      <c r="Y296" s="80">
        <f>IF(VLOOKUP($D296,$C$5:$AU$516,3,)=0,0,(VLOOKUP($D296,$C$5:$AU$516,23,)/VLOOKUP($D296,$C$5:$AU$516,3,))*$E296)</f>
        <v>0</v>
      </c>
      <c r="Z296" s="80">
        <f>IF(VLOOKUP($D296,$C$5:$AU$516,3,)=0,0,(VLOOKUP($D296,$C$5:$AU$516,24,)/VLOOKUP($D296,$C$5:$AU$516,3,))*$E296)</f>
        <v>0</v>
      </c>
      <c r="AA296" s="80">
        <f>IF(VLOOKUP($D296,$C$5:$AU$516,3,)=0,0,(VLOOKUP($D296,$C$5:$AU$516,25,)/VLOOKUP($D296,$C$5:$AU$516,3,))*$E296)</f>
        <v>0</v>
      </c>
      <c r="AB296" s="80">
        <f>IF(VLOOKUP($D296,$C$5:$AU$516,3,)=0,0,(VLOOKUP($D296,$C$5:$AU$516,26,)/VLOOKUP($D296,$C$5:$AU$516,3,))*$E296)</f>
        <v>0</v>
      </c>
      <c r="AC296" s="80">
        <f>IF(VLOOKUP($D296,$C$5:$AU$516,3,)=0,0,(VLOOKUP($D296,$C$5:$AU$516,27,)/VLOOKUP($D296,$C$5:$AU$516,3,))*$E296)</f>
        <v>0</v>
      </c>
      <c r="AD296" s="80">
        <f>IF(VLOOKUP($D296,$C$5:$AU$516,3,)=0,0,(VLOOKUP($D296,$C$5:$AU$516,28,)/VLOOKUP($D296,$C$5:$AU$516,3,))*$E296)</f>
        <v>0</v>
      </c>
      <c r="AE296" s="80">
        <f>IF(VLOOKUP($D296,$C$5:$AU$516,3,)=0,0,(VLOOKUP($D296,$C$5:$AU$516,29,)/VLOOKUP($D296,$C$5:$AU$516,3,))*$E296)</f>
        <v>0</v>
      </c>
      <c r="AF296" s="80">
        <f>IF(VLOOKUP($D296,$C$5:$AU$516,3,)=0,0,(VLOOKUP($D296,$C$5:$AU$516,30,)/VLOOKUP($D296,$C$5:$AU$516,3,))*$E296)</f>
        <v>0</v>
      </c>
      <c r="AG296" s="65">
        <f>SUM(F296:AF296)</f>
        <v>1761.1434608638112</v>
      </c>
      <c r="AH296" s="12" t="str">
        <f>IF(ABS(E296-AG296)&lt;0.01,"ok","err")</f>
        <v>ok</v>
      </c>
    </row>
    <row r="297" spans="1:34" x14ac:dyDescent="0.2">
      <c r="E297" s="7"/>
    </row>
    <row r="298" spans="1:34" x14ac:dyDescent="0.2">
      <c r="A298" s="2" t="s">
        <v>5</v>
      </c>
      <c r="E298" s="7"/>
    </row>
    <row r="299" spans="1:34" x14ac:dyDescent="0.2">
      <c r="A299" s="68" t="s">
        <v>220</v>
      </c>
      <c r="C299" s="3" t="s">
        <v>319</v>
      </c>
      <c r="D299" s="3" t="s">
        <v>231</v>
      </c>
      <c r="E299" s="19">
        <f>'Func &amp; Classif'!W316</f>
        <v>1766.009028880555</v>
      </c>
      <c r="F299" s="41">
        <f>IF(VLOOKUP($D299,$C$5:$AU$516,3,)=0,0,(VLOOKUP($D299,$C$5:$AU$516,4,)/VLOOKUP($D299,$C$5:$AU$516,3,))*$E299)</f>
        <v>0</v>
      </c>
      <c r="G299" s="41">
        <f>IF(VLOOKUP($D299,$C$5:$AU$516,3,)=0,0,(VLOOKUP($D299,$C$5:$AU$516,5,)/VLOOKUP($D299,$C$5:$AU$516,3,))*$E299)</f>
        <v>0</v>
      </c>
      <c r="H299" s="19">
        <f>IF(VLOOKUP($D299,$C$5:$AU$516,3,)=0,0,(VLOOKUP($D299,$C$5:$AU$516,6,)/VLOOKUP($D299,$C$5:$AU$516,3,))*$E299)</f>
        <v>0</v>
      </c>
      <c r="I299" s="19">
        <f>IF(VLOOKUP($D299,$C$5:$AU$516,3,)=0,0,(VLOOKUP($D299,$C$5:$AU$516,7,)/VLOOKUP($D299,$C$5:$AU$516,3,))*$E299)</f>
        <v>0</v>
      </c>
      <c r="J299" s="19">
        <f>IF(VLOOKUP($D299,$C$5:$AU$516,3,)=0,0,(VLOOKUP($D299,$C$5:$AU$516,8,)/VLOOKUP($D299,$C$5:$AU$516,3,))*$E299)</f>
        <v>0</v>
      </c>
      <c r="K299" s="19">
        <f>IF(VLOOKUP($D299,$C$5:$AU$516,3,)=0,0,(VLOOKUP($D299,$C$5:$AU$516,9,)/VLOOKUP($D299,$C$5:$AU$516,3,))*$E299)</f>
        <v>1766.009028880555</v>
      </c>
      <c r="L299" s="41">
        <f>IF(VLOOKUP($D299,$C$5:$AU$516,3,)=0,0,(VLOOKUP($D299,$C$5:$AU$516,10,)/VLOOKUP($D299,$C$5:$AU$516,3,))*$E299)</f>
        <v>0</v>
      </c>
      <c r="M299" s="19">
        <f>IF(VLOOKUP($D299,$C$5:$AU$516,3,)=0,0,(VLOOKUP($D299,$C$5:$AU$516,11,)/VLOOKUP($D299,$C$5:$AU$516,3,))*$E299)</f>
        <v>0</v>
      </c>
      <c r="N299" s="19">
        <f>IF(VLOOKUP($D299,$C$5:$AU$516,3,)=0,0,(VLOOKUP($D299,$C$5:$AU$516,12,)/VLOOKUP($D299,$C$5:$AU$516,3,))*$E299)</f>
        <v>0</v>
      </c>
      <c r="O299" s="19">
        <f>IF(VLOOKUP($D299,$C$5:$AU$516,3,)=0,0,(VLOOKUP($D299,$C$5:$AU$516,13,)/VLOOKUP($D299,$C$5:$AU$516,3,))*$E299)</f>
        <v>0</v>
      </c>
      <c r="P299" s="19">
        <f>IF(VLOOKUP($D299,$C$5:$AU$516,3,)=0,0,(VLOOKUP($D299,$C$5:$AU$516,14,)/VLOOKUP($D299,$C$5:$AU$516,3,))*$E299)</f>
        <v>0</v>
      </c>
      <c r="Q299" s="19">
        <f>IF(VLOOKUP($D299,$C$5:$AU$516,3,)=0,0,(VLOOKUP($D299,$C$5:$AU$516,15,)/VLOOKUP($D299,$C$5:$AU$516,3,))*$E299)</f>
        <v>0</v>
      </c>
      <c r="R299" s="19">
        <f>IF(VLOOKUP($D299,$C$5:$AU$516,3,)=0,0,(VLOOKUP($D299,$C$5:$AU$516,16,)/VLOOKUP($D299,$C$5:$AU$516,3,))*$E299)</f>
        <v>0</v>
      </c>
      <c r="S299" s="80">
        <f>IF(VLOOKUP($D299,$C$5:$AU$516,3,)=0,0,(VLOOKUP($D299,$C$5:$AU$516,17,)/VLOOKUP($D299,$C$5:$AU$516,3,))*$E299)</f>
        <v>0</v>
      </c>
      <c r="T299" s="80">
        <f>IF(VLOOKUP($D299,$C$5:$AU$516,3,)=0,0,(VLOOKUP($D299,$C$5:$AU$516,18,)/VLOOKUP($D299,$C$5:$AU$516,3,))*$E299)</f>
        <v>0</v>
      </c>
      <c r="U299" s="80">
        <f>IF(VLOOKUP($D299,$C$5:$AU$516,3,)=0,0,(VLOOKUP($D299,$C$5:$AU$516,19,)/VLOOKUP($D299,$C$5:$AU$516,3,))*$E299)</f>
        <v>0</v>
      </c>
      <c r="V299" s="80">
        <f>IF(VLOOKUP($D299,$C$5:$AU$516,3,)=0,0,(VLOOKUP($D299,$C$5:$AU$516,20,)/VLOOKUP($D299,$C$5:$AU$516,3,))*$E299)</f>
        <v>0</v>
      </c>
      <c r="W299" s="80">
        <f>IF(VLOOKUP($D299,$C$5:$AU$516,3,)=0,0,(VLOOKUP($D299,$C$5:$AU$516,21,)/VLOOKUP($D299,$C$5:$AU$516,3,))*$E299)</f>
        <v>0</v>
      </c>
      <c r="X299" s="80">
        <f>IF(VLOOKUP($D299,$C$5:$AU$516,3,)=0,0,(VLOOKUP($D299,$C$5:$AU$516,22,)/VLOOKUP($D299,$C$5:$AU$516,3,))*$E299)</f>
        <v>0</v>
      </c>
      <c r="Y299" s="80">
        <f>IF(VLOOKUP($D299,$C$5:$AU$516,3,)=0,0,(VLOOKUP($D299,$C$5:$AU$516,23,)/VLOOKUP($D299,$C$5:$AU$516,3,))*$E299)</f>
        <v>0</v>
      </c>
      <c r="Z299" s="80">
        <f>IF(VLOOKUP($D299,$C$5:$AU$516,3,)=0,0,(VLOOKUP($D299,$C$5:$AU$516,24,)/VLOOKUP($D299,$C$5:$AU$516,3,))*$E299)</f>
        <v>0</v>
      </c>
      <c r="AA299" s="80">
        <f>IF(VLOOKUP($D299,$C$5:$AU$516,3,)=0,0,(VLOOKUP($D299,$C$5:$AU$516,25,)/VLOOKUP($D299,$C$5:$AU$516,3,))*$E299)</f>
        <v>0</v>
      </c>
      <c r="AB299" s="80">
        <f>IF(VLOOKUP($D299,$C$5:$AU$516,3,)=0,0,(VLOOKUP($D299,$C$5:$AU$516,26,)/VLOOKUP($D299,$C$5:$AU$516,3,))*$E299)</f>
        <v>0</v>
      </c>
      <c r="AC299" s="80">
        <f>IF(VLOOKUP($D299,$C$5:$AU$516,3,)=0,0,(VLOOKUP($D299,$C$5:$AU$516,27,)/VLOOKUP($D299,$C$5:$AU$516,3,))*$E299)</f>
        <v>0</v>
      </c>
      <c r="AD299" s="80">
        <f>IF(VLOOKUP($D299,$C$5:$AU$516,3,)=0,0,(VLOOKUP($D299,$C$5:$AU$516,28,)/VLOOKUP($D299,$C$5:$AU$516,3,))*$E299)</f>
        <v>0</v>
      </c>
      <c r="AE299" s="80">
        <f>IF(VLOOKUP($D299,$C$5:$AU$516,3,)=0,0,(VLOOKUP($D299,$C$5:$AU$516,29,)/VLOOKUP($D299,$C$5:$AU$516,3,))*$E299)</f>
        <v>0</v>
      </c>
      <c r="AF299" s="80">
        <f>IF(VLOOKUP($D299,$C$5:$AU$516,3,)=0,0,(VLOOKUP($D299,$C$5:$AU$516,30,)/VLOOKUP($D299,$C$5:$AU$516,3,))*$E299)</f>
        <v>0</v>
      </c>
      <c r="AG299" s="65">
        <f>SUM(F299:AF299)</f>
        <v>1766.009028880555</v>
      </c>
      <c r="AH299" s="12" t="str">
        <f>IF(ABS(E299-AG299)&lt;0.01,"ok","err")</f>
        <v>ok</v>
      </c>
    </row>
    <row r="300" spans="1:34" x14ac:dyDescent="0.2">
      <c r="E300" s="7"/>
    </row>
    <row r="301" spans="1:34" x14ac:dyDescent="0.2">
      <c r="A301" s="2" t="s">
        <v>545</v>
      </c>
      <c r="E301" s="7"/>
    </row>
    <row r="302" spans="1:34" x14ac:dyDescent="0.2">
      <c r="A302" s="68" t="s">
        <v>220</v>
      </c>
      <c r="C302" s="3" t="s">
        <v>320</v>
      </c>
      <c r="D302" s="3" t="s">
        <v>233</v>
      </c>
      <c r="E302" s="19">
        <f>'Func &amp; Classif'!Y316</f>
        <v>0</v>
      </c>
      <c r="F302" s="41">
        <f>IF(VLOOKUP($D302,$C$5:$AU$516,3,)=0,0,(VLOOKUP($D302,$C$5:$AU$516,4,)/VLOOKUP($D302,$C$5:$AU$516,3,))*$E302)</f>
        <v>0</v>
      </c>
      <c r="G302" s="41">
        <f>IF(VLOOKUP($D302,$C$5:$AU$516,3,)=0,0,(VLOOKUP($D302,$C$5:$AU$516,5,)/VLOOKUP($D302,$C$5:$AU$516,3,))*$E302)</f>
        <v>0</v>
      </c>
      <c r="H302" s="19">
        <f>IF(VLOOKUP($D302,$C$5:$AU$516,3,)=0,0,(VLOOKUP($D302,$C$5:$AU$516,6,)/VLOOKUP($D302,$C$5:$AU$516,3,))*$E302)</f>
        <v>0</v>
      </c>
      <c r="I302" s="19">
        <f>IF(VLOOKUP($D302,$C$5:$AU$516,3,)=0,0,(VLOOKUP($D302,$C$5:$AU$516,7,)/VLOOKUP($D302,$C$5:$AU$516,3,))*$E302)</f>
        <v>0</v>
      </c>
      <c r="J302" s="19">
        <f>IF(VLOOKUP($D302,$C$5:$AU$516,3,)=0,0,(VLOOKUP($D302,$C$5:$AU$516,8,)/VLOOKUP($D302,$C$5:$AU$516,3,))*$E302)</f>
        <v>0</v>
      </c>
      <c r="K302" s="19">
        <f>IF(VLOOKUP($D302,$C$5:$AU$516,3,)=0,0,(VLOOKUP($D302,$C$5:$AU$516,9,)/VLOOKUP($D302,$C$5:$AU$516,3,))*$E302)</f>
        <v>0</v>
      </c>
      <c r="L302" s="41">
        <f>IF(VLOOKUP($D302,$C$5:$AU$516,3,)=0,0,(VLOOKUP($D302,$C$5:$AU$516,10,)/VLOOKUP($D302,$C$5:$AU$516,3,))*$E302)</f>
        <v>0</v>
      </c>
      <c r="M302" s="19">
        <f>IF(VLOOKUP($D302,$C$5:$AU$516,3,)=0,0,(VLOOKUP($D302,$C$5:$AU$516,11,)/VLOOKUP($D302,$C$5:$AU$516,3,))*$E302)</f>
        <v>0</v>
      </c>
      <c r="N302" s="19">
        <f>IF(VLOOKUP($D302,$C$5:$AU$516,3,)=0,0,(VLOOKUP($D302,$C$5:$AU$516,12,)/VLOOKUP($D302,$C$5:$AU$516,3,))*$E302)</f>
        <v>0</v>
      </c>
      <c r="O302" s="19">
        <f>IF(VLOOKUP($D302,$C$5:$AU$516,3,)=0,0,(VLOOKUP($D302,$C$5:$AU$516,13,)/VLOOKUP($D302,$C$5:$AU$516,3,))*$E302)</f>
        <v>0</v>
      </c>
      <c r="P302" s="19">
        <f>IF(VLOOKUP($D302,$C$5:$AU$516,3,)=0,0,(VLOOKUP($D302,$C$5:$AU$516,14,)/VLOOKUP($D302,$C$5:$AU$516,3,))*$E302)</f>
        <v>0</v>
      </c>
      <c r="Q302" s="19">
        <f>IF(VLOOKUP($D302,$C$5:$AU$516,3,)=0,0,(VLOOKUP($D302,$C$5:$AU$516,15,)/VLOOKUP($D302,$C$5:$AU$516,3,))*$E302)</f>
        <v>0</v>
      </c>
      <c r="R302" s="19">
        <f>IF(VLOOKUP($D302,$C$5:$AU$516,3,)=0,0,(VLOOKUP($D302,$C$5:$AU$516,16,)/VLOOKUP($D302,$C$5:$AU$516,3,))*$E302)</f>
        <v>0</v>
      </c>
      <c r="S302" s="80">
        <f>IF(VLOOKUP($D302,$C$5:$AU$516,3,)=0,0,(VLOOKUP($D302,$C$5:$AU$516,17,)/VLOOKUP($D302,$C$5:$AU$516,3,))*$E302)</f>
        <v>0</v>
      </c>
      <c r="T302" s="80">
        <f>IF(VLOOKUP($D302,$C$5:$AU$516,3,)=0,0,(VLOOKUP($D302,$C$5:$AU$516,18,)/VLOOKUP($D302,$C$5:$AU$516,3,))*$E302)</f>
        <v>0</v>
      </c>
      <c r="U302" s="80">
        <f>IF(VLOOKUP($D302,$C$5:$AU$516,3,)=0,0,(VLOOKUP($D302,$C$5:$AU$516,19,)/VLOOKUP($D302,$C$5:$AU$516,3,))*$E302)</f>
        <v>0</v>
      </c>
      <c r="V302" s="80">
        <f>IF(VLOOKUP($D302,$C$5:$AU$516,3,)=0,0,(VLOOKUP($D302,$C$5:$AU$516,20,)/VLOOKUP($D302,$C$5:$AU$516,3,))*$E302)</f>
        <v>0</v>
      </c>
      <c r="W302" s="80">
        <f>IF(VLOOKUP($D302,$C$5:$AU$516,3,)=0,0,(VLOOKUP($D302,$C$5:$AU$516,21,)/VLOOKUP($D302,$C$5:$AU$516,3,))*$E302)</f>
        <v>0</v>
      </c>
      <c r="X302" s="80">
        <f>IF(VLOOKUP($D302,$C$5:$AU$516,3,)=0,0,(VLOOKUP($D302,$C$5:$AU$516,22,)/VLOOKUP($D302,$C$5:$AU$516,3,))*$E302)</f>
        <v>0</v>
      </c>
      <c r="Y302" s="80">
        <f>IF(VLOOKUP($D302,$C$5:$AU$516,3,)=0,0,(VLOOKUP($D302,$C$5:$AU$516,23,)/VLOOKUP($D302,$C$5:$AU$516,3,))*$E302)</f>
        <v>0</v>
      </c>
      <c r="Z302" s="80">
        <f>IF(VLOOKUP($D302,$C$5:$AU$516,3,)=0,0,(VLOOKUP($D302,$C$5:$AU$516,24,)/VLOOKUP($D302,$C$5:$AU$516,3,))*$E302)</f>
        <v>0</v>
      </c>
      <c r="AA302" s="80">
        <f>IF(VLOOKUP($D302,$C$5:$AU$516,3,)=0,0,(VLOOKUP($D302,$C$5:$AU$516,25,)/VLOOKUP($D302,$C$5:$AU$516,3,))*$E302)</f>
        <v>0</v>
      </c>
      <c r="AB302" s="80">
        <f>IF(VLOOKUP($D302,$C$5:$AU$516,3,)=0,0,(VLOOKUP($D302,$C$5:$AU$516,26,)/VLOOKUP($D302,$C$5:$AU$516,3,))*$E302)</f>
        <v>0</v>
      </c>
      <c r="AC302" s="80">
        <f>IF(VLOOKUP($D302,$C$5:$AU$516,3,)=0,0,(VLOOKUP($D302,$C$5:$AU$516,27,)/VLOOKUP($D302,$C$5:$AU$516,3,))*$E302)</f>
        <v>0</v>
      </c>
      <c r="AD302" s="80">
        <f>IF(VLOOKUP($D302,$C$5:$AU$516,3,)=0,0,(VLOOKUP($D302,$C$5:$AU$516,28,)/VLOOKUP($D302,$C$5:$AU$516,3,))*$E302)</f>
        <v>0</v>
      </c>
      <c r="AE302" s="80">
        <f>IF(VLOOKUP($D302,$C$5:$AU$516,3,)=0,0,(VLOOKUP($D302,$C$5:$AU$516,29,)/VLOOKUP($D302,$C$5:$AU$516,3,))*$E302)</f>
        <v>0</v>
      </c>
      <c r="AF302" s="80">
        <f>IF(VLOOKUP($D302,$C$5:$AU$516,3,)=0,0,(VLOOKUP($D302,$C$5:$AU$516,30,)/VLOOKUP($D302,$C$5:$AU$516,3,))*$E302)</f>
        <v>0</v>
      </c>
      <c r="AG302" s="65">
        <f>SUM(F302:AF302)</f>
        <v>0</v>
      </c>
      <c r="AH302" s="12" t="str">
        <f>IF(ABS(E302-AG302)&lt;0.01,"ok","err")</f>
        <v>ok</v>
      </c>
    </row>
    <row r="303" spans="1:34" x14ac:dyDescent="0.2">
      <c r="E303" s="7"/>
    </row>
    <row r="304" spans="1:34" x14ac:dyDescent="0.2">
      <c r="A304" s="2" t="s">
        <v>470</v>
      </c>
      <c r="E304" s="7"/>
    </row>
    <row r="305" spans="1:41" x14ac:dyDescent="0.2">
      <c r="A305" s="68" t="s">
        <v>220</v>
      </c>
      <c r="C305" s="3" t="s">
        <v>317</v>
      </c>
      <c r="D305" s="3" t="s">
        <v>234</v>
      </c>
      <c r="E305" s="19">
        <f>'Func &amp; Classif'!AA316</f>
        <v>0</v>
      </c>
      <c r="F305" s="41">
        <f>IF(VLOOKUP($D305,$C$5:$AU$516,3,)=0,0,(VLOOKUP($D305,$C$5:$AU$516,4,)/VLOOKUP($D305,$C$5:$AU$516,3,))*$E305)</f>
        <v>0</v>
      </c>
      <c r="G305" s="41">
        <f>IF(VLOOKUP($D305,$C$5:$AU$516,3,)=0,0,(VLOOKUP($D305,$C$5:$AU$516,5,)/VLOOKUP($D305,$C$5:$AU$516,3,))*$E305)</f>
        <v>0</v>
      </c>
      <c r="H305" s="19">
        <f>IF(VLOOKUP($D305,$C$5:$AU$516,3,)=0,0,(VLOOKUP($D305,$C$5:$AU$516,6,)/VLOOKUP($D305,$C$5:$AU$516,3,))*$E305)</f>
        <v>0</v>
      </c>
      <c r="I305" s="19">
        <f>IF(VLOOKUP($D305,$C$5:$AU$516,3,)=0,0,(VLOOKUP($D305,$C$5:$AU$516,7,)/VLOOKUP($D305,$C$5:$AU$516,3,))*$E305)</f>
        <v>0</v>
      </c>
      <c r="J305" s="19">
        <f>IF(VLOOKUP($D305,$C$5:$AU$516,3,)=0,0,(VLOOKUP($D305,$C$5:$AU$516,8,)/VLOOKUP($D305,$C$5:$AU$516,3,))*$E305)</f>
        <v>0</v>
      </c>
      <c r="K305" s="19">
        <f>IF(VLOOKUP($D305,$C$5:$AU$516,3,)=0,0,(VLOOKUP($D305,$C$5:$AU$516,9,)/VLOOKUP($D305,$C$5:$AU$516,3,))*$E305)</f>
        <v>0</v>
      </c>
      <c r="L305" s="41">
        <f>IF(VLOOKUP($D305,$C$5:$AU$516,3,)=0,0,(VLOOKUP($D305,$C$5:$AU$516,10,)/VLOOKUP($D305,$C$5:$AU$516,3,))*$E305)</f>
        <v>0</v>
      </c>
      <c r="M305" s="19">
        <f>IF(VLOOKUP($D305,$C$5:$AU$516,3,)=0,0,(VLOOKUP($D305,$C$5:$AU$516,11,)/VLOOKUP($D305,$C$5:$AU$516,3,))*$E305)</f>
        <v>0</v>
      </c>
      <c r="N305" s="19">
        <f>IF(VLOOKUP($D305,$C$5:$AU$516,3,)=0,0,(VLOOKUP($D305,$C$5:$AU$516,12,)/VLOOKUP($D305,$C$5:$AU$516,3,))*$E305)</f>
        <v>0</v>
      </c>
      <c r="O305" s="19">
        <f>IF(VLOOKUP($D305,$C$5:$AU$516,3,)=0,0,(VLOOKUP($D305,$C$5:$AU$516,13,)/VLOOKUP($D305,$C$5:$AU$516,3,))*$E305)</f>
        <v>0</v>
      </c>
      <c r="P305" s="19">
        <f>IF(VLOOKUP($D305,$C$5:$AU$516,3,)=0,0,(VLOOKUP($D305,$C$5:$AU$516,14,)/VLOOKUP($D305,$C$5:$AU$516,3,))*$E305)</f>
        <v>0</v>
      </c>
      <c r="Q305" s="19">
        <f>IF(VLOOKUP($D305,$C$5:$AU$516,3,)=0,0,(VLOOKUP($D305,$C$5:$AU$516,15,)/VLOOKUP($D305,$C$5:$AU$516,3,))*$E305)</f>
        <v>0</v>
      </c>
      <c r="R305" s="19">
        <f>IF(VLOOKUP($D305,$C$5:$AU$516,3,)=0,0,(VLOOKUP($D305,$C$5:$AU$516,16,)/VLOOKUP($D305,$C$5:$AU$516,3,))*$E305)</f>
        <v>0</v>
      </c>
      <c r="S305" s="80">
        <f>IF(VLOOKUP($D305,$C$5:$AU$516,3,)=0,0,(VLOOKUP($D305,$C$5:$AU$516,17,)/VLOOKUP($D305,$C$5:$AU$516,3,))*$E305)</f>
        <v>0</v>
      </c>
      <c r="T305" s="80">
        <f>IF(VLOOKUP($D305,$C$5:$AU$516,3,)=0,0,(VLOOKUP($D305,$C$5:$AU$516,18,)/VLOOKUP($D305,$C$5:$AU$516,3,))*$E305)</f>
        <v>0</v>
      </c>
      <c r="U305" s="80">
        <f>IF(VLOOKUP($D305,$C$5:$AU$516,3,)=0,0,(VLOOKUP($D305,$C$5:$AU$516,19,)/VLOOKUP($D305,$C$5:$AU$516,3,))*$E305)</f>
        <v>0</v>
      </c>
      <c r="V305" s="80">
        <f>IF(VLOOKUP($D305,$C$5:$AU$516,3,)=0,0,(VLOOKUP($D305,$C$5:$AU$516,20,)/VLOOKUP($D305,$C$5:$AU$516,3,))*$E305)</f>
        <v>0</v>
      </c>
      <c r="W305" s="80">
        <f>IF(VLOOKUP($D305,$C$5:$AU$516,3,)=0,0,(VLOOKUP($D305,$C$5:$AU$516,21,)/VLOOKUP($D305,$C$5:$AU$516,3,))*$E305)</f>
        <v>0</v>
      </c>
      <c r="X305" s="80">
        <f>IF(VLOOKUP($D305,$C$5:$AU$516,3,)=0,0,(VLOOKUP($D305,$C$5:$AU$516,22,)/VLOOKUP($D305,$C$5:$AU$516,3,))*$E305)</f>
        <v>0</v>
      </c>
      <c r="Y305" s="80">
        <f>IF(VLOOKUP($D305,$C$5:$AU$516,3,)=0,0,(VLOOKUP($D305,$C$5:$AU$516,23,)/VLOOKUP($D305,$C$5:$AU$516,3,))*$E305)</f>
        <v>0</v>
      </c>
      <c r="Z305" s="80">
        <f>IF(VLOOKUP($D305,$C$5:$AU$516,3,)=0,0,(VLOOKUP($D305,$C$5:$AU$516,24,)/VLOOKUP($D305,$C$5:$AU$516,3,))*$E305)</f>
        <v>0</v>
      </c>
      <c r="AA305" s="80">
        <f>IF(VLOOKUP($D305,$C$5:$AU$516,3,)=0,0,(VLOOKUP($D305,$C$5:$AU$516,25,)/VLOOKUP($D305,$C$5:$AU$516,3,))*$E305)</f>
        <v>0</v>
      </c>
      <c r="AB305" s="80">
        <f>IF(VLOOKUP($D305,$C$5:$AU$516,3,)=0,0,(VLOOKUP($D305,$C$5:$AU$516,26,)/VLOOKUP($D305,$C$5:$AU$516,3,))*$E305)</f>
        <v>0</v>
      </c>
      <c r="AC305" s="80">
        <f>IF(VLOOKUP($D305,$C$5:$AU$516,3,)=0,0,(VLOOKUP($D305,$C$5:$AU$516,27,)/VLOOKUP($D305,$C$5:$AU$516,3,))*$E305)</f>
        <v>0</v>
      </c>
      <c r="AD305" s="80">
        <f>IF(VLOOKUP($D305,$C$5:$AU$516,3,)=0,0,(VLOOKUP($D305,$C$5:$AU$516,28,)/VLOOKUP($D305,$C$5:$AU$516,3,))*$E305)</f>
        <v>0</v>
      </c>
      <c r="AE305" s="80">
        <f>IF(VLOOKUP($D305,$C$5:$AU$516,3,)=0,0,(VLOOKUP($D305,$C$5:$AU$516,29,)/VLOOKUP($D305,$C$5:$AU$516,3,))*$E305)</f>
        <v>0</v>
      </c>
      <c r="AF305" s="80">
        <f>IF(VLOOKUP($D305,$C$5:$AU$516,3,)=0,0,(VLOOKUP($D305,$C$5:$AU$516,30,)/VLOOKUP($D305,$C$5:$AU$516,3,))*$E305)</f>
        <v>0</v>
      </c>
      <c r="AG305" s="65">
        <f>SUM(F305:AF305)</f>
        <v>0</v>
      </c>
      <c r="AH305" s="12" t="str">
        <f>IF(ABS(E305-AG305)&lt;0.01,"ok","err")</f>
        <v>ok</v>
      </c>
    </row>
    <row r="306" spans="1:41" x14ac:dyDescent="0.2">
      <c r="E306" s="7"/>
    </row>
    <row r="307" spans="1:41" x14ac:dyDescent="0.2">
      <c r="A307" s="3" t="s">
        <v>0</v>
      </c>
      <c r="C307" s="3" t="s">
        <v>321</v>
      </c>
      <c r="E307" s="19">
        <f>E277+E280+E283+E288+E293+E296+E299+E302+E305</f>
        <v>25966.000000000004</v>
      </c>
      <c r="F307" s="19">
        <f t="shared" ref="F307:R307" si="85">F277+F280+F283+F288+F293+F296+F299+F302+F305</f>
        <v>19728.130625600163</v>
      </c>
      <c r="G307" s="19">
        <f t="shared" si="85"/>
        <v>1159.8292649348475</v>
      </c>
      <c r="H307" s="19">
        <f t="shared" si="85"/>
        <v>1545.4725956056429</v>
      </c>
      <c r="I307" s="19">
        <f t="shared" si="85"/>
        <v>682.66421685736896</v>
      </c>
      <c r="J307" s="19">
        <f t="shared" si="85"/>
        <v>224.19254525089096</v>
      </c>
      <c r="K307" s="19">
        <f t="shared" si="85"/>
        <v>2625.7107517510858</v>
      </c>
      <c r="L307" s="19">
        <f t="shared" si="85"/>
        <v>0</v>
      </c>
      <c r="M307" s="19">
        <f t="shared" si="85"/>
        <v>0</v>
      </c>
      <c r="N307" s="19">
        <f t="shared" si="85"/>
        <v>0</v>
      </c>
      <c r="O307" s="19">
        <f t="shared" si="85"/>
        <v>0</v>
      </c>
      <c r="P307" s="19">
        <f t="shared" si="85"/>
        <v>0</v>
      </c>
      <c r="Q307" s="19">
        <f t="shared" si="85"/>
        <v>0</v>
      </c>
      <c r="R307" s="19">
        <f t="shared" si="85"/>
        <v>0</v>
      </c>
      <c r="S307" s="80">
        <f t="shared" ref="S307:AF307" si="86">S277+S283+S288+S293+S296+S299+S302+S305</f>
        <v>0</v>
      </c>
      <c r="T307" s="80">
        <f t="shared" si="86"/>
        <v>0</v>
      </c>
      <c r="U307" s="80">
        <f t="shared" si="86"/>
        <v>0</v>
      </c>
      <c r="V307" s="80">
        <f t="shared" si="86"/>
        <v>0</v>
      </c>
      <c r="W307" s="80">
        <f t="shared" si="86"/>
        <v>0</v>
      </c>
      <c r="X307" s="80">
        <f t="shared" si="86"/>
        <v>0</v>
      </c>
      <c r="Y307" s="80">
        <f t="shared" si="86"/>
        <v>0</v>
      </c>
      <c r="Z307" s="80">
        <f t="shared" si="86"/>
        <v>0</v>
      </c>
      <c r="AA307" s="80">
        <f t="shared" si="86"/>
        <v>0</v>
      </c>
      <c r="AB307" s="80">
        <f t="shared" si="86"/>
        <v>0</v>
      </c>
      <c r="AC307" s="80">
        <f t="shared" si="86"/>
        <v>0</v>
      </c>
      <c r="AD307" s="80">
        <f t="shared" si="86"/>
        <v>0</v>
      </c>
      <c r="AE307" s="80">
        <f t="shared" si="86"/>
        <v>0</v>
      </c>
      <c r="AF307" s="80">
        <f t="shared" si="86"/>
        <v>0</v>
      </c>
      <c r="AG307" s="65">
        <f>SUM(F307:AF307)</f>
        <v>25966</v>
      </c>
      <c r="AH307" s="12" t="str">
        <f>IF(ABS(E307-AG307)&lt;0.01,"ok","err")</f>
        <v>ok</v>
      </c>
    </row>
    <row r="308" spans="1:41" x14ac:dyDescent="0.2">
      <c r="E308" s="178">
        <f>E307/$E307</f>
        <v>1</v>
      </c>
      <c r="F308" s="178">
        <f>F307/$E307</f>
        <v>0.75976779733498268</v>
      </c>
      <c r="G308" s="178">
        <f t="shared" ref="G308" si="87">G307/$E307</f>
        <v>4.4667228873713598E-2</v>
      </c>
      <c r="H308" s="178">
        <f t="shared" ref="H308" si="88">H307/$E307</f>
        <v>5.9519086328492746E-2</v>
      </c>
      <c r="I308" s="178">
        <f t="shared" ref="I308" si="89">I307/$E307</f>
        <v>2.6290696174126507E-2</v>
      </c>
      <c r="J308" s="178">
        <f t="shared" ref="J308" si="90">J307/$E307</f>
        <v>8.6340809231645593E-3</v>
      </c>
      <c r="K308" s="178">
        <f t="shared" ref="K308" si="91">K307/$E307</f>
        <v>0.10112111036551974</v>
      </c>
      <c r="L308" s="178">
        <f t="shared" ref="L308" si="92">L307/$E307</f>
        <v>0</v>
      </c>
      <c r="M308" s="22">
        <f t="shared" ref="M308" si="93">M307/$E307</f>
        <v>0</v>
      </c>
    </row>
    <row r="309" spans="1:41" x14ac:dyDescent="0.2">
      <c r="E309" s="19"/>
      <c r="F309" s="41"/>
      <c r="G309" s="41"/>
      <c r="H309" s="19"/>
      <c r="I309" s="19"/>
      <c r="J309" s="19"/>
      <c r="K309" s="19"/>
      <c r="L309" s="41"/>
      <c r="M309" s="19"/>
      <c r="N309" s="19"/>
      <c r="O309" s="19"/>
      <c r="P309" s="19"/>
      <c r="Q309" s="19"/>
      <c r="R309" s="19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65"/>
      <c r="AH309" s="12"/>
    </row>
    <row r="310" spans="1:41" x14ac:dyDescent="0.2">
      <c r="A310" s="10" t="s">
        <v>582</v>
      </c>
    </row>
    <row r="311" spans="1:41" x14ac:dyDescent="0.2">
      <c r="E311" s="65"/>
    </row>
    <row r="312" spans="1:41" x14ac:dyDescent="0.2">
      <c r="A312" s="2" t="s">
        <v>322</v>
      </c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AJ312" s="14"/>
      <c r="AK312" s="85"/>
      <c r="AL312" s="14"/>
      <c r="AM312" s="14"/>
      <c r="AN312" s="14"/>
      <c r="AO312" s="14"/>
    </row>
    <row r="313" spans="1:41" x14ac:dyDescent="0.2">
      <c r="A313" s="3" t="s">
        <v>735</v>
      </c>
      <c r="C313" s="3" t="s">
        <v>323</v>
      </c>
      <c r="D313" s="3" t="s">
        <v>561</v>
      </c>
      <c r="E313" s="41">
        <v>25671962.059999999</v>
      </c>
      <c r="F313" s="41">
        <f>IF(VLOOKUP($D313,$C$5:$AU$516,3,)=0,0,(VLOOKUP($D313,$C$5:$AU$516,4,)/VLOOKUP($D313,$C$5:$AU$516,3,))*$E313)</f>
        <v>19280890.3173372</v>
      </c>
      <c r="G313" s="41">
        <f>IF(VLOOKUP($D313,$C$5:$AU$516,3,)=0,0,(VLOOKUP($D313,$C$5:$AU$516,5,)/VLOOKUP($D313,$C$5:$AU$516,3,))*$E313)</f>
        <v>1374640.7440784958</v>
      </c>
      <c r="H313" s="19">
        <f>IF(VLOOKUP($D313,$C$5:$AU$516,3,)=0,0,(VLOOKUP($D313,$C$5:$AU$516,6,)/VLOOKUP($D313,$C$5:$AU$516,3,))*$E313)</f>
        <v>2499313.577250672</v>
      </c>
      <c r="I313" s="19">
        <f>IF(VLOOKUP($D313,$C$5:$AU$516,3,)=0,0,(VLOOKUP($D313,$C$5:$AU$516,7,)/VLOOKUP($D313,$C$5:$AU$516,3,))*$E313)</f>
        <v>1051828.0012166735</v>
      </c>
      <c r="J313" s="19">
        <f>IF(VLOOKUP($D313,$C$5:$AU$516,3,)=0,0,(VLOOKUP($D313,$C$5:$AU$516,8,)/VLOOKUP($D313,$C$5:$AU$516,3,))*$E313)</f>
        <v>576190.33015136083</v>
      </c>
      <c r="K313" s="19">
        <f>IF(VLOOKUP($D313,$C$5:$AU$516,3,)=0,0,(VLOOKUP($D313,$C$5:$AU$516,9,)/VLOOKUP($D313,$C$5:$AU$516,3,))*$E313)</f>
        <v>889099.08996559412</v>
      </c>
      <c r="L313" s="41">
        <f>IF(VLOOKUP($D313,$C$5:$AU$516,3,)=0,0,(VLOOKUP($D313,$C$5:$AU$516,10,)/VLOOKUP($D313,$C$5:$AU$516,3,))*$E313)</f>
        <v>0</v>
      </c>
      <c r="M313" s="19">
        <f>IF(VLOOKUP($D313,$C$5:$AU$516,3,)=0,0,(VLOOKUP($D313,$C$5:$AU$516,11,)/VLOOKUP($D313,$C$5:$AU$516,3,))*$E313)</f>
        <v>0</v>
      </c>
      <c r="N313" s="19">
        <f>IF(VLOOKUP($D313,$C$5:$AU$516,3,)=0,0,(VLOOKUP($D313,$C$5:$AU$516,12,)/VLOOKUP($D313,$C$5:$AU$516,3,))*$E313)</f>
        <v>0</v>
      </c>
      <c r="O313" s="19">
        <f>IF(VLOOKUP($D313,$C$5:$AU$516,3,)=0,0,(VLOOKUP($D313,$C$5:$AU$516,13,)/VLOOKUP($D313,$C$5:$AU$516,3,))*$E313)</f>
        <v>0</v>
      </c>
      <c r="P313" s="19">
        <f>IF(VLOOKUP($D313,$C$5:$AU$516,3,)=0,0,(VLOOKUP($D313,$C$5:$AU$516,14,)/VLOOKUP($D313,$C$5:$AU$516,3,))*$E313)</f>
        <v>0</v>
      </c>
      <c r="Q313" s="19">
        <f>IF(VLOOKUP($D313,$C$5:$AU$516,3,)=0,0,(VLOOKUP($D313,$C$5:$AU$516,15,)/VLOOKUP($D313,$C$5:$AU$516,3,))*$E313)</f>
        <v>0</v>
      </c>
      <c r="R313" s="19">
        <f>IF(VLOOKUP($D313,$C$5:$AU$516,3,)=0,0,(VLOOKUP($D313,$C$5:$AU$516,16,)/VLOOKUP($D313,$C$5:$AU$516,3,))*$E313)</f>
        <v>0</v>
      </c>
      <c r="S313" s="80">
        <f>IF(VLOOKUP($D313,$C$5:$AU$516,3,)=0,0,(VLOOKUP($D313,$C$5:$AU$516,17,)/VLOOKUP($D313,$C$5:$AU$516,3,))*$E313)</f>
        <v>0</v>
      </c>
      <c r="T313" s="80">
        <f>IF(VLOOKUP($D313,$C$5:$AU$516,3,)=0,0,(VLOOKUP($D313,$C$5:$AU$516,18,)/VLOOKUP($D313,$C$5:$AU$516,3,))*$E313)</f>
        <v>0</v>
      </c>
      <c r="U313" s="80">
        <f>IF(VLOOKUP($D313,$C$5:$AU$516,3,)=0,0,(VLOOKUP($D313,$C$5:$AU$516,19,)/VLOOKUP($D313,$C$5:$AU$516,3,))*$E313)</f>
        <v>0</v>
      </c>
      <c r="V313" s="80">
        <f>IF(VLOOKUP($D313,$C$5:$AU$516,3,)=0,0,(VLOOKUP($D313,$C$5:$AU$516,20,)/VLOOKUP($D313,$C$5:$AU$516,3,))*$E313)</f>
        <v>0</v>
      </c>
      <c r="W313" s="80">
        <f>IF(VLOOKUP($D313,$C$5:$AU$516,3,)=0,0,(VLOOKUP($D313,$C$5:$AU$516,21,)/VLOOKUP($D313,$C$5:$AU$516,3,))*$E313)</f>
        <v>0</v>
      </c>
      <c r="X313" s="80">
        <f>IF(VLOOKUP($D313,$C$5:$AU$516,3,)=0,0,(VLOOKUP($D313,$C$5:$AU$516,22,)/VLOOKUP($D313,$C$5:$AU$516,3,))*$E313)</f>
        <v>0</v>
      </c>
      <c r="Y313" s="80">
        <f>IF(VLOOKUP($D313,$C$5:$AU$516,3,)=0,0,(VLOOKUP($D313,$C$5:$AU$516,23,)/VLOOKUP($D313,$C$5:$AU$516,3,))*$E313)</f>
        <v>0</v>
      </c>
      <c r="Z313" s="80">
        <f>IF(VLOOKUP($D313,$C$5:$AU$516,3,)=0,0,(VLOOKUP($D313,$C$5:$AU$516,24,)/VLOOKUP($D313,$C$5:$AU$516,3,))*$E313)</f>
        <v>0</v>
      </c>
      <c r="AA313" s="80">
        <f>IF(VLOOKUP($D313,$C$5:$AU$516,3,)=0,0,(VLOOKUP($D313,$C$5:$AU$516,25,)/VLOOKUP($D313,$C$5:$AU$516,3,))*$E313)</f>
        <v>0</v>
      </c>
      <c r="AB313" s="80">
        <f>IF(VLOOKUP($D313,$C$5:$AU$516,3,)=0,0,(VLOOKUP($D313,$C$5:$AU$516,26,)/VLOOKUP($D313,$C$5:$AU$516,3,))*$E313)</f>
        <v>0</v>
      </c>
      <c r="AC313" s="80">
        <f>IF(VLOOKUP($D313,$C$5:$AU$516,3,)=0,0,(VLOOKUP($D313,$C$5:$AU$516,27,)/VLOOKUP($D313,$C$5:$AU$516,3,))*$E313)</f>
        <v>0</v>
      </c>
      <c r="AD313" s="80">
        <f>IF(VLOOKUP($D313,$C$5:$AU$516,3,)=0,0,(VLOOKUP($D313,$C$5:$AU$516,28,)/VLOOKUP($D313,$C$5:$AU$516,3,))*$E313)</f>
        <v>0</v>
      </c>
      <c r="AE313" s="80">
        <f>IF(VLOOKUP($D313,$C$5:$AU$516,3,)=0,0,(VLOOKUP($D313,$C$5:$AU$516,29,)/VLOOKUP($D313,$C$5:$AU$516,3,))*$E313)</f>
        <v>0</v>
      </c>
      <c r="AF313" s="80">
        <f>IF(VLOOKUP($D313,$C$5:$AU$516,3,)=0,0,(VLOOKUP($D313,$C$5:$AU$516,30,)/VLOOKUP($D313,$C$5:$AU$516,3,))*$E313)</f>
        <v>0</v>
      </c>
      <c r="AG313" s="65">
        <f t="shared" ref="AG313:AG314" si="94">SUM(F313:AF313)</f>
        <v>25671962.059999991</v>
      </c>
      <c r="AH313" s="12" t="str">
        <f t="shared" ref="AH313:AH314" si="95">IF(ABS(E313-AG313)&lt;0.01,"ok","err")</f>
        <v>ok</v>
      </c>
      <c r="AJ313" s="86"/>
      <c r="AK313" s="86"/>
      <c r="AL313" s="86"/>
      <c r="AM313" s="86"/>
      <c r="AN313" s="86"/>
      <c r="AO313" s="86"/>
    </row>
    <row r="314" spans="1:41" x14ac:dyDescent="0.2">
      <c r="A314" s="3" t="s">
        <v>736</v>
      </c>
      <c r="D314" s="3" t="s">
        <v>920</v>
      </c>
      <c r="E314" s="41">
        <v>890206.94</v>
      </c>
      <c r="F314" s="41">
        <f>IF(VLOOKUP($D314,$C$5:$AU$516,3,)=0,0,(VLOOKUP($D314,$C$5:$AU$516,4,)/VLOOKUP($D314,$C$5:$AU$516,3,))*$E314)</f>
        <v>830963.01512840344</v>
      </c>
      <c r="G314" s="41">
        <f>IF(VLOOKUP($D314,$C$5:$AU$516,3,)=0,0,(VLOOKUP($D314,$C$5:$AU$516,5,)/VLOOKUP($D314,$C$5:$AU$516,3,))*$E314)</f>
        <v>59243.924871596566</v>
      </c>
      <c r="H314" s="19">
        <f>IF(VLOOKUP($D314,$C$5:$AU$516,3,)=0,0,(VLOOKUP($D314,$C$5:$AU$516,6,)/VLOOKUP($D314,$C$5:$AU$516,3,))*$E314)</f>
        <v>0</v>
      </c>
      <c r="I314" s="19">
        <f>IF(VLOOKUP($D314,$C$5:$AU$516,3,)=0,0,(VLOOKUP($D314,$C$5:$AU$516,7,)/VLOOKUP($D314,$C$5:$AU$516,3,))*$E314)</f>
        <v>0</v>
      </c>
      <c r="J314" s="19">
        <f>IF(VLOOKUP($D314,$C$5:$AU$516,3,)=0,0,(VLOOKUP($D314,$C$5:$AU$516,8,)/VLOOKUP($D314,$C$5:$AU$516,3,))*$E314)</f>
        <v>0</v>
      </c>
      <c r="K314" s="19">
        <f>IF(VLOOKUP($D314,$C$5:$AU$516,3,)=0,0,(VLOOKUP($D314,$C$5:$AU$516,9,)/VLOOKUP($D314,$C$5:$AU$516,3,))*$E314)</f>
        <v>0</v>
      </c>
      <c r="L314" s="41">
        <f>IF(VLOOKUP($D314,$C$5:$AU$516,3,)=0,0,(VLOOKUP($D314,$C$5:$AU$516,10,)/VLOOKUP($D314,$C$5:$AU$516,3,))*$E314)</f>
        <v>0</v>
      </c>
      <c r="M314" s="19">
        <f>IF(VLOOKUP($D314,$C$5:$AU$516,3,)=0,0,(VLOOKUP($D314,$C$5:$AU$516,11,)/VLOOKUP($D314,$C$5:$AU$516,3,))*$E314)</f>
        <v>0</v>
      </c>
      <c r="N314" s="19">
        <f>IF(VLOOKUP($D314,$C$5:$AU$516,3,)=0,0,(VLOOKUP($D314,$C$5:$AU$516,12,)/VLOOKUP($D314,$C$5:$AU$516,3,))*$E314)</f>
        <v>0</v>
      </c>
      <c r="O314" s="19">
        <f>IF(VLOOKUP($D314,$C$5:$AU$516,3,)=0,0,(VLOOKUP($D314,$C$5:$AU$516,13,)/VLOOKUP($D314,$C$5:$AU$516,3,))*$E314)</f>
        <v>0</v>
      </c>
      <c r="P314" s="19">
        <f>IF(VLOOKUP($D314,$C$5:$AU$516,3,)=0,0,(VLOOKUP($D314,$C$5:$AU$516,14,)/VLOOKUP($D314,$C$5:$AU$516,3,))*$E314)</f>
        <v>0</v>
      </c>
      <c r="Q314" s="19">
        <f>IF(VLOOKUP($D314,$C$5:$AU$516,3,)=0,0,(VLOOKUP($D314,$C$5:$AU$516,15,)/VLOOKUP($D314,$C$5:$AU$516,3,))*$E314)</f>
        <v>0</v>
      </c>
      <c r="R314" s="19">
        <f>IF(VLOOKUP($D314,$C$5:$AU$516,3,)=0,0,(VLOOKUP($D314,$C$5:$AU$516,16,)/VLOOKUP($D314,$C$5:$AU$516,3,))*$E314)</f>
        <v>0</v>
      </c>
      <c r="S314" s="80">
        <f>IF(VLOOKUP($D314,$C$5:$AU$516,3,)=0,0,(VLOOKUP($D314,$C$5:$AU$516,17,)/VLOOKUP($D314,$C$5:$AU$516,3,))*$E314)</f>
        <v>0</v>
      </c>
      <c r="T314" s="80">
        <f>IF(VLOOKUP($D314,$C$5:$AU$516,3,)=0,0,(VLOOKUP($D314,$C$5:$AU$516,18,)/VLOOKUP($D314,$C$5:$AU$516,3,))*$E314)</f>
        <v>0</v>
      </c>
      <c r="U314" s="80">
        <f>IF(VLOOKUP($D314,$C$5:$AU$516,3,)=0,0,(VLOOKUP($D314,$C$5:$AU$516,19,)/VLOOKUP($D314,$C$5:$AU$516,3,))*$E314)</f>
        <v>0</v>
      </c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65">
        <f t="shared" si="94"/>
        <v>890206.94</v>
      </c>
      <c r="AH314" s="12" t="str">
        <f t="shared" si="95"/>
        <v>ok</v>
      </c>
      <c r="AJ314" s="86"/>
      <c r="AK314" s="86"/>
      <c r="AL314" s="86"/>
      <c r="AM314" s="86"/>
      <c r="AN314" s="86"/>
      <c r="AO314" s="86"/>
    </row>
    <row r="315" spans="1:41" x14ac:dyDescent="0.2">
      <c r="AG315" s="65"/>
    </row>
    <row r="316" spans="1:41" x14ac:dyDescent="0.2">
      <c r="A316" s="3" t="s">
        <v>324</v>
      </c>
      <c r="C316" s="3" t="s">
        <v>325</v>
      </c>
      <c r="E316" s="65">
        <f t="shared" ref="E316:AF316" si="96">SUM(E313:E315)</f>
        <v>26562169</v>
      </c>
      <c r="F316" s="65">
        <f t="shared" si="96"/>
        <v>20111853.332465604</v>
      </c>
      <c r="G316" s="65">
        <f t="shared" si="96"/>
        <v>1433884.6689500923</v>
      </c>
      <c r="H316" s="65">
        <f t="shared" si="96"/>
        <v>2499313.577250672</v>
      </c>
      <c r="I316" s="65">
        <f t="shared" si="96"/>
        <v>1051828.0012166735</v>
      </c>
      <c r="J316" s="65">
        <f t="shared" si="96"/>
        <v>576190.33015136083</v>
      </c>
      <c r="K316" s="65">
        <f t="shared" si="96"/>
        <v>889099.08996559412</v>
      </c>
      <c r="L316" s="65">
        <f t="shared" si="96"/>
        <v>0</v>
      </c>
      <c r="M316" s="65">
        <f t="shared" si="96"/>
        <v>0</v>
      </c>
      <c r="N316" s="65">
        <f t="shared" si="96"/>
        <v>0</v>
      </c>
      <c r="O316" s="65">
        <f t="shared" si="96"/>
        <v>0</v>
      </c>
      <c r="P316" s="65">
        <f t="shared" si="96"/>
        <v>0</v>
      </c>
      <c r="Q316" s="65">
        <f t="shared" si="96"/>
        <v>0</v>
      </c>
      <c r="R316" s="65">
        <f t="shared" si="96"/>
        <v>0</v>
      </c>
      <c r="S316" s="87">
        <f t="shared" si="96"/>
        <v>0</v>
      </c>
      <c r="T316" s="87">
        <f t="shared" si="96"/>
        <v>0</v>
      </c>
      <c r="U316" s="87">
        <f t="shared" si="96"/>
        <v>0</v>
      </c>
      <c r="V316" s="87">
        <f t="shared" si="96"/>
        <v>0</v>
      </c>
      <c r="W316" s="87">
        <f t="shared" si="96"/>
        <v>0</v>
      </c>
      <c r="X316" s="87">
        <f t="shared" si="96"/>
        <v>0</v>
      </c>
      <c r="Y316" s="87">
        <f t="shared" si="96"/>
        <v>0</v>
      </c>
      <c r="Z316" s="87">
        <f t="shared" si="96"/>
        <v>0</v>
      </c>
      <c r="AA316" s="87">
        <f t="shared" si="96"/>
        <v>0</v>
      </c>
      <c r="AB316" s="87">
        <f t="shared" si="96"/>
        <v>0</v>
      </c>
      <c r="AC316" s="87">
        <f t="shared" si="96"/>
        <v>0</v>
      </c>
      <c r="AD316" s="87">
        <f t="shared" si="96"/>
        <v>0</v>
      </c>
      <c r="AE316" s="87">
        <f t="shared" si="96"/>
        <v>0</v>
      </c>
      <c r="AF316" s="87">
        <f t="shared" si="96"/>
        <v>0</v>
      </c>
      <c r="AG316" s="65">
        <f>SUM(F316:AF316)</f>
        <v>26562168.999999993</v>
      </c>
      <c r="AH316" s="12" t="str">
        <f>IF(ABS(E316-AG316)&lt;0.01,"ok","err")</f>
        <v>ok</v>
      </c>
    </row>
    <row r="318" spans="1:41" x14ac:dyDescent="0.2">
      <c r="A318" s="2" t="s">
        <v>326</v>
      </c>
      <c r="AJ318" s="14"/>
      <c r="AK318" s="85"/>
      <c r="AL318" s="14"/>
      <c r="AM318" s="14"/>
      <c r="AN318" s="14"/>
      <c r="AO318" s="14"/>
    </row>
    <row r="319" spans="1:41" x14ac:dyDescent="0.2">
      <c r="A319" s="68" t="s">
        <v>327</v>
      </c>
      <c r="E319" s="65">
        <f t="shared" ref="E319:AF319" si="97">E155</f>
        <v>24474384.09</v>
      </c>
      <c r="F319" s="65">
        <f t="shared" si="97"/>
        <v>18936702.911997069</v>
      </c>
      <c r="G319" s="65">
        <f t="shared" si="97"/>
        <v>1170286.628135869</v>
      </c>
      <c r="H319" s="65">
        <f t="shared" si="97"/>
        <v>2362080.6433663727</v>
      </c>
      <c r="I319" s="65">
        <f t="shared" si="97"/>
        <v>907993.38331797638</v>
      </c>
      <c r="J319" s="65">
        <f t="shared" si="97"/>
        <v>562265.39992318559</v>
      </c>
      <c r="K319" s="65">
        <f t="shared" si="97"/>
        <v>535055.12325952458</v>
      </c>
      <c r="L319" s="65">
        <f t="shared" si="97"/>
        <v>0</v>
      </c>
      <c r="M319" s="65">
        <f t="shared" si="97"/>
        <v>0</v>
      </c>
      <c r="N319" s="65">
        <f t="shared" si="97"/>
        <v>0</v>
      </c>
      <c r="O319" s="65">
        <f t="shared" si="97"/>
        <v>0</v>
      </c>
      <c r="P319" s="65">
        <f t="shared" si="97"/>
        <v>0</v>
      </c>
      <c r="Q319" s="65">
        <f t="shared" si="97"/>
        <v>0</v>
      </c>
      <c r="R319" s="65">
        <f t="shared" si="97"/>
        <v>0</v>
      </c>
      <c r="S319" s="87">
        <f t="shared" si="97"/>
        <v>0</v>
      </c>
      <c r="T319" s="87">
        <f t="shared" si="97"/>
        <v>0</v>
      </c>
      <c r="U319" s="87">
        <f t="shared" si="97"/>
        <v>0</v>
      </c>
      <c r="V319" s="87">
        <f t="shared" si="97"/>
        <v>0</v>
      </c>
      <c r="W319" s="87">
        <f t="shared" si="97"/>
        <v>0</v>
      </c>
      <c r="X319" s="87">
        <f t="shared" si="97"/>
        <v>0</v>
      </c>
      <c r="Y319" s="87">
        <f t="shared" si="97"/>
        <v>0</v>
      </c>
      <c r="Z319" s="87">
        <f t="shared" si="97"/>
        <v>0</v>
      </c>
      <c r="AA319" s="87">
        <f t="shared" si="97"/>
        <v>0</v>
      </c>
      <c r="AB319" s="87">
        <f t="shared" si="97"/>
        <v>0</v>
      </c>
      <c r="AC319" s="87">
        <f t="shared" si="97"/>
        <v>0</v>
      </c>
      <c r="AD319" s="87">
        <f t="shared" si="97"/>
        <v>0</v>
      </c>
      <c r="AE319" s="87">
        <f t="shared" si="97"/>
        <v>0</v>
      </c>
      <c r="AF319" s="87">
        <f t="shared" si="97"/>
        <v>0</v>
      </c>
      <c r="AG319" s="65">
        <f>SUM(F319:AF319)</f>
        <v>24474384.09</v>
      </c>
      <c r="AH319" s="12" t="str">
        <f>IF(ABS(E319-AG319)&lt;0.01,"ok","err")</f>
        <v>ok</v>
      </c>
      <c r="AI319" s="128">
        <f>M319/AG319</f>
        <v>0</v>
      </c>
      <c r="AJ319" s="86"/>
      <c r="AK319" s="86"/>
      <c r="AL319" s="86"/>
      <c r="AM319" s="86"/>
      <c r="AN319" s="86"/>
      <c r="AO319" s="86"/>
    </row>
    <row r="320" spans="1:41" x14ac:dyDescent="0.2">
      <c r="A320" s="68" t="s">
        <v>328</v>
      </c>
      <c r="E320" s="24">
        <f t="shared" ref="E320:AF320" si="98">E231</f>
        <v>2629279.9500000002</v>
      </c>
      <c r="F320" s="24">
        <f t="shared" si="98"/>
        <v>1997642.2361885342</v>
      </c>
      <c r="G320" s="24">
        <f t="shared" si="98"/>
        <v>117442.64929971629</v>
      </c>
      <c r="H320" s="7">
        <f t="shared" si="98"/>
        <v>156492.34032582518</v>
      </c>
      <c r="I320" s="7">
        <f t="shared" si="98"/>
        <v>69125.60032217254</v>
      </c>
      <c r="J320" s="7">
        <f t="shared" si="98"/>
        <v>22701.415857954067</v>
      </c>
      <c r="K320" s="7">
        <f t="shared" si="98"/>
        <v>265875.70800579834</v>
      </c>
      <c r="L320" s="24">
        <f t="shared" si="98"/>
        <v>0</v>
      </c>
      <c r="M320" s="7">
        <f t="shared" si="98"/>
        <v>0</v>
      </c>
      <c r="N320" s="7">
        <f t="shared" si="98"/>
        <v>0</v>
      </c>
      <c r="O320" s="7">
        <f t="shared" si="98"/>
        <v>0</v>
      </c>
      <c r="P320" s="7">
        <f t="shared" si="98"/>
        <v>0</v>
      </c>
      <c r="Q320" s="7">
        <f t="shared" si="98"/>
        <v>0</v>
      </c>
      <c r="R320" s="7">
        <f t="shared" si="98"/>
        <v>0</v>
      </c>
      <c r="S320" s="88">
        <f t="shared" si="98"/>
        <v>0</v>
      </c>
      <c r="T320" s="88">
        <f t="shared" si="98"/>
        <v>0</v>
      </c>
      <c r="U320" s="88">
        <f t="shared" si="98"/>
        <v>0</v>
      </c>
      <c r="V320" s="88">
        <f t="shared" si="98"/>
        <v>0</v>
      </c>
      <c r="W320" s="88">
        <f t="shared" si="98"/>
        <v>0</v>
      </c>
      <c r="X320" s="88">
        <f t="shared" si="98"/>
        <v>0</v>
      </c>
      <c r="Y320" s="88">
        <f t="shared" si="98"/>
        <v>0</v>
      </c>
      <c r="Z320" s="88">
        <f t="shared" si="98"/>
        <v>0</v>
      </c>
      <c r="AA320" s="88">
        <f t="shared" si="98"/>
        <v>0</v>
      </c>
      <c r="AB320" s="88">
        <f t="shared" si="98"/>
        <v>0</v>
      </c>
      <c r="AC320" s="88">
        <f t="shared" si="98"/>
        <v>0</v>
      </c>
      <c r="AD320" s="88">
        <f t="shared" si="98"/>
        <v>0</v>
      </c>
      <c r="AE320" s="88">
        <f t="shared" si="98"/>
        <v>0</v>
      </c>
      <c r="AF320" s="88">
        <f t="shared" si="98"/>
        <v>0</v>
      </c>
      <c r="AG320" s="65">
        <f>SUM(F320:AF320)</f>
        <v>2629279.9500000007</v>
      </c>
      <c r="AH320" s="12" t="str">
        <f>IF(ABS(E320-AG320)&lt;0.01,"ok","err")</f>
        <v>ok</v>
      </c>
      <c r="AI320" s="128">
        <f t="shared" ref="AI320:AI328" si="99">M320/AG320</f>
        <v>0</v>
      </c>
      <c r="AJ320" s="86"/>
      <c r="AK320" s="86"/>
      <c r="AL320" s="86"/>
      <c r="AM320" s="86"/>
      <c r="AN320" s="86"/>
      <c r="AO320" s="86"/>
    </row>
    <row r="321" spans="1:41" x14ac:dyDescent="0.2">
      <c r="A321" s="68" t="s">
        <v>329</v>
      </c>
      <c r="D321" s="3" t="s">
        <v>247</v>
      </c>
      <c r="E321" s="24">
        <f t="shared" ref="E321:AF321" si="100">E269</f>
        <v>0</v>
      </c>
      <c r="F321" s="24">
        <f t="shared" si="100"/>
        <v>0</v>
      </c>
      <c r="G321" s="24">
        <f t="shared" si="100"/>
        <v>0</v>
      </c>
      <c r="H321" s="7">
        <f t="shared" si="100"/>
        <v>0</v>
      </c>
      <c r="I321" s="7">
        <f t="shared" si="100"/>
        <v>0</v>
      </c>
      <c r="J321" s="7">
        <f t="shared" si="100"/>
        <v>0</v>
      </c>
      <c r="K321" s="7">
        <f t="shared" si="100"/>
        <v>0</v>
      </c>
      <c r="L321" s="24">
        <f t="shared" si="100"/>
        <v>0</v>
      </c>
      <c r="M321" s="7">
        <f t="shared" si="100"/>
        <v>0</v>
      </c>
      <c r="N321" s="7">
        <f t="shared" si="100"/>
        <v>0</v>
      </c>
      <c r="O321" s="7">
        <f t="shared" si="100"/>
        <v>0</v>
      </c>
      <c r="P321" s="7">
        <f t="shared" si="100"/>
        <v>0</v>
      </c>
      <c r="Q321" s="7">
        <f t="shared" si="100"/>
        <v>0</v>
      </c>
      <c r="R321" s="7">
        <f t="shared" si="100"/>
        <v>0</v>
      </c>
      <c r="S321" s="88">
        <f t="shared" si="100"/>
        <v>0</v>
      </c>
      <c r="T321" s="88">
        <f t="shared" si="100"/>
        <v>0</v>
      </c>
      <c r="U321" s="88">
        <f t="shared" si="100"/>
        <v>0</v>
      </c>
      <c r="V321" s="88">
        <f t="shared" si="100"/>
        <v>0</v>
      </c>
      <c r="W321" s="88">
        <f t="shared" si="100"/>
        <v>0</v>
      </c>
      <c r="X321" s="88">
        <f t="shared" si="100"/>
        <v>0</v>
      </c>
      <c r="Y321" s="88">
        <f t="shared" si="100"/>
        <v>0</v>
      </c>
      <c r="Z321" s="88">
        <f t="shared" si="100"/>
        <v>0</v>
      </c>
      <c r="AA321" s="88">
        <f t="shared" si="100"/>
        <v>0</v>
      </c>
      <c r="AB321" s="88">
        <f t="shared" si="100"/>
        <v>0</v>
      </c>
      <c r="AC321" s="88">
        <f t="shared" si="100"/>
        <v>0</v>
      </c>
      <c r="AD321" s="88">
        <f t="shared" si="100"/>
        <v>0</v>
      </c>
      <c r="AE321" s="88">
        <f t="shared" si="100"/>
        <v>0</v>
      </c>
      <c r="AF321" s="88">
        <f t="shared" si="100"/>
        <v>0</v>
      </c>
      <c r="AG321" s="65">
        <f>SUM(F321:AF321)</f>
        <v>0</v>
      </c>
      <c r="AH321" s="12" t="str">
        <f>IF(ABS(E321-AG321)&lt;0.01,"ok","err")</f>
        <v>ok</v>
      </c>
      <c r="AI321" s="128"/>
      <c r="AJ321" s="86"/>
      <c r="AK321" s="86"/>
      <c r="AL321" s="86"/>
      <c r="AM321" s="86"/>
      <c r="AN321" s="86"/>
      <c r="AO321" s="86"/>
    </row>
    <row r="322" spans="1:41" x14ac:dyDescent="0.2">
      <c r="A322" s="68" t="s">
        <v>330</v>
      </c>
      <c r="E322" s="24">
        <f t="shared" ref="E322:AF322" si="101">E307</f>
        <v>25966.000000000004</v>
      </c>
      <c r="F322" s="24">
        <f t="shared" si="101"/>
        <v>19728.130625600163</v>
      </c>
      <c r="G322" s="24">
        <f t="shared" si="101"/>
        <v>1159.8292649348475</v>
      </c>
      <c r="H322" s="7">
        <f t="shared" si="101"/>
        <v>1545.4725956056429</v>
      </c>
      <c r="I322" s="7">
        <f t="shared" si="101"/>
        <v>682.66421685736896</v>
      </c>
      <c r="J322" s="7">
        <f t="shared" si="101"/>
        <v>224.19254525089096</v>
      </c>
      <c r="K322" s="7">
        <f t="shared" si="101"/>
        <v>2625.7107517510858</v>
      </c>
      <c r="L322" s="24">
        <f t="shared" si="101"/>
        <v>0</v>
      </c>
      <c r="M322" s="7">
        <f t="shared" si="101"/>
        <v>0</v>
      </c>
      <c r="N322" s="7">
        <f t="shared" si="101"/>
        <v>0</v>
      </c>
      <c r="O322" s="7">
        <f t="shared" si="101"/>
        <v>0</v>
      </c>
      <c r="P322" s="7">
        <f t="shared" si="101"/>
        <v>0</v>
      </c>
      <c r="Q322" s="7">
        <f t="shared" si="101"/>
        <v>0</v>
      </c>
      <c r="R322" s="7">
        <f t="shared" si="101"/>
        <v>0</v>
      </c>
      <c r="S322" s="88">
        <f t="shared" si="101"/>
        <v>0</v>
      </c>
      <c r="T322" s="88">
        <f t="shared" si="101"/>
        <v>0</v>
      </c>
      <c r="U322" s="88">
        <f t="shared" si="101"/>
        <v>0</v>
      </c>
      <c r="V322" s="88">
        <f t="shared" si="101"/>
        <v>0</v>
      </c>
      <c r="W322" s="88">
        <f t="shared" si="101"/>
        <v>0</v>
      </c>
      <c r="X322" s="88">
        <f t="shared" si="101"/>
        <v>0</v>
      </c>
      <c r="Y322" s="88">
        <f t="shared" si="101"/>
        <v>0</v>
      </c>
      <c r="Z322" s="88">
        <f t="shared" si="101"/>
        <v>0</v>
      </c>
      <c r="AA322" s="88">
        <f t="shared" si="101"/>
        <v>0</v>
      </c>
      <c r="AB322" s="88">
        <f t="shared" si="101"/>
        <v>0</v>
      </c>
      <c r="AC322" s="88">
        <f t="shared" si="101"/>
        <v>0</v>
      </c>
      <c r="AD322" s="88">
        <f t="shared" si="101"/>
        <v>0</v>
      </c>
      <c r="AE322" s="88">
        <f t="shared" si="101"/>
        <v>0</v>
      </c>
      <c r="AF322" s="88">
        <f t="shared" si="101"/>
        <v>0</v>
      </c>
      <c r="AG322" s="65">
        <f>SUM(F322:AF322)</f>
        <v>25966</v>
      </c>
      <c r="AH322" s="12" t="str">
        <f>IF(ABS(E322-AG322)&lt;0.01,"ok","err")</f>
        <v>ok</v>
      </c>
      <c r="AI322" s="128">
        <f t="shared" si="99"/>
        <v>0</v>
      </c>
      <c r="AJ322" s="86"/>
      <c r="AK322" s="86"/>
      <c r="AL322" s="86"/>
      <c r="AM322" s="86"/>
      <c r="AN322" s="86"/>
      <c r="AO322" s="86"/>
    </row>
    <row r="323" spans="1:41" x14ac:dyDescent="0.2">
      <c r="A323" s="68"/>
      <c r="AG323" s="65"/>
      <c r="AH323" s="12"/>
      <c r="AI323" s="128"/>
      <c r="AJ323" s="86"/>
      <c r="AK323" s="86"/>
      <c r="AL323" s="86"/>
      <c r="AM323" s="86"/>
      <c r="AN323" s="86"/>
      <c r="AO323" s="86"/>
    </row>
    <row r="324" spans="1:41" x14ac:dyDescent="0.2">
      <c r="A324" s="3" t="s">
        <v>331</v>
      </c>
      <c r="C324" s="3" t="s">
        <v>197</v>
      </c>
      <c r="E324" s="65">
        <f t="shared" ref="E324:T324" si="102">SUM(E319:E323)</f>
        <v>27129630.039999999</v>
      </c>
      <c r="F324" s="65">
        <f t="shared" si="102"/>
        <v>20954073.278811205</v>
      </c>
      <c r="G324" s="65">
        <f t="shared" si="102"/>
        <v>1288889.1067005203</v>
      </c>
      <c r="H324" s="65">
        <f t="shared" si="102"/>
        <v>2520118.4562878036</v>
      </c>
      <c r="I324" s="65">
        <f t="shared" si="102"/>
        <v>977801.64785700629</v>
      </c>
      <c r="J324" s="65">
        <f t="shared" si="102"/>
        <v>585191.00832639053</v>
      </c>
      <c r="K324" s="65">
        <f t="shared" si="102"/>
        <v>803556.54201707395</v>
      </c>
      <c r="L324" s="65">
        <f t="shared" si="102"/>
        <v>0</v>
      </c>
      <c r="M324" s="65">
        <f t="shared" si="102"/>
        <v>0</v>
      </c>
      <c r="N324" s="65">
        <f t="shared" si="102"/>
        <v>0</v>
      </c>
      <c r="O324" s="65">
        <f t="shared" si="102"/>
        <v>0</v>
      </c>
      <c r="P324" s="65">
        <f t="shared" si="102"/>
        <v>0</v>
      </c>
      <c r="Q324" s="65">
        <f t="shared" si="102"/>
        <v>0</v>
      </c>
      <c r="R324" s="65">
        <f t="shared" si="102"/>
        <v>0</v>
      </c>
      <c r="S324" s="87">
        <f t="shared" si="102"/>
        <v>0</v>
      </c>
      <c r="T324" s="87">
        <f t="shared" si="102"/>
        <v>0</v>
      </c>
      <c r="U324" s="87">
        <f t="shared" ref="U324:AF324" si="103">SUM(U319:U323)</f>
        <v>0</v>
      </c>
      <c r="V324" s="87">
        <f t="shared" si="103"/>
        <v>0</v>
      </c>
      <c r="W324" s="87">
        <f t="shared" si="103"/>
        <v>0</v>
      </c>
      <c r="X324" s="87">
        <f t="shared" si="103"/>
        <v>0</v>
      </c>
      <c r="Y324" s="87">
        <f t="shared" si="103"/>
        <v>0</v>
      </c>
      <c r="Z324" s="87">
        <f t="shared" si="103"/>
        <v>0</v>
      </c>
      <c r="AA324" s="87">
        <f t="shared" si="103"/>
        <v>0</v>
      </c>
      <c r="AB324" s="87">
        <f t="shared" si="103"/>
        <v>0</v>
      </c>
      <c r="AC324" s="87">
        <f t="shared" si="103"/>
        <v>0</v>
      </c>
      <c r="AD324" s="87">
        <f t="shared" si="103"/>
        <v>0</v>
      </c>
      <c r="AE324" s="87">
        <f t="shared" si="103"/>
        <v>0</v>
      </c>
      <c r="AF324" s="87">
        <f t="shared" si="103"/>
        <v>0</v>
      </c>
      <c r="AG324" s="65">
        <f>SUM(F324:AF324)</f>
        <v>27129630.039999999</v>
      </c>
      <c r="AH324" s="12" t="str">
        <f>IF(ABS(E324-AG324)&lt;0.01,"ok","err")</f>
        <v>ok</v>
      </c>
      <c r="AI324" s="128">
        <f t="shared" si="99"/>
        <v>0</v>
      </c>
      <c r="AJ324" s="86"/>
      <c r="AK324" s="86"/>
      <c r="AL324" s="86"/>
      <c r="AM324" s="86"/>
      <c r="AN324" s="86"/>
      <c r="AO324" s="86"/>
    </row>
    <row r="325" spans="1:41" x14ac:dyDescent="0.2">
      <c r="A325" s="68"/>
      <c r="AI325" s="128"/>
    </row>
    <row r="326" spans="1:41" x14ac:dyDescent="0.2">
      <c r="A326" s="3" t="s">
        <v>332</v>
      </c>
      <c r="C326" s="3" t="s">
        <v>181</v>
      </c>
      <c r="E326" s="65">
        <f>E316-E324</f>
        <v>-567461.03999999911</v>
      </c>
      <c r="F326" s="65">
        <f t="shared" ref="F326:R326" si="104">F316-F324</f>
        <v>-842219.94634560123</v>
      </c>
      <c r="G326" s="65">
        <f t="shared" si="104"/>
        <v>144995.56224957202</v>
      </c>
      <c r="H326" s="65">
        <f t="shared" si="104"/>
        <v>-20804.879037131555</v>
      </c>
      <c r="I326" s="65">
        <f t="shared" si="104"/>
        <v>74026.353359667235</v>
      </c>
      <c r="J326" s="65">
        <f t="shared" si="104"/>
        <v>-9000.6781750296941</v>
      </c>
      <c r="K326" s="65">
        <f t="shared" si="104"/>
        <v>85542.547948520165</v>
      </c>
      <c r="L326" s="65">
        <f t="shared" si="104"/>
        <v>0</v>
      </c>
      <c r="M326" s="65">
        <f t="shared" si="104"/>
        <v>0</v>
      </c>
      <c r="N326" s="65">
        <f t="shared" si="104"/>
        <v>0</v>
      </c>
      <c r="O326" s="65">
        <f t="shared" si="104"/>
        <v>0</v>
      </c>
      <c r="P326" s="65">
        <f t="shared" si="104"/>
        <v>0</v>
      </c>
      <c r="Q326" s="65">
        <f>Q316-Q324</f>
        <v>0</v>
      </c>
      <c r="R326" s="65">
        <f t="shared" si="104"/>
        <v>0</v>
      </c>
      <c r="S326" s="87">
        <f>S316-S324</f>
        <v>0</v>
      </c>
      <c r="T326" s="87">
        <f>T316-T324</f>
        <v>0</v>
      </c>
      <c r="U326" s="87">
        <f t="shared" ref="U326:AF326" si="105">U316-U324</f>
        <v>0</v>
      </c>
      <c r="V326" s="87">
        <f t="shared" si="105"/>
        <v>0</v>
      </c>
      <c r="W326" s="87">
        <f t="shared" si="105"/>
        <v>0</v>
      </c>
      <c r="X326" s="87">
        <f t="shared" si="105"/>
        <v>0</v>
      </c>
      <c r="Y326" s="87">
        <f t="shared" si="105"/>
        <v>0</v>
      </c>
      <c r="Z326" s="87">
        <f t="shared" si="105"/>
        <v>0</v>
      </c>
      <c r="AA326" s="87">
        <f t="shared" si="105"/>
        <v>0</v>
      </c>
      <c r="AB326" s="87">
        <f t="shared" si="105"/>
        <v>0</v>
      </c>
      <c r="AC326" s="87">
        <f t="shared" si="105"/>
        <v>0</v>
      </c>
      <c r="AD326" s="87">
        <f t="shared" si="105"/>
        <v>0</v>
      </c>
      <c r="AE326" s="87">
        <f t="shared" si="105"/>
        <v>0</v>
      </c>
      <c r="AF326" s="87">
        <f t="shared" si="105"/>
        <v>0</v>
      </c>
      <c r="AG326" s="65">
        <f>SUM(F326:AF326)</f>
        <v>-567461.04000000306</v>
      </c>
      <c r="AH326" s="12" t="str">
        <f>IF(ABS(E326-AG326)&lt;0.01,"ok","err")</f>
        <v>ok</v>
      </c>
      <c r="AI326" s="128">
        <f t="shared" si="99"/>
        <v>0</v>
      </c>
    </row>
    <row r="327" spans="1:41" x14ac:dyDescent="0.2">
      <c r="AI327" s="128"/>
    </row>
    <row r="328" spans="1:41" x14ac:dyDescent="0.2">
      <c r="A328" s="2" t="s">
        <v>248</v>
      </c>
      <c r="E328" s="65">
        <f t="shared" ref="E328:AF328" si="106">E117</f>
        <v>35397246.132403851</v>
      </c>
      <c r="F328" s="65">
        <f t="shared" si="106"/>
        <v>26955196.744410895</v>
      </c>
      <c r="G328" s="65">
        <f t="shared" si="106"/>
        <v>1588169.6497079157</v>
      </c>
      <c r="H328" s="65">
        <f t="shared" si="106"/>
        <v>2099111.9358035247</v>
      </c>
      <c r="I328" s="65">
        <f t="shared" si="106"/>
        <v>924976.46168766893</v>
      </c>
      <c r="J328" s="65">
        <f t="shared" si="106"/>
        <v>303914.53920634778</v>
      </c>
      <c r="K328" s="65">
        <f t="shared" si="106"/>
        <v>3525876.8015874978</v>
      </c>
      <c r="L328" s="65">
        <f t="shared" si="106"/>
        <v>0</v>
      </c>
      <c r="M328" s="65">
        <f t="shared" si="106"/>
        <v>0</v>
      </c>
      <c r="N328" s="65">
        <f t="shared" si="106"/>
        <v>0</v>
      </c>
      <c r="O328" s="65">
        <f t="shared" si="106"/>
        <v>0</v>
      </c>
      <c r="P328" s="65">
        <f t="shared" si="106"/>
        <v>0</v>
      </c>
      <c r="Q328" s="65">
        <f t="shared" si="106"/>
        <v>0</v>
      </c>
      <c r="R328" s="65">
        <f t="shared" si="106"/>
        <v>0</v>
      </c>
      <c r="S328" s="87">
        <f t="shared" si="106"/>
        <v>0</v>
      </c>
      <c r="T328" s="87">
        <f t="shared" si="106"/>
        <v>0</v>
      </c>
      <c r="U328" s="87">
        <f t="shared" si="106"/>
        <v>0</v>
      </c>
      <c r="V328" s="87">
        <f t="shared" si="106"/>
        <v>0</v>
      </c>
      <c r="W328" s="87">
        <f t="shared" si="106"/>
        <v>0</v>
      </c>
      <c r="X328" s="87">
        <f t="shared" si="106"/>
        <v>0</v>
      </c>
      <c r="Y328" s="87">
        <f t="shared" si="106"/>
        <v>0</v>
      </c>
      <c r="Z328" s="87">
        <f t="shared" si="106"/>
        <v>0</v>
      </c>
      <c r="AA328" s="87">
        <f t="shared" si="106"/>
        <v>0</v>
      </c>
      <c r="AB328" s="87">
        <f t="shared" si="106"/>
        <v>0</v>
      </c>
      <c r="AC328" s="87">
        <f t="shared" si="106"/>
        <v>0</v>
      </c>
      <c r="AD328" s="87">
        <f t="shared" si="106"/>
        <v>0</v>
      </c>
      <c r="AE328" s="87">
        <f t="shared" si="106"/>
        <v>0</v>
      </c>
      <c r="AF328" s="87">
        <f t="shared" si="106"/>
        <v>0</v>
      </c>
      <c r="AG328" s="65">
        <f>SUM(F328:AF328)</f>
        <v>35397246.132403851</v>
      </c>
      <c r="AH328" s="12" t="str">
        <f>IF(ABS(E328-AG328)&lt;0.01,"ok","err")</f>
        <v>ok</v>
      </c>
      <c r="AI328" s="128">
        <f t="shared" si="99"/>
        <v>0</v>
      </c>
    </row>
    <row r="329" spans="1:41" ht="13.5" thickBot="1" x14ac:dyDescent="0.25"/>
    <row r="330" spans="1:41" s="2" customFormat="1" ht="13.5" thickBot="1" x14ac:dyDescent="0.25">
      <c r="A330" s="89" t="s">
        <v>333</v>
      </c>
      <c r="B330" s="90"/>
      <c r="C330" s="90"/>
      <c r="D330" s="90"/>
      <c r="E330" s="91">
        <f>E326/E328</f>
        <v>-1.6031219995968158E-2</v>
      </c>
      <c r="F330" s="92">
        <f t="shared" ref="F330:R330" si="107">F326/F328</f>
        <v>-3.1245178966101735E-2</v>
      </c>
      <c r="G330" s="92">
        <f t="shared" si="107"/>
        <v>9.1297275625584776E-2</v>
      </c>
      <c r="H330" s="91">
        <f t="shared" si="107"/>
        <v>-9.9112766128727665E-3</v>
      </c>
      <c r="I330" s="91">
        <f t="shared" si="107"/>
        <v>8.0030526641296576E-2</v>
      </c>
      <c r="J330" s="91">
        <f t="shared" si="107"/>
        <v>-2.961581962657777E-2</v>
      </c>
      <c r="K330" s="91">
        <f t="shared" si="107"/>
        <v>2.4261354767133474E-2</v>
      </c>
      <c r="L330" s="92" t="e">
        <f t="shared" si="107"/>
        <v>#DIV/0!</v>
      </c>
      <c r="M330" s="91" t="e">
        <f t="shared" si="107"/>
        <v>#DIV/0!</v>
      </c>
      <c r="N330" s="91" t="e">
        <f t="shared" si="107"/>
        <v>#DIV/0!</v>
      </c>
      <c r="O330" s="91" t="e">
        <f t="shared" si="107"/>
        <v>#DIV/0!</v>
      </c>
      <c r="P330" s="91" t="e">
        <f t="shared" si="107"/>
        <v>#DIV/0!</v>
      </c>
      <c r="Q330" s="91" t="e">
        <f>Q326/Q328</f>
        <v>#DIV/0!</v>
      </c>
      <c r="R330" s="91" t="e">
        <f t="shared" si="107"/>
        <v>#DIV/0!</v>
      </c>
      <c r="S330" s="93" t="e">
        <f>S326/S328</f>
        <v>#DIV/0!</v>
      </c>
      <c r="T330" s="93" t="e">
        <f>T326/T328</f>
        <v>#DIV/0!</v>
      </c>
      <c r="U330" s="93" t="e">
        <f t="shared" ref="U330:AG330" si="108">U326/U328</f>
        <v>#DIV/0!</v>
      </c>
      <c r="V330" s="93" t="e">
        <f t="shared" si="108"/>
        <v>#DIV/0!</v>
      </c>
      <c r="W330" s="93" t="e">
        <f t="shared" si="108"/>
        <v>#DIV/0!</v>
      </c>
      <c r="X330" s="93" t="e">
        <f t="shared" si="108"/>
        <v>#DIV/0!</v>
      </c>
      <c r="Y330" s="93" t="e">
        <f t="shared" si="108"/>
        <v>#DIV/0!</v>
      </c>
      <c r="Z330" s="93" t="e">
        <f t="shared" si="108"/>
        <v>#DIV/0!</v>
      </c>
      <c r="AA330" s="93" t="e">
        <f t="shared" si="108"/>
        <v>#DIV/0!</v>
      </c>
      <c r="AB330" s="93" t="e">
        <f t="shared" si="108"/>
        <v>#DIV/0!</v>
      </c>
      <c r="AC330" s="93" t="e">
        <f t="shared" si="108"/>
        <v>#DIV/0!</v>
      </c>
      <c r="AD330" s="93" t="e">
        <f t="shared" si="108"/>
        <v>#DIV/0!</v>
      </c>
      <c r="AE330" s="93" t="e">
        <f t="shared" si="108"/>
        <v>#DIV/0!</v>
      </c>
      <c r="AF330" s="93" t="e">
        <f t="shared" si="108"/>
        <v>#DIV/0!</v>
      </c>
      <c r="AG330" s="91">
        <f t="shared" si="108"/>
        <v>-1.6031219995968269E-2</v>
      </c>
      <c r="AH330" s="12" t="str">
        <f>IF(ABS(E330-AG330)&lt;0.01,"ok","err")</f>
        <v>ok</v>
      </c>
      <c r="AK330" s="94"/>
    </row>
    <row r="331" spans="1:41" s="2" customFormat="1" x14ac:dyDescent="0.2">
      <c r="A331" s="2" t="s">
        <v>916</v>
      </c>
      <c r="E331" s="95">
        <f>E330/$E$330</f>
        <v>1</v>
      </c>
      <c r="F331" s="95">
        <f t="shared" ref="F331:AF331" si="109">F330/$E$330</f>
        <v>1.9490206593110118</v>
      </c>
      <c r="G331" s="95">
        <f t="shared" si="109"/>
        <v>-5.6949674228502873</v>
      </c>
      <c r="H331" s="95">
        <f t="shared" si="109"/>
        <v>0.6182484312089439</v>
      </c>
      <c r="I331" s="95">
        <f t="shared" si="109"/>
        <v>-4.9921669505767001</v>
      </c>
      <c r="J331" s="95">
        <f t="shared" si="109"/>
        <v>1.8473840190594435</v>
      </c>
      <c r="K331" s="95">
        <f t="shared" si="109"/>
        <v>-1.513381687309836</v>
      </c>
      <c r="L331" s="95" t="e">
        <f t="shared" si="109"/>
        <v>#DIV/0!</v>
      </c>
      <c r="M331" s="95" t="e">
        <f t="shared" si="109"/>
        <v>#DIV/0!</v>
      </c>
      <c r="N331" s="95" t="e">
        <f t="shared" si="109"/>
        <v>#DIV/0!</v>
      </c>
      <c r="O331" s="95" t="e">
        <f t="shared" si="109"/>
        <v>#DIV/0!</v>
      </c>
      <c r="P331" s="95" t="e">
        <f t="shared" si="109"/>
        <v>#DIV/0!</v>
      </c>
      <c r="Q331" s="95" t="e">
        <f t="shared" si="109"/>
        <v>#DIV/0!</v>
      </c>
      <c r="R331" s="95" t="e">
        <f t="shared" si="109"/>
        <v>#DIV/0!</v>
      </c>
      <c r="S331" s="95" t="e">
        <f t="shared" si="109"/>
        <v>#DIV/0!</v>
      </c>
      <c r="T331" s="95" t="e">
        <f t="shared" si="109"/>
        <v>#DIV/0!</v>
      </c>
      <c r="U331" s="95" t="e">
        <f t="shared" si="109"/>
        <v>#DIV/0!</v>
      </c>
      <c r="V331" s="95" t="e">
        <f t="shared" si="109"/>
        <v>#DIV/0!</v>
      </c>
      <c r="W331" s="95" t="e">
        <f t="shared" si="109"/>
        <v>#DIV/0!</v>
      </c>
      <c r="X331" s="95" t="e">
        <f t="shared" si="109"/>
        <v>#DIV/0!</v>
      </c>
      <c r="Y331" s="95" t="e">
        <f t="shared" si="109"/>
        <v>#DIV/0!</v>
      </c>
      <c r="Z331" s="95" t="e">
        <f t="shared" si="109"/>
        <v>#DIV/0!</v>
      </c>
      <c r="AA331" s="95" t="e">
        <f t="shared" si="109"/>
        <v>#DIV/0!</v>
      </c>
      <c r="AB331" s="95" t="e">
        <f t="shared" si="109"/>
        <v>#DIV/0!</v>
      </c>
      <c r="AC331" s="95" t="e">
        <f t="shared" si="109"/>
        <v>#DIV/0!</v>
      </c>
      <c r="AD331" s="95" t="e">
        <f t="shared" si="109"/>
        <v>#DIV/0!</v>
      </c>
      <c r="AE331" s="95" t="e">
        <f t="shared" si="109"/>
        <v>#DIV/0!</v>
      </c>
      <c r="AF331" s="95" t="e">
        <f t="shared" si="109"/>
        <v>#DIV/0!</v>
      </c>
      <c r="AG331" s="96"/>
      <c r="AH331" s="12"/>
      <c r="AK331" s="94"/>
    </row>
    <row r="334" spans="1:41" x14ac:dyDescent="0.2">
      <c r="A334" s="10" t="s">
        <v>836</v>
      </c>
    </row>
    <row r="336" spans="1:41" x14ac:dyDescent="0.2">
      <c r="A336" s="2" t="s">
        <v>322</v>
      </c>
    </row>
    <row r="338" spans="1:41" x14ac:dyDescent="0.2">
      <c r="A338" s="3" t="s">
        <v>568</v>
      </c>
      <c r="E338" s="65">
        <f t="shared" ref="E338:AF338" si="110">E316</f>
        <v>26562169</v>
      </c>
      <c r="F338" s="65">
        <f t="shared" si="110"/>
        <v>20111853.332465604</v>
      </c>
      <c r="G338" s="65">
        <f t="shared" si="110"/>
        <v>1433884.6689500923</v>
      </c>
      <c r="H338" s="65">
        <f t="shared" si="110"/>
        <v>2499313.577250672</v>
      </c>
      <c r="I338" s="65">
        <f t="shared" si="110"/>
        <v>1051828.0012166735</v>
      </c>
      <c r="J338" s="65">
        <f t="shared" si="110"/>
        <v>576190.33015136083</v>
      </c>
      <c r="K338" s="65">
        <f t="shared" si="110"/>
        <v>889099.08996559412</v>
      </c>
      <c r="L338" s="65">
        <f t="shared" si="110"/>
        <v>0</v>
      </c>
      <c r="M338" s="65">
        <f t="shared" si="110"/>
        <v>0</v>
      </c>
      <c r="N338" s="65">
        <f t="shared" si="110"/>
        <v>0</v>
      </c>
      <c r="O338" s="65">
        <f t="shared" si="110"/>
        <v>0</v>
      </c>
      <c r="P338" s="65">
        <f t="shared" si="110"/>
        <v>0</v>
      </c>
      <c r="Q338" s="65">
        <f t="shared" si="110"/>
        <v>0</v>
      </c>
      <c r="R338" s="65">
        <f t="shared" si="110"/>
        <v>0</v>
      </c>
      <c r="S338" s="87">
        <f t="shared" si="110"/>
        <v>0</v>
      </c>
      <c r="T338" s="87">
        <f t="shared" si="110"/>
        <v>0</v>
      </c>
      <c r="U338" s="87">
        <f t="shared" si="110"/>
        <v>0</v>
      </c>
      <c r="V338" s="87">
        <f t="shared" si="110"/>
        <v>0</v>
      </c>
      <c r="W338" s="87">
        <f t="shared" si="110"/>
        <v>0</v>
      </c>
      <c r="X338" s="87">
        <f t="shared" si="110"/>
        <v>0</v>
      </c>
      <c r="Y338" s="87">
        <f t="shared" si="110"/>
        <v>0</v>
      </c>
      <c r="Z338" s="87">
        <f t="shared" si="110"/>
        <v>0</v>
      </c>
      <c r="AA338" s="87">
        <f t="shared" si="110"/>
        <v>0</v>
      </c>
      <c r="AB338" s="87">
        <f t="shared" si="110"/>
        <v>0</v>
      </c>
      <c r="AC338" s="87">
        <f t="shared" si="110"/>
        <v>0</v>
      </c>
      <c r="AD338" s="87">
        <f t="shared" si="110"/>
        <v>0</v>
      </c>
      <c r="AE338" s="87">
        <f t="shared" si="110"/>
        <v>0</v>
      </c>
      <c r="AF338" s="87">
        <f t="shared" si="110"/>
        <v>0</v>
      </c>
      <c r="AG338" s="65">
        <f>SUM(F338:AF338)</f>
        <v>26562168.999999993</v>
      </c>
      <c r="AH338" s="12" t="str">
        <f>IF(ABS(E338-AG338)&lt;0.01,"ok","err")</f>
        <v>ok</v>
      </c>
    </row>
    <row r="339" spans="1:41" x14ac:dyDescent="0.2"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87"/>
      <c r="T339" s="87"/>
      <c r="U339" s="87"/>
      <c r="V339" s="87"/>
      <c r="W339" s="87"/>
      <c r="X339" s="87"/>
      <c r="Y339" s="87"/>
      <c r="Z339" s="87"/>
      <c r="AA339" s="87"/>
      <c r="AB339" s="87"/>
      <c r="AC339" s="87"/>
      <c r="AD339" s="87"/>
      <c r="AE339" s="87"/>
      <c r="AF339" s="87"/>
      <c r="AG339" s="65"/>
      <c r="AH339" s="12"/>
    </row>
    <row r="340" spans="1:41" x14ac:dyDescent="0.2">
      <c r="A340" s="3" t="s">
        <v>569</v>
      </c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87"/>
      <c r="T340" s="87"/>
      <c r="U340" s="87"/>
      <c r="V340" s="87"/>
      <c r="W340" s="87"/>
      <c r="X340" s="87"/>
      <c r="Y340" s="87"/>
      <c r="Z340" s="87"/>
      <c r="AA340" s="87"/>
      <c r="AB340" s="87"/>
      <c r="AC340" s="87"/>
      <c r="AD340" s="87"/>
      <c r="AE340" s="87"/>
      <c r="AF340" s="87"/>
      <c r="AG340" s="65"/>
      <c r="AH340" s="12"/>
      <c r="AJ340" s="11" t="s">
        <v>1110</v>
      </c>
    </row>
    <row r="341" spans="1:41" x14ac:dyDescent="0.2">
      <c r="A341" s="3">
        <v>1</v>
      </c>
      <c r="B341" s="208" t="s">
        <v>1022</v>
      </c>
      <c r="D341" s="3" t="s">
        <v>929</v>
      </c>
      <c r="E341" s="65">
        <f>AJ341*AK341</f>
        <v>-2344584.2400000002</v>
      </c>
      <c r="F341" s="41">
        <f>IF(VLOOKUP($D341,$C$5:$AU$516,3,)=0,0,(VLOOKUP($D341,$C$5:$AU$516,4,)/VLOOKUP($D341,$C$5:$AU$516,3,))*$E341)</f>
        <v>-1753824.9000000001</v>
      </c>
      <c r="G341" s="41">
        <f>IF(VLOOKUP($D341,$C$5:$AU$516,3,)=0,0,(VLOOKUP($D341,$C$5:$AU$516,5,)/VLOOKUP($D341,$C$5:$AU$516,3,))*$E341)</f>
        <v>-104385.43</v>
      </c>
      <c r="H341" s="41">
        <f>IF(VLOOKUP($D341,$C$5:$AU$516,3,)=0,0,(VLOOKUP($D341,$C$5:$AU$516,6,)/VLOOKUP($D341,$C$5:$AU$516,3,))*$E341)</f>
        <v>-276653.20999999996</v>
      </c>
      <c r="I341" s="41">
        <f>IF(VLOOKUP($D341,$C$5:$AU$516,3,)=0,0,(VLOOKUP($D341,$C$5:$AU$516,7,)/VLOOKUP($D341,$C$5:$AU$516,3,))*$E341)</f>
        <v>-127876.38999999997</v>
      </c>
      <c r="J341" s="41">
        <f>IF(VLOOKUP($D341,$C$5:$AU$516,3,)=0,0,(VLOOKUP($D341,$C$5:$AU$516,8,)/VLOOKUP($D341,$C$5:$AU$516,3,))*$E341)</f>
        <v>-81844.309999999983</v>
      </c>
      <c r="K341" s="41">
        <f>IF(VLOOKUP($D341,$C$5:$AU$516,3,)=0,0,(VLOOKUP($D341,$C$5:$AU$516,9,)/VLOOKUP($D341,$C$5:$AU$516,3,))*$E341)</f>
        <v>0</v>
      </c>
      <c r="L341" s="41">
        <f>IF(VLOOKUP($D341,$C$5:$AU$516,3,)=0,0,(VLOOKUP($D341,$C$5:$AU$516,10,)/VLOOKUP($D341,$C$5:$AU$516,3,))*$E341)</f>
        <v>0</v>
      </c>
      <c r="M341" s="19">
        <f>IF(VLOOKUP($D341,$C$5:$AU$516,3,)=0,0,(VLOOKUP($D341,$C$5:$AU$516,11,)/VLOOKUP($D341,$C$5:$AU$516,3,))*$E341)</f>
        <v>0</v>
      </c>
      <c r="N341" s="19">
        <f>IF(VLOOKUP($D341,$C$5:$AU$516,3,)=0,0,(VLOOKUP($D341,$C$5:$AU$516,12,)/VLOOKUP($D341,$C$5:$AU$516,3,))*$E341)</f>
        <v>0</v>
      </c>
      <c r="O341" s="19">
        <f>IF(VLOOKUP($D341,$C$5:$AU$516,3,)=0,0,(VLOOKUP($D341,$C$5:$AU$516,13,)/VLOOKUP($D341,$C$5:$AU$516,3,))*$E341)</f>
        <v>0</v>
      </c>
      <c r="P341" s="19">
        <f>IF(VLOOKUP($D341,$C$5:$AU$516,3,)=0,0,(VLOOKUP($D341,$C$5:$AU$516,14,)/VLOOKUP($D341,$C$5:$AU$516,3,))*$E341)</f>
        <v>0</v>
      </c>
      <c r="Q341" s="19">
        <f>IF(VLOOKUP($D341,$C$5:$AU$516,3,)=0,0,(VLOOKUP($D341,$C$5:$AU$516,15,)/VLOOKUP($D341,$C$5:$AU$516,3,))*$E341)</f>
        <v>0</v>
      </c>
      <c r="R341" s="19">
        <f>IF(VLOOKUP($D341,$C$5:$AU$516,3,)=0,0,(VLOOKUP($D341,$C$5:$AU$516,16,)/VLOOKUP($D341,$C$5:$AU$516,3,))*$E341)</f>
        <v>0</v>
      </c>
      <c r="S341" s="80">
        <f>IF(VLOOKUP($D341,$C$5:$AU$516,3,)=0,0,(VLOOKUP($D341,$C$5:$AU$516,17,)/VLOOKUP($D341,$C$5:$AU$516,3,))*$E341)</f>
        <v>0</v>
      </c>
      <c r="T341" s="80">
        <f>IF(VLOOKUP($D341,$C$5:$AU$516,3,)=0,0,(VLOOKUP($D341,$C$5:$AU$516,18,)/VLOOKUP($D341,$C$5:$AU$516,3,))*$E341)</f>
        <v>0</v>
      </c>
      <c r="U341" s="80">
        <f>IF(VLOOKUP($D341,$C$5:$AU$516,3,)=0,0,(VLOOKUP($D341,$C$5:$AU$516,19,)/VLOOKUP($D341,$C$5:$AU$516,3,))*$E341)</f>
        <v>0</v>
      </c>
      <c r="V341" s="80">
        <f>IF(VLOOKUP($D341,$C$5:$AU$516,3,)=0,0,(VLOOKUP($D341,$C$5:$AU$516,20,)/VLOOKUP($D341,$C$5:$AU$516,3,))*$E341)</f>
        <v>0</v>
      </c>
      <c r="W341" s="80">
        <f>IF(VLOOKUP($D341,$C$5:$AU$516,3,)=0,0,(VLOOKUP($D341,$C$5:$AU$516,21,)/VLOOKUP($D341,$C$5:$AU$516,3,))*$E341)</f>
        <v>0</v>
      </c>
      <c r="X341" s="80">
        <f>IF(VLOOKUP($D341,$C$5:$AU$516,3,)=0,0,(VLOOKUP($D341,$C$5:$AU$516,22,)/VLOOKUP($D341,$C$5:$AU$516,3,))*$E341)</f>
        <v>0</v>
      </c>
      <c r="Y341" s="80">
        <f>IF(VLOOKUP($D341,$C$5:$AU$516,3,)=0,0,(VLOOKUP($D341,$C$5:$AU$516,23,)/VLOOKUP($D341,$C$5:$AU$516,3,))*$E341)</f>
        <v>0</v>
      </c>
      <c r="Z341" s="80">
        <f>IF(VLOOKUP($D341,$C$5:$AU$516,3,)=0,0,(VLOOKUP($D341,$C$5:$AU$516,24,)/VLOOKUP($D341,$C$5:$AU$516,3,))*$E341)</f>
        <v>0</v>
      </c>
      <c r="AA341" s="80">
        <f>IF(VLOOKUP($D341,$C$5:$AU$516,3,)=0,0,(VLOOKUP($D341,$C$5:$AU$516,25,)/VLOOKUP($D341,$C$5:$AU$516,3,))*$E341)</f>
        <v>0</v>
      </c>
      <c r="AB341" s="80">
        <f>IF(VLOOKUP($D341,$C$5:$AU$516,3,)=0,0,(VLOOKUP($D341,$C$5:$AU$516,26,)/VLOOKUP($D341,$C$5:$AU$516,3,))*$E341)</f>
        <v>0</v>
      </c>
      <c r="AC341" s="80">
        <f>IF(VLOOKUP($D341,$C$5:$AU$516,3,)=0,0,(VLOOKUP($D341,$C$5:$AU$516,27,)/VLOOKUP($D341,$C$5:$AU$516,3,))*$E341)</f>
        <v>0</v>
      </c>
      <c r="AD341" s="80">
        <f>IF(VLOOKUP($D341,$C$5:$AU$516,3,)=0,0,(VLOOKUP($D341,$C$5:$AU$516,28,)/VLOOKUP($D341,$C$5:$AU$516,3,))*$E341)</f>
        <v>0</v>
      </c>
      <c r="AE341" s="80">
        <f>IF(VLOOKUP($D341,$C$5:$AU$516,3,)=0,0,(VLOOKUP($D341,$C$5:$AU$516,29,)/VLOOKUP($D341,$C$5:$AU$516,3,))*$E341)</f>
        <v>0</v>
      </c>
      <c r="AF341" s="80">
        <f>IF(VLOOKUP($D341,$C$5:$AU$516,3,)=0,0,(VLOOKUP($D341,$C$5:$AU$516,30,)/VLOOKUP($D341,$C$5:$AU$516,3,))*$E341)</f>
        <v>0</v>
      </c>
      <c r="AG341" s="65">
        <f>SUM(F341:AF341)</f>
        <v>-2344584.2400000002</v>
      </c>
      <c r="AH341" s="12" t="str">
        <f t="shared" ref="AH341" si="111">IF(ABS(E341-AG341)&lt;0.01,"ok","err")</f>
        <v>ok</v>
      </c>
      <c r="AJ341" s="3">
        <v>1</v>
      </c>
      <c r="AK341" s="7">
        <v>-2344584.2400000002</v>
      </c>
    </row>
    <row r="342" spans="1:41" x14ac:dyDescent="0.2">
      <c r="A342" s="3">
        <v>2</v>
      </c>
      <c r="B342" s="208" t="s">
        <v>1023</v>
      </c>
      <c r="D342" s="3" t="s">
        <v>930</v>
      </c>
      <c r="E342" s="65">
        <f t="shared" ref="E342:E343" si="112">AJ342*AK342</f>
        <v>-2508036.1800000002</v>
      </c>
      <c r="F342" s="65">
        <f>IF(VLOOKUP($D342,$C$5:$AU$534,3,)=0,0,(VLOOKUP($D342,$C$5:$AU$534,4,)/VLOOKUP($D342,$C$5:$AU$534,3,))*$E342)</f>
        <v>-1956145.4699999997</v>
      </c>
      <c r="G342" s="65">
        <f>IF(VLOOKUP($D342,$C$5:$AU$534,3,)=0,0,(VLOOKUP($D342,$C$5:$AU$534,5,)/VLOOKUP($D342,$C$5:$AU$534,3,))*$E342)</f>
        <v>-138215.58999999997</v>
      </c>
      <c r="H342" s="65">
        <f>IF(VLOOKUP($D342,$C$5:$AU$534,3,)=0,0,(VLOOKUP($D342,$C$5:$AU$534,6,)/VLOOKUP($D342,$C$5:$AU$534,3,))*$E342)</f>
        <v>-255330.86</v>
      </c>
      <c r="I342" s="65">
        <f>IF(VLOOKUP($D342,$C$5:$AU$534,3,)=0,0,(VLOOKUP($D342,$C$5:$AU$534,7,)/VLOOKUP($D342,$C$5:$AU$534,3,))*$E342)</f>
        <v>-102233.94999999997</v>
      </c>
      <c r="J342" s="65">
        <f>IF(VLOOKUP($D342,$C$5:$AU$534,3,)=0,0,(VLOOKUP($D342,$C$5:$AU$534,8,)/VLOOKUP($D342,$C$5:$AU$534,3,))*$E342)</f>
        <v>-56110.30999999999</v>
      </c>
      <c r="K342" s="65">
        <f>IF(VLOOKUP($D342,$C$5:$AU$534,3,)=0,0,(VLOOKUP($D342,$C$5:$AU$534,9,)/VLOOKUP($D342,$C$5:$AU$534,3,))*$E342)</f>
        <v>0</v>
      </c>
      <c r="L342" s="41">
        <f>IF(VLOOKUP($D342,$C$5:$AU$534,3,)=0,0,(VLOOKUP($D342,$C$5:$AU$534,10,)/VLOOKUP($D342,$C$5:$AU$534,3,))*$E342)</f>
        <v>0</v>
      </c>
      <c r="M342" s="19">
        <f>IF(VLOOKUP($D342,$C$5:$AU$534,3,)=0,0,(VLOOKUP($D342,$C$5:$AU$534,11,)/VLOOKUP($D342,$C$5:$AU$534,3,))*$E342)</f>
        <v>0</v>
      </c>
      <c r="N342" s="19">
        <f>IF(VLOOKUP($D342,$C$5:$AU$534,3,)=0,0,(VLOOKUP($D342,$C$5:$AU$534,12,)/VLOOKUP($D342,$C$5:$AU$534,3,))*$E342)</f>
        <v>0</v>
      </c>
      <c r="O342" s="19">
        <f>IF(VLOOKUP($D342,$C$5:$AU$534,3,)=0,0,(VLOOKUP($D342,$C$5:$AU$534,13,)/VLOOKUP($D342,$C$5:$AU$534,3,))*$E342)</f>
        <v>0</v>
      </c>
      <c r="P342" s="19">
        <f>IF(VLOOKUP($D342,$C$5:$AU$534,3,)=0,0,(VLOOKUP($D342,$C$5:$AU$534,14,)/VLOOKUP($D342,$C$5:$AU$534,3,))*$E342)</f>
        <v>0</v>
      </c>
      <c r="Q342" s="19">
        <f>IF(VLOOKUP($D342,$C$5:$AU$534,3,)=0,0,(VLOOKUP($D342,$C$5:$AU$534,15,)/VLOOKUP($D342,$C$5:$AU$534,3,))*$E342)</f>
        <v>0</v>
      </c>
      <c r="R342" s="19">
        <f>IF(VLOOKUP($D342,$C$5:$AU$534,3,)=0,0,(VLOOKUP($D342,$C$5:$AU$534,16,)/VLOOKUP($D342,$C$5:$AU$534,3,))*$E342)</f>
        <v>0</v>
      </c>
      <c r="S342" s="80">
        <f>IF(VLOOKUP($D342,$C$5:$AU$534,3,)=0,0,(VLOOKUP($D342,$C$5:$AU$534,17,)/VLOOKUP($D342,$C$5:$AU$534,3,))*$E342)</f>
        <v>0</v>
      </c>
      <c r="T342" s="80">
        <f>IF(VLOOKUP($D342,$C$5:$AU$534,3,)=0,0,(VLOOKUP($D342,$C$5:$AU$534,18,)/VLOOKUP($D342,$C$5:$AU$534,3,))*$E342)</f>
        <v>0</v>
      </c>
      <c r="U342" s="80">
        <f>IF(VLOOKUP($D342,$C$5:$AU$534,3,)=0,0,(VLOOKUP($D342,$C$5:$AU$534,19,)/VLOOKUP($D342,$C$5:$AU$534,3,))*$E342)</f>
        <v>0</v>
      </c>
      <c r="V342" s="80">
        <f>IF(VLOOKUP($D342,$C$5:$AU$534,3,)=0,0,(VLOOKUP($D342,$C$5:$AU$534,20,)/VLOOKUP($D342,$C$5:$AU$534,3,))*$E342)</f>
        <v>0</v>
      </c>
      <c r="W342" s="80">
        <f>IF(VLOOKUP($D342,$C$5:$AU$534,3,)=0,0,(VLOOKUP($D342,$C$5:$AU$534,21,)/VLOOKUP($D342,$C$5:$AU$534,3,))*$E342)</f>
        <v>0</v>
      </c>
      <c r="X342" s="80">
        <f>IF(VLOOKUP($D342,$C$5:$AU$534,3,)=0,0,(VLOOKUP($D342,$C$5:$AU$534,22,)/VLOOKUP($D342,$C$5:$AU$534,3,))*$E342)</f>
        <v>0</v>
      </c>
      <c r="Y342" s="80">
        <f>IF(VLOOKUP($D342,$C$5:$AU$534,3,)=0,0,(VLOOKUP($D342,$C$5:$AU$534,23,)/VLOOKUP($D342,$C$5:$AU$534,3,))*$E342)</f>
        <v>0</v>
      </c>
      <c r="Z342" s="80">
        <f>IF(VLOOKUP($D342,$C$5:$AU$534,3,)=0,0,(VLOOKUP($D342,$C$5:$AU$534,24,)/VLOOKUP($D342,$C$5:$AU$534,3,))*$E342)</f>
        <v>0</v>
      </c>
      <c r="AA342" s="80">
        <f>IF(VLOOKUP($D342,$C$5:$AU$534,3,)=0,0,(VLOOKUP($D342,$C$5:$AU$534,25,)/VLOOKUP($D342,$C$5:$AU$534,3,))*$E342)</f>
        <v>0</v>
      </c>
      <c r="AB342" s="80">
        <f>IF(VLOOKUP($D342,$C$5:$AU$534,3,)=0,0,(VLOOKUP($D342,$C$5:$AU$534,26,)/VLOOKUP($D342,$C$5:$AU$534,3,))*$E342)</f>
        <v>0</v>
      </c>
      <c r="AC342" s="80">
        <f>IF(VLOOKUP($D342,$C$5:$AU$534,3,)=0,0,(VLOOKUP($D342,$C$5:$AU$534,27,)/VLOOKUP($D342,$C$5:$AU$534,3,))*$E342)</f>
        <v>0</v>
      </c>
      <c r="AD342" s="80">
        <f>IF(VLOOKUP($D342,$C$5:$AU$534,3,)=0,0,(VLOOKUP($D342,$C$5:$AU$534,28,)/VLOOKUP($D342,$C$5:$AU$534,3,))*$E342)</f>
        <v>0</v>
      </c>
      <c r="AE342" s="80">
        <f>IF(VLOOKUP($D342,$C$5:$AU$534,3,)=0,0,(VLOOKUP($D342,$C$5:$AU$534,29,)/VLOOKUP($D342,$C$5:$AU$534,3,))*$E342)</f>
        <v>0</v>
      </c>
      <c r="AF342" s="80">
        <f>IF(VLOOKUP($D342,$C$5:$AU$534,3,)=0,0,(VLOOKUP($D342,$C$5:$AU$534,30,)/VLOOKUP($D342,$C$5:$AU$534,3,))*$E342)</f>
        <v>0</v>
      </c>
      <c r="AG342" s="65">
        <f t="shared" ref="AG342" si="113">SUM(F342:AF342)</f>
        <v>-2508036.1799999997</v>
      </c>
      <c r="AH342" s="12" t="str">
        <f t="shared" ref="AH342" si="114">IF(ABS(E342-AG342)&lt;0.01,"ok","err")</f>
        <v>ok</v>
      </c>
      <c r="AJ342" s="3">
        <v>1</v>
      </c>
      <c r="AK342" s="7">
        <v>-2508036.1800000002</v>
      </c>
    </row>
    <row r="343" spans="1:41" x14ac:dyDescent="0.2">
      <c r="A343" s="3">
        <v>5</v>
      </c>
      <c r="B343" s="3" t="s">
        <v>990</v>
      </c>
      <c r="E343" s="65">
        <f t="shared" si="112"/>
        <v>0</v>
      </c>
      <c r="F343" s="65">
        <f>AJ343*AL343</f>
        <v>0</v>
      </c>
      <c r="G343" s="65">
        <f>AJ343*AM343</f>
        <v>0</v>
      </c>
      <c r="H343" s="65">
        <f>AJ343*AN343</f>
        <v>0</v>
      </c>
      <c r="I343" s="65">
        <f>AJ343*AO343</f>
        <v>0</v>
      </c>
      <c r="J343" s="41">
        <v>0</v>
      </c>
      <c r="K343" s="41">
        <v>0</v>
      </c>
      <c r="L343" s="204">
        <v>0</v>
      </c>
      <c r="M343" s="19">
        <v>0</v>
      </c>
      <c r="N343" s="19">
        <v>0</v>
      </c>
      <c r="O343" s="19">
        <v>0</v>
      </c>
      <c r="P343" s="19">
        <v>0</v>
      </c>
      <c r="Q343" s="19">
        <v>0</v>
      </c>
      <c r="R343" s="19">
        <v>0</v>
      </c>
      <c r="S343" s="80">
        <v>0</v>
      </c>
      <c r="T343" s="80">
        <v>0</v>
      </c>
      <c r="U343" s="80">
        <v>0</v>
      </c>
      <c r="V343" s="80">
        <v>0</v>
      </c>
      <c r="W343" s="80">
        <v>0</v>
      </c>
      <c r="X343" s="80">
        <v>0</v>
      </c>
      <c r="Y343" s="80">
        <v>0</v>
      </c>
      <c r="Z343" s="80">
        <v>0</v>
      </c>
      <c r="AA343" s="80">
        <v>0</v>
      </c>
      <c r="AB343" s="80">
        <v>0</v>
      </c>
      <c r="AC343" s="80">
        <v>0</v>
      </c>
      <c r="AD343" s="80">
        <v>0</v>
      </c>
      <c r="AE343" s="80">
        <v>0</v>
      </c>
      <c r="AF343" s="80">
        <v>0</v>
      </c>
      <c r="AG343" s="65">
        <f t="shared" ref="AG343:AG344" si="115">SUM(F343:AF343)</f>
        <v>0</v>
      </c>
      <c r="AH343" s="12" t="str">
        <f t="shared" ref="AH343:AH344" si="116">IF(ABS(E343-AG343)&lt;0.01,"ok","err")</f>
        <v>ok</v>
      </c>
      <c r="AJ343" s="3">
        <v>0</v>
      </c>
      <c r="AK343" s="7">
        <v>-80016.58</v>
      </c>
      <c r="AL343" s="3">
        <v>1357.2278498835603</v>
      </c>
      <c r="AM343" s="3">
        <v>-2566.9669940435283</v>
      </c>
      <c r="AN343" s="3">
        <v>12166.2902437625</v>
      </c>
      <c r="AO343" s="3">
        <v>-90973.127517498331</v>
      </c>
    </row>
    <row r="344" spans="1:41" hidden="1" x14ac:dyDescent="0.2">
      <c r="D344" s="3" t="s">
        <v>11</v>
      </c>
      <c r="E344" s="65">
        <v>0</v>
      </c>
      <c r="F344" s="41">
        <f>IF(VLOOKUP($D344,$C$5:$AU$534,3,)=0,0,(VLOOKUP($D344,$C$5:$AU$534,4,)/VLOOKUP($D344,$C$5:$AU$534,3,))*$E344)</f>
        <v>0</v>
      </c>
      <c r="G344" s="41">
        <f>IF(VLOOKUP($D344,$C$5:$AU$534,3,)=0,0,(VLOOKUP($D344,$C$5:$AU$534,5,)/VLOOKUP($D344,$C$5:$AU$534,3,))*$E344)</f>
        <v>0</v>
      </c>
      <c r="H344" s="41">
        <f>IF(VLOOKUP($D344,$C$5:$AU$534,3,)=0,0,(VLOOKUP($D344,$C$5:$AU$534,6,)/VLOOKUP($D344,$C$5:$AU$534,3,))*$E344)</f>
        <v>0</v>
      </c>
      <c r="I344" s="41">
        <f>IF(VLOOKUP($D344,$C$5:$AU$534,3,)=0,0,(VLOOKUP($D344,$C$5:$AU$534,7,)/VLOOKUP($D344,$C$5:$AU$534,3,))*$E344)</f>
        <v>0</v>
      </c>
      <c r="J344" s="41">
        <f>IF(VLOOKUP($D344,$C$5:$AU$534,3,)=0,0,(VLOOKUP($D344,$C$5:$AU$534,8,)/VLOOKUP($D344,$C$5:$AU$534,3,))*$E344)</f>
        <v>0</v>
      </c>
      <c r="K344" s="41">
        <f>IF(VLOOKUP($D344,$C$5:$AU$534,3,)=0,0,(VLOOKUP($D344,$C$5:$AU$534,9,)/VLOOKUP($D344,$C$5:$AU$534,3,))*$E344)</f>
        <v>0</v>
      </c>
      <c r="L344" s="204">
        <f>IF(VLOOKUP($D344,$C$5:$AU$534,3,)=0,0,(VLOOKUP($D344,$C$5:$AU$534,10,)/VLOOKUP($D344,$C$5:$AU$534,3,))*$E344)</f>
        <v>0</v>
      </c>
      <c r="M344" s="19">
        <f>IF(VLOOKUP($D344,$C$5:$AU$534,3,)=0,0,(VLOOKUP($D344,$C$5:$AU$534,11,)/VLOOKUP($D344,$C$5:$AU$534,3,))*$E344)</f>
        <v>0</v>
      </c>
      <c r="N344" s="19">
        <f>IF(VLOOKUP($D344,$C$5:$AU$534,3,)=0,0,(VLOOKUP($D344,$C$5:$AU$534,12,)/VLOOKUP($D344,$C$5:$AU$534,3,))*$E344)</f>
        <v>0</v>
      </c>
      <c r="O344" s="19">
        <f>IF(VLOOKUP($D344,$C$5:$AU$534,3,)=0,0,(VLOOKUP($D344,$C$5:$AU$534,13,)/VLOOKUP($D344,$C$5:$AU$534,3,))*$E344)</f>
        <v>0</v>
      </c>
      <c r="P344" s="19">
        <f>IF(VLOOKUP($D344,$C$5:$AU$534,3,)=0,0,(VLOOKUP($D344,$C$5:$AU$534,14,)/VLOOKUP($D344,$C$5:$AU$534,3,))*$E344)</f>
        <v>0</v>
      </c>
      <c r="Q344" s="19">
        <f>IF(VLOOKUP($D344,$C$5:$AU$534,3,)=0,0,(VLOOKUP($D344,$C$5:$AU$534,15,)/VLOOKUP($D344,$C$5:$AU$534,3,))*$E344)</f>
        <v>0</v>
      </c>
      <c r="R344" s="19">
        <f>IF(VLOOKUP($D344,$C$5:$AU$534,3,)=0,0,(VLOOKUP($D344,$C$5:$AU$534,16,)/VLOOKUP($D344,$C$5:$AU$534,3,))*$E344)</f>
        <v>0</v>
      </c>
      <c r="S344" s="80">
        <f>IF(VLOOKUP($D344,$C$5:$AU$534,3,)=0,0,(VLOOKUP($D344,$C$5:$AU$534,17,)/VLOOKUP($D344,$C$5:$AU$534,3,))*$E344)</f>
        <v>0</v>
      </c>
      <c r="T344" s="80">
        <f>IF(VLOOKUP($D344,$C$5:$AU$534,3,)=0,0,(VLOOKUP($D344,$C$5:$AU$534,18,)/VLOOKUP($D344,$C$5:$AU$534,3,))*$E344)</f>
        <v>0</v>
      </c>
      <c r="U344" s="80">
        <f>IF(VLOOKUP($D344,$C$5:$AU$534,3,)=0,0,(VLOOKUP($D344,$C$5:$AU$534,19,)/VLOOKUP($D344,$C$5:$AU$534,3,))*$E344)</f>
        <v>0</v>
      </c>
      <c r="V344" s="80">
        <f>IF(VLOOKUP($D344,$C$5:$AU$534,3,)=0,0,(VLOOKUP($D344,$C$5:$AU$534,20,)/VLOOKUP($D344,$C$5:$AU$534,3,))*$E344)</f>
        <v>0</v>
      </c>
      <c r="W344" s="80">
        <f>IF(VLOOKUP($D344,$C$5:$AU$534,3,)=0,0,(VLOOKUP($D344,$C$5:$AU$534,21,)/VLOOKUP($D344,$C$5:$AU$534,3,))*$E344)</f>
        <v>0</v>
      </c>
      <c r="X344" s="80">
        <f>IF(VLOOKUP($D344,$C$5:$AU$534,3,)=0,0,(VLOOKUP($D344,$C$5:$AU$534,22,)/VLOOKUP($D344,$C$5:$AU$534,3,))*$E344)</f>
        <v>0</v>
      </c>
      <c r="Y344" s="80">
        <f>IF(VLOOKUP($D344,$C$5:$AU$534,3,)=0,0,(VLOOKUP($D344,$C$5:$AU$534,23,)/VLOOKUP($D344,$C$5:$AU$534,3,))*$E344)</f>
        <v>0</v>
      </c>
      <c r="Z344" s="80">
        <f>IF(VLOOKUP($D344,$C$5:$AU$534,3,)=0,0,(VLOOKUP($D344,$C$5:$AU$534,24,)/VLOOKUP($D344,$C$5:$AU$534,3,))*$E344)</f>
        <v>0</v>
      </c>
      <c r="AA344" s="80">
        <f>IF(VLOOKUP($D344,$C$5:$AU$534,3,)=0,0,(VLOOKUP($D344,$C$5:$AU$534,25,)/VLOOKUP($D344,$C$5:$AU$534,3,))*$E344)</f>
        <v>0</v>
      </c>
      <c r="AB344" s="80">
        <f>IF(VLOOKUP($D344,$C$5:$AU$534,3,)=0,0,(VLOOKUP($D344,$C$5:$AU$534,26,)/VLOOKUP($D344,$C$5:$AU$534,3,))*$E344)</f>
        <v>0</v>
      </c>
      <c r="AC344" s="80">
        <f>IF(VLOOKUP($D344,$C$5:$AU$534,3,)=0,0,(VLOOKUP($D344,$C$5:$AU$534,27,)/VLOOKUP($D344,$C$5:$AU$534,3,))*$E344)</f>
        <v>0</v>
      </c>
      <c r="AD344" s="80">
        <f>IF(VLOOKUP($D344,$C$5:$AU$534,3,)=0,0,(VLOOKUP($D344,$C$5:$AU$534,28,)/VLOOKUP($D344,$C$5:$AU$534,3,))*$E344)</f>
        <v>0</v>
      </c>
      <c r="AE344" s="80">
        <f>IF(VLOOKUP($D344,$C$5:$AU$534,3,)=0,0,(VLOOKUP($D344,$C$5:$AU$534,29,)/VLOOKUP($D344,$C$5:$AU$534,3,))*$E344)</f>
        <v>0</v>
      </c>
      <c r="AF344" s="80">
        <f>IF(VLOOKUP($D344,$C$5:$AU$534,3,)=0,0,(VLOOKUP($D344,$C$5:$AU$534,30,)/VLOOKUP($D344,$C$5:$AU$534,3,))*$E344)</f>
        <v>0</v>
      </c>
      <c r="AG344" s="65">
        <f t="shared" si="115"/>
        <v>0</v>
      </c>
      <c r="AH344" s="12" t="str">
        <f t="shared" si="116"/>
        <v>ok</v>
      </c>
    </row>
    <row r="345" spans="1:41" hidden="1" x14ac:dyDescent="0.2">
      <c r="D345" s="3" t="s">
        <v>11</v>
      </c>
      <c r="E345" s="65">
        <v>0</v>
      </c>
      <c r="F345" s="65">
        <f>E345</f>
        <v>0</v>
      </c>
      <c r="G345" s="65">
        <v>0</v>
      </c>
      <c r="H345" s="65">
        <v>0</v>
      </c>
      <c r="I345" s="65">
        <v>0</v>
      </c>
      <c r="J345" s="65">
        <v>0</v>
      </c>
      <c r="K345" s="65">
        <v>0</v>
      </c>
      <c r="L345" s="204">
        <v>0</v>
      </c>
      <c r="M345" s="19">
        <v>0</v>
      </c>
      <c r="N345" s="19">
        <v>0</v>
      </c>
      <c r="O345" s="19">
        <v>0</v>
      </c>
      <c r="P345" s="19">
        <v>0</v>
      </c>
      <c r="Q345" s="19">
        <v>0</v>
      </c>
      <c r="R345" s="19">
        <v>0</v>
      </c>
      <c r="S345" s="80">
        <v>0</v>
      </c>
      <c r="T345" s="80">
        <v>0</v>
      </c>
      <c r="U345" s="80">
        <v>0</v>
      </c>
      <c r="V345" s="80">
        <v>0</v>
      </c>
      <c r="W345" s="80">
        <v>0</v>
      </c>
      <c r="X345" s="80">
        <v>0</v>
      </c>
      <c r="Y345" s="80">
        <v>0</v>
      </c>
      <c r="Z345" s="80">
        <v>0</v>
      </c>
      <c r="AA345" s="80">
        <v>0</v>
      </c>
      <c r="AB345" s="80">
        <v>0</v>
      </c>
      <c r="AC345" s="80">
        <v>0</v>
      </c>
      <c r="AD345" s="80">
        <v>0</v>
      </c>
      <c r="AE345" s="80">
        <v>0</v>
      </c>
      <c r="AF345" s="80">
        <v>0</v>
      </c>
      <c r="AG345" s="65">
        <f t="shared" ref="AG345:AG348" si="117">SUM(F345:AF345)</f>
        <v>0</v>
      </c>
      <c r="AH345" s="12" t="str">
        <f t="shared" ref="AH345:AH349" si="118">IF(ABS(E345-AG345)&lt;0.01,"ok","err")</f>
        <v>ok</v>
      </c>
    </row>
    <row r="346" spans="1:41" hidden="1" x14ac:dyDescent="0.2">
      <c r="D346" s="3" t="s">
        <v>11</v>
      </c>
      <c r="E346" s="65">
        <v>0</v>
      </c>
      <c r="F346" s="65">
        <v>0</v>
      </c>
      <c r="G346" s="65">
        <v>0</v>
      </c>
      <c r="H346" s="65">
        <v>0</v>
      </c>
      <c r="I346" s="65">
        <v>0</v>
      </c>
      <c r="J346" s="41">
        <v>0</v>
      </c>
      <c r="K346" s="41">
        <v>0</v>
      </c>
      <c r="L346" s="204">
        <v>0</v>
      </c>
      <c r="M346" s="19">
        <v>0</v>
      </c>
      <c r="N346" s="19">
        <v>0</v>
      </c>
      <c r="O346" s="19">
        <v>0</v>
      </c>
      <c r="P346" s="19">
        <v>0</v>
      </c>
      <c r="Q346" s="19">
        <v>0</v>
      </c>
      <c r="R346" s="19">
        <v>0</v>
      </c>
      <c r="S346" s="80">
        <v>0</v>
      </c>
      <c r="T346" s="80">
        <v>0</v>
      </c>
      <c r="U346" s="80">
        <v>0</v>
      </c>
      <c r="V346" s="80">
        <v>0</v>
      </c>
      <c r="W346" s="80">
        <v>0</v>
      </c>
      <c r="X346" s="80">
        <v>0</v>
      </c>
      <c r="Y346" s="80">
        <v>0</v>
      </c>
      <c r="Z346" s="80">
        <v>0</v>
      </c>
      <c r="AA346" s="80">
        <v>0</v>
      </c>
      <c r="AB346" s="80">
        <v>0</v>
      </c>
      <c r="AC346" s="80">
        <v>0</v>
      </c>
      <c r="AD346" s="80">
        <v>0</v>
      </c>
      <c r="AE346" s="80">
        <v>0</v>
      </c>
      <c r="AF346" s="80">
        <v>0</v>
      </c>
      <c r="AG346" s="65">
        <f t="shared" si="117"/>
        <v>0</v>
      </c>
      <c r="AH346" s="12" t="str">
        <f t="shared" si="118"/>
        <v>ok</v>
      </c>
    </row>
    <row r="347" spans="1:41" hidden="1" x14ac:dyDescent="0.2">
      <c r="D347" s="3" t="s">
        <v>561</v>
      </c>
      <c r="E347" s="65">
        <v>0</v>
      </c>
      <c r="F347" s="41">
        <f>IF(VLOOKUP($D347,$C$5:$AU$534,3,)=0,0,(VLOOKUP($D347,$C$5:$AU$534,4,)/VLOOKUP($D347,$C$5:$AU$534,3,))*$E347)</f>
        <v>0</v>
      </c>
      <c r="G347" s="41">
        <f>IF(VLOOKUP($D347,$C$5:$AU$534,3,)=0,0,(VLOOKUP($D347,$C$5:$AU$534,5,)/VLOOKUP($D347,$C$5:$AU$534,3,))*$E347)</f>
        <v>0</v>
      </c>
      <c r="H347" s="41">
        <f>IF(VLOOKUP($D347,$C$5:$AU$534,3,)=0,0,(VLOOKUP($D347,$C$5:$AU$534,6,)/VLOOKUP($D347,$C$5:$AU$534,3,))*$E347)</f>
        <v>0</v>
      </c>
      <c r="I347" s="41">
        <f>IF(VLOOKUP($D347,$C$5:$AU$534,3,)=0,0,(VLOOKUP($D347,$C$5:$AU$534,7,)/VLOOKUP($D347,$C$5:$AU$534,3,))*$E347)</f>
        <v>0</v>
      </c>
      <c r="J347" s="41">
        <f>IF(VLOOKUP($D347,$C$5:$AU$534,3,)=0,0,(VLOOKUP($D347,$C$5:$AU$534,8,)/VLOOKUP($D347,$C$5:$AU$534,3,))*$E347)</f>
        <v>0</v>
      </c>
      <c r="K347" s="41">
        <f>IF(VLOOKUP($D347,$C$5:$AU$534,3,)=0,0,(VLOOKUP($D347,$C$5:$AU$534,9,)/VLOOKUP($D347,$C$5:$AU$534,3,))*$E347)</f>
        <v>0</v>
      </c>
      <c r="L347" s="204">
        <f>IF(VLOOKUP($D347,$C$5:$AU$534,3,)=0,0,(VLOOKUP($D347,$C$5:$AU$534,10,)/VLOOKUP($D347,$C$5:$AU$534,3,))*$E347)</f>
        <v>0</v>
      </c>
      <c r="M347" s="19">
        <f>IF(VLOOKUP($D347,$C$5:$AU$534,3,)=0,0,(VLOOKUP($D347,$C$5:$AU$534,11,)/VLOOKUP($D347,$C$5:$AU$534,3,))*$E347)</f>
        <v>0</v>
      </c>
      <c r="N347" s="19">
        <f>IF(VLOOKUP($D347,$C$5:$AU$534,3,)=0,0,(VLOOKUP($D347,$C$5:$AU$534,12,)/VLOOKUP($D347,$C$5:$AU$534,3,))*$E347)</f>
        <v>0</v>
      </c>
      <c r="O347" s="19">
        <f>IF(VLOOKUP($D347,$C$5:$AU$534,3,)=0,0,(VLOOKUP($D347,$C$5:$AU$534,13,)/VLOOKUP($D347,$C$5:$AU$534,3,))*$E347)</f>
        <v>0</v>
      </c>
      <c r="P347" s="19">
        <f>IF(VLOOKUP($D347,$C$5:$AU$534,3,)=0,0,(VLOOKUP($D347,$C$5:$AU$534,14,)/VLOOKUP($D347,$C$5:$AU$534,3,))*$E347)</f>
        <v>0</v>
      </c>
      <c r="Q347" s="19">
        <f>IF(VLOOKUP($D347,$C$5:$AU$534,3,)=0,0,(VLOOKUP($D347,$C$5:$AU$534,15,)/VLOOKUP($D347,$C$5:$AU$534,3,))*$E347)</f>
        <v>0</v>
      </c>
      <c r="R347" s="19">
        <f>IF(VLOOKUP($D347,$C$5:$AU$534,3,)=0,0,(VLOOKUP($D347,$C$5:$AU$534,16,)/VLOOKUP($D347,$C$5:$AU$534,3,))*$E347)</f>
        <v>0</v>
      </c>
      <c r="S347" s="80">
        <f>IF(VLOOKUP($D347,$C$5:$AU$534,3,)=0,0,(VLOOKUP($D347,$C$5:$AU$534,17,)/VLOOKUP($D347,$C$5:$AU$534,3,))*$E347)</f>
        <v>0</v>
      </c>
      <c r="T347" s="80">
        <f>IF(VLOOKUP($D347,$C$5:$AU$534,3,)=0,0,(VLOOKUP($D347,$C$5:$AU$534,18,)/VLOOKUP($D347,$C$5:$AU$534,3,))*$E347)</f>
        <v>0</v>
      </c>
      <c r="U347" s="80">
        <f>IF(VLOOKUP($D347,$C$5:$AU$534,3,)=0,0,(VLOOKUP($D347,$C$5:$AU$534,19,)/VLOOKUP($D347,$C$5:$AU$534,3,))*$E347)</f>
        <v>0</v>
      </c>
      <c r="V347" s="80">
        <f>IF(VLOOKUP($D347,$C$5:$AU$534,3,)=0,0,(VLOOKUP($D347,$C$5:$AU$534,20,)/VLOOKUP($D347,$C$5:$AU$534,3,))*$E347)</f>
        <v>0</v>
      </c>
      <c r="W347" s="80">
        <f>IF(VLOOKUP($D347,$C$5:$AU$534,3,)=0,0,(VLOOKUP($D347,$C$5:$AU$534,21,)/VLOOKUP($D347,$C$5:$AU$534,3,))*$E347)</f>
        <v>0</v>
      </c>
      <c r="X347" s="80">
        <f>IF(VLOOKUP($D347,$C$5:$AU$534,3,)=0,0,(VLOOKUP($D347,$C$5:$AU$534,22,)/VLOOKUP($D347,$C$5:$AU$534,3,))*$E347)</f>
        <v>0</v>
      </c>
      <c r="Y347" s="80">
        <f>IF(VLOOKUP($D347,$C$5:$AU$534,3,)=0,0,(VLOOKUP($D347,$C$5:$AU$534,23,)/VLOOKUP($D347,$C$5:$AU$534,3,))*$E347)</f>
        <v>0</v>
      </c>
      <c r="Z347" s="80">
        <f>IF(VLOOKUP($D347,$C$5:$AU$534,3,)=0,0,(VLOOKUP($D347,$C$5:$AU$534,24,)/VLOOKUP($D347,$C$5:$AU$534,3,))*$E347)</f>
        <v>0</v>
      </c>
      <c r="AA347" s="80">
        <f>IF(VLOOKUP($D347,$C$5:$AU$534,3,)=0,0,(VLOOKUP($D347,$C$5:$AU$534,25,)/VLOOKUP($D347,$C$5:$AU$534,3,))*$E347)</f>
        <v>0</v>
      </c>
      <c r="AB347" s="80">
        <f>IF(VLOOKUP($D347,$C$5:$AU$534,3,)=0,0,(VLOOKUP($D347,$C$5:$AU$534,26,)/VLOOKUP($D347,$C$5:$AU$534,3,))*$E347)</f>
        <v>0</v>
      </c>
      <c r="AC347" s="80">
        <f>IF(VLOOKUP($D347,$C$5:$AU$534,3,)=0,0,(VLOOKUP($D347,$C$5:$AU$534,27,)/VLOOKUP($D347,$C$5:$AU$534,3,))*$E347)</f>
        <v>0</v>
      </c>
      <c r="AD347" s="80">
        <f>IF(VLOOKUP($D347,$C$5:$AU$534,3,)=0,0,(VLOOKUP($D347,$C$5:$AU$534,28,)/VLOOKUP($D347,$C$5:$AU$534,3,))*$E347)</f>
        <v>0</v>
      </c>
      <c r="AE347" s="80">
        <f>IF(VLOOKUP($D347,$C$5:$AU$534,3,)=0,0,(VLOOKUP($D347,$C$5:$AU$534,29,)/VLOOKUP($D347,$C$5:$AU$534,3,))*$E347)</f>
        <v>0</v>
      </c>
      <c r="AF347" s="80">
        <f>IF(VLOOKUP($D347,$C$5:$AU$534,3,)=0,0,(VLOOKUP($D347,$C$5:$AU$534,30,)/VLOOKUP($D347,$C$5:$AU$534,3,))*$E347)</f>
        <v>0</v>
      </c>
      <c r="AG347" s="65">
        <f t="shared" si="117"/>
        <v>0</v>
      </c>
      <c r="AH347" s="12" t="str">
        <f t="shared" si="118"/>
        <v>ok</v>
      </c>
    </row>
    <row r="348" spans="1:41" x14ac:dyDescent="0.2">
      <c r="B348" s="3" t="s">
        <v>1005</v>
      </c>
      <c r="E348" s="65">
        <f>AJ348*AK354</f>
        <v>0</v>
      </c>
      <c r="F348" s="65">
        <f>AJ348*AK348</f>
        <v>0</v>
      </c>
      <c r="G348" s="65">
        <f>AJ348*AK349</f>
        <v>0</v>
      </c>
      <c r="H348" s="65">
        <f>AJ348*AK350</f>
        <v>0</v>
      </c>
      <c r="I348" s="65">
        <f>AJ348*AK351</f>
        <v>0</v>
      </c>
      <c r="J348" s="65">
        <f>AJ348*AK352</f>
        <v>0</v>
      </c>
      <c r="K348" s="65">
        <f>AJ348*AK353</f>
        <v>0</v>
      </c>
      <c r="L348" s="204">
        <v>0</v>
      </c>
      <c r="M348" s="19">
        <v>0</v>
      </c>
      <c r="N348" s="19">
        <v>0</v>
      </c>
      <c r="O348" s="19">
        <v>0</v>
      </c>
      <c r="P348" s="19">
        <v>0</v>
      </c>
      <c r="Q348" s="19">
        <v>0</v>
      </c>
      <c r="R348" s="19">
        <v>0</v>
      </c>
      <c r="S348" s="80">
        <v>0</v>
      </c>
      <c r="T348" s="80">
        <v>0</v>
      </c>
      <c r="U348" s="80">
        <v>0</v>
      </c>
      <c r="V348" s="80">
        <v>0</v>
      </c>
      <c r="W348" s="80">
        <v>0</v>
      </c>
      <c r="X348" s="80">
        <v>0</v>
      </c>
      <c r="Y348" s="80">
        <v>0</v>
      </c>
      <c r="Z348" s="80">
        <v>0</v>
      </c>
      <c r="AA348" s="80">
        <v>0</v>
      </c>
      <c r="AB348" s="80">
        <v>0</v>
      </c>
      <c r="AC348" s="80">
        <v>0</v>
      </c>
      <c r="AD348" s="80">
        <v>0</v>
      </c>
      <c r="AE348" s="80">
        <v>0</v>
      </c>
      <c r="AF348" s="80">
        <v>0</v>
      </c>
      <c r="AG348" s="104">
        <f t="shared" si="117"/>
        <v>0</v>
      </c>
      <c r="AH348" s="12" t="str">
        <f t="shared" si="118"/>
        <v>ok</v>
      </c>
      <c r="AJ348" s="3">
        <v>0</v>
      </c>
      <c r="AK348" s="7">
        <v>2513737.3009499982</v>
      </c>
      <c r="AL348" s="7" t="s">
        <v>1105</v>
      </c>
    </row>
    <row r="349" spans="1:41" x14ac:dyDescent="0.2">
      <c r="B349" s="9" t="s">
        <v>871</v>
      </c>
      <c r="E349" s="84">
        <f t="shared" ref="E349:AG349" si="119">SUM(E341:E348)</f>
        <v>-4852620.42</v>
      </c>
      <c r="F349" s="84">
        <f t="shared" si="119"/>
        <v>-3709970.37</v>
      </c>
      <c r="G349" s="84">
        <f t="shared" si="119"/>
        <v>-242601.01999999996</v>
      </c>
      <c r="H349" s="84">
        <f t="shared" si="119"/>
        <v>-531984.06999999995</v>
      </c>
      <c r="I349" s="84">
        <f t="shared" si="119"/>
        <v>-230110.33999999994</v>
      </c>
      <c r="J349" s="84">
        <f t="shared" si="119"/>
        <v>-137954.61999999997</v>
      </c>
      <c r="K349" s="84">
        <f t="shared" si="119"/>
        <v>0</v>
      </c>
      <c r="L349" s="84">
        <f t="shared" si="119"/>
        <v>0</v>
      </c>
      <c r="M349" s="84">
        <f t="shared" si="119"/>
        <v>0</v>
      </c>
      <c r="N349" s="84">
        <f t="shared" si="119"/>
        <v>0</v>
      </c>
      <c r="O349" s="84">
        <f t="shared" si="119"/>
        <v>0</v>
      </c>
      <c r="P349" s="84">
        <f t="shared" si="119"/>
        <v>0</v>
      </c>
      <c r="Q349" s="84">
        <f t="shared" si="119"/>
        <v>0</v>
      </c>
      <c r="R349" s="84">
        <f t="shared" si="119"/>
        <v>0</v>
      </c>
      <c r="S349" s="84">
        <f t="shared" si="119"/>
        <v>0</v>
      </c>
      <c r="T349" s="84">
        <f t="shared" si="119"/>
        <v>0</v>
      </c>
      <c r="U349" s="84">
        <f t="shared" si="119"/>
        <v>0</v>
      </c>
      <c r="V349" s="84">
        <f t="shared" si="119"/>
        <v>0</v>
      </c>
      <c r="W349" s="84">
        <f t="shared" si="119"/>
        <v>0</v>
      </c>
      <c r="X349" s="84">
        <f t="shared" si="119"/>
        <v>0</v>
      </c>
      <c r="Y349" s="84">
        <f t="shared" si="119"/>
        <v>0</v>
      </c>
      <c r="Z349" s="84">
        <f t="shared" si="119"/>
        <v>0</v>
      </c>
      <c r="AA349" s="84">
        <f t="shared" si="119"/>
        <v>0</v>
      </c>
      <c r="AB349" s="84">
        <f t="shared" si="119"/>
        <v>0</v>
      </c>
      <c r="AC349" s="84">
        <f t="shared" si="119"/>
        <v>0</v>
      </c>
      <c r="AD349" s="84">
        <f t="shared" si="119"/>
        <v>0</v>
      </c>
      <c r="AE349" s="84">
        <f t="shared" si="119"/>
        <v>0</v>
      </c>
      <c r="AF349" s="84">
        <f t="shared" si="119"/>
        <v>0</v>
      </c>
      <c r="AG349" s="84">
        <f t="shared" si="119"/>
        <v>-4852620.42</v>
      </c>
      <c r="AH349" s="12" t="str">
        <f t="shared" si="118"/>
        <v>ok</v>
      </c>
      <c r="AK349" s="7">
        <v>0</v>
      </c>
      <c r="AL349" s="7" t="s">
        <v>1106</v>
      </c>
    </row>
    <row r="350" spans="1:41" x14ac:dyDescent="0.2">
      <c r="A350" s="3" t="s">
        <v>722</v>
      </c>
      <c r="B350" s="3" t="s">
        <v>722</v>
      </c>
      <c r="AK350" s="7">
        <v>204678.61757500051</v>
      </c>
      <c r="AL350" s="7" t="s">
        <v>1107</v>
      </c>
    </row>
    <row r="351" spans="1:41" x14ac:dyDescent="0.2">
      <c r="A351" s="3" t="s">
        <v>570</v>
      </c>
      <c r="E351" s="65">
        <f t="shared" ref="E351:AG351" si="120">E338+E349</f>
        <v>21709548.579999998</v>
      </c>
      <c r="F351" s="65">
        <f t="shared" si="120"/>
        <v>16401882.962465603</v>
      </c>
      <c r="G351" s="65">
        <f t="shared" si="120"/>
        <v>1191283.6489500923</v>
      </c>
      <c r="H351" s="65">
        <f t="shared" si="120"/>
        <v>1967329.5072506722</v>
      </c>
      <c r="I351" s="65">
        <f t="shared" si="120"/>
        <v>821717.66121667356</v>
      </c>
      <c r="J351" s="65">
        <f t="shared" si="120"/>
        <v>438235.71015136084</v>
      </c>
      <c r="K351" s="65">
        <f t="shared" si="120"/>
        <v>889099.08996559412</v>
      </c>
      <c r="L351" s="65">
        <f t="shared" si="120"/>
        <v>0</v>
      </c>
      <c r="M351" s="65">
        <f t="shared" si="120"/>
        <v>0</v>
      </c>
      <c r="N351" s="65">
        <f t="shared" si="120"/>
        <v>0</v>
      </c>
      <c r="O351" s="65">
        <f t="shared" si="120"/>
        <v>0</v>
      </c>
      <c r="P351" s="65">
        <f t="shared" si="120"/>
        <v>0</v>
      </c>
      <c r="Q351" s="65">
        <f t="shared" si="120"/>
        <v>0</v>
      </c>
      <c r="R351" s="65">
        <f t="shared" si="120"/>
        <v>0</v>
      </c>
      <c r="S351" s="65">
        <f t="shared" si="120"/>
        <v>0</v>
      </c>
      <c r="T351" s="65">
        <f t="shared" si="120"/>
        <v>0</v>
      </c>
      <c r="U351" s="65">
        <f t="shared" si="120"/>
        <v>0</v>
      </c>
      <c r="V351" s="65">
        <f t="shared" si="120"/>
        <v>0</v>
      </c>
      <c r="W351" s="65">
        <f t="shared" si="120"/>
        <v>0</v>
      </c>
      <c r="X351" s="65">
        <f t="shared" si="120"/>
        <v>0</v>
      </c>
      <c r="Y351" s="65">
        <f t="shared" si="120"/>
        <v>0</v>
      </c>
      <c r="Z351" s="65">
        <f t="shared" si="120"/>
        <v>0</v>
      </c>
      <c r="AA351" s="65">
        <f t="shared" si="120"/>
        <v>0</v>
      </c>
      <c r="AB351" s="65">
        <f t="shared" si="120"/>
        <v>0</v>
      </c>
      <c r="AC351" s="65">
        <f t="shared" si="120"/>
        <v>0</v>
      </c>
      <c r="AD351" s="65">
        <f t="shared" si="120"/>
        <v>0</v>
      </c>
      <c r="AE351" s="65">
        <f t="shared" si="120"/>
        <v>0</v>
      </c>
      <c r="AF351" s="65">
        <f t="shared" si="120"/>
        <v>0</v>
      </c>
      <c r="AG351" s="65">
        <f t="shared" si="120"/>
        <v>21709548.579999991</v>
      </c>
      <c r="AH351" s="12" t="str">
        <f>IF(ABS(E351-AG351)&lt;0.01,"ok","err")</f>
        <v>ok</v>
      </c>
      <c r="AK351" s="7">
        <v>10611.039800000144</v>
      </c>
      <c r="AL351" s="7" t="s">
        <v>1108</v>
      </c>
    </row>
    <row r="352" spans="1:41" x14ac:dyDescent="0.2">
      <c r="AK352" s="7">
        <v>42038.90842105262</v>
      </c>
      <c r="AL352" s="7" t="s">
        <v>1109</v>
      </c>
    </row>
    <row r="353" spans="1:41" x14ac:dyDescent="0.2">
      <c r="A353" s="2" t="s">
        <v>326</v>
      </c>
      <c r="AK353" s="7">
        <v>90305.640000000014</v>
      </c>
      <c r="AL353" s="7" t="s">
        <v>726</v>
      </c>
    </row>
    <row r="354" spans="1:41" x14ac:dyDescent="0.2">
      <c r="AK354" s="7">
        <f>SUM(AK348:AK353)</f>
        <v>2861371.5067460514</v>
      </c>
      <c r="AL354" s="7" t="s">
        <v>831</v>
      </c>
    </row>
    <row r="355" spans="1:41" x14ac:dyDescent="0.2">
      <c r="A355" s="3" t="s">
        <v>571</v>
      </c>
      <c r="C355" s="3" t="s">
        <v>197</v>
      </c>
      <c r="E355" s="65">
        <f t="shared" ref="E355:U355" si="121">E324</f>
        <v>27129630.039999999</v>
      </c>
      <c r="F355" s="65">
        <f t="shared" si="121"/>
        <v>20954073.278811205</v>
      </c>
      <c r="G355" s="65">
        <f t="shared" si="121"/>
        <v>1288889.1067005203</v>
      </c>
      <c r="H355" s="65">
        <f t="shared" si="121"/>
        <v>2520118.4562878036</v>
      </c>
      <c r="I355" s="65">
        <f t="shared" si="121"/>
        <v>977801.64785700629</v>
      </c>
      <c r="J355" s="65">
        <f t="shared" si="121"/>
        <v>585191.00832639053</v>
      </c>
      <c r="K355" s="65">
        <f t="shared" si="121"/>
        <v>803556.54201707395</v>
      </c>
      <c r="L355" s="65">
        <f t="shared" si="121"/>
        <v>0</v>
      </c>
      <c r="M355" s="65">
        <f t="shared" si="121"/>
        <v>0</v>
      </c>
      <c r="N355" s="65">
        <f t="shared" si="121"/>
        <v>0</v>
      </c>
      <c r="O355" s="65">
        <f t="shared" si="121"/>
        <v>0</v>
      </c>
      <c r="P355" s="65">
        <f t="shared" si="121"/>
        <v>0</v>
      </c>
      <c r="Q355" s="65">
        <f t="shared" si="121"/>
        <v>0</v>
      </c>
      <c r="R355" s="65">
        <f t="shared" si="121"/>
        <v>0</v>
      </c>
      <c r="S355" s="87">
        <f t="shared" si="121"/>
        <v>0</v>
      </c>
      <c r="T355" s="87">
        <f t="shared" si="121"/>
        <v>0</v>
      </c>
      <c r="U355" s="87">
        <f t="shared" si="121"/>
        <v>0</v>
      </c>
      <c r="V355" s="87">
        <f t="shared" ref="V355:AE355" si="122">V324-V125</f>
        <v>0</v>
      </c>
      <c r="W355" s="87">
        <f t="shared" si="122"/>
        <v>0</v>
      </c>
      <c r="X355" s="87">
        <f t="shared" si="122"/>
        <v>0</v>
      </c>
      <c r="Y355" s="87">
        <f t="shared" si="122"/>
        <v>0</v>
      </c>
      <c r="Z355" s="87">
        <f t="shared" si="122"/>
        <v>0</v>
      </c>
      <c r="AA355" s="87">
        <f t="shared" si="122"/>
        <v>0</v>
      </c>
      <c r="AB355" s="87">
        <f t="shared" si="122"/>
        <v>0</v>
      </c>
      <c r="AC355" s="87">
        <f t="shared" si="122"/>
        <v>0</v>
      </c>
      <c r="AD355" s="87">
        <f t="shared" si="122"/>
        <v>0</v>
      </c>
      <c r="AE355" s="87">
        <f t="shared" si="122"/>
        <v>0</v>
      </c>
      <c r="AF355" s="87">
        <f>AF324</f>
        <v>0</v>
      </c>
      <c r="AG355" s="65">
        <f>SUM(F355:AF355)</f>
        <v>27129630.039999999</v>
      </c>
      <c r="AH355" s="12" t="str">
        <f>IF(ABS(E355-AG355)&lt;0.01,"ok","err")</f>
        <v>ok</v>
      </c>
    </row>
    <row r="356" spans="1:41" x14ac:dyDescent="0.2">
      <c r="AI356" s="128"/>
    </row>
    <row r="357" spans="1:41" x14ac:dyDescent="0.2">
      <c r="A357" s="3" t="s">
        <v>569</v>
      </c>
      <c r="AJ357" s="11" t="s">
        <v>1110</v>
      </c>
    </row>
    <row r="358" spans="1:41" x14ac:dyDescent="0.2">
      <c r="A358" s="3">
        <v>1</v>
      </c>
      <c r="B358" s="208" t="s">
        <v>1022</v>
      </c>
      <c r="D358" s="3" t="s">
        <v>929</v>
      </c>
      <c r="E358" s="65">
        <f>AJ358*AK358</f>
        <v>-2151171</v>
      </c>
      <c r="F358" s="41">
        <f>IF(VLOOKUP($D358,$C$5:$AU$534,3,)=0,0,(VLOOKUP($D358,$C$5:$AU$534,4,)/VLOOKUP($D358,$C$5:$AU$534,3,))*$E358)</f>
        <v>-1609145.5361646123</v>
      </c>
      <c r="G358" s="41">
        <f>IF(VLOOKUP($D358,$C$5:$AU$534,3,)=0,0,(VLOOKUP($D358,$C$5:$AU$534,5,)/VLOOKUP($D358,$C$5:$AU$534,3,))*$E358)</f>
        <v>-95774.298064261486</v>
      </c>
      <c r="H358" s="41">
        <f>IF(VLOOKUP($D358,$C$5:$AU$534,3,)=0,0,(VLOOKUP($D358,$C$5:$AU$534,6,)/VLOOKUP($D358,$C$5:$AU$534,3,))*$E358)</f>
        <v>-253831.08538207604</v>
      </c>
      <c r="I358" s="41">
        <f>IF(VLOOKUP($D358,$C$5:$AU$534,3,)=0,0,(VLOOKUP($D358,$C$5:$AU$534,7,)/VLOOKUP($D358,$C$5:$AU$534,3,))*$E358)</f>
        <v>-117327.40375013778</v>
      </c>
      <c r="J358" s="41">
        <f>IF(VLOOKUP($D358,$C$5:$AU$534,3,)=0,0,(VLOOKUP($D358,$C$5:$AU$534,8,)/VLOOKUP($D358,$C$5:$AU$534,3,))*$E358)</f>
        <v>-75092.676638912293</v>
      </c>
      <c r="K358" s="41">
        <f>IF(VLOOKUP($D358,$C$5:$AU$534,3,)=0,0,(VLOOKUP($D358,$C$5:$AU$534,9,)/VLOOKUP($D358,$C$5:$AU$534,3,))*$E358)</f>
        <v>0</v>
      </c>
      <c r="L358" s="41">
        <f>IF(VLOOKUP($D358,$C$5:$AU$534,3,)=0,0,(VLOOKUP($D358,$C$5:$AU$534,10,)/VLOOKUP($D358,$C$5:$AU$534,3,))*$E358)</f>
        <v>0</v>
      </c>
      <c r="M358" s="19">
        <f>IF(VLOOKUP($D358,$C$5:$AU$534,3,)=0,0,(VLOOKUP($D358,$C$5:$AU$534,11,)/VLOOKUP($D358,$C$5:$AU$534,3,))*$E358)</f>
        <v>0</v>
      </c>
      <c r="N358" s="19">
        <f>IF(VLOOKUP($D358,$C$5:$AU$534,3,)=0,0,(VLOOKUP($D358,$C$5:$AU$534,12,)/VLOOKUP($D358,$C$5:$AU$534,3,))*$E358)</f>
        <v>0</v>
      </c>
      <c r="O358" s="19">
        <f>IF(VLOOKUP($D358,$C$5:$AU$534,3,)=0,0,(VLOOKUP($D358,$C$5:$AU$534,13,)/VLOOKUP($D358,$C$5:$AU$534,3,))*$E358)</f>
        <v>0</v>
      </c>
      <c r="P358" s="19">
        <f>IF(VLOOKUP($D358,$C$5:$AU$534,3,)=0,0,(VLOOKUP($D358,$C$5:$AU$534,14,)/VLOOKUP($D358,$C$5:$AU$534,3,))*$E358)</f>
        <v>0</v>
      </c>
      <c r="Q358" s="19">
        <f>IF(VLOOKUP($D358,$C$5:$AU$534,3,)=0,0,(VLOOKUP($D358,$C$5:$AU$534,15,)/VLOOKUP($D358,$C$5:$AU$534,3,))*$E358)</f>
        <v>0</v>
      </c>
      <c r="R358" s="19">
        <f>IF(VLOOKUP($D358,$C$5:$AU$534,3,)=0,0,(VLOOKUP($D358,$C$5:$AU$534,16,)/VLOOKUP($D358,$C$5:$AU$534,3,))*$E358)</f>
        <v>0</v>
      </c>
      <c r="S358" s="80">
        <f>IF(VLOOKUP($D358,$C$5:$AU$534,3,)=0,0,(VLOOKUP($D358,$C$5:$AU$534,17,)/VLOOKUP($D358,$C$5:$AU$534,3,))*$E358)</f>
        <v>0</v>
      </c>
      <c r="T358" s="80">
        <f>IF(VLOOKUP($D358,$C$5:$AU$534,3,)=0,0,(VLOOKUP($D358,$C$5:$AU$534,18,)/VLOOKUP($D358,$C$5:$AU$534,3,))*$E358)</f>
        <v>0</v>
      </c>
      <c r="U358" s="80">
        <f>IF(VLOOKUP($D358,$C$5:$AU$534,3,)=0,0,(VLOOKUP($D358,$C$5:$AU$534,19,)/VLOOKUP($D358,$C$5:$AU$534,3,))*$E358)</f>
        <v>0</v>
      </c>
      <c r="V358" s="80">
        <f>IF(VLOOKUP($D358,$C$5:$AU$534,3,)=0,0,(VLOOKUP($D358,$C$5:$AU$534,20,)/VLOOKUP($D358,$C$5:$AU$534,3,))*$E358)</f>
        <v>0</v>
      </c>
      <c r="W358" s="80">
        <f>IF(VLOOKUP($D358,$C$5:$AU$534,3,)=0,0,(VLOOKUP($D358,$C$5:$AU$534,21,)/VLOOKUP($D358,$C$5:$AU$534,3,))*$E358)</f>
        <v>0</v>
      </c>
      <c r="X358" s="80">
        <f>IF(VLOOKUP($D358,$C$5:$AU$534,3,)=0,0,(VLOOKUP($D358,$C$5:$AU$534,22,)/VLOOKUP($D358,$C$5:$AU$534,3,))*$E358)</f>
        <v>0</v>
      </c>
      <c r="Y358" s="80">
        <f>IF(VLOOKUP($D358,$C$5:$AU$534,3,)=0,0,(VLOOKUP($D358,$C$5:$AU$534,23,)/VLOOKUP($D358,$C$5:$AU$534,3,))*$E358)</f>
        <v>0</v>
      </c>
      <c r="Z358" s="80">
        <f>IF(VLOOKUP($D358,$C$5:$AU$534,3,)=0,0,(VLOOKUP($D358,$C$5:$AU$534,24,)/VLOOKUP($D358,$C$5:$AU$534,3,))*$E358)</f>
        <v>0</v>
      </c>
      <c r="AA358" s="80">
        <f>IF(VLOOKUP($D358,$C$5:$AU$534,3,)=0,0,(VLOOKUP($D358,$C$5:$AU$534,25,)/VLOOKUP($D358,$C$5:$AU$534,3,))*$E358)</f>
        <v>0</v>
      </c>
      <c r="AB358" s="80">
        <f>IF(VLOOKUP($D358,$C$5:$AU$534,3,)=0,0,(VLOOKUP($D358,$C$5:$AU$534,26,)/VLOOKUP($D358,$C$5:$AU$534,3,))*$E358)</f>
        <v>0</v>
      </c>
      <c r="AC358" s="80">
        <f>IF(VLOOKUP($D358,$C$5:$AU$534,3,)=0,0,(VLOOKUP($D358,$C$5:$AU$534,27,)/VLOOKUP($D358,$C$5:$AU$534,3,))*$E358)</f>
        <v>0</v>
      </c>
      <c r="AD358" s="80">
        <f>IF(VLOOKUP($D358,$C$5:$AU$534,3,)=0,0,(VLOOKUP($D358,$C$5:$AU$534,28,)/VLOOKUP($D358,$C$5:$AU$534,3,))*$E358)</f>
        <v>0</v>
      </c>
      <c r="AE358" s="80">
        <f>IF(VLOOKUP($D358,$C$5:$AU$534,3,)=0,0,(VLOOKUP($D358,$C$5:$AU$534,29,)/VLOOKUP($D358,$C$5:$AU$534,3,))*$E358)</f>
        <v>0</v>
      </c>
      <c r="AF358" s="80">
        <f>IF(VLOOKUP($D358,$C$5:$AU$534,3,)=0,0,(VLOOKUP($D358,$C$5:$AU$534,30,)/VLOOKUP($D358,$C$5:$AU$534,3,))*$E358)</f>
        <v>0</v>
      </c>
      <c r="AG358" s="65">
        <f t="shared" ref="AG358:AG359" si="123">SUM(F358:AF358)</f>
        <v>-2151171</v>
      </c>
      <c r="AH358" s="12" t="str">
        <f t="shared" ref="AH358:AH369" si="124">IF(ABS(E358-AG358)&lt;0.01,"ok","err")</f>
        <v>ok</v>
      </c>
      <c r="AJ358" s="3">
        <v>1</v>
      </c>
      <c r="AK358" s="7">
        <v>-2151171</v>
      </c>
    </row>
    <row r="359" spans="1:41" x14ac:dyDescent="0.2">
      <c r="A359" s="3">
        <v>2</v>
      </c>
      <c r="B359" s="208" t="s">
        <v>1023</v>
      </c>
      <c r="D359" s="3" t="s">
        <v>930</v>
      </c>
      <c r="E359" s="65">
        <f>AJ359*AK359</f>
        <v>-2424057</v>
      </c>
      <c r="F359" s="41">
        <f>IF(VLOOKUP($D359,$C$5:$AU$534,3,)=0,0,(VLOOKUP($D359,$C$5:$AU$534,4,)/VLOOKUP($D359,$C$5:$AU$534,3,))*$E359)</f>
        <v>-1890645.8197791188</v>
      </c>
      <c r="G359" s="41">
        <f>IF(VLOOKUP($D359,$C$5:$AU$534,3,)=0,0,(VLOOKUP($D359,$C$5:$AU$534,5,)/VLOOKUP($D359,$C$5:$AU$534,3,))*$E359)</f>
        <v>-133587.5738637191</v>
      </c>
      <c r="H359" s="41">
        <f>IF(VLOOKUP($D359,$C$5:$AU$534,3,)=0,0,(VLOOKUP($D359,$C$5:$AU$534,6,)/VLOOKUP($D359,$C$5:$AU$534,3,))*$E359)</f>
        <v>-246781.35165459212</v>
      </c>
      <c r="I359" s="41">
        <f>IF(VLOOKUP($D359,$C$5:$AU$534,3,)=0,0,(VLOOKUP($D359,$C$5:$AU$534,7,)/VLOOKUP($D359,$C$5:$AU$534,3,))*$E359)</f>
        <v>-98810.74448262142</v>
      </c>
      <c r="J359" s="41">
        <f>IF(VLOOKUP($D359,$C$5:$AU$534,3,)=0,0,(VLOOKUP($D359,$C$5:$AU$534,8,)/VLOOKUP($D359,$C$5:$AU$534,3,))*$E359)</f>
        <v>-54231.51021994825</v>
      </c>
      <c r="K359" s="41">
        <f>IF(VLOOKUP($D359,$C$5:$AU$534,3,)=0,0,(VLOOKUP($D359,$C$5:$AU$534,9,)/VLOOKUP($D359,$C$5:$AU$534,3,))*$E359)</f>
        <v>0</v>
      </c>
      <c r="L359" s="41">
        <f>IF(VLOOKUP($D359,$C$5:$AU$534,3,)=0,0,(VLOOKUP($D359,$C$5:$AU$534,10,)/VLOOKUP($D359,$C$5:$AU$534,3,))*$E359)</f>
        <v>0</v>
      </c>
      <c r="M359" s="19">
        <f>IF(VLOOKUP($D359,$C$5:$AU$534,3,)=0,0,(VLOOKUP($D359,$C$5:$AU$534,11,)/VLOOKUP($D359,$C$5:$AU$534,3,))*$E359)</f>
        <v>0</v>
      </c>
      <c r="N359" s="19">
        <f>IF(VLOOKUP($D359,$C$5:$AU$534,3,)=0,0,(VLOOKUP($D359,$C$5:$AU$534,12,)/VLOOKUP($D359,$C$5:$AU$534,3,))*$E359)</f>
        <v>0</v>
      </c>
      <c r="O359" s="19">
        <f>IF(VLOOKUP($D359,$C$5:$AU$534,3,)=0,0,(VLOOKUP($D359,$C$5:$AU$534,13,)/VLOOKUP($D359,$C$5:$AU$534,3,))*$E359)</f>
        <v>0</v>
      </c>
      <c r="P359" s="19">
        <f>IF(VLOOKUP($D359,$C$5:$AU$534,3,)=0,0,(VLOOKUP($D359,$C$5:$AU$534,14,)/VLOOKUP($D359,$C$5:$AU$534,3,))*$E359)</f>
        <v>0</v>
      </c>
      <c r="Q359" s="19">
        <f>IF(VLOOKUP($D359,$C$5:$AU$534,3,)=0,0,(VLOOKUP($D359,$C$5:$AU$534,15,)/VLOOKUP($D359,$C$5:$AU$534,3,))*$E359)</f>
        <v>0</v>
      </c>
      <c r="R359" s="19">
        <f>IF(VLOOKUP($D359,$C$5:$AU$534,3,)=0,0,(VLOOKUP($D359,$C$5:$AU$534,16,)/VLOOKUP($D359,$C$5:$AU$534,3,))*$E359)</f>
        <v>0</v>
      </c>
      <c r="S359" s="80">
        <f>IF(VLOOKUP($D359,$C$5:$AU$534,3,)=0,0,(VLOOKUP($D359,$C$5:$AU$534,17,)/VLOOKUP($D359,$C$5:$AU$534,3,))*$E359)</f>
        <v>0</v>
      </c>
      <c r="T359" s="80">
        <f>IF(VLOOKUP($D359,$C$5:$AU$534,3,)=0,0,(VLOOKUP($D359,$C$5:$AU$534,18,)/VLOOKUP($D359,$C$5:$AU$534,3,))*$E359)</f>
        <v>0</v>
      </c>
      <c r="U359" s="80">
        <f>IF(VLOOKUP($D359,$C$5:$AU$534,3,)=0,0,(VLOOKUP($D359,$C$5:$AU$534,19,)/VLOOKUP($D359,$C$5:$AU$534,3,))*$E359)</f>
        <v>0</v>
      </c>
      <c r="V359" s="80">
        <f>IF(VLOOKUP($D359,$C$5:$AU$534,3,)=0,0,(VLOOKUP($D359,$C$5:$AU$534,20,)/VLOOKUP($D359,$C$5:$AU$534,3,))*$E359)</f>
        <v>0</v>
      </c>
      <c r="W359" s="80">
        <f>IF(VLOOKUP($D359,$C$5:$AU$534,3,)=0,0,(VLOOKUP($D359,$C$5:$AU$534,21,)/VLOOKUP($D359,$C$5:$AU$534,3,))*$E359)</f>
        <v>0</v>
      </c>
      <c r="X359" s="80">
        <f>IF(VLOOKUP($D359,$C$5:$AU$534,3,)=0,0,(VLOOKUP($D359,$C$5:$AU$534,22,)/VLOOKUP($D359,$C$5:$AU$534,3,))*$E359)</f>
        <v>0</v>
      </c>
      <c r="Y359" s="80">
        <f>IF(VLOOKUP($D359,$C$5:$AU$534,3,)=0,0,(VLOOKUP($D359,$C$5:$AU$534,23,)/VLOOKUP($D359,$C$5:$AU$534,3,))*$E359)</f>
        <v>0</v>
      </c>
      <c r="Z359" s="80">
        <f>IF(VLOOKUP($D359,$C$5:$AU$534,3,)=0,0,(VLOOKUP($D359,$C$5:$AU$534,24,)/VLOOKUP($D359,$C$5:$AU$534,3,))*$E359)</f>
        <v>0</v>
      </c>
      <c r="AA359" s="80">
        <f>IF(VLOOKUP($D359,$C$5:$AU$534,3,)=0,0,(VLOOKUP($D359,$C$5:$AU$534,25,)/VLOOKUP($D359,$C$5:$AU$534,3,))*$E359)</f>
        <v>0</v>
      </c>
      <c r="AB359" s="80">
        <f>IF(VLOOKUP($D359,$C$5:$AU$534,3,)=0,0,(VLOOKUP($D359,$C$5:$AU$534,26,)/VLOOKUP($D359,$C$5:$AU$534,3,))*$E359)</f>
        <v>0</v>
      </c>
      <c r="AC359" s="80">
        <f>IF(VLOOKUP($D359,$C$5:$AU$534,3,)=0,0,(VLOOKUP($D359,$C$5:$AU$534,27,)/VLOOKUP($D359,$C$5:$AU$534,3,))*$E359)</f>
        <v>0</v>
      </c>
      <c r="AD359" s="80">
        <f>IF(VLOOKUP($D359,$C$5:$AU$534,3,)=0,0,(VLOOKUP($D359,$C$5:$AU$534,28,)/VLOOKUP($D359,$C$5:$AU$534,3,))*$E359)</f>
        <v>0</v>
      </c>
      <c r="AE359" s="80">
        <f>IF(VLOOKUP($D359,$C$5:$AU$534,3,)=0,0,(VLOOKUP($D359,$C$5:$AU$534,29,)/VLOOKUP($D359,$C$5:$AU$534,3,))*$E359)</f>
        <v>0</v>
      </c>
      <c r="AF359" s="80">
        <f>IF(VLOOKUP($D359,$C$5:$AU$534,3,)=0,0,(VLOOKUP($D359,$C$5:$AU$534,30,)/VLOOKUP($D359,$C$5:$AU$534,3,))*$E359)</f>
        <v>0</v>
      </c>
      <c r="AG359" s="65">
        <f t="shared" si="123"/>
        <v>-2424057</v>
      </c>
      <c r="AH359" s="12" t="str">
        <f t="shared" si="124"/>
        <v>ok</v>
      </c>
      <c r="AJ359" s="3">
        <f>AJ358</f>
        <v>1</v>
      </c>
      <c r="AK359" s="7">
        <v>-2424057</v>
      </c>
    </row>
    <row r="360" spans="1:41" x14ac:dyDescent="0.2">
      <c r="A360" s="3">
        <v>3</v>
      </c>
      <c r="B360" s="208" t="s">
        <v>1099</v>
      </c>
      <c r="D360" s="3" t="s">
        <v>296</v>
      </c>
      <c r="E360" s="269">
        <f>AJ360*AK360</f>
        <v>-58092.949999999917</v>
      </c>
      <c r="F360" s="270">
        <f>IF(VLOOKUP($D360,$C$5:$AU$534,3,)=0,0,(VLOOKUP($D360,$C$5:$AU$534,4,)/VLOOKUP($D360,$C$5:$AU$534,3,))*$E360)</f>
        <v>-44137.152662191234</v>
      </c>
      <c r="G360" s="270">
        <f>IF(VLOOKUP($D360,$C$5:$AU$534,3,)=0,0,(VLOOKUP($D360,$C$5:$AU$534,5,)/VLOOKUP($D360,$C$5:$AU$534,3,))*$E360)</f>
        <v>-2594.8510935991976</v>
      </c>
      <c r="H360" s="270">
        <f>IF(VLOOKUP($D360,$C$5:$AU$534,3,)=0,0,(VLOOKUP($D360,$C$5:$AU$534,6,)/VLOOKUP($D360,$C$5:$AU$534,3,))*$E360)</f>
        <v>-3457.6393061268095</v>
      </c>
      <c r="I360" s="270">
        <f>IF(VLOOKUP($D360,$C$5:$AU$534,3,)=0,0,(VLOOKUP($D360,$C$5:$AU$534,7,)/VLOOKUP($D360,$C$5:$AU$534,3,))*$E360)</f>
        <v>-1527.3040983087203</v>
      </c>
      <c r="J360" s="270">
        <f>IF(VLOOKUP($D360,$C$5:$AU$534,3,)=0,0,(VLOOKUP($D360,$C$5:$AU$534,8,)/VLOOKUP($D360,$C$5:$AU$534,3,))*$E360)</f>
        <v>-501.57923136535186</v>
      </c>
      <c r="K360" s="270">
        <f>IF(VLOOKUP($D360,$C$5:$AU$534,3,)=0,0,(VLOOKUP($D360,$C$5:$AU$534,9,)/VLOOKUP($D360,$C$5:$AU$534,3,))*$E360)</f>
        <v>-5874.4236084086142</v>
      </c>
      <c r="L360" s="41">
        <f>IF(VLOOKUP($D360,$C$5:$AU$534,3,)=0,0,(VLOOKUP($D360,$C$5:$AU$534,10,)/VLOOKUP($D360,$C$5:$AU$534,3,))*$E360)</f>
        <v>0</v>
      </c>
      <c r="M360" s="19">
        <f>IF(VLOOKUP($D360,$C$5:$AU$534,3,)=0,0,(VLOOKUP($D360,$C$5:$AU$534,11,)/VLOOKUP($D360,$C$5:$AU$534,3,))*$E360)</f>
        <v>0</v>
      </c>
      <c r="N360" s="19">
        <f>IF(VLOOKUP($D360,$C$5:$AU$534,3,)=0,0,(VLOOKUP($D360,$C$5:$AU$534,12,)/VLOOKUP($D360,$C$5:$AU$534,3,))*$E360)</f>
        <v>0</v>
      </c>
      <c r="O360" s="19">
        <f>IF(VLOOKUP($D360,$C$5:$AU$534,3,)=0,0,(VLOOKUP($D360,$C$5:$AU$534,13,)/VLOOKUP($D360,$C$5:$AU$534,3,))*$E360)</f>
        <v>0</v>
      </c>
      <c r="P360" s="19">
        <f>IF(VLOOKUP($D360,$C$5:$AU$534,3,)=0,0,(VLOOKUP($D360,$C$5:$AU$534,14,)/VLOOKUP($D360,$C$5:$AU$534,3,))*$E360)</f>
        <v>0</v>
      </c>
      <c r="Q360" s="19">
        <f>IF(VLOOKUP($D360,$C$5:$AU$534,3,)=0,0,(VLOOKUP($D360,$C$5:$AU$534,15,)/VLOOKUP($D360,$C$5:$AU$534,3,))*$E360)</f>
        <v>0</v>
      </c>
      <c r="R360" s="19">
        <f>IF(VLOOKUP($D360,$C$5:$AU$534,3,)=0,0,(VLOOKUP($D360,$C$5:$AU$534,16,)/VLOOKUP($D360,$C$5:$AU$534,3,))*$E360)</f>
        <v>0</v>
      </c>
      <c r="S360" s="80">
        <f>IF(VLOOKUP($D360,$C$5:$AU$534,3,)=0,0,(VLOOKUP($D360,$C$5:$AU$534,17,)/VLOOKUP($D360,$C$5:$AU$534,3,))*$E360)</f>
        <v>0</v>
      </c>
      <c r="T360" s="80">
        <f>IF(VLOOKUP($D360,$C$5:$AU$534,3,)=0,0,(VLOOKUP($D360,$C$5:$AU$534,18,)/VLOOKUP($D360,$C$5:$AU$534,3,))*$E360)</f>
        <v>0</v>
      </c>
      <c r="U360" s="80">
        <f>IF(VLOOKUP($D360,$C$5:$AU$534,3,)=0,0,(VLOOKUP($D360,$C$5:$AU$534,19,)/VLOOKUP($D360,$C$5:$AU$534,3,))*$E360)</f>
        <v>0</v>
      </c>
      <c r="V360" s="80">
        <f>IF(VLOOKUP($D360,$C$5:$AU$534,3,)=0,0,(VLOOKUP($D360,$C$5:$AU$534,20,)/VLOOKUP($D360,$C$5:$AU$534,3,))*$E360)</f>
        <v>0</v>
      </c>
      <c r="W360" s="80">
        <f>IF(VLOOKUP($D360,$C$5:$AU$534,3,)=0,0,(VLOOKUP($D360,$C$5:$AU$534,21,)/VLOOKUP($D360,$C$5:$AU$534,3,))*$E360)</f>
        <v>0</v>
      </c>
      <c r="X360" s="80">
        <f>IF(VLOOKUP($D360,$C$5:$AU$534,3,)=0,0,(VLOOKUP($D360,$C$5:$AU$534,22,)/VLOOKUP($D360,$C$5:$AU$534,3,))*$E360)</f>
        <v>0</v>
      </c>
      <c r="Y360" s="80">
        <f>IF(VLOOKUP($D360,$C$5:$AU$534,3,)=0,0,(VLOOKUP($D360,$C$5:$AU$534,23,)/VLOOKUP($D360,$C$5:$AU$534,3,))*$E360)</f>
        <v>0</v>
      </c>
      <c r="Z360" s="80">
        <f>IF(VLOOKUP($D360,$C$5:$AU$534,3,)=0,0,(VLOOKUP($D360,$C$5:$AU$534,24,)/VLOOKUP($D360,$C$5:$AU$534,3,))*$E360)</f>
        <v>0</v>
      </c>
      <c r="AA360" s="80">
        <f>IF(VLOOKUP($D360,$C$5:$AU$534,3,)=0,0,(VLOOKUP($D360,$C$5:$AU$534,25,)/VLOOKUP($D360,$C$5:$AU$534,3,))*$E360)</f>
        <v>0</v>
      </c>
      <c r="AB360" s="80">
        <f>IF(VLOOKUP($D360,$C$5:$AU$534,3,)=0,0,(VLOOKUP($D360,$C$5:$AU$534,26,)/VLOOKUP($D360,$C$5:$AU$534,3,))*$E360)</f>
        <v>0</v>
      </c>
      <c r="AC360" s="80">
        <f>IF(VLOOKUP($D360,$C$5:$AU$534,3,)=0,0,(VLOOKUP($D360,$C$5:$AU$534,27,)/VLOOKUP($D360,$C$5:$AU$534,3,))*$E360)</f>
        <v>0</v>
      </c>
      <c r="AD360" s="80">
        <f>IF(VLOOKUP($D360,$C$5:$AU$534,3,)=0,0,(VLOOKUP($D360,$C$5:$AU$534,28,)/VLOOKUP($D360,$C$5:$AU$534,3,))*$E360)</f>
        <v>0</v>
      </c>
      <c r="AE360" s="80">
        <f>IF(VLOOKUP($D360,$C$5:$AU$534,3,)=0,0,(VLOOKUP($D360,$C$5:$AU$534,29,)/VLOOKUP($D360,$C$5:$AU$534,3,))*$E360)</f>
        <v>0</v>
      </c>
      <c r="AF360" s="80">
        <f>IF(VLOOKUP($D360,$C$5:$AU$534,3,)=0,0,(VLOOKUP($D360,$C$5:$AU$534,30,)/VLOOKUP($D360,$C$5:$AU$534,3,))*$E360)</f>
        <v>0</v>
      </c>
      <c r="AG360" s="65">
        <f t="shared" ref="AG360:AG396" si="125">SUM(F360:AF360)</f>
        <v>-58092.949999999924</v>
      </c>
      <c r="AH360" s="12" t="str">
        <f t="shared" si="124"/>
        <v>ok</v>
      </c>
      <c r="AJ360" s="3">
        <f t="shared" ref="AJ360:AJ370" si="126">AJ359</f>
        <v>1</v>
      </c>
      <c r="AK360" s="7">
        <v>-58092.949999999917</v>
      </c>
    </row>
    <row r="361" spans="1:41" x14ac:dyDescent="0.2">
      <c r="A361" s="3">
        <v>4</v>
      </c>
      <c r="B361" s="208" t="s">
        <v>1111</v>
      </c>
      <c r="D361" s="3" t="s">
        <v>260</v>
      </c>
      <c r="E361" s="65">
        <v>0</v>
      </c>
      <c r="F361" s="41">
        <f>IF(VLOOKUP($D361,$C$5:$AU$534,3,)=0,0,(VLOOKUP($D361,$C$5:$AU$534,4,)/VLOOKUP($D361,$C$5:$AU$534,3,))*$E361)</f>
        <v>0</v>
      </c>
      <c r="G361" s="41">
        <f>IF(VLOOKUP($D361,$C$5:$AU$534,3,)=0,0,(VLOOKUP($D361,$C$5:$AU$534,5,)/VLOOKUP($D361,$C$5:$AU$534,3,))*$E361)</f>
        <v>0</v>
      </c>
      <c r="H361" s="41">
        <f>IF(VLOOKUP($D361,$C$5:$AU$534,3,)=0,0,(VLOOKUP($D361,$C$5:$AU$534,6,)/VLOOKUP($D361,$C$5:$AU$534,3,))*$E361)</f>
        <v>0</v>
      </c>
      <c r="I361" s="41">
        <f>IF(VLOOKUP($D361,$C$5:$AU$534,3,)=0,0,(VLOOKUP($D361,$C$5:$AU$534,7,)/VLOOKUP($D361,$C$5:$AU$534,3,))*$E361)</f>
        <v>0</v>
      </c>
      <c r="J361" s="41">
        <f>IF(VLOOKUP($D361,$C$5:$AU$534,3,)=0,0,(VLOOKUP($D361,$C$5:$AU$534,8,)/VLOOKUP($D361,$C$5:$AU$534,3,))*$E361)</f>
        <v>0</v>
      </c>
      <c r="K361" s="41">
        <f>IF(VLOOKUP($D361,$C$5:$AU$534,3,)=0,0,(VLOOKUP($D361,$C$5:$AU$534,9,)/VLOOKUP($D361,$C$5:$AU$534,3,))*$E361)</f>
        <v>0</v>
      </c>
      <c r="L361" s="41">
        <f>IF(VLOOKUP($D361,$C$5:$AU$534,3,)=0,0,(VLOOKUP($D361,$C$5:$AU$534,10,)/VLOOKUP($D361,$C$5:$AU$534,3,))*$E361)</f>
        <v>0</v>
      </c>
      <c r="M361" s="19">
        <f>IF(VLOOKUP($D361,$C$5:$AU$534,3,)=0,0,(VLOOKUP($D361,$C$5:$AU$534,11,)/VLOOKUP($D361,$C$5:$AU$534,3,))*$E361)</f>
        <v>0</v>
      </c>
      <c r="N361" s="19">
        <f>IF(VLOOKUP($D361,$C$5:$AU$534,3,)=0,0,(VLOOKUP($D361,$C$5:$AU$534,12,)/VLOOKUP($D361,$C$5:$AU$534,3,))*$E361)</f>
        <v>0</v>
      </c>
      <c r="O361" s="19">
        <f>IF(VLOOKUP($D361,$C$5:$AU$534,3,)=0,0,(VLOOKUP($D361,$C$5:$AU$534,13,)/VLOOKUP($D361,$C$5:$AU$534,3,))*$E361)</f>
        <v>0</v>
      </c>
      <c r="P361" s="19">
        <f>IF(VLOOKUP($D361,$C$5:$AU$534,3,)=0,0,(VLOOKUP($D361,$C$5:$AU$534,14,)/VLOOKUP($D361,$C$5:$AU$534,3,))*$E361)</f>
        <v>0</v>
      </c>
      <c r="Q361" s="19">
        <f>IF(VLOOKUP($D361,$C$5:$AU$534,3,)=0,0,(VLOOKUP($D361,$C$5:$AU$534,15,)/VLOOKUP($D361,$C$5:$AU$534,3,))*$E361)</f>
        <v>0</v>
      </c>
      <c r="R361" s="19">
        <f>IF(VLOOKUP($D361,$C$5:$AU$534,3,)=0,0,(VLOOKUP($D361,$C$5:$AU$534,16,)/VLOOKUP($D361,$C$5:$AU$534,3,))*$E361)</f>
        <v>0</v>
      </c>
      <c r="S361" s="80">
        <f>IF(VLOOKUP($D361,$C$5:$AU$534,3,)=0,0,(VLOOKUP($D361,$C$5:$AU$534,17,)/VLOOKUP($D361,$C$5:$AU$534,3,))*$E361)</f>
        <v>0</v>
      </c>
      <c r="T361" s="80">
        <f>IF(VLOOKUP($D361,$C$5:$AU$534,3,)=0,0,(VLOOKUP($D361,$C$5:$AU$534,18,)/VLOOKUP($D361,$C$5:$AU$534,3,))*$E361)</f>
        <v>0</v>
      </c>
      <c r="U361" s="80">
        <f>IF(VLOOKUP($D361,$C$5:$AU$534,3,)=0,0,(VLOOKUP($D361,$C$5:$AU$534,19,)/VLOOKUP($D361,$C$5:$AU$534,3,))*$E361)</f>
        <v>0</v>
      </c>
      <c r="V361" s="80">
        <f>IF(VLOOKUP($D361,$C$5:$AU$534,3,)=0,0,(VLOOKUP($D361,$C$5:$AU$534,20,)/VLOOKUP($D361,$C$5:$AU$534,3,))*$E361)</f>
        <v>0</v>
      </c>
      <c r="W361" s="80">
        <f>IF(VLOOKUP($D361,$C$5:$AU$534,3,)=0,0,(VLOOKUP($D361,$C$5:$AU$534,21,)/VLOOKUP($D361,$C$5:$AU$534,3,))*$E361)</f>
        <v>0</v>
      </c>
      <c r="X361" s="80">
        <f>IF(VLOOKUP($D361,$C$5:$AU$534,3,)=0,0,(VLOOKUP($D361,$C$5:$AU$534,22,)/VLOOKUP($D361,$C$5:$AU$534,3,))*$E361)</f>
        <v>0</v>
      </c>
      <c r="Y361" s="80">
        <f>IF(VLOOKUP($D361,$C$5:$AU$534,3,)=0,0,(VLOOKUP($D361,$C$5:$AU$534,23,)/VLOOKUP($D361,$C$5:$AU$534,3,))*$E361)</f>
        <v>0</v>
      </c>
      <c r="Z361" s="80">
        <f>IF(VLOOKUP($D361,$C$5:$AU$534,3,)=0,0,(VLOOKUP($D361,$C$5:$AU$534,24,)/VLOOKUP($D361,$C$5:$AU$534,3,))*$E361)</f>
        <v>0</v>
      </c>
      <c r="AA361" s="80">
        <f>IF(VLOOKUP($D361,$C$5:$AU$534,3,)=0,0,(VLOOKUP($D361,$C$5:$AU$534,25,)/VLOOKUP($D361,$C$5:$AU$534,3,))*$E361)</f>
        <v>0</v>
      </c>
      <c r="AB361" s="80">
        <f>IF(VLOOKUP($D361,$C$5:$AU$534,3,)=0,0,(VLOOKUP($D361,$C$5:$AU$534,26,)/VLOOKUP($D361,$C$5:$AU$534,3,))*$E361)</f>
        <v>0</v>
      </c>
      <c r="AC361" s="80">
        <f>IF(VLOOKUP($D361,$C$5:$AU$534,3,)=0,0,(VLOOKUP($D361,$C$5:$AU$534,27,)/VLOOKUP($D361,$C$5:$AU$534,3,))*$E361)</f>
        <v>0</v>
      </c>
      <c r="AD361" s="80">
        <f>IF(VLOOKUP($D361,$C$5:$AU$534,3,)=0,0,(VLOOKUP($D361,$C$5:$AU$534,28,)/VLOOKUP($D361,$C$5:$AU$534,3,))*$E361)</f>
        <v>0</v>
      </c>
      <c r="AE361" s="80">
        <f>IF(VLOOKUP($D361,$C$5:$AU$534,3,)=0,0,(VLOOKUP($D361,$C$5:$AU$534,29,)/VLOOKUP($D361,$C$5:$AU$534,3,))*$E361)</f>
        <v>0</v>
      </c>
      <c r="AF361" s="80">
        <f>IF(VLOOKUP($D361,$C$5:$AU$534,3,)=0,0,(VLOOKUP($D361,$C$5:$AU$534,30,)/VLOOKUP($D361,$C$5:$AU$534,3,))*$E361)</f>
        <v>0</v>
      </c>
      <c r="AG361" s="65">
        <f t="shared" si="125"/>
        <v>0</v>
      </c>
      <c r="AH361" s="12" t="str">
        <f t="shared" si="124"/>
        <v>ok</v>
      </c>
      <c r="AJ361" s="3">
        <f t="shared" si="126"/>
        <v>1</v>
      </c>
    </row>
    <row r="362" spans="1:41" x14ac:dyDescent="0.2">
      <c r="A362" s="3">
        <v>5</v>
      </c>
      <c r="B362" s="208" t="s">
        <v>1100</v>
      </c>
      <c r="E362" s="65">
        <f t="shared" ref="E362:E369" si="127">AJ362*AK362</f>
        <v>0</v>
      </c>
      <c r="F362" s="65">
        <f>AJ362*AL362</f>
        <v>0</v>
      </c>
      <c r="G362" s="65">
        <f>AJ362*AM362</f>
        <v>0</v>
      </c>
      <c r="H362" s="65">
        <f>AJ362*AN362</f>
        <v>0</v>
      </c>
      <c r="I362" s="65">
        <f>AJ362*AO362</f>
        <v>0</v>
      </c>
      <c r="J362" s="41">
        <v>0</v>
      </c>
      <c r="K362" s="41">
        <v>0</v>
      </c>
      <c r="L362" s="41">
        <v>0</v>
      </c>
      <c r="M362" s="41">
        <v>0</v>
      </c>
      <c r="N362" s="41">
        <v>0</v>
      </c>
      <c r="O362" s="41">
        <v>0</v>
      </c>
      <c r="P362" s="41">
        <v>0</v>
      </c>
      <c r="Q362" s="41">
        <v>0</v>
      </c>
      <c r="R362" s="41">
        <v>0</v>
      </c>
      <c r="S362" s="41">
        <v>0</v>
      </c>
      <c r="T362" s="41">
        <v>0</v>
      </c>
      <c r="U362" s="41">
        <v>0</v>
      </c>
      <c r="V362" s="41">
        <v>0</v>
      </c>
      <c r="W362" s="41">
        <v>0</v>
      </c>
      <c r="X362" s="41">
        <v>0</v>
      </c>
      <c r="Y362" s="41">
        <v>0</v>
      </c>
      <c r="Z362" s="41">
        <v>0</v>
      </c>
      <c r="AA362" s="41">
        <v>0</v>
      </c>
      <c r="AB362" s="41">
        <v>0</v>
      </c>
      <c r="AC362" s="41">
        <v>0</v>
      </c>
      <c r="AD362" s="41">
        <v>0</v>
      </c>
      <c r="AE362" s="41">
        <v>0</v>
      </c>
      <c r="AF362" s="41">
        <v>0</v>
      </c>
      <c r="AG362" s="65">
        <f t="shared" ref="AG362" si="128">SUM(F362:AF362)</f>
        <v>0</v>
      </c>
      <c r="AH362" s="12" t="str">
        <f t="shared" si="124"/>
        <v>ok</v>
      </c>
      <c r="AJ362" s="3">
        <v>0</v>
      </c>
      <c r="AK362" s="7">
        <v>-66068.350000000006</v>
      </c>
      <c r="AL362" s="8">
        <v>788.89186252371928</v>
      </c>
      <c r="AM362" s="8">
        <v>-1247.4106264434092</v>
      </c>
      <c r="AN362" s="8">
        <v>9125.3387689537994</v>
      </c>
      <c r="AO362" s="8">
        <v>-74735.169065687413</v>
      </c>
    </row>
    <row r="363" spans="1:41" x14ac:dyDescent="0.2">
      <c r="A363" s="3">
        <v>6</v>
      </c>
      <c r="B363" s="208" t="s">
        <v>1101</v>
      </c>
      <c r="D363" s="3" t="s">
        <v>260</v>
      </c>
      <c r="E363" s="65">
        <f t="shared" si="127"/>
        <v>25333.33</v>
      </c>
      <c r="F363" s="41">
        <f t="shared" ref="F363:F369" si="129">IF(VLOOKUP($D363,$C$5:$AU$534,3,)=0,0,(VLOOKUP($D363,$C$5:$AU$534,4,)/VLOOKUP($D363,$C$5:$AU$534,3,))*$E363)</f>
        <v>19291.46950547571</v>
      </c>
      <c r="G363" s="41">
        <f t="shared" ref="G363:G369" si="130">IF(VLOOKUP($D363,$C$5:$AU$534,3,)=0,0,(VLOOKUP($D363,$C$5:$AU$534,5,)/VLOOKUP($D363,$C$5:$AU$534,3,))*$E363)</f>
        <v>1136.631524428218</v>
      </c>
      <c r="H363" s="41">
        <f t="shared" ref="H363:H369" si="131">IF(VLOOKUP($D363,$C$5:$AU$534,3,)=0,0,(VLOOKUP($D363,$C$5:$AU$534,6,)/VLOOKUP($D363,$C$5:$AU$534,3,))*$E363)</f>
        <v>1502.306003629164</v>
      </c>
      <c r="I363" s="41">
        <f t="shared" ref="I363:I369" si="132">IF(VLOOKUP($D363,$C$5:$AU$534,3,)=0,0,(VLOOKUP($D363,$C$5:$AU$534,7,)/VLOOKUP($D363,$C$5:$AU$534,3,))*$E363)</f>
        <v>661.99313524322304</v>
      </c>
      <c r="J363" s="41">
        <f t="shared" ref="J363:J369" si="133">IF(VLOOKUP($D363,$C$5:$AU$534,3,)=0,0,(VLOOKUP($D363,$C$5:$AU$534,8,)/VLOOKUP($D363,$C$5:$AU$534,3,))*$E363)</f>
        <v>217.50752261103909</v>
      </c>
      <c r="K363" s="41">
        <f t="shared" ref="K363:K369" si="134">IF(VLOOKUP($D363,$C$5:$AU$534,3,)=0,0,(VLOOKUP($D363,$C$5:$AU$534,9,)/VLOOKUP($D363,$C$5:$AU$534,3,))*$E363)</f>
        <v>2523.4223086126467</v>
      </c>
      <c r="L363" s="41">
        <f t="shared" ref="L363:L369" si="135">IF(VLOOKUP($D363,$C$5:$AU$534,3,)=0,0,(VLOOKUP($D363,$C$5:$AU$534,10,)/VLOOKUP($D363,$C$5:$AU$534,3,))*$E363)</f>
        <v>0</v>
      </c>
      <c r="M363" s="19">
        <f t="shared" ref="M363:M369" si="136">IF(VLOOKUP($D363,$C$5:$AU$534,3,)=0,0,(VLOOKUP($D363,$C$5:$AU$534,11,)/VLOOKUP($D363,$C$5:$AU$534,3,))*$E363)</f>
        <v>0</v>
      </c>
      <c r="N363" s="19">
        <f t="shared" ref="N363:N369" si="137">IF(VLOOKUP($D363,$C$5:$AU$534,3,)=0,0,(VLOOKUP($D363,$C$5:$AU$534,12,)/VLOOKUP($D363,$C$5:$AU$534,3,))*$E363)</f>
        <v>0</v>
      </c>
      <c r="O363" s="19">
        <f t="shared" ref="O363:O369" si="138">IF(VLOOKUP($D363,$C$5:$AU$534,3,)=0,0,(VLOOKUP($D363,$C$5:$AU$534,13,)/VLOOKUP($D363,$C$5:$AU$534,3,))*$E363)</f>
        <v>0</v>
      </c>
      <c r="P363" s="19">
        <f t="shared" ref="P363:P369" si="139">IF(VLOOKUP($D363,$C$5:$AU$534,3,)=0,0,(VLOOKUP($D363,$C$5:$AU$534,14,)/VLOOKUP($D363,$C$5:$AU$534,3,))*$E363)</f>
        <v>0</v>
      </c>
      <c r="Q363" s="19">
        <f t="shared" ref="Q363:Q369" si="140">IF(VLOOKUP($D363,$C$5:$AU$534,3,)=0,0,(VLOOKUP($D363,$C$5:$AU$534,15,)/VLOOKUP($D363,$C$5:$AU$534,3,))*$E363)</f>
        <v>0</v>
      </c>
      <c r="R363" s="19">
        <f t="shared" ref="R363:R369" si="141">IF(VLOOKUP($D363,$C$5:$AU$534,3,)=0,0,(VLOOKUP($D363,$C$5:$AU$534,16,)/VLOOKUP($D363,$C$5:$AU$534,3,))*$E363)</f>
        <v>0</v>
      </c>
      <c r="S363" s="80">
        <f t="shared" ref="S363:S369" si="142">IF(VLOOKUP($D363,$C$5:$AU$534,3,)=0,0,(VLOOKUP($D363,$C$5:$AU$534,17,)/VLOOKUP($D363,$C$5:$AU$534,3,))*$E363)</f>
        <v>0</v>
      </c>
      <c r="T363" s="80">
        <f t="shared" ref="T363:T369" si="143">IF(VLOOKUP($D363,$C$5:$AU$534,3,)=0,0,(VLOOKUP($D363,$C$5:$AU$534,18,)/VLOOKUP($D363,$C$5:$AU$534,3,))*$E363)</f>
        <v>0</v>
      </c>
      <c r="U363" s="80">
        <f t="shared" ref="U363:U369" si="144">IF(VLOOKUP($D363,$C$5:$AU$534,3,)=0,0,(VLOOKUP($D363,$C$5:$AU$534,19,)/VLOOKUP($D363,$C$5:$AU$534,3,))*$E363)</f>
        <v>0</v>
      </c>
      <c r="V363" s="80">
        <f t="shared" ref="V363:V369" si="145">IF(VLOOKUP($D363,$C$5:$AU$534,3,)=0,0,(VLOOKUP($D363,$C$5:$AU$534,20,)/VLOOKUP($D363,$C$5:$AU$534,3,))*$E363)</f>
        <v>0</v>
      </c>
      <c r="W363" s="80">
        <f t="shared" ref="W363:W369" si="146">IF(VLOOKUP($D363,$C$5:$AU$534,3,)=0,0,(VLOOKUP($D363,$C$5:$AU$534,21,)/VLOOKUP($D363,$C$5:$AU$534,3,))*$E363)</f>
        <v>0</v>
      </c>
      <c r="X363" s="80">
        <f t="shared" ref="X363:X369" si="147">IF(VLOOKUP($D363,$C$5:$AU$534,3,)=0,0,(VLOOKUP($D363,$C$5:$AU$534,22,)/VLOOKUP($D363,$C$5:$AU$534,3,))*$E363)</f>
        <v>0</v>
      </c>
      <c r="Y363" s="80">
        <f t="shared" ref="Y363:Y369" si="148">IF(VLOOKUP($D363,$C$5:$AU$534,3,)=0,0,(VLOOKUP($D363,$C$5:$AU$534,23,)/VLOOKUP($D363,$C$5:$AU$534,3,))*$E363)</f>
        <v>0</v>
      </c>
      <c r="Z363" s="80">
        <f t="shared" ref="Z363:Z369" si="149">IF(VLOOKUP($D363,$C$5:$AU$534,3,)=0,0,(VLOOKUP($D363,$C$5:$AU$534,24,)/VLOOKUP($D363,$C$5:$AU$534,3,))*$E363)</f>
        <v>0</v>
      </c>
      <c r="AA363" s="80">
        <f t="shared" ref="AA363:AA369" si="150">IF(VLOOKUP($D363,$C$5:$AU$534,3,)=0,0,(VLOOKUP($D363,$C$5:$AU$534,25,)/VLOOKUP($D363,$C$5:$AU$534,3,))*$E363)</f>
        <v>0</v>
      </c>
      <c r="AB363" s="80">
        <f t="shared" ref="AB363:AB369" si="151">IF(VLOOKUP($D363,$C$5:$AU$534,3,)=0,0,(VLOOKUP($D363,$C$5:$AU$534,26,)/VLOOKUP($D363,$C$5:$AU$534,3,))*$E363)</f>
        <v>0</v>
      </c>
      <c r="AC363" s="80">
        <f t="shared" ref="AC363:AC369" si="152">IF(VLOOKUP($D363,$C$5:$AU$534,3,)=0,0,(VLOOKUP($D363,$C$5:$AU$534,27,)/VLOOKUP($D363,$C$5:$AU$534,3,))*$E363)</f>
        <v>0</v>
      </c>
      <c r="AD363" s="80">
        <f t="shared" ref="AD363:AD369" si="153">IF(VLOOKUP($D363,$C$5:$AU$534,3,)=0,0,(VLOOKUP($D363,$C$5:$AU$534,28,)/VLOOKUP($D363,$C$5:$AU$534,3,))*$E363)</f>
        <v>0</v>
      </c>
      <c r="AE363" s="80">
        <f t="shared" ref="AE363:AE369" si="154">IF(VLOOKUP($D363,$C$5:$AU$534,3,)=0,0,(VLOOKUP($D363,$C$5:$AU$534,29,)/VLOOKUP($D363,$C$5:$AU$534,3,))*$E363)</f>
        <v>0</v>
      </c>
      <c r="AF363" s="80">
        <f t="shared" ref="AF363:AF369" si="155">IF(VLOOKUP($D363,$C$5:$AU$534,3,)=0,0,(VLOOKUP($D363,$C$5:$AU$534,30,)/VLOOKUP($D363,$C$5:$AU$534,3,))*$E363)</f>
        <v>0</v>
      </c>
      <c r="AG363" s="65">
        <f t="shared" si="125"/>
        <v>25333.33</v>
      </c>
      <c r="AH363" s="12" t="str">
        <f t="shared" si="124"/>
        <v>ok</v>
      </c>
      <c r="AJ363" s="3">
        <v>1</v>
      </c>
      <c r="AK363" s="7">
        <v>25333.33</v>
      </c>
    </row>
    <row r="364" spans="1:41" x14ac:dyDescent="0.2">
      <c r="A364" s="3">
        <v>7</v>
      </c>
      <c r="B364" s="208" t="s">
        <v>1102</v>
      </c>
      <c r="D364" s="3" t="s">
        <v>260</v>
      </c>
      <c r="E364" s="65">
        <f t="shared" si="127"/>
        <v>-15038</v>
      </c>
      <c r="F364" s="41">
        <f t="shared" si="129"/>
        <v>-11451.51933927927</v>
      </c>
      <c r="G364" s="41">
        <f t="shared" si="130"/>
        <v>-674.71054394947453</v>
      </c>
      <c r="H364" s="41">
        <f t="shared" si="131"/>
        <v>-891.77686796703665</v>
      </c>
      <c r="I364" s="41">
        <f t="shared" si="132"/>
        <v>-392.96266096038647</v>
      </c>
      <c r="J364" s="41">
        <f t="shared" si="133"/>
        <v>-129.11362718698274</v>
      </c>
      <c r="K364" s="41">
        <f t="shared" si="134"/>
        <v>-1497.9169606568494</v>
      </c>
      <c r="L364" s="41">
        <f t="shared" si="135"/>
        <v>0</v>
      </c>
      <c r="M364" s="19">
        <f t="shared" si="136"/>
        <v>0</v>
      </c>
      <c r="N364" s="19">
        <f t="shared" si="137"/>
        <v>0</v>
      </c>
      <c r="O364" s="19">
        <f t="shared" si="138"/>
        <v>0</v>
      </c>
      <c r="P364" s="19">
        <f t="shared" si="139"/>
        <v>0</v>
      </c>
      <c r="Q364" s="19">
        <f t="shared" si="140"/>
        <v>0</v>
      </c>
      <c r="R364" s="19">
        <f t="shared" si="141"/>
        <v>0</v>
      </c>
      <c r="S364" s="80">
        <f t="shared" si="142"/>
        <v>0</v>
      </c>
      <c r="T364" s="80">
        <f t="shared" si="143"/>
        <v>0</v>
      </c>
      <c r="U364" s="80">
        <f t="shared" si="144"/>
        <v>0</v>
      </c>
      <c r="V364" s="80">
        <f t="shared" si="145"/>
        <v>0</v>
      </c>
      <c r="W364" s="80">
        <f t="shared" si="146"/>
        <v>0</v>
      </c>
      <c r="X364" s="80">
        <f t="shared" si="147"/>
        <v>0</v>
      </c>
      <c r="Y364" s="80">
        <f t="shared" si="148"/>
        <v>0</v>
      </c>
      <c r="Z364" s="80">
        <f t="shared" si="149"/>
        <v>0</v>
      </c>
      <c r="AA364" s="80">
        <f t="shared" si="150"/>
        <v>0</v>
      </c>
      <c r="AB364" s="80">
        <f t="shared" si="151"/>
        <v>0</v>
      </c>
      <c r="AC364" s="80">
        <f t="shared" si="152"/>
        <v>0</v>
      </c>
      <c r="AD364" s="80">
        <f t="shared" si="153"/>
        <v>0</v>
      </c>
      <c r="AE364" s="80">
        <f t="shared" si="154"/>
        <v>0</v>
      </c>
      <c r="AF364" s="80">
        <f t="shared" si="155"/>
        <v>0</v>
      </c>
      <c r="AG364" s="65">
        <f t="shared" si="125"/>
        <v>-15038</v>
      </c>
      <c r="AH364" s="12" t="str">
        <f t="shared" si="124"/>
        <v>ok</v>
      </c>
      <c r="AJ364" s="3">
        <f t="shared" si="126"/>
        <v>1</v>
      </c>
      <c r="AK364" s="7">
        <v>-15038</v>
      </c>
    </row>
    <row r="365" spans="1:41" x14ac:dyDescent="0.2">
      <c r="A365" s="3">
        <v>8</v>
      </c>
      <c r="B365" s="208" t="s">
        <v>1103</v>
      </c>
      <c r="D365" s="3" t="s">
        <v>260</v>
      </c>
      <c r="E365" s="65">
        <f t="shared" si="127"/>
        <v>-54566.689999999995</v>
      </c>
      <c r="F365" s="41">
        <f t="shared" si="129"/>
        <v>-41552.833210231198</v>
      </c>
      <c r="G365" s="41">
        <f t="shared" si="130"/>
        <v>-2448.2458499416375</v>
      </c>
      <c r="H365" s="41">
        <f t="shared" si="131"/>
        <v>-3235.8898725580671</v>
      </c>
      <c r="I365" s="41">
        <f t="shared" si="132"/>
        <v>-1425.8991689187731</v>
      </c>
      <c r="J365" s="41">
        <f t="shared" si="133"/>
        <v>-468.50001792044549</v>
      </c>
      <c r="K365" s="41">
        <f t="shared" si="134"/>
        <v>-5435.3218804298767</v>
      </c>
      <c r="L365" s="41">
        <f t="shared" si="135"/>
        <v>0</v>
      </c>
      <c r="M365" s="19">
        <f t="shared" si="136"/>
        <v>0</v>
      </c>
      <c r="N365" s="19">
        <f t="shared" si="137"/>
        <v>0</v>
      </c>
      <c r="O365" s="19">
        <f t="shared" si="138"/>
        <v>0</v>
      </c>
      <c r="P365" s="19">
        <f t="shared" si="139"/>
        <v>0</v>
      </c>
      <c r="Q365" s="19">
        <f t="shared" si="140"/>
        <v>0</v>
      </c>
      <c r="R365" s="19">
        <f t="shared" si="141"/>
        <v>0</v>
      </c>
      <c r="S365" s="80">
        <f t="shared" si="142"/>
        <v>0</v>
      </c>
      <c r="T365" s="80">
        <f t="shared" si="143"/>
        <v>0</v>
      </c>
      <c r="U365" s="80">
        <f t="shared" si="144"/>
        <v>0</v>
      </c>
      <c r="V365" s="80">
        <f t="shared" si="145"/>
        <v>0</v>
      </c>
      <c r="W365" s="80">
        <f t="shared" si="146"/>
        <v>0</v>
      </c>
      <c r="X365" s="80">
        <f t="shared" si="147"/>
        <v>0</v>
      </c>
      <c r="Y365" s="80">
        <f t="shared" si="148"/>
        <v>0</v>
      </c>
      <c r="Z365" s="80">
        <f t="shared" si="149"/>
        <v>0</v>
      </c>
      <c r="AA365" s="80">
        <f t="shared" si="150"/>
        <v>0</v>
      </c>
      <c r="AB365" s="80">
        <f t="shared" si="151"/>
        <v>0</v>
      </c>
      <c r="AC365" s="80">
        <f t="shared" si="152"/>
        <v>0</v>
      </c>
      <c r="AD365" s="80">
        <f t="shared" si="153"/>
        <v>0</v>
      </c>
      <c r="AE365" s="80">
        <f t="shared" si="154"/>
        <v>0</v>
      </c>
      <c r="AF365" s="80">
        <f t="shared" si="155"/>
        <v>0</v>
      </c>
      <c r="AG365" s="65">
        <f t="shared" si="125"/>
        <v>-54566.689999999995</v>
      </c>
      <c r="AH365" s="12" t="str">
        <f t="shared" si="124"/>
        <v>ok</v>
      </c>
      <c r="AJ365" s="3">
        <f t="shared" si="126"/>
        <v>1</v>
      </c>
      <c r="AK365" s="7">
        <v>-54566.689999999995</v>
      </c>
    </row>
    <row r="366" spans="1:41" x14ac:dyDescent="0.2">
      <c r="A366" s="3">
        <v>9</v>
      </c>
      <c r="B366" s="208" t="s">
        <v>1104</v>
      </c>
      <c r="D366" s="3" t="s">
        <v>260</v>
      </c>
      <c r="E366" s="269">
        <f t="shared" si="127"/>
        <v>-22703.180000000018</v>
      </c>
      <c r="F366" s="270">
        <f t="shared" si="129"/>
        <v>-17288.595879314973</v>
      </c>
      <c r="G366" s="270">
        <f t="shared" si="130"/>
        <v>-1018.6244797967046</v>
      </c>
      <c r="H366" s="270">
        <f t="shared" si="131"/>
        <v>-1346.3340040758001</v>
      </c>
      <c r="I366" s="270">
        <f t="shared" si="132"/>
        <v>-593.26386654226849</v>
      </c>
      <c r="J366" s="270">
        <f t="shared" si="133"/>
        <v>-194.92551658990328</v>
      </c>
      <c r="K366" s="270">
        <f t="shared" si="134"/>
        <v>-2261.4362536803696</v>
      </c>
      <c r="L366" s="41">
        <f t="shared" si="135"/>
        <v>0</v>
      </c>
      <c r="M366" s="19">
        <f t="shared" si="136"/>
        <v>0</v>
      </c>
      <c r="N366" s="19">
        <f t="shared" si="137"/>
        <v>0</v>
      </c>
      <c r="O366" s="19">
        <f t="shared" si="138"/>
        <v>0</v>
      </c>
      <c r="P366" s="19">
        <f t="shared" si="139"/>
        <v>0</v>
      </c>
      <c r="Q366" s="19">
        <f t="shared" si="140"/>
        <v>0</v>
      </c>
      <c r="R366" s="19">
        <f t="shared" si="141"/>
        <v>0</v>
      </c>
      <c r="S366" s="80">
        <f t="shared" si="142"/>
        <v>0</v>
      </c>
      <c r="T366" s="80">
        <f t="shared" si="143"/>
        <v>0</v>
      </c>
      <c r="U366" s="80">
        <f t="shared" si="144"/>
        <v>0</v>
      </c>
      <c r="V366" s="80">
        <f t="shared" si="145"/>
        <v>0</v>
      </c>
      <c r="W366" s="80">
        <f t="shared" si="146"/>
        <v>0</v>
      </c>
      <c r="X366" s="80">
        <f t="shared" si="147"/>
        <v>0</v>
      </c>
      <c r="Y366" s="80">
        <f t="shared" si="148"/>
        <v>0</v>
      </c>
      <c r="Z366" s="80">
        <f t="shared" si="149"/>
        <v>0</v>
      </c>
      <c r="AA366" s="80">
        <f t="shared" si="150"/>
        <v>0</v>
      </c>
      <c r="AB366" s="80">
        <f t="shared" si="151"/>
        <v>0</v>
      </c>
      <c r="AC366" s="80">
        <f t="shared" si="152"/>
        <v>0</v>
      </c>
      <c r="AD366" s="80">
        <f t="shared" si="153"/>
        <v>0</v>
      </c>
      <c r="AE366" s="80">
        <f t="shared" si="154"/>
        <v>0</v>
      </c>
      <c r="AF366" s="80">
        <f t="shared" si="155"/>
        <v>0</v>
      </c>
      <c r="AG366" s="65">
        <f>SUM(F366:AF366)</f>
        <v>-22703.180000000022</v>
      </c>
      <c r="AH366" s="12" t="str">
        <f t="shared" si="124"/>
        <v>ok</v>
      </c>
      <c r="AJ366" s="3">
        <f t="shared" si="126"/>
        <v>1</v>
      </c>
      <c r="AK366" s="268">
        <v>-22703.180000000018</v>
      </c>
    </row>
    <row r="367" spans="1:41" x14ac:dyDescent="0.2">
      <c r="A367" s="3">
        <v>10</v>
      </c>
      <c r="B367" s="208" t="s">
        <v>992</v>
      </c>
      <c r="D367" s="3" t="s">
        <v>284</v>
      </c>
      <c r="E367" s="269">
        <f t="shared" si="127"/>
        <v>17528.819658074895</v>
      </c>
      <c r="F367" s="270">
        <f t="shared" si="129"/>
        <v>14711.737176910454</v>
      </c>
      <c r="G367" s="270">
        <f t="shared" si="130"/>
        <v>960.74447733146803</v>
      </c>
      <c r="H367" s="270">
        <f t="shared" si="131"/>
        <v>815.60917443289043</v>
      </c>
      <c r="I367" s="270">
        <f t="shared" si="132"/>
        <v>302.83799182300481</v>
      </c>
      <c r="J367" s="270">
        <f t="shared" si="133"/>
        <v>101.20773825514124</v>
      </c>
      <c r="K367" s="270">
        <f t="shared" si="134"/>
        <v>636.68309932193858</v>
      </c>
      <c r="L367" s="41">
        <f t="shared" si="135"/>
        <v>0</v>
      </c>
      <c r="M367" s="19">
        <f t="shared" si="136"/>
        <v>0</v>
      </c>
      <c r="N367" s="19">
        <f t="shared" si="137"/>
        <v>0</v>
      </c>
      <c r="O367" s="19">
        <f t="shared" si="138"/>
        <v>0</v>
      </c>
      <c r="P367" s="19">
        <f t="shared" si="139"/>
        <v>0</v>
      </c>
      <c r="Q367" s="19">
        <f t="shared" si="140"/>
        <v>0</v>
      </c>
      <c r="R367" s="19">
        <f t="shared" si="141"/>
        <v>0</v>
      </c>
      <c r="S367" s="80">
        <f t="shared" si="142"/>
        <v>0</v>
      </c>
      <c r="T367" s="80">
        <f t="shared" si="143"/>
        <v>0</v>
      </c>
      <c r="U367" s="80">
        <f t="shared" si="144"/>
        <v>0</v>
      </c>
      <c r="V367" s="80">
        <f t="shared" si="145"/>
        <v>0</v>
      </c>
      <c r="W367" s="80">
        <f t="shared" si="146"/>
        <v>0</v>
      </c>
      <c r="X367" s="80">
        <f t="shared" si="147"/>
        <v>0</v>
      </c>
      <c r="Y367" s="80">
        <f t="shared" si="148"/>
        <v>0</v>
      </c>
      <c r="Z367" s="80">
        <f t="shared" si="149"/>
        <v>0</v>
      </c>
      <c r="AA367" s="80">
        <f t="shared" si="150"/>
        <v>0</v>
      </c>
      <c r="AB367" s="80">
        <f t="shared" si="151"/>
        <v>0</v>
      </c>
      <c r="AC367" s="80">
        <f t="shared" si="152"/>
        <v>0</v>
      </c>
      <c r="AD367" s="80">
        <f t="shared" si="153"/>
        <v>0</v>
      </c>
      <c r="AE367" s="80">
        <f t="shared" si="154"/>
        <v>0</v>
      </c>
      <c r="AF367" s="80">
        <f t="shared" si="155"/>
        <v>0</v>
      </c>
      <c r="AG367" s="65">
        <f>SUM(F367:AF367)</f>
        <v>17528.819658074895</v>
      </c>
      <c r="AH367" s="12" t="str">
        <f t="shared" si="124"/>
        <v>ok</v>
      </c>
      <c r="AJ367" s="3">
        <f t="shared" si="126"/>
        <v>1</v>
      </c>
      <c r="AK367" s="268">
        <v>17528.819658074895</v>
      </c>
    </row>
    <row r="368" spans="1:41" x14ac:dyDescent="0.2">
      <c r="A368" s="3">
        <v>11</v>
      </c>
      <c r="B368" s="208" t="s">
        <v>991</v>
      </c>
      <c r="D368" s="3" t="s">
        <v>284</v>
      </c>
      <c r="E368" s="65">
        <f t="shared" si="127"/>
        <v>-12759.335384615386</v>
      </c>
      <c r="F368" s="41">
        <f t="shared" si="129"/>
        <v>-10708.763761172195</v>
      </c>
      <c r="G368" s="41">
        <f t="shared" si="130"/>
        <v>-699.33180010453145</v>
      </c>
      <c r="H368" s="41">
        <f t="shared" si="131"/>
        <v>-593.6869225854897</v>
      </c>
      <c r="I368" s="41">
        <f t="shared" si="132"/>
        <v>-220.43763243882307</v>
      </c>
      <c r="J368" s="41">
        <f t="shared" si="133"/>
        <v>-73.669733678892669</v>
      </c>
      <c r="K368" s="41">
        <f t="shared" si="134"/>
        <v>-463.44553463545554</v>
      </c>
      <c r="L368" s="41">
        <f t="shared" si="135"/>
        <v>0</v>
      </c>
      <c r="M368" s="19">
        <f t="shared" si="136"/>
        <v>0</v>
      </c>
      <c r="N368" s="19">
        <f t="shared" si="137"/>
        <v>0</v>
      </c>
      <c r="O368" s="19">
        <f t="shared" si="138"/>
        <v>0</v>
      </c>
      <c r="P368" s="19">
        <f t="shared" si="139"/>
        <v>0</v>
      </c>
      <c r="Q368" s="19">
        <f t="shared" si="140"/>
        <v>0</v>
      </c>
      <c r="R368" s="19">
        <f t="shared" si="141"/>
        <v>0</v>
      </c>
      <c r="S368" s="80">
        <f t="shared" si="142"/>
        <v>0</v>
      </c>
      <c r="T368" s="80">
        <f t="shared" si="143"/>
        <v>0</v>
      </c>
      <c r="U368" s="80">
        <f t="shared" si="144"/>
        <v>0</v>
      </c>
      <c r="V368" s="80">
        <f t="shared" si="145"/>
        <v>0</v>
      </c>
      <c r="W368" s="80">
        <f t="shared" si="146"/>
        <v>0</v>
      </c>
      <c r="X368" s="80">
        <f t="shared" si="147"/>
        <v>0</v>
      </c>
      <c r="Y368" s="80">
        <f t="shared" si="148"/>
        <v>0</v>
      </c>
      <c r="Z368" s="80">
        <f t="shared" si="149"/>
        <v>0</v>
      </c>
      <c r="AA368" s="80">
        <f t="shared" si="150"/>
        <v>0</v>
      </c>
      <c r="AB368" s="80">
        <f t="shared" si="151"/>
        <v>0</v>
      </c>
      <c r="AC368" s="80">
        <f t="shared" si="152"/>
        <v>0</v>
      </c>
      <c r="AD368" s="80">
        <f t="shared" si="153"/>
        <v>0</v>
      </c>
      <c r="AE368" s="80">
        <f t="shared" si="154"/>
        <v>0</v>
      </c>
      <c r="AF368" s="80">
        <f t="shared" si="155"/>
        <v>0</v>
      </c>
      <c r="AG368" s="65">
        <f>SUM(F368:AF368)</f>
        <v>-12759.335384615388</v>
      </c>
      <c r="AH368" s="12" t="str">
        <f t="shared" si="124"/>
        <v>ok</v>
      </c>
      <c r="AJ368" s="3">
        <f t="shared" si="126"/>
        <v>1</v>
      </c>
      <c r="AK368" s="7">
        <v>-12759.335384615386</v>
      </c>
    </row>
    <row r="369" spans="1:37" x14ac:dyDescent="0.2">
      <c r="A369" s="3">
        <v>12</v>
      </c>
      <c r="B369" s="208" t="s">
        <v>1117</v>
      </c>
      <c r="D369" s="3" t="s">
        <v>608</v>
      </c>
      <c r="E369" s="65">
        <f t="shared" si="127"/>
        <v>698995.7</v>
      </c>
      <c r="F369" s="41">
        <f t="shared" si="129"/>
        <v>501424.55411985214</v>
      </c>
      <c r="G369" s="41">
        <f t="shared" si="130"/>
        <v>18129.337633454834</v>
      </c>
      <c r="H369" s="41">
        <f t="shared" si="131"/>
        <v>77791.076615802274</v>
      </c>
      <c r="I369" s="41">
        <f t="shared" si="132"/>
        <v>37775.761982546333</v>
      </c>
      <c r="J369" s="41">
        <f t="shared" si="133"/>
        <v>13205.350031745775</v>
      </c>
      <c r="K369" s="41">
        <f t="shared" si="134"/>
        <v>50669.619616598568</v>
      </c>
      <c r="L369" s="41">
        <f t="shared" si="135"/>
        <v>0</v>
      </c>
      <c r="M369" s="19">
        <f t="shared" si="136"/>
        <v>0</v>
      </c>
      <c r="N369" s="19">
        <f t="shared" si="137"/>
        <v>0</v>
      </c>
      <c r="O369" s="19">
        <f t="shared" si="138"/>
        <v>0</v>
      </c>
      <c r="P369" s="19">
        <f t="shared" si="139"/>
        <v>0</v>
      </c>
      <c r="Q369" s="19">
        <f t="shared" si="140"/>
        <v>0</v>
      </c>
      <c r="R369" s="19">
        <f t="shared" si="141"/>
        <v>0</v>
      </c>
      <c r="S369" s="80">
        <f t="shared" si="142"/>
        <v>0</v>
      </c>
      <c r="T369" s="80">
        <f t="shared" si="143"/>
        <v>0</v>
      </c>
      <c r="U369" s="80">
        <f t="shared" si="144"/>
        <v>0</v>
      </c>
      <c r="V369" s="80">
        <f t="shared" si="145"/>
        <v>0</v>
      </c>
      <c r="W369" s="80">
        <f t="shared" si="146"/>
        <v>0</v>
      </c>
      <c r="X369" s="80">
        <f t="shared" si="147"/>
        <v>0</v>
      </c>
      <c r="Y369" s="80">
        <f t="shared" si="148"/>
        <v>0</v>
      </c>
      <c r="Z369" s="80">
        <f t="shared" si="149"/>
        <v>0</v>
      </c>
      <c r="AA369" s="80">
        <f t="shared" si="150"/>
        <v>0</v>
      </c>
      <c r="AB369" s="80">
        <f t="shared" si="151"/>
        <v>0</v>
      </c>
      <c r="AC369" s="80">
        <f t="shared" si="152"/>
        <v>0</v>
      </c>
      <c r="AD369" s="80">
        <f t="shared" si="153"/>
        <v>0</v>
      </c>
      <c r="AE369" s="80">
        <f t="shared" si="154"/>
        <v>0</v>
      </c>
      <c r="AF369" s="80">
        <f t="shared" si="155"/>
        <v>0</v>
      </c>
      <c r="AG369" s="65">
        <f t="shared" ref="AG369" si="156">SUM(F369:AF369)</f>
        <v>698995.69999999984</v>
      </c>
      <c r="AH369" s="12" t="str">
        <f t="shared" si="124"/>
        <v>ok</v>
      </c>
      <c r="AJ369" s="3">
        <f t="shared" si="126"/>
        <v>1</v>
      </c>
      <c r="AK369" s="7">
        <v>698995.7</v>
      </c>
    </row>
    <row r="370" spans="1:37" x14ac:dyDescent="0.2">
      <c r="A370" s="3">
        <v>13</v>
      </c>
      <c r="B370" s="208" t="s">
        <v>1112</v>
      </c>
      <c r="E370" s="65"/>
      <c r="F370" s="41"/>
      <c r="G370" s="41"/>
      <c r="H370" s="41"/>
      <c r="I370" s="41"/>
      <c r="J370" s="41"/>
      <c r="K370" s="41"/>
      <c r="L370" s="41"/>
      <c r="M370" s="19"/>
      <c r="N370" s="19"/>
      <c r="O370" s="19"/>
      <c r="P370" s="19"/>
      <c r="Q370" s="19"/>
      <c r="R370" s="19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65"/>
      <c r="AH370" s="12"/>
      <c r="AJ370" s="3">
        <f t="shared" si="126"/>
        <v>1</v>
      </c>
      <c r="AK370" s="7">
        <v>119118.10000000009</v>
      </c>
    </row>
    <row r="371" spans="1:37" hidden="1" x14ac:dyDescent="0.2">
      <c r="B371" s="208"/>
      <c r="C371" s="202"/>
      <c r="D371" s="202"/>
      <c r="E371" s="203"/>
      <c r="F371" s="41"/>
      <c r="G371" s="41"/>
      <c r="H371" s="41"/>
      <c r="I371" s="41"/>
      <c r="J371" s="19"/>
      <c r="K371" s="19"/>
      <c r="L371" s="41"/>
      <c r="M371" s="19"/>
      <c r="N371" s="19"/>
      <c r="O371" s="19"/>
      <c r="P371" s="19"/>
      <c r="Q371" s="19"/>
      <c r="R371" s="19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65"/>
      <c r="AH371" s="12"/>
    </row>
    <row r="372" spans="1:37" hidden="1" x14ac:dyDescent="0.2">
      <c r="B372" s="208"/>
      <c r="C372" s="202"/>
      <c r="D372" s="202"/>
      <c r="E372" s="203"/>
      <c r="F372" s="41"/>
      <c r="G372" s="41"/>
      <c r="H372" s="41"/>
      <c r="I372" s="41"/>
      <c r="J372" s="19"/>
      <c r="K372" s="19"/>
      <c r="L372" s="41"/>
      <c r="M372" s="19"/>
      <c r="N372" s="19"/>
      <c r="O372" s="19"/>
      <c r="P372" s="19"/>
      <c r="Q372" s="19"/>
      <c r="R372" s="19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65"/>
      <c r="AH372" s="12"/>
    </row>
    <row r="373" spans="1:37" hidden="1" x14ac:dyDescent="0.2">
      <c r="B373" s="208"/>
      <c r="C373" s="202"/>
      <c r="D373" s="202"/>
      <c r="E373" s="203"/>
      <c r="F373" s="41"/>
      <c r="G373" s="41"/>
      <c r="H373" s="41"/>
      <c r="I373" s="41"/>
      <c r="J373" s="19"/>
      <c r="K373" s="19"/>
      <c r="L373" s="41"/>
      <c r="M373" s="19"/>
      <c r="N373" s="19"/>
      <c r="O373" s="19"/>
      <c r="P373" s="19"/>
      <c r="Q373" s="19"/>
      <c r="R373" s="19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65"/>
      <c r="AH373" s="12"/>
    </row>
    <row r="374" spans="1:37" hidden="1" x14ac:dyDescent="0.2">
      <c r="B374" s="208"/>
      <c r="C374" s="202"/>
      <c r="D374" s="202"/>
      <c r="E374" s="203"/>
      <c r="F374" s="41"/>
      <c r="G374" s="41"/>
      <c r="H374" s="41"/>
      <c r="I374" s="41"/>
      <c r="J374" s="19"/>
      <c r="K374" s="19"/>
      <c r="L374" s="41"/>
      <c r="M374" s="19"/>
      <c r="N374" s="19"/>
      <c r="O374" s="19"/>
      <c r="P374" s="19"/>
      <c r="Q374" s="19"/>
      <c r="R374" s="19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65"/>
      <c r="AH374" s="12"/>
    </row>
    <row r="375" spans="1:37" hidden="1" x14ac:dyDescent="0.2">
      <c r="B375" s="208"/>
      <c r="C375" s="202"/>
      <c r="D375" s="202"/>
      <c r="E375" s="203"/>
      <c r="F375" s="41"/>
      <c r="G375" s="41"/>
      <c r="H375" s="41"/>
      <c r="I375" s="41"/>
      <c r="J375" s="19"/>
      <c r="K375" s="19"/>
      <c r="L375" s="41"/>
      <c r="M375" s="19"/>
      <c r="N375" s="19"/>
      <c r="O375" s="19"/>
      <c r="P375" s="19"/>
      <c r="Q375" s="19"/>
      <c r="R375" s="19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65"/>
      <c r="AH375" s="12"/>
    </row>
    <row r="376" spans="1:37" hidden="1" x14ac:dyDescent="0.2">
      <c r="B376" s="208"/>
      <c r="C376" s="202"/>
      <c r="D376" s="202"/>
      <c r="E376" s="203"/>
      <c r="F376" s="41"/>
      <c r="G376" s="41"/>
      <c r="H376" s="41"/>
      <c r="I376" s="41"/>
      <c r="J376" s="19"/>
      <c r="K376" s="19"/>
      <c r="L376" s="41"/>
      <c r="M376" s="19"/>
      <c r="N376" s="19"/>
      <c r="O376" s="19"/>
      <c r="P376" s="19"/>
      <c r="Q376" s="19"/>
      <c r="R376" s="19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65"/>
      <c r="AH376" s="12"/>
    </row>
    <row r="377" spans="1:37" hidden="1" x14ac:dyDescent="0.2">
      <c r="B377" s="208"/>
      <c r="C377" s="202"/>
      <c r="D377" s="202"/>
      <c r="E377" s="203"/>
      <c r="F377" s="41"/>
      <c r="G377" s="41"/>
      <c r="H377" s="41"/>
      <c r="I377" s="41"/>
      <c r="J377" s="19"/>
      <c r="K377" s="19"/>
      <c r="L377" s="41"/>
      <c r="M377" s="19"/>
      <c r="N377" s="19"/>
      <c r="O377" s="19"/>
      <c r="P377" s="19"/>
      <c r="Q377" s="19"/>
      <c r="R377" s="19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65"/>
      <c r="AH377" s="12"/>
    </row>
    <row r="378" spans="1:37" hidden="1" x14ac:dyDescent="0.2">
      <c r="B378" s="208"/>
      <c r="C378" s="202"/>
      <c r="D378" s="202"/>
      <c r="E378" s="203"/>
      <c r="F378" s="41"/>
      <c r="G378" s="41"/>
      <c r="H378" s="41"/>
      <c r="I378" s="41"/>
      <c r="J378" s="19"/>
      <c r="K378" s="19"/>
      <c r="L378" s="41"/>
      <c r="M378" s="19"/>
      <c r="N378" s="19"/>
      <c r="O378" s="19"/>
      <c r="P378" s="19"/>
      <c r="Q378" s="19"/>
      <c r="R378" s="19"/>
      <c r="S378" s="80"/>
      <c r="T378" s="80"/>
      <c r="U378" s="80"/>
      <c r="V378" s="80"/>
      <c r="W378" s="80"/>
      <c r="X378" s="80"/>
      <c r="Y378" s="80"/>
      <c r="Z378" s="80"/>
      <c r="AA378" s="80"/>
      <c r="AB378" s="80"/>
      <c r="AC378" s="80"/>
      <c r="AD378" s="80"/>
      <c r="AE378" s="80"/>
      <c r="AF378" s="80"/>
      <c r="AG378" s="65"/>
      <c r="AH378" s="12"/>
    </row>
    <row r="379" spans="1:37" hidden="1" x14ac:dyDescent="0.2">
      <c r="B379" s="208"/>
      <c r="C379" s="202"/>
      <c r="D379" s="202"/>
      <c r="E379" s="203"/>
      <c r="F379" s="41"/>
      <c r="G379" s="41"/>
      <c r="H379" s="41"/>
      <c r="I379" s="41"/>
      <c r="J379" s="19"/>
      <c r="K379" s="19"/>
      <c r="L379" s="41"/>
      <c r="M379" s="19"/>
      <c r="N379" s="19"/>
      <c r="O379" s="19"/>
      <c r="P379" s="19"/>
      <c r="Q379" s="19"/>
      <c r="R379" s="19"/>
      <c r="S379" s="80"/>
      <c r="T379" s="80"/>
      <c r="U379" s="80"/>
      <c r="V379" s="80"/>
      <c r="W379" s="80"/>
      <c r="X379" s="80"/>
      <c r="Y379" s="80"/>
      <c r="Z379" s="80"/>
      <c r="AA379" s="80"/>
      <c r="AB379" s="80"/>
      <c r="AC379" s="80"/>
      <c r="AD379" s="80"/>
      <c r="AE379" s="80"/>
      <c r="AF379" s="80"/>
      <c r="AG379" s="65"/>
      <c r="AH379" s="12"/>
    </row>
    <row r="380" spans="1:37" hidden="1" x14ac:dyDescent="0.2">
      <c r="B380" s="208"/>
      <c r="C380" s="202"/>
      <c r="D380" s="202"/>
      <c r="E380" s="203"/>
      <c r="F380" s="41"/>
      <c r="G380" s="41"/>
      <c r="H380" s="41"/>
      <c r="I380" s="41"/>
      <c r="J380" s="19"/>
      <c r="K380" s="19"/>
      <c r="L380" s="41"/>
      <c r="M380" s="19"/>
      <c r="N380" s="19"/>
      <c r="O380" s="19"/>
      <c r="P380" s="19"/>
      <c r="Q380" s="19"/>
      <c r="R380" s="19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  <c r="AC380" s="80"/>
      <c r="AD380" s="80"/>
      <c r="AE380" s="80"/>
      <c r="AF380" s="80"/>
      <c r="AG380" s="65"/>
      <c r="AH380" s="12"/>
    </row>
    <row r="381" spans="1:37" hidden="1" x14ac:dyDescent="0.2">
      <c r="B381" s="208"/>
      <c r="C381" s="202"/>
      <c r="D381" s="202"/>
      <c r="E381" s="203"/>
      <c r="F381" s="41"/>
      <c r="G381" s="41"/>
      <c r="H381" s="41"/>
      <c r="I381" s="41"/>
      <c r="J381" s="19"/>
      <c r="K381" s="19"/>
      <c r="L381" s="41"/>
      <c r="M381" s="19"/>
      <c r="N381" s="19"/>
      <c r="O381" s="19"/>
      <c r="P381" s="19"/>
      <c r="Q381" s="19"/>
      <c r="R381" s="19"/>
      <c r="S381" s="80"/>
      <c r="T381" s="80"/>
      <c r="U381" s="80"/>
      <c r="V381" s="80"/>
      <c r="W381" s="80"/>
      <c r="X381" s="80"/>
      <c r="Y381" s="80"/>
      <c r="Z381" s="80"/>
      <c r="AA381" s="80"/>
      <c r="AB381" s="80"/>
      <c r="AC381" s="80"/>
      <c r="AD381" s="80"/>
      <c r="AE381" s="80"/>
      <c r="AF381" s="80"/>
      <c r="AG381" s="65"/>
      <c r="AH381" s="12"/>
    </row>
    <row r="382" spans="1:37" hidden="1" x14ac:dyDescent="0.2">
      <c r="B382" s="208"/>
      <c r="C382" s="202"/>
      <c r="D382" s="202"/>
      <c r="E382" s="203"/>
      <c r="F382" s="41"/>
      <c r="G382" s="41"/>
      <c r="H382" s="41"/>
      <c r="I382" s="41"/>
      <c r="J382" s="19"/>
      <c r="K382" s="19"/>
      <c r="L382" s="41"/>
      <c r="M382" s="19"/>
      <c r="N382" s="19"/>
      <c r="O382" s="19"/>
      <c r="P382" s="19"/>
      <c r="Q382" s="19"/>
      <c r="R382" s="19"/>
      <c r="S382" s="80"/>
      <c r="T382" s="80"/>
      <c r="U382" s="80"/>
      <c r="V382" s="80"/>
      <c r="W382" s="80"/>
      <c r="X382" s="80"/>
      <c r="Y382" s="80"/>
      <c r="Z382" s="80"/>
      <c r="AA382" s="80"/>
      <c r="AB382" s="80"/>
      <c r="AC382" s="80"/>
      <c r="AD382" s="80"/>
      <c r="AE382" s="80"/>
      <c r="AF382" s="80"/>
      <c r="AG382" s="65"/>
      <c r="AH382" s="12"/>
    </row>
    <row r="383" spans="1:37" hidden="1" x14ac:dyDescent="0.2">
      <c r="C383" s="202"/>
      <c r="D383" s="202" t="s">
        <v>608</v>
      </c>
      <c r="E383" s="203"/>
      <c r="F383" s="41">
        <f t="shared" ref="F383:F391" si="157">IF(VLOOKUP($D383,$C$5:$AU$534,3,)=0,0,(VLOOKUP($D383,$C$5:$AU$534,4,)/VLOOKUP($D383,$C$5:$AU$534,3,))*$E383)</f>
        <v>0</v>
      </c>
      <c r="G383" s="41">
        <f t="shared" ref="G383:G391" si="158">IF(VLOOKUP($D383,$C$5:$AU$534,3,)=0,0,(VLOOKUP($D383,$C$5:$AU$534,5,)/VLOOKUP($D383,$C$5:$AU$534,3,))*$E383)</f>
        <v>0</v>
      </c>
      <c r="H383" s="41">
        <f t="shared" ref="H383:H391" si="159">IF(VLOOKUP($D383,$C$5:$AU$534,3,)=0,0,(VLOOKUP($D383,$C$5:$AU$534,6,)/VLOOKUP($D383,$C$5:$AU$534,3,))*$E383)</f>
        <v>0</v>
      </c>
      <c r="I383" s="41">
        <f t="shared" ref="I383:I391" si="160">IF(VLOOKUP($D383,$C$5:$AU$534,3,)=0,0,(VLOOKUP($D383,$C$5:$AU$534,7,)/VLOOKUP($D383,$C$5:$AU$534,3,))*$E383)</f>
        <v>0</v>
      </c>
      <c r="J383" s="19">
        <f t="shared" ref="J383:J391" si="161">IF(VLOOKUP($D383,$C$5:$AU$534,3,)=0,0,(VLOOKUP($D383,$C$5:$AU$534,8,)/VLOOKUP($D383,$C$5:$AU$534,3,))*$E383)</f>
        <v>0</v>
      </c>
      <c r="K383" s="19">
        <f t="shared" ref="K383:K391" si="162">IF(VLOOKUP($D383,$C$5:$AU$534,3,)=0,0,(VLOOKUP($D383,$C$5:$AU$534,9,)/VLOOKUP($D383,$C$5:$AU$534,3,))*$E383)</f>
        <v>0</v>
      </c>
      <c r="L383" s="41">
        <f t="shared" ref="L383:L391" si="163">IF(VLOOKUP($D383,$C$5:$AU$534,3,)=0,0,(VLOOKUP($D383,$C$5:$AU$534,10,)/VLOOKUP($D383,$C$5:$AU$534,3,))*$E383)</f>
        <v>0</v>
      </c>
      <c r="M383" s="19">
        <f t="shared" ref="M383:M391" si="164">IF(VLOOKUP($D383,$C$5:$AU$534,3,)=0,0,(VLOOKUP($D383,$C$5:$AU$534,11,)/VLOOKUP($D383,$C$5:$AU$534,3,))*$E383)</f>
        <v>0</v>
      </c>
      <c r="N383" s="19">
        <f t="shared" ref="N383:N391" si="165">IF(VLOOKUP($D383,$C$5:$AU$534,3,)=0,0,(VLOOKUP($D383,$C$5:$AU$534,12,)/VLOOKUP($D383,$C$5:$AU$534,3,))*$E383)</f>
        <v>0</v>
      </c>
      <c r="O383" s="19">
        <f t="shared" ref="O383:O391" si="166">IF(VLOOKUP($D383,$C$5:$AU$534,3,)=0,0,(VLOOKUP($D383,$C$5:$AU$534,13,)/VLOOKUP($D383,$C$5:$AU$534,3,))*$E383)</f>
        <v>0</v>
      </c>
      <c r="P383" s="19">
        <f t="shared" ref="P383:P391" si="167">IF(VLOOKUP($D383,$C$5:$AU$534,3,)=0,0,(VLOOKUP($D383,$C$5:$AU$534,14,)/VLOOKUP($D383,$C$5:$AU$534,3,))*$E383)</f>
        <v>0</v>
      </c>
      <c r="Q383" s="19">
        <f t="shared" ref="Q383:Q391" si="168">IF(VLOOKUP($D383,$C$5:$AU$534,3,)=0,0,(VLOOKUP($D383,$C$5:$AU$534,15,)/VLOOKUP($D383,$C$5:$AU$534,3,))*$E383)</f>
        <v>0</v>
      </c>
      <c r="R383" s="19">
        <f t="shared" ref="R383:R391" si="169">IF(VLOOKUP($D383,$C$5:$AU$534,3,)=0,0,(VLOOKUP($D383,$C$5:$AU$534,16,)/VLOOKUP($D383,$C$5:$AU$534,3,))*$E383)</f>
        <v>0</v>
      </c>
      <c r="S383" s="80">
        <f t="shared" ref="S383:S391" si="170">IF(VLOOKUP($D383,$C$5:$AU$534,3,)=0,0,(VLOOKUP($D383,$C$5:$AU$534,17,)/VLOOKUP($D383,$C$5:$AU$534,3,))*$E383)</f>
        <v>0</v>
      </c>
      <c r="T383" s="80">
        <f t="shared" ref="T383:T391" si="171">IF(VLOOKUP($D383,$C$5:$AU$534,3,)=0,0,(VLOOKUP($D383,$C$5:$AU$534,18,)/VLOOKUP($D383,$C$5:$AU$534,3,))*$E383)</f>
        <v>0</v>
      </c>
      <c r="U383" s="80">
        <f t="shared" ref="U383:U391" si="172">IF(VLOOKUP($D383,$C$5:$AU$534,3,)=0,0,(VLOOKUP($D383,$C$5:$AU$534,19,)/VLOOKUP($D383,$C$5:$AU$534,3,))*$E383)</f>
        <v>0</v>
      </c>
      <c r="V383" s="80">
        <f t="shared" ref="V383:V391" si="173">IF(VLOOKUP($D383,$C$5:$AU$534,3,)=0,0,(VLOOKUP($D383,$C$5:$AU$534,20,)/VLOOKUP($D383,$C$5:$AU$534,3,))*$E383)</f>
        <v>0</v>
      </c>
      <c r="W383" s="80">
        <f t="shared" ref="W383:W391" si="174">IF(VLOOKUP($D383,$C$5:$AU$534,3,)=0,0,(VLOOKUP($D383,$C$5:$AU$534,21,)/VLOOKUP($D383,$C$5:$AU$534,3,))*$E383)</f>
        <v>0</v>
      </c>
      <c r="X383" s="80">
        <f t="shared" ref="X383:X391" si="175">IF(VLOOKUP($D383,$C$5:$AU$534,3,)=0,0,(VLOOKUP($D383,$C$5:$AU$534,22,)/VLOOKUP($D383,$C$5:$AU$534,3,))*$E383)</f>
        <v>0</v>
      </c>
      <c r="Y383" s="80">
        <f t="shared" ref="Y383:Y391" si="176">IF(VLOOKUP($D383,$C$5:$AU$534,3,)=0,0,(VLOOKUP($D383,$C$5:$AU$534,23,)/VLOOKUP($D383,$C$5:$AU$534,3,))*$E383)</f>
        <v>0</v>
      </c>
      <c r="Z383" s="80">
        <f t="shared" ref="Z383:Z391" si="177">IF(VLOOKUP($D383,$C$5:$AU$534,3,)=0,0,(VLOOKUP($D383,$C$5:$AU$534,24,)/VLOOKUP($D383,$C$5:$AU$534,3,))*$E383)</f>
        <v>0</v>
      </c>
      <c r="AA383" s="80">
        <f t="shared" ref="AA383:AA391" si="178">IF(VLOOKUP($D383,$C$5:$AU$534,3,)=0,0,(VLOOKUP($D383,$C$5:$AU$534,25,)/VLOOKUP($D383,$C$5:$AU$534,3,))*$E383)</f>
        <v>0</v>
      </c>
      <c r="AB383" s="80">
        <f t="shared" ref="AB383:AB391" si="179">IF(VLOOKUP($D383,$C$5:$AU$534,3,)=0,0,(VLOOKUP($D383,$C$5:$AU$534,26,)/VLOOKUP($D383,$C$5:$AU$534,3,))*$E383)</f>
        <v>0</v>
      </c>
      <c r="AC383" s="80">
        <f t="shared" ref="AC383:AC391" si="180">IF(VLOOKUP($D383,$C$5:$AU$534,3,)=0,0,(VLOOKUP($D383,$C$5:$AU$534,27,)/VLOOKUP($D383,$C$5:$AU$534,3,))*$E383)</f>
        <v>0</v>
      </c>
      <c r="AD383" s="80">
        <f t="shared" ref="AD383:AD391" si="181">IF(VLOOKUP($D383,$C$5:$AU$534,3,)=0,0,(VLOOKUP($D383,$C$5:$AU$534,28,)/VLOOKUP($D383,$C$5:$AU$534,3,))*$E383)</f>
        <v>0</v>
      </c>
      <c r="AE383" s="80">
        <f t="shared" ref="AE383:AE391" si="182">IF(VLOOKUP($D383,$C$5:$AU$534,3,)=0,0,(VLOOKUP($D383,$C$5:$AU$534,29,)/VLOOKUP($D383,$C$5:$AU$534,3,))*$E383)</f>
        <v>0</v>
      </c>
      <c r="AF383" s="80">
        <f t="shared" ref="AF383:AF391" si="183">IF(VLOOKUP($D383,$C$5:$AU$534,3,)=0,0,(VLOOKUP($D383,$C$5:$AU$534,30,)/VLOOKUP($D383,$C$5:$AU$534,3,))*$E383)</f>
        <v>0</v>
      </c>
      <c r="AG383" s="65">
        <f t="shared" si="125"/>
        <v>0</v>
      </c>
      <c r="AH383" s="12" t="str">
        <f t="shared" ref="AH383:AH396" si="184">IF(ABS(E383-AG383)&lt;0.01,"ok","err")</f>
        <v>ok</v>
      </c>
    </row>
    <row r="384" spans="1:37" hidden="1" x14ac:dyDescent="0.2">
      <c r="A384" s="3">
        <v>13</v>
      </c>
      <c r="B384" s="202" t="s">
        <v>1001</v>
      </c>
      <c r="C384" s="202"/>
      <c r="D384" s="202" t="s">
        <v>260</v>
      </c>
      <c r="E384" s="203">
        <v>0</v>
      </c>
      <c r="F384" s="41">
        <f t="shared" si="157"/>
        <v>0</v>
      </c>
      <c r="G384" s="41">
        <f t="shared" si="158"/>
        <v>0</v>
      </c>
      <c r="H384" s="41">
        <f t="shared" si="159"/>
        <v>0</v>
      </c>
      <c r="I384" s="41">
        <f t="shared" si="160"/>
        <v>0</v>
      </c>
      <c r="J384" s="19">
        <f t="shared" si="161"/>
        <v>0</v>
      </c>
      <c r="K384" s="19">
        <f t="shared" si="162"/>
        <v>0</v>
      </c>
      <c r="L384" s="41">
        <f t="shared" si="163"/>
        <v>0</v>
      </c>
      <c r="M384" s="19">
        <f t="shared" si="164"/>
        <v>0</v>
      </c>
      <c r="N384" s="19">
        <f t="shared" si="165"/>
        <v>0</v>
      </c>
      <c r="O384" s="19">
        <f t="shared" si="166"/>
        <v>0</v>
      </c>
      <c r="P384" s="19">
        <f t="shared" si="167"/>
        <v>0</v>
      </c>
      <c r="Q384" s="19">
        <f t="shared" si="168"/>
        <v>0</v>
      </c>
      <c r="R384" s="19">
        <f t="shared" si="169"/>
        <v>0</v>
      </c>
      <c r="S384" s="80">
        <f t="shared" si="170"/>
        <v>0</v>
      </c>
      <c r="T384" s="80">
        <f t="shared" si="171"/>
        <v>0</v>
      </c>
      <c r="U384" s="80">
        <f t="shared" si="172"/>
        <v>0</v>
      </c>
      <c r="V384" s="80">
        <f t="shared" si="173"/>
        <v>0</v>
      </c>
      <c r="W384" s="80">
        <f t="shared" si="174"/>
        <v>0</v>
      </c>
      <c r="X384" s="80">
        <f t="shared" si="175"/>
        <v>0</v>
      </c>
      <c r="Y384" s="80">
        <f t="shared" si="176"/>
        <v>0</v>
      </c>
      <c r="Z384" s="80">
        <f t="shared" si="177"/>
        <v>0</v>
      </c>
      <c r="AA384" s="80">
        <f t="shared" si="178"/>
        <v>0</v>
      </c>
      <c r="AB384" s="80">
        <f t="shared" si="179"/>
        <v>0</v>
      </c>
      <c r="AC384" s="80">
        <f t="shared" si="180"/>
        <v>0</v>
      </c>
      <c r="AD384" s="80">
        <f t="shared" si="181"/>
        <v>0</v>
      </c>
      <c r="AE384" s="80">
        <f t="shared" si="182"/>
        <v>0</v>
      </c>
      <c r="AF384" s="80">
        <f t="shared" si="183"/>
        <v>0</v>
      </c>
      <c r="AG384" s="65">
        <f t="shared" si="125"/>
        <v>0</v>
      </c>
      <c r="AH384" s="12" t="str">
        <f t="shared" si="184"/>
        <v>ok</v>
      </c>
    </row>
    <row r="385" spans="1:37" hidden="1" x14ac:dyDescent="0.2">
      <c r="A385" s="3">
        <v>14</v>
      </c>
      <c r="B385" s="202" t="s">
        <v>1001</v>
      </c>
      <c r="C385" s="202"/>
      <c r="D385" s="202" t="s">
        <v>260</v>
      </c>
      <c r="E385" s="203">
        <v>0</v>
      </c>
      <c r="F385" s="41">
        <f t="shared" si="157"/>
        <v>0</v>
      </c>
      <c r="G385" s="41">
        <f t="shared" si="158"/>
        <v>0</v>
      </c>
      <c r="H385" s="41">
        <f t="shared" si="159"/>
        <v>0</v>
      </c>
      <c r="I385" s="41">
        <f t="shared" si="160"/>
        <v>0</v>
      </c>
      <c r="J385" s="19">
        <f t="shared" si="161"/>
        <v>0</v>
      </c>
      <c r="K385" s="19">
        <f t="shared" si="162"/>
        <v>0</v>
      </c>
      <c r="L385" s="41">
        <f t="shared" si="163"/>
        <v>0</v>
      </c>
      <c r="M385" s="19">
        <f t="shared" si="164"/>
        <v>0</v>
      </c>
      <c r="N385" s="19">
        <f t="shared" si="165"/>
        <v>0</v>
      </c>
      <c r="O385" s="19">
        <f t="shared" si="166"/>
        <v>0</v>
      </c>
      <c r="P385" s="19">
        <f t="shared" si="167"/>
        <v>0</v>
      </c>
      <c r="Q385" s="19">
        <f t="shared" si="168"/>
        <v>0</v>
      </c>
      <c r="R385" s="19">
        <f t="shared" si="169"/>
        <v>0</v>
      </c>
      <c r="S385" s="80">
        <f t="shared" si="170"/>
        <v>0</v>
      </c>
      <c r="T385" s="80">
        <f t="shared" si="171"/>
        <v>0</v>
      </c>
      <c r="U385" s="80">
        <f t="shared" si="172"/>
        <v>0</v>
      </c>
      <c r="V385" s="80">
        <f t="shared" si="173"/>
        <v>0</v>
      </c>
      <c r="W385" s="80">
        <f t="shared" si="174"/>
        <v>0</v>
      </c>
      <c r="X385" s="80">
        <f t="shared" si="175"/>
        <v>0</v>
      </c>
      <c r="Y385" s="80">
        <f t="shared" si="176"/>
        <v>0</v>
      </c>
      <c r="Z385" s="80">
        <f t="shared" si="177"/>
        <v>0</v>
      </c>
      <c r="AA385" s="80">
        <f t="shared" si="178"/>
        <v>0</v>
      </c>
      <c r="AB385" s="80">
        <f t="shared" si="179"/>
        <v>0</v>
      </c>
      <c r="AC385" s="80">
        <f t="shared" si="180"/>
        <v>0</v>
      </c>
      <c r="AD385" s="80">
        <f t="shared" si="181"/>
        <v>0</v>
      </c>
      <c r="AE385" s="80">
        <f t="shared" si="182"/>
        <v>0</v>
      </c>
      <c r="AF385" s="80">
        <f t="shared" si="183"/>
        <v>0</v>
      </c>
      <c r="AG385" s="65">
        <f t="shared" ref="AG385:AG386" si="185">SUM(F385:AF385)</f>
        <v>0</v>
      </c>
      <c r="AH385" s="12" t="str">
        <f t="shared" ref="AH385:AH386" si="186">IF(ABS(E385-AG385)&lt;0.01,"ok","err")</f>
        <v>ok</v>
      </c>
    </row>
    <row r="386" spans="1:37" hidden="1" x14ac:dyDescent="0.2">
      <c r="A386" s="3">
        <v>15</v>
      </c>
      <c r="B386" s="202" t="s">
        <v>1001</v>
      </c>
      <c r="C386" s="202"/>
      <c r="D386" s="202" t="s">
        <v>260</v>
      </c>
      <c r="E386" s="203">
        <v>0</v>
      </c>
      <c r="F386" s="41">
        <f t="shared" si="157"/>
        <v>0</v>
      </c>
      <c r="G386" s="41">
        <f t="shared" si="158"/>
        <v>0</v>
      </c>
      <c r="H386" s="41">
        <f t="shared" si="159"/>
        <v>0</v>
      </c>
      <c r="I386" s="41">
        <f t="shared" si="160"/>
        <v>0</v>
      </c>
      <c r="J386" s="19">
        <f t="shared" si="161"/>
        <v>0</v>
      </c>
      <c r="K386" s="19">
        <f t="shared" si="162"/>
        <v>0</v>
      </c>
      <c r="L386" s="41">
        <f t="shared" si="163"/>
        <v>0</v>
      </c>
      <c r="M386" s="19">
        <f t="shared" si="164"/>
        <v>0</v>
      </c>
      <c r="N386" s="19">
        <f t="shared" si="165"/>
        <v>0</v>
      </c>
      <c r="O386" s="19">
        <f t="shared" si="166"/>
        <v>0</v>
      </c>
      <c r="P386" s="19">
        <f t="shared" si="167"/>
        <v>0</v>
      </c>
      <c r="Q386" s="19">
        <f t="shared" si="168"/>
        <v>0</v>
      </c>
      <c r="R386" s="19">
        <f t="shared" si="169"/>
        <v>0</v>
      </c>
      <c r="S386" s="80">
        <f t="shared" si="170"/>
        <v>0</v>
      </c>
      <c r="T386" s="80">
        <f t="shared" si="171"/>
        <v>0</v>
      </c>
      <c r="U386" s="80">
        <f t="shared" si="172"/>
        <v>0</v>
      </c>
      <c r="V386" s="80">
        <f t="shared" si="173"/>
        <v>0</v>
      </c>
      <c r="W386" s="80">
        <f t="shared" si="174"/>
        <v>0</v>
      </c>
      <c r="X386" s="80">
        <f t="shared" si="175"/>
        <v>0</v>
      </c>
      <c r="Y386" s="80">
        <f t="shared" si="176"/>
        <v>0</v>
      </c>
      <c r="Z386" s="80">
        <f t="shared" si="177"/>
        <v>0</v>
      </c>
      <c r="AA386" s="80">
        <f t="shared" si="178"/>
        <v>0</v>
      </c>
      <c r="AB386" s="80">
        <f t="shared" si="179"/>
        <v>0</v>
      </c>
      <c r="AC386" s="80">
        <f t="shared" si="180"/>
        <v>0</v>
      </c>
      <c r="AD386" s="80">
        <f t="shared" si="181"/>
        <v>0</v>
      </c>
      <c r="AE386" s="80">
        <f t="shared" si="182"/>
        <v>0</v>
      </c>
      <c r="AF386" s="80">
        <f t="shared" si="183"/>
        <v>0</v>
      </c>
      <c r="AG386" s="65">
        <f t="shared" si="185"/>
        <v>0</v>
      </c>
      <c r="AH386" s="12" t="str">
        <f t="shared" si="186"/>
        <v>ok</v>
      </c>
    </row>
    <row r="387" spans="1:37" hidden="1" x14ac:dyDescent="0.2">
      <c r="A387" s="3">
        <v>16</v>
      </c>
      <c r="B387" s="202" t="s">
        <v>1001</v>
      </c>
      <c r="C387" s="202"/>
      <c r="D387" s="202" t="s">
        <v>260</v>
      </c>
      <c r="E387" s="203">
        <v>0</v>
      </c>
      <c r="F387" s="41">
        <f t="shared" si="157"/>
        <v>0</v>
      </c>
      <c r="G387" s="41">
        <f t="shared" si="158"/>
        <v>0</v>
      </c>
      <c r="H387" s="41">
        <f t="shared" si="159"/>
        <v>0</v>
      </c>
      <c r="I387" s="41">
        <f t="shared" si="160"/>
        <v>0</v>
      </c>
      <c r="J387" s="19">
        <f t="shared" si="161"/>
        <v>0</v>
      </c>
      <c r="K387" s="19">
        <f t="shared" si="162"/>
        <v>0</v>
      </c>
      <c r="L387" s="41">
        <f t="shared" si="163"/>
        <v>0</v>
      </c>
      <c r="M387" s="19">
        <f t="shared" si="164"/>
        <v>0</v>
      </c>
      <c r="N387" s="19">
        <f t="shared" si="165"/>
        <v>0</v>
      </c>
      <c r="O387" s="19">
        <f t="shared" si="166"/>
        <v>0</v>
      </c>
      <c r="P387" s="19">
        <f t="shared" si="167"/>
        <v>0</v>
      </c>
      <c r="Q387" s="19">
        <f t="shared" si="168"/>
        <v>0</v>
      </c>
      <c r="R387" s="19">
        <f t="shared" si="169"/>
        <v>0</v>
      </c>
      <c r="S387" s="80">
        <f t="shared" si="170"/>
        <v>0</v>
      </c>
      <c r="T387" s="80">
        <f t="shared" si="171"/>
        <v>0</v>
      </c>
      <c r="U387" s="80">
        <f t="shared" si="172"/>
        <v>0</v>
      </c>
      <c r="V387" s="80">
        <f t="shared" si="173"/>
        <v>0</v>
      </c>
      <c r="W387" s="80">
        <f t="shared" si="174"/>
        <v>0</v>
      </c>
      <c r="X387" s="80">
        <f t="shared" si="175"/>
        <v>0</v>
      </c>
      <c r="Y387" s="80">
        <f t="shared" si="176"/>
        <v>0</v>
      </c>
      <c r="Z387" s="80">
        <f t="shared" si="177"/>
        <v>0</v>
      </c>
      <c r="AA387" s="80">
        <f t="shared" si="178"/>
        <v>0</v>
      </c>
      <c r="AB387" s="80">
        <f t="shared" si="179"/>
        <v>0</v>
      </c>
      <c r="AC387" s="80">
        <f t="shared" si="180"/>
        <v>0</v>
      </c>
      <c r="AD387" s="80">
        <f t="shared" si="181"/>
        <v>0</v>
      </c>
      <c r="AE387" s="80">
        <f t="shared" si="182"/>
        <v>0</v>
      </c>
      <c r="AF387" s="80">
        <f t="shared" si="183"/>
        <v>0</v>
      </c>
      <c r="AG387" s="65">
        <f>SUM(F387:AF387)</f>
        <v>0</v>
      </c>
      <c r="AH387" s="12" t="str">
        <f>IF(ABS(E387-AG387)&lt;0.01,"ok","err")</f>
        <v>ok</v>
      </c>
    </row>
    <row r="388" spans="1:37" hidden="1" x14ac:dyDescent="0.2">
      <c r="A388" s="3">
        <v>17</v>
      </c>
      <c r="B388" s="202" t="s">
        <v>1001</v>
      </c>
      <c r="C388" s="202"/>
      <c r="D388" s="202" t="s">
        <v>260</v>
      </c>
      <c r="E388" s="203">
        <v>0</v>
      </c>
      <c r="F388" s="41">
        <f t="shared" si="157"/>
        <v>0</v>
      </c>
      <c r="G388" s="41">
        <f t="shared" si="158"/>
        <v>0</v>
      </c>
      <c r="H388" s="41">
        <f t="shared" si="159"/>
        <v>0</v>
      </c>
      <c r="I388" s="41">
        <f t="shared" si="160"/>
        <v>0</v>
      </c>
      <c r="J388" s="19">
        <f t="shared" si="161"/>
        <v>0</v>
      </c>
      <c r="K388" s="19">
        <f t="shared" si="162"/>
        <v>0</v>
      </c>
      <c r="L388" s="41">
        <f t="shared" si="163"/>
        <v>0</v>
      </c>
      <c r="M388" s="19">
        <f t="shared" si="164"/>
        <v>0</v>
      </c>
      <c r="N388" s="19">
        <f t="shared" si="165"/>
        <v>0</v>
      </c>
      <c r="O388" s="19">
        <f t="shared" si="166"/>
        <v>0</v>
      </c>
      <c r="P388" s="19">
        <f t="shared" si="167"/>
        <v>0</v>
      </c>
      <c r="Q388" s="19">
        <f t="shared" si="168"/>
        <v>0</v>
      </c>
      <c r="R388" s="19">
        <f t="shared" si="169"/>
        <v>0</v>
      </c>
      <c r="S388" s="80">
        <f t="shared" si="170"/>
        <v>0</v>
      </c>
      <c r="T388" s="80">
        <f t="shared" si="171"/>
        <v>0</v>
      </c>
      <c r="U388" s="80">
        <f t="shared" si="172"/>
        <v>0</v>
      </c>
      <c r="V388" s="80">
        <f t="shared" si="173"/>
        <v>0</v>
      </c>
      <c r="W388" s="80">
        <f t="shared" si="174"/>
        <v>0</v>
      </c>
      <c r="X388" s="80">
        <f t="shared" si="175"/>
        <v>0</v>
      </c>
      <c r="Y388" s="80">
        <f t="shared" si="176"/>
        <v>0</v>
      </c>
      <c r="Z388" s="80">
        <f t="shared" si="177"/>
        <v>0</v>
      </c>
      <c r="AA388" s="80">
        <f t="shared" si="178"/>
        <v>0</v>
      </c>
      <c r="AB388" s="80">
        <f t="shared" si="179"/>
        <v>0</v>
      </c>
      <c r="AC388" s="80">
        <f t="shared" si="180"/>
        <v>0</v>
      </c>
      <c r="AD388" s="80">
        <f t="shared" si="181"/>
        <v>0</v>
      </c>
      <c r="AE388" s="80">
        <f t="shared" si="182"/>
        <v>0</v>
      </c>
      <c r="AF388" s="80">
        <f t="shared" si="183"/>
        <v>0</v>
      </c>
      <c r="AG388" s="65">
        <f t="shared" ref="AG388" si="187">SUM(F388:AF388)</f>
        <v>0</v>
      </c>
      <c r="AH388" s="12" t="str">
        <f t="shared" ref="AH388" si="188">IF(ABS(E388-AG388)&lt;0.01,"ok","err")</f>
        <v>ok</v>
      </c>
    </row>
    <row r="389" spans="1:37" hidden="1" x14ac:dyDescent="0.2">
      <c r="A389" s="3">
        <v>14</v>
      </c>
      <c r="B389" s="202" t="s">
        <v>1001</v>
      </c>
      <c r="C389" s="202"/>
      <c r="D389" s="202" t="s">
        <v>260</v>
      </c>
      <c r="E389" s="203">
        <v>0</v>
      </c>
      <c r="F389" s="41">
        <f t="shared" si="157"/>
        <v>0</v>
      </c>
      <c r="G389" s="41">
        <f t="shared" si="158"/>
        <v>0</v>
      </c>
      <c r="H389" s="41">
        <f t="shared" si="159"/>
        <v>0</v>
      </c>
      <c r="I389" s="41">
        <f t="shared" si="160"/>
        <v>0</v>
      </c>
      <c r="J389" s="19">
        <f t="shared" si="161"/>
        <v>0</v>
      </c>
      <c r="K389" s="19">
        <f t="shared" si="162"/>
        <v>0</v>
      </c>
      <c r="L389" s="41">
        <f t="shared" si="163"/>
        <v>0</v>
      </c>
      <c r="M389" s="19">
        <f t="shared" si="164"/>
        <v>0</v>
      </c>
      <c r="N389" s="19">
        <f t="shared" si="165"/>
        <v>0</v>
      </c>
      <c r="O389" s="19">
        <f t="shared" si="166"/>
        <v>0</v>
      </c>
      <c r="P389" s="19">
        <f t="shared" si="167"/>
        <v>0</v>
      </c>
      <c r="Q389" s="19">
        <f t="shared" si="168"/>
        <v>0</v>
      </c>
      <c r="R389" s="19">
        <f t="shared" si="169"/>
        <v>0</v>
      </c>
      <c r="S389" s="80">
        <f t="shared" si="170"/>
        <v>0</v>
      </c>
      <c r="T389" s="80">
        <f t="shared" si="171"/>
        <v>0</v>
      </c>
      <c r="U389" s="80">
        <f t="shared" si="172"/>
        <v>0</v>
      </c>
      <c r="V389" s="80">
        <f t="shared" si="173"/>
        <v>0</v>
      </c>
      <c r="W389" s="80">
        <f t="shared" si="174"/>
        <v>0</v>
      </c>
      <c r="X389" s="80">
        <f t="shared" si="175"/>
        <v>0</v>
      </c>
      <c r="Y389" s="80">
        <f t="shared" si="176"/>
        <v>0</v>
      </c>
      <c r="Z389" s="80">
        <f t="shared" si="177"/>
        <v>0</v>
      </c>
      <c r="AA389" s="80">
        <f t="shared" si="178"/>
        <v>0</v>
      </c>
      <c r="AB389" s="80">
        <f t="shared" si="179"/>
        <v>0</v>
      </c>
      <c r="AC389" s="80">
        <f t="shared" si="180"/>
        <v>0</v>
      </c>
      <c r="AD389" s="80">
        <f t="shared" si="181"/>
        <v>0</v>
      </c>
      <c r="AE389" s="80">
        <f t="shared" si="182"/>
        <v>0</v>
      </c>
      <c r="AF389" s="80">
        <f t="shared" si="183"/>
        <v>0</v>
      </c>
      <c r="AG389" s="65">
        <f t="shared" si="125"/>
        <v>0</v>
      </c>
      <c r="AH389" s="12" t="str">
        <f t="shared" si="184"/>
        <v>ok</v>
      </c>
    </row>
    <row r="390" spans="1:37" hidden="1" x14ac:dyDescent="0.2">
      <c r="A390" s="3">
        <v>15</v>
      </c>
      <c r="B390" s="202" t="s">
        <v>1001</v>
      </c>
      <c r="C390" s="202"/>
      <c r="D390" s="202" t="s">
        <v>260</v>
      </c>
      <c r="E390" s="203">
        <v>0</v>
      </c>
      <c r="F390" s="41">
        <f t="shared" si="157"/>
        <v>0</v>
      </c>
      <c r="G390" s="41">
        <f t="shared" si="158"/>
        <v>0</v>
      </c>
      <c r="H390" s="41">
        <f t="shared" si="159"/>
        <v>0</v>
      </c>
      <c r="I390" s="41">
        <f t="shared" si="160"/>
        <v>0</v>
      </c>
      <c r="J390" s="19">
        <f t="shared" si="161"/>
        <v>0</v>
      </c>
      <c r="K390" s="19">
        <f t="shared" si="162"/>
        <v>0</v>
      </c>
      <c r="L390" s="41">
        <f t="shared" si="163"/>
        <v>0</v>
      </c>
      <c r="M390" s="19">
        <f t="shared" si="164"/>
        <v>0</v>
      </c>
      <c r="N390" s="19">
        <f t="shared" si="165"/>
        <v>0</v>
      </c>
      <c r="O390" s="19">
        <f t="shared" si="166"/>
        <v>0</v>
      </c>
      <c r="P390" s="19">
        <f t="shared" si="167"/>
        <v>0</v>
      </c>
      <c r="Q390" s="19">
        <f t="shared" si="168"/>
        <v>0</v>
      </c>
      <c r="R390" s="19">
        <f t="shared" si="169"/>
        <v>0</v>
      </c>
      <c r="S390" s="80">
        <f t="shared" si="170"/>
        <v>0</v>
      </c>
      <c r="T390" s="80">
        <f t="shared" si="171"/>
        <v>0</v>
      </c>
      <c r="U390" s="80">
        <f t="shared" si="172"/>
        <v>0</v>
      </c>
      <c r="V390" s="80">
        <f t="shared" si="173"/>
        <v>0</v>
      </c>
      <c r="W390" s="80">
        <f t="shared" si="174"/>
        <v>0</v>
      </c>
      <c r="X390" s="80">
        <f t="shared" si="175"/>
        <v>0</v>
      </c>
      <c r="Y390" s="80">
        <f t="shared" si="176"/>
        <v>0</v>
      </c>
      <c r="Z390" s="80">
        <f t="shared" si="177"/>
        <v>0</v>
      </c>
      <c r="AA390" s="80">
        <f t="shared" si="178"/>
        <v>0</v>
      </c>
      <c r="AB390" s="80">
        <f t="shared" si="179"/>
        <v>0</v>
      </c>
      <c r="AC390" s="80">
        <f t="shared" si="180"/>
        <v>0</v>
      </c>
      <c r="AD390" s="80">
        <f t="shared" si="181"/>
        <v>0</v>
      </c>
      <c r="AE390" s="80">
        <f t="shared" si="182"/>
        <v>0</v>
      </c>
      <c r="AF390" s="80">
        <f t="shared" si="183"/>
        <v>0</v>
      </c>
      <c r="AG390" s="65">
        <f t="shared" si="125"/>
        <v>0</v>
      </c>
      <c r="AH390" s="12" t="str">
        <f t="shared" si="184"/>
        <v>ok</v>
      </c>
    </row>
    <row r="391" spans="1:37" hidden="1" x14ac:dyDescent="0.2">
      <c r="A391" s="3">
        <v>16</v>
      </c>
      <c r="B391" s="202" t="s">
        <v>1001</v>
      </c>
      <c r="C391" s="202"/>
      <c r="D391" s="202" t="s">
        <v>260</v>
      </c>
      <c r="E391" s="203">
        <v>0</v>
      </c>
      <c r="F391" s="41">
        <f t="shared" si="157"/>
        <v>0</v>
      </c>
      <c r="G391" s="41">
        <f t="shared" si="158"/>
        <v>0</v>
      </c>
      <c r="H391" s="41">
        <f t="shared" si="159"/>
        <v>0</v>
      </c>
      <c r="I391" s="41">
        <f t="shared" si="160"/>
        <v>0</v>
      </c>
      <c r="J391" s="19">
        <f t="shared" si="161"/>
        <v>0</v>
      </c>
      <c r="K391" s="19">
        <f t="shared" si="162"/>
        <v>0</v>
      </c>
      <c r="L391" s="41">
        <f t="shared" si="163"/>
        <v>0</v>
      </c>
      <c r="M391" s="19">
        <f t="shared" si="164"/>
        <v>0</v>
      </c>
      <c r="N391" s="19">
        <f t="shared" si="165"/>
        <v>0</v>
      </c>
      <c r="O391" s="19">
        <f t="shared" si="166"/>
        <v>0</v>
      </c>
      <c r="P391" s="19">
        <f t="shared" si="167"/>
        <v>0</v>
      </c>
      <c r="Q391" s="19">
        <f t="shared" si="168"/>
        <v>0</v>
      </c>
      <c r="R391" s="19">
        <f t="shared" si="169"/>
        <v>0</v>
      </c>
      <c r="S391" s="80">
        <f t="shared" si="170"/>
        <v>0</v>
      </c>
      <c r="T391" s="80">
        <f t="shared" si="171"/>
        <v>0</v>
      </c>
      <c r="U391" s="80">
        <f t="shared" si="172"/>
        <v>0</v>
      </c>
      <c r="V391" s="80">
        <f t="shared" si="173"/>
        <v>0</v>
      </c>
      <c r="W391" s="80">
        <f t="shared" si="174"/>
        <v>0</v>
      </c>
      <c r="X391" s="80">
        <f t="shared" si="175"/>
        <v>0</v>
      </c>
      <c r="Y391" s="80">
        <f t="shared" si="176"/>
        <v>0</v>
      </c>
      <c r="Z391" s="80">
        <f t="shared" si="177"/>
        <v>0</v>
      </c>
      <c r="AA391" s="80">
        <f t="shared" si="178"/>
        <v>0</v>
      </c>
      <c r="AB391" s="80">
        <f t="shared" si="179"/>
        <v>0</v>
      </c>
      <c r="AC391" s="80">
        <f t="shared" si="180"/>
        <v>0</v>
      </c>
      <c r="AD391" s="80">
        <f t="shared" si="181"/>
        <v>0</v>
      </c>
      <c r="AE391" s="80">
        <f t="shared" si="182"/>
        <v>0</v>
      </c>
      <c r="AF391" s="80">
        <f t="shared" si="183"/>
        <v>0</v>
      </c>
      <c r="AG391" s="65">
        <f t="shared" ref="AG391" si="189">SUM(F391:AF391)</f>
        <v>0</v>
      </c>
      <c r="AH391" s="12" t="str">
        <f t="shared" ref="AH391" si="190">IF(ABS(E391-AG391)&lt;0.01,"ok","err")</f>
        <v>ok</v>
      </c>
    </row>
    <row r="392" spans="1:37" hidden="1" x14ac:dyDescent="0.2">
      <c r="B392" s="202" t="s">
        <v>1001</v>
      </c>
      <c r="C392" s="202"/>
      <c r="D392" s="202" t="s">
        <v>260</v>
      </c>
      <c r="E392" s="203"/>
      <c r="F392" s="41"/>
      <c r="G392" s="41"/>
      <c r="H392" s="41"/>
      <c r="I392" s="41"/>
      <c r="J392" s="19"/>
      <c r="K392" s="19"/>
      <c r="L392" s="41"/>
      <c r="M392" s="19"/>
      <c r="N392" s="19"/>
      <c r="O392" s="19"/>
      <c r="P392" s="19"/>
      <c r="Q392" s="19"/>
      <c r="R392" s="19"/>
      <c r="S392" s="80"/>
      <c r="T392" s="80"/>
      <c r="U392" s="80"/>
      <c r="V392" s="80"/>
      <c r="W392" s="80"/>
      <c r="X392" s="80"/>
      <c r="Y392" s="80"/>
      <c r="Z392" s="80"/>
      <c r="AA392" s="80"/>
      <c r="AB392" s="80"/>
      <c r="AC392" s="80"/>
      <c r="AD392" s="80"/>
      <c r="AE392" s="80"/>
      <c r="AF392" s="80"/>
      <c r="AG392" s="65"/>
      <c r="AH392" s="12"/>
    </row>
    <row r="393" spans="1:37" hidden="1" x14ac:dyDescent="0.2">
      <c r="B393" s="202" t="s">
        <v>1001</v>
      </c>
      <c r="C393" s="202"/>
      <c r="D393" s="202" t="s">
        <v>260</v>
      </c>
      <c r="E393" s="203"/>
      <c r="F393" s="41"/>
      <c r="G393" s="41"/>
      <c r="H393" s="41"/>
      <c r="I393" s="41"/>
      <c r="J393" s="19"/>
      <c r="K393" s="19"/>
      <c r="L393" s="41"/>
      <c r="M393" s="19"/>
      <c r="N393" s="19"/>
      <c r="O393" s="19"/>
      <c r="P393" s="19"/>
      <c r="Q393" s="19"/>
      <c r="R393" s="19"/>
      <c r="S393" s="80"/>
      <c r="T393" s="80"/>
      <c r="U393" s="80"/>
      <c r="V393" s="80"/>
      <c r="W393" s="80"/>
      <c r="X393" s="80"/>
      <c r="Y393" s="80"/>
      <c r="Z393" s="80"/>
      <c r="AA393" s="80"/>
      <c r="AB393" s="80"/>
      <c r="AC393" s="80"/>
      <c r="AD393" s="80"/>
      <c r="AE393" s="80"/>
      <c r="AF393" s="80"/>
      <c r="AG393" s="65"/>
      <c r="AH393" s="12"/>
    </row>
    <row r="394" spans="1:37" hidden="1" x14ac:dyDescent="0.2">
      <c r="B394" s="202" t="s">
        <v>1001</v>
      </c>
      <c r="C394" s="202"/>
      <c r="D394" s="202" t="s">
        <v>260</v>
      </c>
      <c r="E394" s="203">
        <v>0</v>
      </c>
      <c r="F394" s="41">
        <f>IF(VLOOKUP($D394,$C$5:$AU$534,3,)=0,0,(VLOOKUP($D394,$C$5:$AU$534,4,)/VLOOKUP($D394,$C$5:$AU$534,3,))*$E394)</f>
        <v>0</v>
      </c>
      <c r="G394" s="41">
        <f>IF(VLOOKUP($D394,$C$5:$AU$534,3,)=0,0,(VLOOKUP($D394,$C$5:$AU$534,5,)/VLOOKUP($D394,$C$5:$AU$534,3,))*$E394)</f>
        <v>0</v>
      </c>
      <c r="H394" s="41">
        <f>IF(VLOOKUP($D394,$C$5:$AU$534,3,)=0,0,(VLOOKUP($D394,$C$5:$AU$534,6,)/VLOOKUP($D394,$C$5:$AU$534,3,))*$E394)</f>
        <v>0</v>
      </c>
      <c r="I394" s="41">
        <f>IF(VLOOKUP($D394,$C$5:$AU$534,3,)=0,0,(VLOOKUP($D394,$C$5:$AU$534,7,)/VLOOKUP($D394,$C$5:$AU$534,3,))*$E394)</f>
        <v>0</v>
      </c>
      <c r="J394" s="19">
        <f>IF(VLOOKUP($D394,$C$5:$AU$534,3,)=0,0,(VLOOKUP($D394,$C$5:$AU$534,8,)/VLOOKUP($D394,$C$5:$AU$534,3,))*$E394)</f>
        <v>0</v>
      </c>
      <c r="K394" s="19">
        <f>IF(VLOOKUP($D394,$C$5:$AU$534,3,)=0,0,(VLOOKUP($D394,$C$5:$AU$534,9,)/VLOOKUP($D394,$C$5:$AU$534,3,))*$E394)</f>
        <v>0</v>
      </c>
      <c r="L394" s="41">
        <f>IF(VLOOKUP($D394,$C$5:$AU$534,3,)=0,0,(VLOOKUP($D394,$C$5:$AU$534,10,)/VLOOKUP($D394,$C$5:$AU$534,3,))*$E394)</f>
        <v>0</v>
      </c>
      <c r="M394" s="19">
        <f>IF(VLOOKUP($D394,$C$5:$AU$534,3,)=0,0,(VLOOKUP($D394,$C$5:$AU$534,11,)/VLOOKUP($D394,$C$5:$AU$534,3,))*$E394)</f>
        <v>0</v>
      </c>
      <c r="N394" s="19">
        <f>IF(VLOOKUP($D394,$C$5:$AU$534,3,)=0,0,(VLOOKUP($D394,$C$5:$AU$534,12,)/VLOOKUP($D394,$C$5:$AU$534,3,))*$E394)</f>
        <v>0</v>
      </c>
      <c r="O394" s="19">
        <f>IF(VLOOKUP($D394,$C$5:$AU$534,3,)=0,0,(VLOOKUP($D394,$C$5:$AU$534,13,)/VLOOKUP($D394,$C$5:$AU$534,3,))*$E394)</f>
        <v>0</v>
      </c>
      <c r="P394" s="19">
        <f>IF(VLOOKUP($D394,$C$5:$AU$534,3,)=0,0,(VLOOKUP($D394,$C$5:$AU$534,14,)/VLOOKUP($D394,$C$5:$AU$534,3,))*$E394)</f>
        <v>0</v>
      </c>
      <c r="Q394" s="19">
        <f>IF(VLOOKUP($D394,$C$5:$AU$534,3,)=0,0,(VLOOKUP($D394,$C$5:$AU$534,15,)/VLOOKUP($D394,$C$5:$AU$534,3,))*$E394)</f>
        <v>0</v>
      </c>
      <c r="R394" s="19">
        <f>IF(VLOOKUP($D394,$C$5:$AU$534,3,)=0,0,(VLOOKUP($D394,$C$5:$AU$534,16,)/VLOOKUP($D394,$C$5:$AU$534,3,))*$E394)</f>
        <v>0</v>
      </c>
      <c r="S394" s="80">
        <f>IF(VLOOKUP($D394,$C$5:$AU$534,3,)=0,0,(VLOOKUP($D394,$C$5:$AU$534,17,)/VLOOKUP($D394,$C$5:$AU$534,3,))*$E394)</f>
        <v>0</v>
      </c>
      <c r="T394" s="80">
        <f>IF(VLOOKUP($D394,$C$5:$AU$534,3,)=0,0,(VLOOKUP($D394,$C$5:$AU$534,18,)/VLOOKUP($D394,$C$5:$AU$534,3,))*$E394)</f>
        <v>0</v>
      </c>
      <c r="U394" s="80">
        <f>IF(VLOOKUP($D394,$C$5:$AU$534,3,)=0,0,(VLOOKUP($D394,$C$5:$AU$534,19,)/VLOOKUP($D394,$C$5:$AU$534,3,))*$E394)</f>
        <v>0</v>
      </c>
      <c r="V394" s="80">
        <f>IF(VLOOKUP($D394,$C$5:$AU$534,3,)=0,0,(VLOOKUP($D394,$C$5:$AU$534,20,)/VLOOKUP($D394,$C$5:$AU$534,3,))*$E394)</f>
        <v>0</v>
      </c>
      <c r="W394" s="80">
        <f>IF(VLOOKUP($D394,$C$5:$AU$534,3,)=0,0,(VLOOKUP($D394,$C$5:$AU$534,21,)/VLOOKUP($D394,$C$5:$AU$534,3,))*$E394)</f>
        <v>0</v>
      </c>
      <c r="X394" s="80">
        <f>IF(VLOOKUP($D394,$C$5:$AU$534,3,)=0,0,(VLOOKUP($D394,$C$5:$AU$534,22,)/VLOOKUP($D394,$C$5:$AU$534,3,))*$E394)</f>
        <v>0</v>
      </c>
      <c r="Y394" s="80">
        <f>IF(VLOOKUP($D394,$C$5:$AU$534,3,)=0,0,(VLOOKUP($D394,$C$5:$AU$534,23,)/VLOOKUP($D394,$C$5:$AU$534,3,))*$E394)</f>
        <v>0</v>
      </c>
      <c r="Z394" s="80">
        <f>IF(VLOOKUP($D394,$C$5:$AU$534,3,)=0,0,(VLOOKUP($D394,$C$5:$AU$534,24,)/VLOOKUP($D394,$C$5:$AU$534,3,))*$E394)</f>
        <v>0</v>
      </c>
      <c r="AA394" s="80">
        <f>IF(VLOOKUP($D394,$C$5:$AU$534,3,)=0,0,(VLOOKUP($D394,$C$5:$AU$534,25,)/VLOOKUP($D394,$C$5:$AU$534,3,))*$E394)</f>
        <v>0</v>
      </c>
      <c r="AB394" s="80">
        <f>IF(VLOOKUP($D394,$C$5:$AU$534,3,)=0,0,(VLOOKUP($D394,$C$5:$AU$534,26,)/VLOOKUP($D394,$C$5:$AU$534,3,))*$E394)</f>
        <v>0</v>
      </c>
      <c r="AC394" s="80">
        <f>IF(VLOOKUP($D394,$C$5:$AU$534,3,)=0,0,(VLOOKUP($D394,$C$5:$AU$534,27,)/VLOOKUP($D394,$C$5:$AU$534,3,))*$E394)</f>
        <v>0</v>
      </c>
      <c r="AD394" s="80">
        <f>IF(VLOOKUP($D394,$C$5:$AU$534,3,)=0,0,(VLOOKUP($D394,$C$5:$AU$534,28,)/VLOOKUP($D394,$C$5:$AU$534,3,))*$E394)</f>
        <v>0</v>
      </c>
      <c r="AE394" s="80">
        <f>IF(VLOOKUP($D394,$C$5:$AU$534,3,)=0,0,(VLOOKUP($D394,$C$5:$AU$534,29,)/VLOOKUP($D394,$C$5:$AU$534,3,))*$E394)</f>
        <v>0</v>
      </c>
      <c r="AF394" s="80">
        <f>IF(VLOOKUP($D394,$C$5:$AU$534,3,)=0,0,(VLOOKUP($D394,$C$5:$AU$534,30,)/VLOOKUP($D394,$C$5:$AU$534,3,))*$E394)</f>
        <v>0</v>
      </c>
      <c r="AG394" s="65">
        <f>SUM(F394:AF394)</f>
        <v>0</v>
      </c>
      <c r="AH394" s="12" t="str">
        <f>IF(ABS(E394-AG394)&lt;0.01,"ok","err")</f>
        <v>ok</v>
      </c>
    </row>
    <row r="395" spans="1:37" hidden="1" x14ac:dyDescent="0.2">
      <c r="D395" s="3" t="s">
        <v>260</v>
      </c>
      <c r="E395" s="65">
        <v>0</v>
      </c>
      <c r="F395" s="41">
        <f>IF(VLOOKUP($D395,$C$5:$AU$534,3,)=0,0,(VLOOKUP($D395,$C$5:$AU$534,4,)/VLOOKUP($D395,$C$5:$AU$534,3,))*$E395)</f>
        <v>0</v>
      </c>
      <c r="G395" s="41">
        <f>IF(VLOOKUP($D395,$C$5:$AU$534,3,)=0,0,(VLOOKUP($D395,$C$5:$AU$534,5,)/VLOOKUP($D395,$C$5:$AU$534,3,))*$E395)</f>
        <v>0</v>
      </c>
      <c r="H395" s="41">
        <f>IF(VLOOKUP($D395,$C$5:$AU$534,3,)=0,0,(VLOOKUP($D395,$C$5:$AU$534,6,)/VLOOKUP($D395,$C$5:$AU$534,3,))*$E395)</f>
        <v>0</v>
      </c>
      <c r="I395" s="41">
        <f>IF(VLOOKUP($D395,$C$5:$AU$534,3,)=0,0,(VLOOKUP($D395,$C$5:$AU$534,7,)/VLOOKUP($D395,$C$5:$AU$534,3,))*$E395)</f>
        <v>0</v>
      </c>
      <c r="J395" s="19">
        <f>IF(VLOOKUP($D395,$C$5:$AU$534,3,)=0,0,(VLOOKUP($D395,$C$5:$AU$534,8,)/VLOOKUP($D395,$C$5:$AU$534,3,))*$E395)</f>
        <v>0</v>
      </c>
      <c r="K395" s="19">
        <f>IF(VLOOKUP($D395,$C$5:$AU$534,3,)=0,0,(VLOOKUP($D395,$C$5:$AU$534,9,)/VLOOKUP($D395,$C$5:$AU$534,3,))*$E395)</f>
        <v>0</v>
      </c>
      <c r="L395" s="41">
        <f>IF(VLOOKUP($D395,$C$5:$AU$534,3,)=0,0,(VLOOKUP($D395,$C$5:$AU$534,10,)/VLOOKUP($D395,$C$5:$AU$534,3,))*$E395)</f>
        <v>0</v>
      </c>
      <c r="M395" s="19">
        <f>IF(VLOOKUP($D395,$C$5:$AU$534,3,)=0,0,(VLOOKUP($D395,$C$5:$AU$534,11,)/VLOOKUP($D395,$C$5:$AU$534,3,))*$E395)</f>
        <v>0</v>
      </c>
      <c r="N395" s="19">
        <f>IF(VLOOKUP($D395,$C$5:$AU$534,3,)=0,0,(VLOOKUP($D395,$C$5:$AU$534,12,)/VLOOKUP($D395,$C$5:$AU$534,3,))*$E395)</f>
        <v>0</v>
      </c>
      <c r="O395" s="19">
        <f>IF(VLOOKUP($D395,$C$5:$AU$534,3,)=0,0,(VLOOKUP($D395,$C$5:$AU$534,13,)/VLOOKUP($D395,$C$5:$AU$534,3,))*$E395)</f>
        <v>0</v>
      </c>
      <c r="P395" s="19">
        <f>IF(VLOOKUP($D395,$C$5:$AU$534,3,)=0,0,(VLOOKUP($D395,$C$5:$AU$534,14,)/VLOOKUP($D395,$C$5:$AU$534,3,))*$E395)</f>
        <v>0</v>
      </c>
      <c r="Q395" s="19">
        <f>IF(VLOOKUP($D395,$C$5:$AU$534,3,)=0,0,(VLOOKUP($D395,$C$5:$AU$534,15,)/VLOOKUP($D395,$C$5:$AU$534,3,))*$E395)</f>
        <v>0</v>
      </c>
      <c r="R395" s="19">
        <f>IF(VLOOKUP($D395,$C$5:$AU$534,3,)=0,0,(VLOOKUP($D395,$C$5:$AU$534,16,)/VLOOKUP($D395,$C$5:$AU$534,3,))*$E395)</f>
        <v>0</v>
      </c>
      <c r="S395" s="80">
        <f>IF(VLOOKUP($D395,$C$5:$AU$534,3,)=0,0,(VLOOKUP($D395,$C$5:$AU$534,17,)/VLOOKUP($D395,$C$5:$AU$534,3,))*$E395)</f>
        <v>0</v>
      </c>
      <c r="T395" s="80">
        <f>IF(VLOOKUP($D395,$C$5:$AU$534,3,)=0,0,(VLOOKUP($D395,$C$5:$AU$534,18,)/VLOOKUP($D395,$C$5:$AU$534,3,))*$E395)</f>
        <v>0</v>
      </c>
      <c r="U395" s="80">
        <f>IF(VLOOKUP($D395,$C$5:$AU$534,3,)=0,0,(VLOOKUP($D395,$C$5:$AU$534,19,)/VLOOKUP($D395,$C$5:$AU$534,3,))*$E395)</f>
        <v>0</v>
      </c>
      <c r="V395" s="80">
        <f>IF(VLOOKUP($D395,$C$5:$AU$534,3,)=0,0,(VLOOKUP($D395,$C$5:$AU$534,20,)/VLOOKUP($D395,$C$5:$AU$534,3,))*$E395)</f>
        <v>0</v>
      </c>
      <c r="W395" s="80">
        <f>IF(VLOOKUP($D395,$C$5:$AU$534,3,)=0,0,(VLOOKUP($D395,$C$5:$AU$534,21,)/VLOOKUP($D395,$C$5:$AU$534,3,))*$E395)</f>
        <v>0</v>
      </c>
      <c r="X395" s="80">
        <f>IF(VLOOKUP($D395,$C$5:$AU$534,3,)=0,0,(VLOOKUP($D395,$C$5:$AU$534,22,)/VLOOKUP($D395,$C$5:$AU$534,3,))*$E395)</f>
        <v>0</v>
      </c>
      <c r="Y395" s="80">
        <f>IF(VLOOKUP($D395,$C$5:$AU$534,3,)=0,0,(VLOOKUP($D395,$C$5:$AU$534,23,)/VLOOKUP($D395,$C$5:$AU$534,3,))*$E395)</f>
        <v>0</v>
      </c>
      <c r="Z395" s="80">
        <f>IF(VLOOKUP($D395,$C$5:$AU$534,3,)=0,0,(VLOOKUP($D395,$C$5:$AU$534,24,)/VLOOKUP($D395,$C$5:$AU$534,3,))*$E395)</f>
        <v>0</v>
      </c>
      <c r="AA395" s="80">
        <f>IF(VLOOKUP($D395,$C$5:$AU$534,3,)=0,0,(VLOOKUP($D395,$C$5:$AU$534,25,)/VLOOKUP($D395,$C$5:$AU$534,3,))*$E395)</f>
        <v>0</v>
      </c>
      <c r="AB395" s="80">
        <f>IF(VLOOKUP($D395,$C$5:$AU$534,3,)=0,0,(VLOOKUP($D395,$C$5:$AU$534,26,)/VLOOKUP($D395,$C$5:$AU$534,3,))*$E395)</f>
        <v>0</v>
      </c>
      <c r="AC395" s="80">
        <f>IF(VLOOKUP($D395,$C$5:$AU$534,3,)=0,0,(VLOOKUP($D395,$C$5:$AU$534,27,)/VLOOKUP($D395,$C$5:$AU$534,3,))*$E395)</f>
        <v>0</v>
      </c>
      <c r="AD395" s="80">
        <f>IF(VLOOKUP($D395,$C$5:$AU$534,3,)=0,0,(VLOOKUP($D395,$C$5:$AU$534,28,)/VLOOKUP($D395,$C$5:$AU$534,3,))*$E395)</f>
        <v>0</v>
      </c>
      <c r="AE395" s="80">
        <f>IF(VLOOKUP($D395,$C$5:$AU$534,3,)=0,0,(VLOOKUP($D395,$C$5:$AU$534,29,)/VLOOKUP($D395,$C$5:$AU$534,3,))*$E395)</f>
        <v>0</v>
      </c>
      <c r="AF395" s="80">
        <f>IF(VLOOKUP($D395,$C$5:$AU$534,3,)=0,0,(VLOOKUP($D395,$C$5:$AU$534,30,)/VLOOKUP($D395,$C$5:$AU$534,3,))*$E395)</f>
        <v>0</v>
      </c>
      <c r="AG395" s="65">
        <f t="shared" si="125"/>
        <v>0</v>
      </c>
      <c r="AH395" s="12" t="str">
        <f t="shared" si="184"/>
        <v>ok</v>
      </c>
    </row>
    <row r="396" spans="1:37" x14ac:dyDescent="0.2">
      <c r="B396" s="9" t="s">
        <v>871</v>
      </c>
      <c r="E396" s="84">
        <f t="shared" ref="E396:K396" si="191">SUM(E358:E395)</f>
        <v>-3996530.3057265412</v>
      </c>
      <c r="F396" s="84">
        <f t="shared" si="191"/>
        <v>-3089502.4599936809</v>
      </c>
      <c r="G396" s="84">
        <f t="shared" si="191"/>
        <v>-216570.92206015758</v>
      </c>
      <c r="H396" s="84">
        <f t="shared" si="191"/>
        <v>-430028.77221611701</v>
      </c>
      <c r="I396" s="84">
        <f t="shared" si="191"/>
        <v>-181557.42255031562</v>
      </c>
      <c r="J396" s="84">
        <f t="shared" si="191"/>
        <v>-117167.90969299017</v>
      </c>
      <c r="K396" s="84">
        <f t="shared" si="191"/>
        <v>38297.18078672199</v>
      </c>
      <c r="L396" s="84">
        <f t="shared" ref="L396:R396" si="192">SUM(L358:L395)</f>
        <v>0</v>
      </c>
      <c r="M396" s="84">
        <f t="shared" si="192"/>
        <v>0</v>
      </c>
      <c r="N396" s="84">
        <f t="shared" si="192"/>
        <v>0</v>
      </c>
      <c r="O396" s="84">
        <f t="shared" si="192"/>
        <v>0</v>
      </c>
      <c r="P396" s="84">
        <f t="shared" si="192"/>
        <v>0</v>
      </c>
      <c r="Q396" s="84">
        <f t="shared" si="192"/>
        <v>0</v>
      </c>
      <c r="R396" s="84">
        <f t="shared" si="192"/>
        <v>0</v>
      </c>
      <c r="S396" s="41"/>
      <c r="T396" s="41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F396" s="41"/>
      <c r="AG396" s="84">
        <f t="shared" si="125"/>
        <v>-3996530.3057265393</v>
      </c>
      <c r="AH396" s="12" t="str">
        <f t="shared" si="184"/>
        <v>ok</v>
      </c>
      <c r="AK396" s="24"/>
    </row>
    <row r="397" spans="1:37" x14ac:dyDescent="0.2">
      <c r="E397" s="65"/>
    </row>
    <row r="398" spans="1:37" x14ac:dyDescent="0.2">
      <c r="A398" s="3" t="s">
        <v>572</v>
      </c>
      <c r="E398" s="65">
        <f t="shared" ref="E398:R398" si="193">E355+E396</f>
        <v>23133099.734273456</v>
      </c>
      <c r="F398" s="65">
        <f t="shared" si="193"/>
        <v>17864570.818817526</v>
      </c>
      <c r="G398" s="65">
        <f t="shared" si="193"/>
        <v>1072318.1846403626</v>
      </c>
      <c r="H398" s="65">
        <f t="shared" si="193"/>
        <v>2090089.6840716866</v>
      </c>
      <c r="I398" s="65">
        <f t="shared" si="193"/>
        <v>796244.22530669067</v>
      </c>
      <c r="J398" s="65">
        <f t="shared" si="193"/>
        <v>468023.09863340034</v>
      </c>
      <c r="K398" s="65">
        <f t="shared" si="193"/>
        <v>841853.72280379594</v>
      </c>
      <c r="L398" s="65">
        <f t="shared" si="193"/>
        <v>0</v>
      </c>
      <c r="M398" s="65">
        <f t="shared" si="193"/>
        <v>0</v>
      </c>
      <c r="N398" s="65">
        <f t="shared" si="193"/>
        <v>0</v>
      </c>
      <c r="O398" s="65">
        <f t="shared" si="193"/>
        <v>0</v>
      </c>
      <c r="P398" s="65">
        <f t="shared" si="193"/>
        <v>0</v>
      </c>
      <c r="Q398" s="65">
        <f t="shared" si="193"/>
        <v>0</v>
      </c>
      <c r="R398" s="65">
        <f t="shared" si="193"/>
        <v>0</v>
      </c>
      <c r="S398" s="87">
        <f t="shared" ref="S398:AF398" si="194">SUM(S355:S397)</f>
        <v>0</v>
      </c>
      <c r="T398" s="87">
        <f t="shared" si="194"/>
        <v>0</v>
      </c>
      <c r="U398" s="87">
        <f t="shared" si="194"/>
        <v>0</v>
      </c>
      <c r="V398" s="87">
        <f t="shared" si="194"/>
        <v>0</v>
      </c>
      <c r="W398" s="87">
        <f t="shared" si="194"/>
        <v>0</v>
      </c>
      <c r="X398" s="87">
        <f t="shared" si="194"/>
        <v>0</v>
      </c>
      <c r="Y398" s="87">
        <f t="shared" si="194"/>
        <v>0</v>
      </c>
      <c r="Z398" s="87">
        <f t="shared" si="194"/>
        <v>0</v>
      </c>
      <c r="AA398" s="87">
        <f t="shared" si="194"/>
        <v>0</v>
      </c>
      <c r="AB398" s="87">
        <f t="shared" si="194"/>
        <v>0</v>
      </c>
      <c r="AC398" s="87">
        <f t="shared" si="194"/>
        <v>0</v>
      </c>
      <c r="AD398" s="87">
        <f t="shared" si="194"/>
        <v>0</v>
      </c>
      <c r="AE398" s="87">
        <f t="shared" si="194"/>
        <v>0</v>
      </c>
      <c r="AF398" s="87">
        <f t="shared" si="194"/>
        <v>0</v>
      </c>
      <c r="AG398" s="65">
        <f>SUM(F398:AF398)</f>
        <v>23133099.734273463</v>
      </c>
      <c r="AH398" s="12" t="str">
        <f>IF(ABS(E398-AG398)&lt;0.01,"ok","err")</f>
        <v>ok</v>
      </c>
    </row>
    <row r="400" spans="1:37" x14ac:dyDescent="0.2">
      <c r="A400" s="2" t="s">
        <v>573</v>
      </c>
      <c r="E400" s="65">
        <f t="shared" ref="E400:AF400" si="195">E351-E398</f>
        <v>-1423551.1542734578</v>
      </c>
      <c r="F400" s="65">
        <f t="shared" si="195"/>
        <v>-1462687.8563519232</v>
      </c>
      <c r="G400" s="65">
        <f t="shared" si="195"/>
        <v>118965.46430972964</v>
      </c>
      <c r="H400" s="65">
        <f t="shared" si="195"/>
        <v>-122760.17682101438</v>
      </c>
      <c r="I400" s="65">
        <f t="shared" si="195"/>
        <v>25473.435909982887</v>
      </c>
      <c r="J400" s="65">
        <f t="shared" si="195"/>
        <v>-29787.388482039503</v>
      </c>
      <c r="K400" s="65">
        <f t="shared" si="195"/>
        <v>47245.367161798174</v>
      </c>
      <c r="L400" s="65">
        <f t="shared" si="195"/>
        <v>0</v>
      </c>
      <c r="M400" s="65">
        <f t="shared" si="195"/>
        <v>0</v>
      </c>
      <c r="N400" s="65">
        <f t="shared" si="195"/>
        <v>0</v>
      </c>
      <c r="O400" s="65">
        <f t="shared" si="195"/>
        <v>0</v>
      </c>
      <c r="P400" s="65">
        <f t="shared" si="195"/>
        <v>0</v>
      </c>
      <c r="Q400" s="65">
        <f t="shared" si="195"/>
        <v>0</v>
      </c>
      <c r="R400" s="65">
        <f t="shared" si="195"/>
        <v>0</v>
      </c>
      <c r="S400" s="87">
        <f t="shared" si="195"/>
        <v>0</v>
      </c>
      <c r="T400" s="87">
        <f t="shared" si="195"/>
        <v>0</v>
      </c>
      <c r="U400" s="87">
        <f t="shared" si="195"/>
        <v>0</v>
      </c>
      <c r="V400" s="87">
        <f t="shared" si="195"/>
        <v>0</v>
      </c>
      <c r="W400" s="87">
        <f t="shared" si="195"/>
        <v>0</v>
      </c>
      <c r="X400" s="87">
        <f t="shared" si="195"/>
        <v>0</v>
      </c>
      <c r="Y400" s="87">
        <f t="shared" si="195"/>
        <v>0</v>
      </c>
      <c r="Z400" s="87">
        <f t="shared" si="195"/>
        <v>0</v>
      </c>
      <c r="AA400" s="87">
        <f t="shared" si="195"/>
        <v>0</v>
      </c>
      <c r="AB400" s="87">
        <f t="shared" si="195"/>
        <v>0</v>
      </c>
      <c r="AC400" s="87">
        <f t="shared" si="195"/>
        <v>0</v>
      </c>
      <c r="AD400" s="87">
        <f t="shared" si="195"/>
        <v>0</v>
      </c>
      <c r="AE400" s="87">
        <f t="shared" si="195"/>
        <v>0</v>
      </c>
      <c r="AF400" s="87">
        <f t="shared" si="195"/>
        <v>0</v>
      </c>
      <c r="AG400" s="65">
        <f>SUM(F400:AF400)</f>
        <v>-1423551.1542734667</v>
      </c>
      <c r="AH400" s="12" t="str">
        <f>IF(ABS(E400-AG400)&lt;0.01,"ok","err")</f>
        <v>ok</v>
      </c>
    </row>
    <row r="402" spans="1:37" x14ac:dyDescent="0.2">
      <c r="A402" s="2" t="s">
        <v>248</v>
      </c>
      <c r="E402" s="65">
        <f t="shared" ref="E402:AF402" si="196">E328</f>
        <v>35397246.132403851</v>
      </c>
      <c r="F402" s="65">
        <f t="shared" si="196"/>
        <v>26955196.744410895</v>
      </c>
      <c r="G402" s="65">
        <f t="shared" si="196"/>
        <v>1588169.6497079157</v>
      </c>
      <c r="H402" s="65">
        <f t="shared" si="196"/>
        <v>2099111.9358035247</v>
      </c>
      <c r="I402" s="65">
        <f t="shared" si="196"/>
        <v>924976.46168766893</v>
      </c>
      <c r="J402" s="65">
        <f t="shared" si="196"/>
        <v>303914.53920634778</v>
      </c>
      <c r="K402" s="65">
        <f t="shared" si="196"/>
        <v>3525876.8015874978</v>
      </c>
      <c r="L402" s="65">
        <f t="shared" si="196"/>
        <v>0</v>
      </c>
      <c r="M402" s="65">
        <f t="shared" si="196"/>
        <v>0</v>
      </c>
      <c r="N402" s="65">
        <f t="shared" si="196"/>
        <v>0</v>
      </c>
      <c r="O402" s="65">
        <f t="shared" si="196"/>
        <v>0</v>
      </c>
      <c r="P402" s="65">
        <f t="shared" si="196"/>
        <v>0</v>
      </c>
      <c r="Q402" s="65">
        <f t="shared" si="196"/>
        <v>0</v>
      </c>
      <c r="R402" s="65">
        <f t="shared" si="196"/>
        <v>0</v>
      </c>
      <c r="S402" s="87">
        <f t="shared" si="196"/>
        <v>0</v>
      </c>
      <c r="T402" s="87">
        <f t="shared" si="196"/>
        <v>0</v>
      </c>
      <c r="U402" s="87">
        <f t="shared" si="196"/>
        <v>0</v>
      </c>
      <c r="V402" s="87">
        <f t="shared" si="196"/>
        <v>0</v>
      </c>
      <c r="W402" s="87">
        <f t="shared" si="196"/>
        <v>0</v>
      </c>
      <c r="X402" s="87">
        <f t="shared" si="196"/>
        <v>0</v>
      </c>
      <c r="Y402" s="87">
        <f t="shared" si="196"/>
        <v>0</v>
      </c>
      <c r="Z402" s="87">
        <f t="shared" si="196"/>
        <v>0</v>
      </c>
      <c r="AA402" s="87">
        <f t="shared" si="196"/>
        <v>0</v>
      </c>
      <c r="AB402" s="87">
        <f t="shared" si="196"/>
        <v>0</v>
      </c>
      <c r="AC402" s="87">
        <f t="shared" si="196"/>
        <v>0</v>
      </c>
      <c r="AD402" s="87">
        <f t="shared" si="196"/>
        <v>0</v>
      </c>
      <c r="AE402" s="87">
        <f t="shared" si="196"/>
        <v>0</v>
      </c>
      <c r="AF402" s="87">
        <f t="shared" si="196"/>
        <v>0</v>
      </c>
      <c r="AG402" s="65">
        <f>SUM(F402:AF402)</f>
        <v>35397246.132403851</v>
      </c>
      <c r="AH402" s="12" t="str">
        <f>IF(ABS(E402-AG402)&lt;0.01,"ok","err")</f>
        <v>ok</v>
      </c>
    </row>
    <row r="403" spans="1:37" x14ac:dyDescent="0.2">
      <c r="A403" s="3" t="s">
        <v>721</v>
      </c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87"/>
      <c r="T403" s="87"/>
      <c r="U403" s="87"/>
      <c r="V403" s="87"/>
      <c r="W403" s="87"/>
      <c r="X403" s="87"/>
      <c r="Y403" s="87"/>
      <c r="Z403" s="87"/>
      <c r="AA403" s="87"/>
      <c r="AB403" s="87"/>
      <c r="AC403" s="87"/>
      <c r="AD403" s="87"/>
      <c r="AE403" s="87"/>
      <c r="AF403" s="87"/>
      <c r="AG403" s="65"/>
      <c r="AH403" s="12"/>
    </row>
    <row r="404" spans="1:37" x14ac:dyDescent="0.2">
      <c r="A404" s="2"/>
      <c r="B404" s="3" t="s">
        <v>995</v>
      </c>
      <c r="D404" s="3" t="s">
        <v>260</v>
      </c>
      <c r="E404" s="65">
        <v>0</v>
      </c>
      <c r="F404" s="41">
        <f>IF(VLOOKUP($D404,$C$5:$AU$534,3,)=0,0,(VLOOKUP($D404,$C$5:$AU$534,4,)/VLOOKUP($D404,$C$5:$AU$534,3,))*$E404)</f>
        <v>0</v>
      </c>
      <c r="G404" s="41">
        <f>IF(VLOOKUP($D404,$C$5:$AU$534,3,)=0,0,(VLOOKUP($D404,$C$5:$AU$534,5,)/VLOOKUP($D404,$C$5:$AU$534,3,))*$E404)</f>
        <v>0</v>
      </c>
      <c r="H404" s="19">
        <f>IF(VLOOKUP($D404,$C$5:$AU$534,3,)=0,0,(VLOOKUP($D404,$C$5:$AU$534,6,)/VLOOKUP($D404,$C$5:$AU$534,3,))*$E404)</f>
        <v>0</v>
      </c>
      <c r="I404" s="19">
        <f>IF(VLOOKUP($D404,$C$5:$AU$534,3,)=0,0,(VLOOKUP($D404,$C$5:$AU$534,7,)/VLOOKUP($D404,$C$5:$AU$534,3,))*$E404)</f>
        <v>0</v>
      </c>
      <c r="J404" s="19">
        <f>IF(VLOOKUP($D404,$C$5:$AU$534,3,)=0,0,(VLOOKUP($D404,$C$5:$AU$534,8,)/VLOOKUP($D404,$C$5:$AU$534,3,))*$E404)</f>
        <v>0</v>
      </c>
      <c r="K404" s="19">
        <f>IF(VLOOKUP($D404,$C$5:$AU$534,3,)=0,0,(VLOOKUP($D404,$C$5:$AU$534,9,)/VLOOKUP($D404,$C$5:$AU$534,3,))*$E404)</f>
        <v>0</v>
      </c>
      <c r="L404" s="41">
        <f>IF(VLOOKUP($D404,$C$5:$AU$534,3,)=0,0,(VLOOKUP($D404,$C$5:$AU$534,10,)/VLOOKUP($D404,$C$5:$AU$534,3,))*$E404)</f>
        <v>0</v>
      </c>
      <c r="M404" s="19">
        <f>IF(VLOOKUP($D404,$C$5:$AU$534,3,)=0,0,(VLOOKUP($D404,$C$5:$AU$534,11,)/VLOOKUP($D404,$C$5:$AU$534,3,))*$E404)</f>
        <v>0</v>
      </c>
      <c r="N404" s="19">
        <f>IF(VLOOKUP($D404,$C$5:$AU$534,3,)=0,0,(VLOOKUP($D404,$C$5:$AU$534,12,)/VLOOKUP($D404,$C$5:$AU$534,3,))*$E404)</f>
        <v>0</v>
      </c>
      <c r="O404" s="19">
        <f>IF(VLOOKUP($D404,$C$5:$AU$534,3,)=0,0,(VLOOKUP($D404,$C$5:$AU$534,13,)/VLOOKUP($D404,$C$5:$AU$534,3,))*$E404)</f>
        <v>0</v>
      </c>
      <c r="P404" s="19">
        <f>IF(VLOOKUP($D404,$C$5:$AU$534,3,)=0,0,(VLOOKUP($D404,$C$5:$AU$534,14,)/VLOOKUP($D404,$C$5:$AU$534,3,))*$E404)</f>
        <v>0</v>
      </c>
      <c r="Q404" s="19">
        <f>IF(VLOOKUP($D404,$C$5:$AU$534,3,)=0,0,(VLOOKUP($D404,$C$5:$AU$534,15,)/VLOOKUP($D404,$C$5:$AU$534,3,))*$E404)</f>
        <v>0</v>
      </c>
      <c r="R404" s="19">
        <f>IF(VLOOKUP($D404,$C$5:$AU$534,3,)=0,0,(VLOOKUP($D404,$C$5:$AU$534,16,)/VLOOKUP($D404,$C$5:$AU$534,3,))*$E404)</f>
        <v>0</v>
      </c>
      <c r="S404" s="80">
        <f>IF(VLOOKUP($D404,$C$5:$AU$534,3,)=0,0,(VLOOKUP($D404,$C$5:$AU$534,17,)/VLOOKUP($D404,$C$5:$AU$534,3,))*$E404)</f>
        <v>0</v>
      </c>
      <c r="T404" s="80">
        <f>IF(VLOOKUP($D404,$C$5:$AU$534,3,)=0,0,(VLOOKUP($D404,$C$5:$AU$534,18,)/VLOOKUP($D404,$C$5:$AU$534,3,))*$E404)</f>
        <v>0</v>
      </c>
      <c r="U404" s="80">
        <f>IF(VLOOKUP($D404,$C$5:$AU$534,3,)=0,0,(VLOOKUP($D404,$C$5:$AU$534,19,)/VLOOKUP($D404,$C$5:$AU$534,3,))*$E404)</f>
        <v>0</v>
      </c>
      <c r="V404" s="80">
        <f>IF(VLOOKUP($D404,$C$5:$AU$534,3,)=0,0,(VLOOKUP($D404,$C$5:$AU$534,20,)/VLOOKUP($D404,$C$5:$AU$534,3,))*$E404)</f>
        <v>0</v>
      </c>
      <c r="W404" s="80">
        <f>IF(VLOOKUP($D404,$C$5:$AU$534,3,)=0,0,(VLOOKUP($D404,$C$5:$AU$534,21,)/VLOOKUP($D404,$C$5:$AU$534,3,))*$E404)</f>
        <v>0</v>
      </c>
      <c r="X404" s="80">
        <f>IF(VLOOKUP($D404,$C$5:$AU$534,3,)=0,0,(VLOOKUP($D404,$C$5:$AU$534,22,)/VLOOKUP($D404,$C$5:$AU$534,3,))*$E404)</f>
        <v>0</v>
      </c>
      <c r="Y404" s="80">
        <f>IF(VLOOKUP($D404,$C$5:$AU$534,3,)=0,0,(VLOOKUP($D404,$C$5:$AU$534,23,)/VLOOKUP($D404,$C$5:$AU$534,3,))*$E404)</f>
        <v>0</v>
      </c>
      <c r="Z404" s="80">
        <f>IF(VLOOKUP($D404,$C$5:$AU$534,3,)=0,0,(VLOOKUP($D404,$C$5:$AU$534,24,)/VLOOKUP($D404,$C$5:$AU$534,3,))*$E404)</f>
        <v>0</v>
      </c>
      <c r="AA404" s="80">
        <f>IF(VLOOKUP($D404,$C$5:$AU$534,3,)=0,0,(VLOOKUP($D404,$C$5:$AU$534,25,)/VLOOKUP($D404,$C$5:$AU$534,3,))*$E404)</f>
        <v>0</v>
      </c>
      <c r="AB404" s="80">
        <f>IF(VLOOKUP($D404,$C$5:$AU$534,3,)=0,0,(VLOOKUP($D404,$C$5:$AU$534,26,)/VLOOKUP($D404,$C$5:$AU$534,3,))*$E404)</f>
        <v>0</v>
      </c>
      <c r="AC404" s="80">
        <f>IF(VLOOKUP($D404,$C$5:$AU$534,3,)=0,0,(VLOOKUP($D404,$C$5:$AU$534,27,)/VLOOKUP($D404,$C$5:$AU$534,3,))*$E404)</f>
        <v>0</v>
      </c>
      <c r="AD404" s="80">
        <f>IF(VLOOKUP($D404,$C$5:$AU$534,3,)=0,0,(VLOOKUP($D404,$C$5:$AU$534,28,)/VLOOKUP($D404,$C$5:$AU$534,3,))*$E404)</f>
        <v>0</v>
      </c>
      <c r="AE404" s="80">
        <f>IF(VLOOKUP($D404,$C$5:$AU$534,3,)=0,0,(VLOOKUP($D404,$C$5:$AU$534,29,)/VLOOKUP($D404,$C$5:$AU$534,3,))*$E404)</f>
        <v>0</v>
      </c>
      <c r="AF404" s="80">
        <f>IF(VLOOKUP($D404,$C$5:$AU$534,3,)=0,0,(VLOOKUP($D404,$C$5:$AU$534,30,)/VLOOKUP($D404,$C$5:$AU$534,3,))*$E404)</f>
        <v>0</v>
      </c>
      <c r="AG404" s="65">
        <f>SUM(F404:AF404)</f>
        <v>0</v>
      </c>
      <c r="AH404" s="12" t="str">
        <f>IF(ABS(E404-AG404)&lt;0.01,"ok","err")</f>
        <v>ok</v>
      </c>
    </row>
    <row r="405" spans="1:37" x14ac:dyDescent="0.2">
      <c r="A405" s="2"/>
      <c r="E405" s="65"/>
      <c r="F405" s="41"/>
      <c r="G405" s="41"/>
      <c r="H405" s="19"/>
      <c r="I405" s="19"/>
      <c r="J405" s="19"/>
      <c r="K405" s="19"/>
      <c r="L405" s="41"/>
      <c r="M405" s="19"/>
      <c r="N405" s="19"/>
      <c r="O405" s="19"/>
      <c r="P405" s="19"/>
      <c r="Q405" s="19"/>
      <c r="R405" s="19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65"/>
      <c r="AH405" s="12"/>
    </row>
    <row r="406" spans="1:37" x14ac:dyDescent="0.2">
      <c r="A406" s="3" t="s">
        <v>720</v>
      </c>
      <c r="E406" s="65">
        <f>E402+E404</f>
        <v>35397246.132403851</v>
      </c>
      <c r="F406" s="65">
        <f t="shared" ref="F406:U406" si="197">F402+F404</f>
        <v>26955196.744410895</v>
      </c>
      <c r="G406" s="65">
        <f t="shared" si="197"/>
        <v>1588169.6497079157</v>
      </c>
      <c r="H406" s="65">
        <f t="shared" si="197"/>
        <v>2099111.9358035247</v>
      </c>
      <c r="I406" s="65">
        <f t="shared" si="197"/>
        <v>924976.46168766893</v>
      </c>
      <c r="J406" s="65">
        <f t="shared" si="197"/>
        <v>303914.53920634778</v>
      </c>
      <c r="K406" s="65">
        <f t="shared" si="197"/>
        <v>3525876.8015874978</v>
      </c>
      <c r="L406" s="65">
        <f t="shared" si="197"/>
        <v>0</v>
      </c>
      <c r="M406" s="65">
        <f t="shared" si="197"/>
        <v>0</v>
      </c>
      <c r="N406" s="65">
        <f t="shared" si="197"/>
        <v>0</v>
      </c>
      <c r="O406" s="65">
        <f t="shared" si="197"/>
        <v>0</v>
      </c>
      <c r="P406" s="65">
        <f>P402+P404</f>
        <v>0</v>
      </c>
      <c r="Q406" s="65">
        <f t="shared" si="197"/>
        <v>0</v>
      </c>
      <c r="R406" s="65">
        <f t="shared" si="197"/>
        <v>0</v>
      </c>
      <c r="S406" s="80">
        <f t="shared" si="197"/>
        <v>0</v>
      </c>
      <c r="T406" s="80">
        <f t="shared" si="197"/>
        <v>0</v>
      </c>
      <c r="U406" s="80">
        <f t="shared" si="197"/>
        <v>0</v>
      </c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65">
        <f>SUM(F406:AF406)</f>
        <v>35397246.132403851</v>
      </c>
      <c r="AH406" s="12" t="str">
        <f>IF(ABS(E406-AG406)&lt;0.01,"ok","err")</f>
        <v>ok</v>
      </c>
    </row>
    <row r="407" spans="1:37" ht="13.5" thickBot="1" x14ac:dyDescent="0.25"/>
    <row r="408" spans="1:37" ht="13.5" thickBot="1" x14ac:dyDescent="0.25">
      <c r="A408" s="89" t="s">
        <v>333</v>
      </c>
      <c r="B408" s="90"/>
      <c r="C408" s="90"/>
      <c r="D408" s="90"/>
      <c r="E408" s="91">
        <f t="shared" ref="E408:R408" si="198">E400/E406</f>
        <v>-4.0216437994883746E-2</v>
      </c>
      <c r="F408" s="92">
        <f t="shared" si="198"/>
        <v>-5.4263668346446352E-2</v>
      </c>
      <c r="G408" s="92">
        <f t="shared" si="198"/>
        <v>7.4907277274571304E-2</v>
      </c>
      <c r="H408" s="91">
        <f t="shared" si="198"/>
        <v>-5.848195835922522E-2</v>
      </c>
      <c r="I408" s="91">
        <f t="shared" si="198"/>
        <v>2.7539550426510576E-2</v>
      </c>
      <c r="J408" s="91">
        <f t="shared" si="198"/>
        <v>-9.8012383875504108E-2</v>
      </c>
      <c r="K408" s="91">
        <f t="shared" si="198"/>
        <v>1.3399608046579031E-2</v>
      </c>
      <c r="L408" s="92" t="e">
        <f t="shared" si="198"/>
        <v>#DIV/0!</v>
      </c>
      <c r="M408" s="91" t="e">
        <f t="shared" si="198"/>
        <v>#DIV/0!</v>
      </c>
      <c r="N408" s="91" t="e">
        <f t="shared" si="198"/>
        <v>#DIV/0!</v>
      </c>
      <c r="O408" s="91" t="e">
        <f t="shared" si="198"/>
        <v>#DIV/0!</v>
      </c>
      <c r="P408" s="91" t="e">
        <f t="shared" si="198"/>
        <v>#DIV/0!</v>
      </c>
      <c r="Q408" s="91" t="e">
        <f t="shared" si="198"/>
        <v>#DIV/0!</v>
      </c>
      <c r="R408" s="91" t="e">
        <f t="shared" si="198"/>
        <v>#DIV/0!</v>
      </c>
      <c r="S408" s="93" t="e">
        <f t="shared" ref="S408:AF408" si="199">S400/S402</f>
        <v>#DIV/0!</v>
      </c>
      <c r="T408" s="93" t="e">
        <f t="shared" si="199"/>
        <v>#DIV/0!</v>
      </c>
      <c r="U408" s="93" t="e">
        <f t="shared" si="199"/>
        <v>#DIV/0!</v>
      </c>
      <c r="V408" s="93" t="e">
        <f t="shared" si="199"/>
        <v>#DIV/0!</v>
      </c>
      <c r="W408" s="93" t="e">
        <f t="shared" si="199"/>
        <v>#DIV/0!</v>
      </c>
      <c r="X408" s="93" t="e">
        <f t="shared" si="199"/>
        <v>#DIV/0!</v>
      </c>
      <c r="Y408" s="93" t="e">
        <f t="shared" si="199"/>
        <v>#DIV/0!</v>
      </c>
      <c r="Z408" s="93" t="e">
        <f t="shared" si="199"/>
        <v>#DIV/0!</v>
      </c>
      <c r="AA408" s="93" t="e">
        <f t="shared" si="199"/>
        <v>#DIV/0!</v>
      </c>
      <c r="AB408" s="93" t="e">
        <f t="shared" si="199"/>
        <v>#DIV/0!</v>
      </c>
      <c r="AC408" s="93" t="e">
        <f t="shared" si="199"/>
        <v>#DIV/0!</v>
      </c>
      <c r="AD408" s="93" t="e">
        <f t="shared" si="199"/>
        <v>#DIV/0!</v>
      </c>
      <c r="AE408" s="93" t="e">
        <f t="shared" si="199"/>
        <v>#DIV/0!</v>
      </c>
      <c r="AF408" s="93" t="e">
        <f t="shared" si="199"/>
        <v>#DIV/0!</v>
      </c>
      <c r="AG408" s="65"/>
      <c r="AH408" s="12"/>
    </row>
    <row r="409" spans="1:37" x14ac:dyDescent="0.2">
      <c r="A409" s="2" t="s">
        <v>916</v>
      </c>
      <c r="B409" s="2"/>
      <c r="C409" s="2"/>
      <c r="D409" s="2"/>
      <c r="E409" s="95">
        <f>E408/$E$408</f>
        <v>1</v>
      </c>
      <c r="F409" s="95">
        <f t="shared" ref="F409:AF409" si="200">F408/$E$408</f>
        <v>1.3492907639744143</v>
      </c>
      <c r="G409" s="95">
        <f t="shared" si="200"/>
        <v>-1.8626034778142424</v>
      </c>
      <c r="H409" s="95">
        <f t="shared" si="200"/>
        <v>1.4541804613990224</v>
      </c>
      <c r="I409" s="95">
        <f t="shared" si="200"/>
        <v>-0.68478343183983881</v>
      </c>
      <c r="J409" s="95">
        <f t="shared" si="200"/>
        <v>2.4371224494813055</v>
      </c>
      <c r="K409" s="95">
        <f t="shared" si="200"/>
        <v>-0.3331873411634243</v>
      </c>
      <c r="L409" s="95" t="e">
        <f t="shared" si="200"/>
        <v>#DIV/0!</v>
      </c>
      <c r="M409" s="95" t="e">
        <f t="shared" si="200"/>
        <v>#DIV/0!</v>
      </c>
      <c r="N409" s="95" t="e">
        <f t="shared" si="200"/>
        <v>#DIV/0!</v>
      </c>
      <c r="O409" s="95" t="e">
        <f t="shared" si="200"/>
        <v>#DIV/0!</v>
      </c>
      <c r="P409" s="95" t="e">
        <f t="shared" si="200"/>
        <v>#DIV/0!</v>
      </c>
      <c r="Q409" s="95" t="e">
        <f t="shared" si="200"/>
        <v>#DIV/0!</v>
      </c>
      <c r="R409" s="95" t="e">
        <f t="shared" si="200"/>
        <v>#DIV/0!</v>
      </c>
      <c r="S409" s="95" t="e">
        <f t="shared" si="200"/>
        <v>#DIV/0!</v>
      </c>
      <c r="T409" s="95" t="e">
        <f t="shared" si="200"/>
        <v>#DIV/0!</v>
      </c>
      <c r="U409" s="95" t="e">
        <f t="shared" si="200"/>
        <v>#DIV/0!</v>
      </c>
      <c r="V409" s="95" t="e">
        <f t="shared" si="200"/>
        <v>#DIV/0!</v>
      </c>
      <c r="W409" s="95" t="e">
        <f t="shared" si="200"/>
        <v>#DIV/0!</v>
      </c>
      <c r="X409" s="95" t="e">
        <f t="shared" si="200"/>
        <v>#DIV/0!</v>
      </c>
      <c r="Y409" s="95" t="e">
        <f t="shared" si="200"/>
        <v>#DIV/0!</v>
      </c>
      <c r="Z409" s="95" t="e">
        <f t="shared" si="200"/>
        <v>#DIV/0!</v>
      </c>
      <c r="AA409" s="95" t="e">
        <f t="shared" si="200"/>
        <v>#DIV/0!</v>
      </c>
      <c r="AB409" s="95" t="e">
        <f t="shared" si="200"/>
        <v>#DIV/0!</v>
      </c>
      <c r="AC409" s="95" t="e">
        <f t="shared" si="200"/>
        <v>#DIV/0!</v>
      </c>
      <c r="AD409" s="95" t="e">
        <f t="shared" si="200"/>
        <v>#DIV/0!</v>
      </c>
      <c r="AE409" s="95" t="e">
        <f t="shared" si="200"/>
        <v>#DIV/0!</v>
      </c>
      <c r="AF409" s="95" t="e">
        <f t="shared" si="200"/>
        <v>#DIV/0!</v>
      </c>
      <c r="AG409" s="65"/>
      <c r="AH409" s="12"/>
    </row>
    <row r="410" spans="1:37" x14ac:dyDescent="0.2">
      <c r="AK410" s="24"/>
    </row>
    <row r="411" spans="1:37" x14ac:dyDescent="0.2">
      <c r="A411" s="10" t="s">
        <v>567</v>
      </c>
    </row>
    <row r="413" spans="1:37" x14ac:dyDescent="0.2">
      <c r="A413" s="2" t="s">
        <v>334</v>
      </c>
    </row>
    <row r="414" spans="1:37" x14ac:dyDescent="0.2">
      <c r="A414" s="3" t="s">
        <v>335</v>
      </c>
      <c r="C414" s="3" t="s">
        <v>213</v>
      </c>
      <c r="D414" s="3" t="s">
        <v>11</v>
      </c>
      <c r="E414" s="97">
        <v>1</v>
      </c>
      <c r="F414" s="23">
        <f>IF(VLOOKUP($D414,$C$5:$AU$516,3,)=0,0,(VLOOKUP($D414,$C$5:$AU$516,4,)/VLOOKUP($D414,$C$5:$AU$516,3,))*$E414)</f>
        <v>0.73779293086014675</v>
      </c>
      <c r="G414" s="23">
        <f>IF(VLOOKUP($D414,$C$5:$AU$516,3,)=0,0,(VLOOKUP($D414,$C$5:$AU$516,5,)/VLOOKUP($D414,$C$5:$AU$516,3,))*$E414)</f>
        <v>4.3921524391531588E-2</v>
      </c>
      <c r="H414" s="97">
        <f>IF(VLOOKUP($D414,$C$5:$AU$516,3,)=0,0,(VLOOKUP($D414,$C$5:$AU$516,6,)/VLOOKUP($D414,$C$5:$AU$516,3,))*$E414)</f>
        <v>0.1147550181012922</v>
      </c>
      <c r="I414" s="97">
        <f>IF(VLOOKUP($D414,$C$5:$AU$516,3,)=0,0,(VLOOKUP($D414,$C$5:$AU$516,7,)/VLOOKUP($D414,$C$5:$AU$516,3,))*$E414)</f>
        <v>5.1543612508599089E-2</v>
      </c>
      <c r="J414" s="97">
        <f>IF(VLOOKUP($D414,$C$5:$AU$516,3,)=0,0,(VLOOKUP($D414,$C$5:$AU$516,8,)/VLOOKUP($D414,$C$5:$AU$516,3,))*$E414)</f>
        <v>3.3257615231829067E-2</v>
      </c>
      <c r="K414" s="97">
        <f>IF(VLOOKUP($D414,$C$5:$AU$516,3,)=0,0,(VLOOKUP($D414,$C$5:$AU$516,9,)/VLOOKUP($D414,$C$5:$AU$516,3,))*$E414)</f>
        <v>1.8729298906601261E-2</v>
      </c>
      <c r="L414" s="23">
        <f>IF(VLOOKUP($D414,$C$5:$AU$516,3,)=0,0,(VLOOKUP($D414,$C$5:$AU$516,10,)/VLOOKUP($D414,$C$5:$AU$516,3,))*$E414)</f>
        <v>0</v>
      </c>
      <c r="M414" s="97">
        <f>IF(VLOOKUP($D414,$C$5:$AU$516,3,)=0,0,(VLOOKUP($D414,$C$5:$AU$516,11,)/VLOOKUP($D414,$C$5:$AU$516,3,))*$E414)</f>
        <v>0</v>
      </c>
      <c r="N414" s="97">
        <f>IF(VLOOKUP($D414,$C$5:$AU$516,3,)=0,0,(VLOOKUP($D414,$C$5:$AU$516,12,)/VLOOKUP($D414,$C$5:$AU$516,3,))*$E414)</f>
        <v>0</v>
      </c>
      <c r="O414" s="97">
        <f>IF(VLOOKUP($D414,$C$5:$AU$516,3,)=0,0,(VLOOKUP($D414,$C$5:$AU$516,13,)/VLOOKUP($D414,$C$5:$AU$516,3,))*$E414)</f>
        <v>0</v>
      </c>
      <c r="P414" s="97">
        <f>IF(VLOOKUP($D414,$C$5:$AU$516,3,)=0,0,(VLOOKUP($D414,$C$5:$AU$516,14,)/VLOOKUP($D414,$C$5:$AU$516,3,))*$E414)</f>
        <v>0</v>
      </c>
      <c r="Q414" s="97">
        <f>IF(VLOOKUP($D414,$C$5:$AU$516,3,)=0,0,(VLOOKUP($D414,$C$5:$AU$516,15,)/VLOOKUP($D414,$C$5:$AU$516,3,))*$E414)</f>
        <v>0</v>
      </c>
      <c r="R414" s="97">
        <f>IF(VLOOKUP($D414,$C$5:$AU$516,3,)=0,0,(VLOOKUP($D414,$C$5:$AU$516,16,)/VLOOKUP($D414,$C$5:$AU$516,3,))*$E414)</f>
        <v>0</v>
      </c>
      <c r="S414" s="98">
        <f>IF(VLOOKUP($D414,$C$5:$AU$516,3,)=0,0,(VLOOKUP($D414,$C$5:$AU$516,17,)/VLOOKUP($D414,$C$5:$AU$516,3,))*$E414)</f>
        <v>0</v>
      </c>
      <c r="T414" s="98">
        <f>IF(VLOOKUP($D414,$C$5:$AU$516,3,)=0,0,(VLOOKUP($D414,$C$5:$AU$516,18,)/VLOOKUP($D414,$C$5:$AU$516,3,))*$E414)</f>
        <v>0</v>
      </c>
      <c r="U414" s="98">
        <f>IF(VLOOKUP($D414,$C$5:$AU$516,3,)=0,0,(VLOOKUP($D414,$C$5:$AU$516,19,)/VLOOKUP($D414,$C$5:$AU$516,3,))*$E414)</f>
        <v>0</v>
      </c>
      <c r="V414" s="98">
        <f>IF(VLOOKUP($D414,$C$5:$AU$516,3,)=0,0,(VLOOKUP($D414,$C$5:$AU$516,20,)/VLOOKUP($D414,$C$5:$AU$516,3,))*$E414)</f>
        <v>0</v>
      </c>
      <c r="W414" s="98">
        <f>IF(VLOOKUP($D414,$C$5:$AU$516,3,)=0,0,(VLOOKUP($D414,$C$5:$AU$516,21,)/VLOOKUP($D414,$C$5:$AU$516,3,))*$E414)</f>
        <v>0</v>
      </c>
      <c r="X414" s="98">
        <f>IF(VLOOKUP($D414,$C$5:$AU$516,3,)=0,0,(VLOOKUP($D414,$C$5:$AU$516,22,)/VLOOKUP($D414,$C$5:$AU$516,3,))*$E414)</f>
        <v>0</v>
      </c>
      <c r="Y414" s="98">
        <f>IF(VLOOKUP($D414,$C$5:$AU$516,3,)=0,0,(VLOOKUP($D414,$C$5:$AU$516,23,)/VLOOKUP($D414,$C$5:$AU$516,3,))*$E414)</f>
        <v>0</v>
      </c>
      <c r="Z414" s="98">
        <f>IF(VLOOKUP($D414,$C$5:$AU$516,3,)=0,0,(VLOOKUP($D414,$C$5:$AU$516,24,)/VLOOKUP($D414,$C$5:$AU$516,3,))*$E414)</f>
        <v>0</v>
      </c>
      <c r="AA414" s="98">
        <f>IF(VLOOKUP($D414,$C$5:$AU$516,3,)=0,0,(VLOOKUP($D414,$C$5:$AU$516,25,)/VLOOKUP($D414,$C$5:$AU$516,3,))*$E414)</f>
        <v>0</v>
      </c>
      <c r="AB414" s="98">
        <f>IF(VLOOKUP($D414,$C$5:$AU$516,3,)=0,0,(VLOOKUP($D414,$C$5:$AU$516,26,)/VLOOKUP($D414,$C$5:$AU$516,3,))*$E414)</f>
        <v>0</v>
      </c>
      <c r="AC414" s="98">
        <f>IF(VLOOKUP($D414,$C$5:$AU$516,3,)=0,0,(VLOOKUP($D414,$C$5:$AU$516,27,)/VLOOKUP($D414,$C$5:$AU$516,3,))*$E414)</f>
        <v>0</v>
      </c>
      <c r="AD414" s="98">
        <f>IF(VLOOKUP($D414,$C$5:$AU$516,3,)=0,0,(VLOOKUP($D414,$C$5:$AU$516,28,)/VLOOKUP($D414,$C$5:$AU$516,3,))*$E414)</f>
        <v>0</v>
      </c>
      <c r="AE414" s="98">
        <f>IF(VLOOKUP($D414,$C$5:$AU$516,3,)=0,0,(VLOOKUP($D414,$C$5:$AU$516,29,)/VLOOKUP($D414,$C$5:$AU$516,3,))*$E414)</f>
        <v>0</v>
      </c>
      <c r="AF414" s="98">
        <f>IF(VLOOKUP($D414,$C$5:$AU$516,3,)=0,0,(VLOOKUP($D414,$C$5:$AU$516,30,)/VLOOKUP($D414,$C$5:$AU$516,3,))*$E414)</f>
        <v>0</v>
      </c>
      <c r="AG414" s="97">
        <f>SUM(F414:AF414)</f>
        <v>0.99999999999999989</v>
      </c>
      <c r="AH414" s="12" t="str">
        <f>IF(ABS(E414-AG414)&lt;0.01,"ok","err")</f>
        <v>ok</v>
      </c>
    </row>
    <row r="416" spans="1:37" x14ac:dyDescent="0.2">
      <c r="A416" s="2" t="s">
        <v>336</v>
      </c>
    </row>
    <row r="417" spans="1:37" x14ac:dyDescent="0.2">
      <c r="A417" s="3" t="s">
        <v>337</v>
      </c>
      <c r="C417" s="3" t="s">
        <v>210</v>
      </c>
      <c r="D417" s="3" t="s">
        <v>921</v>
      </c>
      <c r="E417" s="69">
        <v>1</v>
      </c>
      <c r="F417" s="23">
        <f>IF(VLOOKUP($D417,$C$5:$AU$516,3,)=0,0,(VLOOKUP($D417,$C$5:$AU$516,4,)/VLOOKUP($D417,$C$5:$AU$516,3,))*$E417)</f>
        <v>0.7948058942762698</v>
      </c>
      <c r="G417" s="23">
        <f>IF(VLOOKUP($D417,$C$5:$AU$516,3,)=0,0,(VLOOKUP($D417,$C$5:$AU$516,5,)/VLOOKUP($D417,$C$5:$AU$516,3,))*$E417)</f>
        <v>5.1240776769767203E-2</v>
      </c>
      <c r="H417" s="97">
        <f>IF(VLOOKUP($D417,$C$5:$AU$516,3,)=0,0,(VLOOKUP($D417,$C$5:$AU$516,6,)/VLOOKUP($D417,$C$5:$AU$516,3,))*$E417)</f>
        <v>0.10461140833471542</v>
      </c>
      <c r="I417" s="97">
        <f>IF(VLOOKUP($D417,$C$5:$AU$516,3,)=0,0,(VLOOKUP($D417,$C$5:$AU$516,7,)/VLOOKUP($D417,$C$5:$AU$516,3,))*$E417)</f>
        <v>1.6673910665217666E-2</v>
      </c>
      <c r="J417" s="97">
        <f>IF(VLOOKUP($D417,$C$5:$AU$516,3,)=0,0,(VLOOKUP($D417,$C$5:$AU$516,8,)/VLOOKUP($D417,$C$5:$AU$516,3,))*$E417)</f>
        <v>2.2366042621374919E-2</v>
      </c>
      <c r="K417" s="97">
        <f>IF(VLOOKUP($D417,$C$5:$AU$516,3,)=0,0,(VLOOKUP($D417,$C$5:$AU$516,9,)/VLOOKUP($D417,$C$5:$AU$516,3,))*$E417)</f>
        <v>1.0301967332654913E-2</v>
      </c>
      <c r="L417" s="23">
        <f>IF(VLOOKUP($D417,$C$5:$AU$516,3,)=0,0,(VLOOKUP($D417,$C$5:$AU$516,10,)/VLOOKUP($D417,$C$5:$AU$516,3,))*$E417)</f>
        <v>0</v>
      </c>
      <c r="M417" s="97">
        <f>IF(VLOOKUP($D417,$C$5:$AU$516,3,)=0,0,(VLOOKUP($D417,$C$5:$AU$516,11,)/VLOOKUP($D417,$C$5:$AU$516,3,))*$E417)</f>
        <v>0</v>
      </c>
      <c r="N417" s="97">
        <f>IF(VLOOKUP($D417,$C$5:$AU$516,3,)=0,0,(VLOOKUP($D417,$C$5:$AU$516,12,)/VLOOKUP($D417,$C$5:$AU$516,3,))*$E417)</f>
        <v>0</v>
      </c>
      <c r="O417" s="97">
        <f>IF(VLOOKUP($D417,$C$5:$AU$516,3,)=0,0,(VLOOKUP($D417,$C$5:$AU$516,13,)/VLOOKUP($D417,$C$5:$AU$516,3,))*$E417)</f>
        <v>0</v>
      </c>
      <c r="P417" s="97">
        <f>IF(VLOOKUP($D417,$C$5:$AU$516,3,)=0,0,(VLOOKUP($D417,$C$5:$AU$516,14,)/VLOOKUP($D417,$C$5:$AU$516,3,))*$E417)</f>
        <v>0</v>
      </c>
      <c r="Q417" s="97">
        <f>IF(VLOOKUP($D417,$C$5:$AU$516,3,)=0,0,(VLOOKUP($D417,$C$5:$AU$516,15,)/VLOOKUP($D417,$C$5:$AU$516,3,))*$E417)</f>
        <v>0</v>
      </c>
      <c r="R417" s="97">
        <f>IF(VLOOKUP($D417,$C$5:$AU$516,3,)=0,0,(VLOOKUP($D417,$C$5:$AU$516,16,)/VLOOKUP($D417,$C$5:$AU$516,3,))*$E417)</f>
        <v>0</v>
      </c>
      <c r="S417" s="98">
        <f>IF(VLOOKUP($D417,$C$5:$AU$516,3,)=0,0,(VLOOKUP($D417,$C$5:$AU$516,17,)/VLOOKUP($D417,$C$5:$AU$516,3,))*$E417)</f>
        <v>0</v>
      </c>
      <c r="T417" s="98">
        <f>IF(VLOOKUP($D417,$C$5:$AU$516,3,)=0,0,(VLOOKUP($D417,$C$5:$AU$516,18,)/VLOOKUP($D417,$C$5:$AU$516,3,))*$E417)</f>
        <v>0</v>
      </c>
      <c r="U417" s="98">
        <f>IF(VLOOKUP($D417,$C$5:$AU$516,3,)=0,0,(VLOOKUP($D417,$C$5:$AU$516,19,)/VLOOKUP($D417,$C$5:$AU$516,3,))*$E417)</f>
        <v>0</v>
      </c>
      <c r="V417" s="98">
        <f>IF(VLOOKUP($D417,$C$5:$AU$516,3,)=0,0,(VLOOKUP($D417,$C$5:$AU$516,20,)/VLOOKUP($D417,$C$5:$AU$516,3,))*$E417)</f>
        <v>0</v>
      </c>
      <c r="W417" s="98">
        <f>IF(VLOOKUP($D417,$C$5:$AU$516,3,)=0,0,(VLOOKUP($D417,$C$5:$AU$516,21,)/VLOOKUP($D417,$C$5:$AU$516,3,))*$E417)</f>
        <v>0</v>
      </c>
      <c r="X417" s="98">
        <f>IF(VLOOKUP($D417,$C$5:$AU$516,3,)=0,0,(VLOOKUP($D417,$C$5:$AU$516,22,)/VLOOKUP($D417,$C$5:$AU$516,3,))*$E417)</f>
        <v>0</v>
      </c>
      <c r="Y417" s="98">
        <f>IF(VLOOKUP($D417,$C$5:$AU$516,3,)=0,0,(VLOOKUP($D417,$C$5:$AU$516,23,)/VLOOKUP($D417,$C$5:$AU$516,3,))*$E417)</f>
        <v>0</v>
      </c>
      <c r="Z417" s="98">
        <f>IF(VLOOKUP($D417,$C$5:$AU$516,3,)=0,0,(VLOOKUP($D417,$C$5:$AU$516,24,)/VLOOKUP($D417,$C$5:$AU$516,3,))*$E417)</f>
        <v>0</v>
      </c>
      <c r="AA417" s="98">
        <f>IF(VLOOKUP($D417,$C$5:$AU$516,3,)=0,0,(VLOOKUP($D417,$C$5:$AU$516,25,)/VLOOKUP($D417,$C$5:$AU$516,3,))*$E417)</f>
        <v>0</v>
      </c>
      <c r="AB417" s="98">
        <f>IF(VLOOKUP($D417,$C$5:$AU$516,3,)=0,0,(VLOOKUP($D417,$C$5:$AU$516,26,)/VLOOKUP($D417,$C$5:$AU$516,3,))*$E417)</f>
        <v>0</v>
      </c>
      <c r="AC417" s="98">
        <f>IF(VLOOKUP($D417,$C$5:$AU$516,3,)=0,0,(VLOOKUP($D417,$C$5:$AU$516,27,)/VLOOKUP($D417,$C$5:$AU$516,3,))*$E417)</f>
        <v>0</v>
      </c>
      <c r="AD417" s="98">
        <f>IF(VLOOKUP($D417,$C$5:$AU$516,3,)=0,0,(VLOOKUP($D417,$C$5:$AU$516,28,)/VLOOKUP($D417,$C$5:$AU$516,3,))*$E417)</f>
        <v>0</v>
      </c>
      <c r="AE417" s="98">
        <f>IF(VLOOKUP($D417,$C$5:$AU$516,3,)=0,0,(VLOOKUP($D417,$C$5:$AU$516,29,)/VLOOKUP($D417,$C$5:$AU$516,3,))*$E417)</f>
        <v>0</v>
      </c>
      <c r="AF417" s="98">
        <f>IF(VLOOKUP($D417,$C$5:$AU$516,3,)=0,0,(VLOOKUP($D417,$C$5:$AU$516,30,)/VLOOKUP($D417,$C$5:$AU$516,3,))*$E417)</f>
        <v>0</v>
      </c>
      <c r="AG417" s="97">
        <f>SUM(F417:AF417)</f>
        <v>0.99999999999999978</v>
      </c>
      <c r="AH417" s="12" t="str">
        <f t="shared" ref="AH417:AH422" si="201">IF(ABS(E417-AG417)&lt;0.01,"ok","err")</f>
        <v>ok</v>
      </c>
    </row>
    <row r="418" spans="1:37" x14ac:dyDescent="0.2">
      <c r="A418" s="3" t="s">
        <v>338</v>
      </c>
      <c r="C418" s="3" t="s">
        <v>217</v>
      </c>
      <c r="D418" s="3" t="s">
        <v>566</v>
      </c>
      <c r="E418" s="69">
        <v>1</v>
      </c>
      <c r="F418" s="23">
        <f>IF(VLOOKUP($D418,$C$5:$AU$516,3,)=0,0,(VLOOKUP($D418,$C$5:$AU$516,4,)/VLOOKUP($D418,$C$5:$AU$516,3,))*$E418)</f>
        <v>0.81350932084431493</v>
      </c>
      <c r="G418" s="23">
        <f>IF(VLOOKUP($D418,$C$5:$AU$516,3,)=0,0,(VLOOKUP($D418,$C$5:$AU$516,5,)/VLOOKUP($D418,$C$5:$AU$516,3,))*$E418)</f>
        <v>4.1143023858265695E-2</v>
      </c>
      <c r="H418" s="97">
        <f>IF(VLOOKUP($D418,$C$5:$AU$516,3,)=0,0,(VLOOKUP($D418,$C$5:$AU$516,6,)/VLOOKUP($D418,$C$5:$AU$516,3,))*$E418)</f>
        <v>9.0215688520163997E-2</v>
      </c>
      <c r="I418" s="97">
        <f>IF(VLOOKUP($D418,$C$5:$AU$516,3,)=0,0,(VLOOKUP($D418,$C$5:$AU$516,7,)/VLOOKUP($D418,$C$5:$AU$516,3,))*$E418)</f>
        <v>2.4676165455675064E-2</v>
      </c>
      <c r="J418" s="97">
        <f>IF(VLOOKUP($D418,$C$5:$AU$516,3,)=0,0,(VLOOKUP($D418,$C$5:$AU$516,8,)/VLOOKUP($D418,$C$5:$AU$516,3,))*$E418)</f>
        <v>1.7699823999204414E-2</v>
      </c>
      <c r="K418" s="97">
        <f>IF(VLOOKUP($D418,$C$5:$AU$516,3,)=0,0,(VLOOKUP($D418,$C$5:$AU$516,9,)/VLOOKUP($D418,$C$5:$AU$516,3,))*$E418)</f>
        <v>1.2755977322376086E-2</v>
      </c>
      <c r="L418" s="23">
        <f>IF(VLOOKUP($D418,$C$5:$AU$516,3,)=0,0,(VLOOKUP($D418,$C$5:$AU$516,10,)/VLOOKUP($D418,$C$5:$AU$516,3,))*$E418)</f>
        <v>0</v>
      </c>
      <c r="M418" s="97">
        <f>IF(VLOOKUP($D418,$C$5:$AU$516,3,)=0,0,(VLOOKUP($D418,$C$5:$AU$516,11,)/VLOOKUP($D418,$C$5:$AU$516,3,))*$E418)</f>
        <v>0</v>
      </c>
      <c r="N418" s="97">
        <f>IF(VLOOKUP($D418,$C$5:$AU$516,3,)=0,0,(VLOOKUP($D418,$C$5:$AU$516,12,)/VLOOKUP($D418,$C$5:$AU$516,3,))*$E418)</f>
        <v>0</v>
      </c>
      <c r="O418" s="97">
        <f>IF(VLOOKUP($D418,$C$5:$AU$516,3,)=0,0,(VLOOKUP($D418,$C$5:$AU$516,13,)/VLOOKUP($D418,$C$5:$AU$516,3,))*$E418)</f>
        <v>0</v>
      </c>
      <c r="P418" s="97">
        <f>IF(VLOOKUP($D418,$C$5:$AU$516,3,)=0,0,(VLOOKUP($D418,$C$5:$AU$516,14,)/VLOOKUP($D418,$C$5:$AU$516,3,))*$E418)</f>
        <v>0</v>
      </c>
      <c r="Q418" s="97">
        <f>IF(VLOOKUP($D418,$C$5:$AU$516,3,)=0,0,(VLOOKUP($D418,$C$5:$AU$516,15,)/VLOOKUP($D418,$C$5:$AU$516,3,))*$E418)</f>
        <v>0</v>
      </c>
      <c r="R418" s="97">
        <f>IF(VLOOKUP($D418,$C$5:$AU$516,3,)=0,0,(VLOOKUP($D418,$C$5:$AU$516,16,)/VLOOKUP($D418,$C$5:$AU$516,3,))*$E418)</f>
        <v>0</v>
      </c>
      <c r="S418" s="98">
        <f>IF(VLOOKUP($D418,$C$5:$AU$516,3,)=0,0,(VLOOKUP($D418,$C$5:$AU$516,17,)/VLOOKUP($D418,$C$5:$AU$516,3,))*$E418)</f>
        <v>0</v>
      </c>
      <c r="T418" s="98">
        <f>IF(VLOOKUP($D418,$C$5:$AU$516,3,)=0,0,(VLOOKUP($D418,$C$5:$AU$516,18,)/VLOOKUP($D418,$C$5:$AU$516,3,))*$E418)</f>
        <v>0</v>
      </c>
      <c r="U418" s="98">
        <f>IF(VLOOKUP($D418,$C$5:$AU$516,3,)=0,0,(VLOOKUP($D418,$C$5:$AU$516,19,)/VLOOKUP($D418,$C$5:$AU$516,3,))*$E418)</f>
        <v>0</v>
      </c>
      <c r="V418" s="98">
        <f>IF(VLOOKUP($D418,$C$5:$AU$516,3,)=0,0,(VLOOKUP($D418,$C$5:$AU$516,20,)/VLOOKUP($D418,$C$5:$AU$516,3,))*$E418)</f>
        <v>0</v>
      </c>
      <c r="W418" s="98">
        <f>IF(VLOOKUP($D418,$C$5:$AU$516,3,)=0,0,(VLOOKUP($D418,$C$5:$AU$516,21,)/VLOOKUP($D418,$C$5:$AU$516,3,))*$E418)</f>
        <v>0</v>
      </c>
      <c r="X418" s="98">
        <f>IF(VLOOKUP($D418,$C$5:$AU$516,3,)=0,0,(VLOOKUP($D418,$C$5:$AU$516,22,)/VLOOKUP($D418,$C$5:$AU$516,3,))*$E418)</f>
        <v>0</v>
      </c>
      <c r="Y418" s="98">
        <f>IF(VLOOKUP($D418,$C$5:$AU$516,3,)=0,0,(VLOOKUP($D418,$C$5:$AU$516,23,)/VLOOKUP($D418,$C$5:$AU$516,3,))*$E418)</f>
        <v>0</v>
      </c>
      <c r="Z418" s="98">
        <f>IF(VLOOKUP($D418,$C$5:$AU$516,3,)=0,0,(VLOOKUP($D418,$C$5:$AU$516,24,)/VLOOKUP($D418,$C$5:$AU$516,3,))*$E418)</f>
        <v>0</v>
      </c>
      <c r="AA418" s="98">
        <f>IF(VLOOKUP($D418,$C$5:$AU$516,3,)=0,0,(VLOOKUP($D418,$C$5:$AU$516,25,)/VLOOKUP($D418,$C$5:$AU$516,3,))*$E418)</f>
        <v>0</v>
      </c>
      <c r="AB418" s="98">
        <f>IF(VLOOKUP($D418,$C$5:$AU$516,3,)=0,0,(VLOOKUP($D418,$C$5:$AU$516,26,)/VLOOKUP($D418,$C$5:$AU$516,3,))*$E418)</f>
        <v>0</v>
      </c>
      <c r="AC418" s="98">
        <f>IF(VLOOKUP($D418,$C$5:$AU$516,3,)=0,0,(VLOOKUP($D418,$C$5:$AU$516,27,)/VLOOKUP($D418,$C$5:$AU$516,3,))*$E418)</f>
        <v>0</v>
      </c>
      <c r="AD418" s="98">
        <f>IF(VLOOKUP($D418,$C$5:$AU$516,3,)=0,0,(VLOOKUP($D418,$C$5:$AU$516,28,)/VLOOKUP($D418,$C$5:$AU$516,3,))*$E418)</f>
        <v>0</v>
      </c>
      <c r="AE418" s="98">
        <f>IF(VLOOKUP($D418,$C$5:$AU$516,3,)=0,0,(VLOOKUP($D418,$C$5:$AU$516,29,)/VLOOKUP($D418,$C$5:$AU$516,3,))*$E418)</f>
        <v>0</v>
      </c>
      <c r="AF418" s="98">
        <f>IF(VLOOKUP($D418,$C$5:$AU$516,3,)=0,0,(VLOOKUP($D418,$C$5:$AU$516,30,)/VLOOKUP($D418,$C$5:$AU$516,3,))*$E418)</f>
        <v>0</v>
      </c>
      <c r="AG418" s="97">
        <f>SUM(F418:AF418)</f>
        <v>1.0000000000000002</v>
      </c>
      <c r="AH418" s="12" t="str">
        <f t="shared" si="201"/>
        <v>ok</v>
      </c>
    </row>
    <row r="419" spans="1:37" x14ac:dyDescent="0.2">
      <c r="A419" s="3" t="s">
        <v>339</v>
      </c>
      <c r="C419" s="3" t="s">
        <v>219</v>
      </c>
      <c r="D419" s="3" t="s">
        <v>566</v>
      </c>
      <c r="E419" s="69">
        <v>1</v>
      </c>
      <c r="F419" s="23">
        <f>IF(VLOOKUP($D419,$C$5:$AU$516,3,)=0,0,(VLOOKUP($D419,$C$5:$AU$516,4,)/VLOOKUP($D419,$C$5:$AU$516,3,))*$E419)</f>
        <v>0.81350932084431493</v>
      </c>
      <c r="G419" s="23">
        <f>IF(VLOOKUP($D419,$C$5:$AU$516,3,)=0,0,(VLOOKUP($D419,$C$5:$AU$516,5,)/VLOOKUP($D419,$C$5:$AU$516,3,))*$E419)</f>
        <v>4.1143023858265695E-2</v>
      </c>
      <c r="H419" s="97">
        <f>IF(VLOOKUP($D419,$C$5:$AU$516,3,)=0,0,(VLOOKUP($D419,$C$5:$AU$516,6,)/VLOOKUP($D419,$C$5:$AU$516,3,))*$E419)</f>
        <v>9.0215688520163997E-2</v>
      </c>
      <c r="I419" s="97">
        <f>IF(VLOOKUP($D419,$C$5:$AU$516,3,)=0,0,(VLOOKUP($D419,$C$5:$AU$516,7,)/VLOOKUP($D419,$C$5:$AU$516,3,))*$E419)</f>
        <v>2.4676165455675064E-2</v>
      </c>
      <c r="J419" s="97">
        <f>IF(VLOOKUP($D419,$C$5:$AU$516,3,)=0,0,(VLOOKUP($D419,$C$5:$AU$516,8,)/VLOOKUP($D419,$C$5:$AU$516,3,))*$E419)</f>
        <v>1.7699823999204414E-2</v>
      </c>
      <c r="K419" s="97">
        <f>IF(VLOOKUP($D419,$C$5:$AU$516,3,)=0,0,(VLOOKUP($D419,$C$5:$AU$516,9,)/VLOOKUP($D419,$C$5:$AU$516,3,))*$E419)</f>
        <v>1.2755977322376086E-2</v>
      </c>
      <c r="L419" s="23">
        <f>IF(VLOOKUP($D419,$C$5:$AU$516,3,)=0,0,(VLOOKUP($D419,$C$5:$AU$516,10,)/VLOOKUP($D419,$C$5:$AU$516,3,))*$E419)</f>
        <v>0</v>
      </c>
      <c r="M419" s="97">
        <f>IF(VLOOKUP($D419,$C$5:$AU$516,3,)=0,0,(VLOOKUP($D419,$C$5:$AU$516,11,)/VLOOKUP($D419,$C$5:$AU$516,3,))*$E419)</f>
        <v>0</v>
      </c>
      <c r="N419" s="97">
        <f>IF(VLOOKUP($D419,$C$5:$AU$516,3,)=0,0,(VLOOKUP($D419,$C$5:$AU$516,12,)/VLOOKUP($D419,$C$5:$AU$516,3,))*$E419)</f>
        <v>0</v>
      </c>
      <c r="O419" s="97">
        <f>IF(VLOOKUP($D419,$C$5:$AU$516,3,)=0,0,(VLOOKUP($D419,$C$5:$AU$516,13,)/VLOOKUP($D419,$C$5:$AU$516,3,))*$E419)</f>
        <v>0</v>
      </c>
      <c r="P419" s="97">
        <f>IF(VLOOKUP($D419,$C$5:$AU$516,3,)=0,0,(VLOOKUP($D419,$C$5:$AU$516,14,)/VLOOKUP($D419,$C$5:$AU$516,3,))*$E419)</f>
        <v>0</v>
      </c>
      <c r="Q419" s="97">
        <f>IF(VLOOKUP($D419,$C$5:$AU$516,3,)=0,0,(VLOOKUP($D419,$C$5:$AU$516,15,)/VLOOKUP($D419,$C$5:$AU$516,3,))*$E419)</f>
        <v>0</v>
      </c>
      <c r="R419" s="97">
        <f>IF(VLOOKUP($D419,$C$5:$AU$516,3,)=0,0,(VLOOKUP($D419,$C$5:$AU$516,16,)/VLOOKUP($D419,$C$5:$AU$516,3,))*$E419)</f>
        <v>0</v>
      </c>
      <c r="S419" s="98">
        <f>IF(VLOOKUP($D419,$C$5:$AU$516,3,)=0,0,(VLOOKUP($D419,$C$5:$AU$516,17,)/VLOOKUP($D419,$C$5:$AU$516,3,))*$E419)</f>
        <v>0</v>
      </c>
      <c r="T419" s="98">
        <f>IF(VLOOKUP($D419,$C$5:$AU$516,3,)=0,0,(VLOOKUP($D419,$C$5:$AU$516,18,)/VLOOKUP($D419,$C$5:$AU$516,3,))*$E419)</f>
        <v>0</v>
      </c>
      <c r="U419" s="98">
        <f>IF(VLOOKUP($D419,$C$5:$AU$516,3,)=0,0,(VLOOKUP($D419,$C$5:$AU$516,19,)/VLOOKUP($D419,$C$5:$AU$516,3,))*$E419)</f>
        <v>0</v>
      </c>
      <c r="V419" s="98">
        <f>IF(VLOOKUP($D419,$C$5:$AU$516,3,)=0,0,(VLOOKUP($D419,$C$5:$AU$516,20,)/VLOOKUP($D419,$C$5:$AU$516,3,))*$E419)</f>
        <v>0</v>
      </c>
      <c r="W419" s="98">
        <f>IF(VLOOKUP($D419,$C$5:$AU$516,3,)=0,0,(VLOOKUP($D419,$C$5:$AU$516,21,)/VLOOKUP($D419,$C$5:$AU$516,3,))*$E419)</f>
        <v>0</v>
      </c>
      <c r="X419" s="98">
        <f>IF(VLOOKUP($D419,$C$5:$AU$516,3,)=0,0,(VLOOKUP($D419,$C$5:$AU$516,22,)/VLOOKUP($D419,$C$5:$AU$516,3,))*$E419)</f>
        <v>0</v>
      </c>
      <c r="Y419" s="98">
        <f>IF(VLOOKUP($D419,$C$5:$AU$516,3,)=0,0,(VLOOKUP($D419,$C$5:$AU$516,23,)/VLOOKUP($D419,$C$5:$AU$516,3,))*$E419)</f>
        <v>0</v>
      </c>
      <c r="Z419" s="98">
        <f>IF(VLOOKUP($D419,$C$5:$AU$516,3,)=0,0,(VLOOKUP($D419,$C$5:$AU$516,24,)/VLOOKUP($D419,$C$5:$AU$516,3,))*$E419)</f>
        <v>0</v>
      </c>
      <c r="AA419" s="98">
        <f>IF(VLOOKUP($D419,$C$5:$AU$516,3,)=0,0,(VLOOKUP($D419,$C$5:$AU$516,25,)/VLOOKUP($D419,$C$5:$AU$516,3,))*$E419)</f>
        <v>0</v>
      </c>
      <c r="AB419" s="98">
        <f>IF(VLOOKUP($D419,$C$5:$AU$516,3,)=0,0,(VLOOKUP($D419,$C$5:$AU$516,26,)/VLOOKUP($D419,$C$5:$AU$516,3,))*$E419)</f>
        <v>0</v>
      </c>
      <c r="AC419" s="98">
        <f>IF(VLOOKUP($D419,$C$5:$AU$516,3,)=0,0,(VLOOKUP($D419,$C$5:$AU$516,27,)/VLOOKUP($D419,$C$5:$AU$516,3,))*$E419)</f>
        <v>0</v>
      </c>
      <c r="AD419" s="98">
        <f>IF(VLOOKUP($D419,$C$5:$AU$516,3,)=0,0,(VLOOKUP($D419,$C$5:$AU$516,28,)/VLOOKUP($D419,$C$5:$AU$516,3,))*$E419)</f>
        <v>0</v>
      </c>
      <c r="AE419" s="98">
        <f>IF(VLOOKUP($D419,$C$5:$AU$516,3,)=0,0,(VLOOKUP($D419,$C$5:$AU$516,29,)/VLOOKUP($D419,$C$5:$AU$516,3,))*$E419)</f>
        <v>0</v>
      </c>
      <c r="AF419" s="98">
        <f>IF(VLOOKUP($D419,$C$5:$AU$516,3,)=0,0,(VLOOKUP($D419,$C$5:$AU$516,30,)/VLOOKUP($D419,$C$5:$AU$516,3,))*$E419)</f>
        <v>0</v>
      </c>
      <c r="AG419" s="97">
        <f>SUM(F419:AF419)</f>
        <v>1.0000000000000002</v>
      </c>
      <c r="AH419" s="12" t="str">
        <f t="shared" si="201"/>
        <v>ok</v>
      </c>
    </row>
    <row r="420" spans="1:37" x14ac:dyDescent="0.2">
      <c r="A420" s="3" t="s">
        <v>699</v>
      </c>
      <c r="C420" s="3" t="s">
        <v>700</v>
      </c>
      <c r="E420" s="69">
        <f>Services!G33</f>
        <v>0.99999999999999989</v>
      </c>
      <c r="F420" s="23">
        <f>Services!G6</f>
        <v>0.88952938056279551</v>
      </c>
      <c r="G420" s="23">
        <f>Services!G7</f>
        <v>6.7013775131923956E-2</v>
      </c>
      <c r="H420" s="23">
        <f>Services!G8</f>
        <v>2.766452166320504E-2</v>
      </c>
      <c r="I420" s="23">
        <f>Services!G9</f>
        <v>1.5792322642075467E-2</v>
      </c>
      <c r="J420" s="23">
        <f>Services!G10</f>
        <v>0</v>
      </c>
      <c r="K420" s="23">
        <f>Services!G11</f>
        <v>0</v>
      </c>
      <c r="L420" s="23">
        <f>Services!G12</f>
        <v>0</v>
      </c>
      <c r="M420" s="23">
        <f>Services!G13</f>
        <v>0</v>
      </c>
      <c r="N420" s="23">
        <f>Services!G22</f>
        <v>0</v>
      </c>
      <c r="O420" s="23">
        <f>Services!G24</f>
        <v>0</v>
      </c>
      <c r="P420" s="23">
        <f>Services!G26</f>
        <v>0</v>
      </c>
      <c r="Q420" s="23">
        <f>Services!G28</f>
        <v>0</v>
      </c>
      <c r="R420" s="23">
        <f>Services!G30</f>
        <v>0</v>
      </c>
      <c r="S420" s="98">
        <v>0</v>
      </c>
      <c r="T420" s="98">
        <v>0</v>
      </c>
      <c r="U420" s="98">
        <v>0</v>
      </c>
      <c r="V420" s="98">
        <f>Services!W6</f>
        <v>0</v>
      </c>
      <c r="W420" s="98">
        <f>Services!X6</f>
        <v>0</v>
      </c>
      <c r="X420" s="98">
        <f>Services!Y6</f>
        <v>0</v>
      </c>
      <c r="Y420" s="98">
        <f>Services!Z6</f>
        <v>0</v>
      </c>
      <c r="Z420" s="98">
        <f>Services!AA6</f>
        <v>0</v>
      </c>
      <c r="AA420" s="98">
        <f>Services!AB6</f>
        <v>0</v>
      </c>
      <c r="AB420" s="98">
        <f>Services!AC6</f>
        <v>0</v>
      </c>
      <c r="AC420" s="98">
        <f>Services!AD6</f>
        <v>0</v>
      </c>
      <c r="AD420" s="98">
        <f>Services!AE6</f>
        <v>0</v>
      </c>
      <c r="AE420" s="98">
        <f>Services!AF6</f>
        <v>0</v>
      </c>
      <c r="AF420" s="98">
        <f>Services!AG6</f>
        <v>0</v>
      </c>
      <c r="AG420" s="97">
        <f>SUM(F420:AF420)</f>
        <v>0.99999999999999989</v>
      </c>
      <c r="AH420" s="12" t="str">
        <f t="shared" si="201"/>
        <v>ok</v>
      </c>
    </row>
    <row r="421" spans="1:37" x14ac:dyDescent="0.2">
      <c r="A421" s="3" t="s">
        <v>718</v>
      </c>
      <c r="C421" s="3" t="s">
        <v>719</v>
      </c>
      <c r="E421" s="69">
        <v>1</v>
      </c>
      <c r="F421" s="23">
        <f t="shared" ref="F421:AF421" si="202">F420</f>
        <v>0.88952938056279551</v>
      </c>
      <c r="G421" s="23">
        <f t="shared" si="202"/>
        <v>6.7013775131923956E-2</v>
      </c>
      <c r="H421" s="23">
        <f t="shared" si="202"/>
        <v>2.766452166320504E-2</v>
      </c>
      <c r="I421" s="23">
        <f t="shared" si="202"/>
        <v>1.5792322642075467E-2</v>
      </c>
      <c r="J421" s="23">
        <f t="shared" si="202"/>
        <v>0</v>
      </c>
      <c r="K421" s="23">
        <f t="shared" si="202"/>
        <v>0</v>
      </c>
      <c r="L421" s="23">
        <f t="shared" si="202"/>
        <v>0</v>
      </c>
      <c r="M421" s="23">
        <f t="shared" si="202"/>
        <v>0</v>
      </c>
      <c r="N421" s="23">
        <f t="shared" si="202"/>
        <v>0</v>
      </c>
      <c r="O421" s="23">
        <f t="shared" si="202"/>
        <v>0</v>
      </c>
      <c r="P421" s="23">
        <f t="shared" si="202"/>
        <v>0</v>
      </c>
      <c r="Q421" s="23">
        <f t="shared" si="202"/>
        <v>0</v>
      </c>
      <c r="R421" s="23">
        <f t="shared" si="202"/>
        <v>0</v>
      </c>
      <c r="S421" s="98">
        <f t="shared" si="202"/>
        <v>0</v>
      </c>
      <c r="T421" s="98">
        <f t="shared" si="202"/>
        <v>0</v>
      </c>
      <c r="U421" s="98">
        <f t="shared" si="202"/>
        <v>0</v>
      </c>
      <c r="V421" s="98">
        <f t="shared" si="202"/>
        <v>0</v>
      </c>
      <c r="W421" s="98">
        <f t="shared" si="202"/>
        <v>0</v>
      </c>
      <c r="X421" s="98">
        <f t="shared" si="202"/>
        <v>0</v>
      </c>
      <c r="Y421" s="98">
        <f t="shared" si="202"/>
        <v>0</v>
      </c>
      <c r="Z421" s="98">
        <f t="shared" si="202"/>
        <v>0</v>
      </c>
      <c r="AA421" s="98">
        <f t="shared" si="202"/>
        <v>0</v>
      </c>
      <c r="AB421" s="98">
        <f t="shared" si="202"/>
        <v>0</v>
      </c>
      <c r="AC421" s="98">
        <f t="shared" si="202"/>
        <v>0</v>
      </c>
      <c r="AD421" s="98">
        <f t="shared" si="202"/>
        <v>0</v>
      </c>
      <c r="AE421" s="98">
        <f t="shared" si="202"/>
        <v>0</v>
      </c>
      <c r="AF421" s="98">
        <f t="shared" si="202"/>
        <v>0</v>
      </c>
      <c r="AG421" s="23">
        <f>SUM(F421:R421)</f>
        <v>0.99999999999999989</v>
      </c>
      <c r="AH421" s="12" t="str">
        <f t="shared" si="201"/>
        <v>ok</v>
      </c>
      <c r="AK421" s="24"/>
    </row>
    <row r="422" spans="1:37" x14ac:dyDescent="0.2">
      <c r="A422" s="3" t="s">
        <v>919</v>
      </c>
      <c r="C422" s="3" t="s">
        <v>920</v>
      </c>
      <c r="E422" s="24">
        <f>F422+G422</f>
        <v>20655531.061415695</v>
      </c>
      <c r="F422" s="24">
        <f>F313</f>
        <v>19280890.3173372</v>
      </c>
      <c r="G422" s="24">
        <f>G313</f>
        <v>1374640.7440784958</v>
      </c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24">
        <f>SUM(F422:R422)</f>
        <v>20655531.061415695</v>
      </c>
      <c r="AH422" s="12" t="str">
        <f t="shared" si="201"/>
        <v>ok</v>
      </c>
      <c r="AK422" s="24"/>
    </row>
    <row r="423" spans="1:37" x14ac:dyDescent="0.2">
      <c r="A423" s="3" t="s">
        <v>1115</v>
      </c>
      <c r="C423" s="3" t="s">
        <v>929</v>
      </c>
      <c r="E423" s="24">
        <v>2344584.2400000007</v>
      </c>
      <c r="F423" s="24">
        <v>1753824.9000000004</v>
      </c>
      <c r="G423" s="24">
        <v>104385.43000000002</v>
      </c>
      <c r="H423" s="24">
        <v>276653.21000000002</v>
      </c>
      <c r="I423" s="24">
        <v>127876.39</v>
      </c>
      <c r="J423" s="24">
        <v>81844.31</v>
      </c>
      <c r="K423" s="23">
        <v>0</v>
      </c>
      <c r="L423" s="23"/>
      <c r="M423" s="23"/>
      <c r="N423" s="23"/>
      <c r="O423" s="23"/>
      <c r="P423" s="23"/>
      <c r="Q423" s="23"/>
      <c r="R423" s="23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24">
        <f t="shared" ref="AG423:AG424" si="203">SUM(F423:R423)</f>
        <v>2344584.2400000007</v>
      </c>
      <c r="AH423" s="12" t="str">
        <f t="shared" ref="AH423:AH424" si="204">IF(ABS(E423-AG423)&lt;0.01,"ok","err")</f>
        <v>ok</v>
      </c>
      <c r="AK423" s="24"/>
    </row>
    <row r="424" spans="1:37" x14ac:dyDescent="0.2">
      <c r="A424" s="3" t="s">
        <v>1116</v>
      </c>
      <c r="C424" s="3" t="s">
        <v>930</v>
      </c>
      <c r="E424" s="24">
        <v>2508036.1800000006</v>
      </c>
      <c r="F424" s="24">
        <v>1956145.4700000002</v>
      </c>
      <c r="G424" s="24">
        <v>138215.59</v>
      </c>
      <c r="H424" s="24">
        <v>255330.86000000004</v>
      </c>
      <c r="I424" s="24">
        <v>102233.95</v>
      </c>
      <c r="J424" s="24">
        <v>56110.310000000005</v>
      </c>
      <c r="K424" s="23">
        <v>0</v>
      </c>
      <c r="L424" s="23"/>
      <c r="M424" s="23"/>
      <c r="N424" s="23"/>
      <c r="O424" s="23"/>
      <c r="P424" s="23"/>
      <c r="Q424" s="23"/>
      <c r="R424" s="23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24">
        <f t="shared" si="203"/>
        <v>2508036.1800000006</v>
      </c>
      <c r="AH424" s="12" t="str">
        <f t="shared" si="204"/>
        <v>ok</v>
      </c>
      <c r="AK424" s="24"/>
    </row>
    <row r="425" spans="1:37" x14ac:dyDescent="0.2">
      <c r="F425" s="99"/>
    </row>
    <row r="426" spans="1:37" x14ac:dyDescent="0.2">
      <c r="A426" s="2" t="s">
        <v>340</v>
      </c>
    </row>
    <row r="427" spans="1:37" x14ac:dyDescent="0.2">
      <c r="A427" s="3" t="s">
        <v>341</v>
      </c>
      <c r="C427" s="3" t="s">
        <v>222</v>
      </c>
      <c r="D427" s="3" t="s">
        <v>562</v>
      </c>
      <c r="E427" s="69">
        <v>1</v>
      </c>
      <c r="F427" s="23">
        <f>IF(VLOOKUP($D427,$C$5:$AU$516,3,)=0,0,(VLOOKUP($D427,$C$5:$AU$516,4,)/VLOOKUP($D427,$C$5:$AU$516,3,))*$E427)</f>
        <v>0.91501802109915553</v>
      </c>
      <c r="G427" s="23">
        <f>IF(VLOOKUP($D427,$C$5:$AU$516,3,)=0,0,(VLOOKUP($D427,$C$5:$AU$516,5,)/VLOOKUP($D427,$C$5:$AU$516,3,))*$E427)</f>
        <v>6.8933992791560331E-2</v>
      </c>
      <c r="H427" s="97">
        <f>IF(VLOOKUP($D427,$C$5:$AU$516,3,)=0,0,(VLOOKUP($D427,$C$5:$AU$516,6,)/VLOOKUP($D427,$C$5:$AU$516,3,))*$E427)</f>
        <v>1.2647654626292389E-2</v>
      </c>
      <c r="I427" s="97">
        <f>IF(VLOOKUP($D427,$C$5:$AU$516,3,)=0,0,(VLOOKUP($D427,$C$5:$AU$516,7,)/VLOOKUP($D427,$C$5:$AU$516,3,))*$E427)</f>
        <v>6.7085843571597695E-4</v>
      </c>
      <c r="J427" s="97">
        <f>IF(VLOOKUP($D427,$C$5:$AU$516,3,)=0,0,(VLOOKUP($D427,$C$5:$AU$516,8,)/VLOOKUP($D427,$C$5:$AU$516,3,))*$E427)</f>
        <v>7.8924521848938457E-5</v>
      </c>
      <c r="K427" s="97">
        <f>IF(VLOOKUP($D427,$C$5:$AU$516,3,)=0,0,(VLOOKUP($D427,$C$5:$AU$516,9,)/VLOOKUP($D427,$C$5:$AU$516,3,))*$E427)</f>
        <v>2.65054852542685E-3</v>
      </c>
      <c r="L427" s="23">
        <f>IF(VLOOKUP($D427,$C$5:$AU$516,3,)=0,0,(VLOOKUP($D427,$C$5:$AU$516,10,)/VLOOKUP($D427,$C$5:$AU$516,3,))*$E427)</f>
        <v>0</v>
      </c>
      <c r="M427" s="97">
        <f>IF(VLOOKUP($D427,$C$5:$AU$516,3,)=0,0,(VLOOKUP($D427,$C$5:$AU$516,11,)/VLOOKUP($D427,$C$5:$AU$516,3,))*$E427)</f>
        <v>0</v>
      </c>
      <c r="N427" s="97">
        <f>IF(VLOOKUP($D427,$C$5:$AU$516,3,)=0,0,(VLOOKUP($D427,$C$5:$AU$516,12,)/VLOOKUP($D427,$C$5:$AU$516,3,))*$E427)</f>
        <v>0</v>
      </c>
      <c r="O427" s="97">
        <f>IF(VLOOKUP($D427,$C$5:$AU$516,3,)=0,0,(VLOOKUP($D427,$C$5:$AU$516,13,)/VLOOKUP($D427,$C$5:$AU$516,3,))*$E427)</f>
        <v>0</v>
      </c>
      <c r="P427" s="97">
        <f>IF(VLOOKUP($D427,$C$5:$AU$516,3,)=0,0,(VLOOKUP($D427,$C$5:$AU$516,14,)/VLOOKUP($D427,$C$5:$AU$516,3,))*$E427)</f>
        <v>0</v>
      </c>
      <c r="Q427" s="97">
        <f>IF(VLOOKUP($D427,$C$5:$AU$516,3,)=0,0,(VLOOKUP($D427,$C$5:$AU$516,15,)/VLOOKUP($D427,$C$5:$AU$516,3,))*$E427)</f>
        <v>0</v>
      </c>
      <c r="R427" s="97">
        <f>IF(VLOOKUP($D427,$C$5:$AU$516,3,)=0,0,(VLOOKUP($D427,$C$5:$AU$516,16,)/VLOOKUP($D427,$C$5:$AU$516,3,))*$E427)</f>
        <v>0</v>
      </c>
      <c r="S427" s="98">
        <f>IF(VLOOKUP($D427,$C$5:$AU$516,3,)=0,0,(VLOOKUP($D427,$C$5:$AU$516,17,)/VLOOKUP($D427,$C$5:$AU$516,3,))*$E427)</f>
        <v>0</v>
      </c>
      <c r="T427" s="98">
        <f>IF(VLOOKUP($D427,$C$5:$AU$516,3,)=0,0,(VLOOKUP($D427,$C$5:$AU$516,18,)/VLOOKUP($D427,$C$5:$AU$516,3,))*$E427)</f>
        <v>0</v>
      </c>
      <c r="U427" s="98">
        <f>IF(VLOOKUP($D427,$C$5:$AU$516,3,)=0,0,(VLOOKUP($D427,$C$5:$AU$516,19,)/VLOOKUP($D427,$C$5:$AU$516,3,))*$E427)</f>
        <v>0</v>
      </c>
      <c r="V427" s="98">
        <f>IF(VLOOKUP($D427,$C$5:$AU$516,3,)=0,0,(VLOOKUP($D427,$C$5:$AU$516,20,)/VLOOKUP($D427,$C$5:$AU$516,3,))*$E427)</f>
        <v>0</v>
      </c>
      <c r="W427" s="98">
        <f>IF(VLOOKUP($D427,$C$5:$AU$516,3,)=0,0,(VLOOKUP($D427,$C$5:$AU$516,21,)/VLOOKUP($D427,$C$5:$AU$516,3,))*$E427)</f>
        <v>0</v>
      </c>
      <c r="X427" s="98">
        <f>IF(VLOOKUP($D427,$C$5:$AU$516,3,)=0,0,(VLOOKUP($D427,$C$5:$AU$516,22,)/VLOOKUP($D427,$C$5:$AU$516,3,))*$E427)</f>
        <v>0</v>
      </c>
      <c r="Y427" s="98">
        <f>IF(VLOOKUP($D427,$C$5:$AU$516,3,)=0,0,(VLOOKUP($D427,$C$5:$AU$516,23,)/VLOOKUP($D427,$C$5:$AU$516,3,))*$E427)</f>
        <v>0</v>
      </c>
      <c r="Z427" s="98">
        <f>IF(VLOOKUP($D427,$C$5:$AU$516,3,)=0,0,(VLOOKUP($D427,$C$5:$AU$516,24,)/VLOOKUP($D427,$C$5:$AU$516,3,))*$E427)</f>
        <v>0</v>
      </c>
      <c r="AA427" s="98">
        <f>IF(VLOOKUP($D427,$C$5:$AU$516,3,)=0,0,(VLOOKUP($D427,$C$5:$AU$516,25,)/VLOOKUP($D427,$C$5:$AU$516,3,))*$E427)</f>
        <v>0</v>
      </c>
      <c r="AB427" s="98">
        <f>IF(VLOOKUP($D427,$C$5:$AU$516,3,)=0,0,(VLOOKUP($D427,$C$5:$AU$516,26,)/VLOOKUP($D427,$C$5:$AU$516,3,))*$E427)</f>
        <v>0</v>
      </c>
      <c r="AC427" s="98">
        <f>IF(VLOOKUP($D427,$C$5:$AU$516,3,)=0,0,(VLOOKUP($D427,$C$5:$AU$516,27,)/VLOOKUP($D427,$C$5:$AU$516,3,))*$E427)</f>
        <v>0</v>
      </c>
      <c r="AD427" s="98">
        <f>IF(VLOOKUP($D427,$C$5:$AU$516,3,)=0,0,(VLOOKUP($D427,$C$5:$AU$516,28,)/VLOOKUP($D427,$C$5:$AU$516,3,))*$E427)</f>
        <v>0</v>
      </c>
      <c r="AE427" s="98">
        <f>IF(VLOOKUP($D427,$C$5:$AU$516,3,)=0,0,(VLOOKUP($D427,$C$5:$AU$516,29,)/VLOOKUP($D427,$C$5:$AU$516,3,))*$E427)</f>
        <v>0</v>
      </c>
      <c r="AF427" s="98">
        <f>IF(VLOOKUP($D427,$C$5:$AU$516,3,)=0,0,(VLOOKUP($D427,$C$5:$AU$516,30,)/VLOOKUP($D427,$C$5:$AU$516,3,))*$E427)</f>
        <v>0</v>
      </c>
      <c r="AG427" s="17">
        <f t="shared" ref="AG427:AG432" si="205">SUM(F427:AF427)</f>
        <v>1</v>
      </c>
      <c r="AH427" s="12" t="str">
        <f t="shared" ref="AH427:AH432" si="206">IF(ABS(E427-AG427)&lt;0.01,"ok","err")</f>
        <v>ok</v>
      </c>
    </row>
    <row r="428" spans="1:37" x14ac:dyDescent="0.2">
      <c r="A428" s="3" t="s">
        <v>342</v>
      </c>
      <c r="C428" s="3" t="s">
        <v>226</v>
      </c>
      <c r="D428" s="3" t="s">
        <v>563</v>
      </c>
      <c r="E428" s="69">
        <v>1</v>
      </c>
      <c r="F428" s="23">
        <f>IF(VLOOKUP($D428,$C$5:$AU$516,3,)=0,0,(VLOOKUP($D428,$C$5:$AU$516,4,)/VLOOKUP($D428,$C$5:$AU$516,3,))*$E428)</f>
        <v>0.91501802109915553</v>
      </c>
      <c r="G428" s="23">
        <f>IF(VLOOKUP($D428,$C$5:$AU$516,3,)=0,0,(VLOOKUP($D428,$C$5:$AU$516,5,)/VLOOKUP($D428,$C$5:$AU$516,3,))*$E428)</f>
        <v>6.8933992791560331E-2</v>
      </c>
      <c r="H428" s="97">
        <f>IF(VLOOKUP($D428,$C$5:$AU$516,3,)=0,0,(VLOOKUP($D428,$C$5:$AU$516,6,)/VLOOKUP($D428,$C$5:$AU$516,3,))*$E428)</f>
        <v>1.2647654626292389E-2</v>
      </c>
      <c r="I428" s="97">
        <f>IF(VLOOKUP($D428,$C$5:$AU$516,3,)=0,0,(VLOOKUP($D428,$C$5:$AU$516,7,)/VLOOKUP($D428,$C$5:$AU$516,3,))*$E428)</f>
        <v>6.7085843571597695E-4</v>
      </c>
      <c r="J428" s="97">
        <f>IF(VLOOKUP($D428,$C$5:$AU$516,3,)=0,0,(VLOOKUP($D428,$C$5:$AU$516,8,)/VLOOKUP($D428,$C$5:$AU$516,3,))*$E428)</f>
        <v>7.8924521848938457E-5</v>
      </c>
      <c r="K428" s="97">
        <f>IF(VLOOKUP($D428,$C$5:$AU$516,3,)=0,0,(VLOOKUP($D428,$C$5:$AU$516,9,)/VLOOKUP($D428,$C$5:$AU$516,3,))*$E428)</f>
        <v>2.65054852542685E-3</v>
      </c>
      <c r="L428" s="23">
        <f>IF(VLOOKUP($D428,$C$5:$AU$516,3,)=0,0,(VLOOKUP($D428,$C$5:$AU$516,10,)/VLOOKUP($D428,$C$5:$AU$516,3,))*$E428)</f>
        <v>0</v>
      </c>
      <c r="M428" s="97">
        <f>IF(VLOOKUP($D428,$C$5:$AU$516,3,)=0,0,(VLOOKUP($D428,$C$5:$AU$516,11,)/VLOOKUP($D428,$C$5:$AU$516,3,))*$E428)</f>
        <v>0</v>
      </c>
      <c r="N428" s="97">
        <f>IF(VLOOKUP($D428,$C$5:$AU$516,3,)=0,0,(VLOOKUP($D428,$C$5:$AU$516,12,)/VLOOKUP($D428,$C$5:$AU$516,3,))*$E428)</f>
        <v>0</v>
      </c>
      <c r="O428" s="97">
        <f>IF(VLOOKUP($D428,$C$5:$AU$516,3,)=0,0,(VLOOKUP($D428,$C$5:$AU$516,13,)/VLOOKUP($D428,$C$5:$AU$516,3,))*$E428)</f>
        <v>0</v>
      </c>
      <c r="P428" s="97">
        <f>IF(VLOOKUP($D428,$C$5:$AU$516,3,)=0,0,(VLOOKUP($D428,$C$5:$AU$516,14,)/VLOOKUP($D428,$C$5:$AU$516,3,))*$E428)</f>
        <v>0</v>
      </c>
      <c r="Q428" s="97">
        <f>IF(VLOOKUP($D428,$C$5:$AU$516,3,)=0,0,(VLOOKUP($D428,$C$5:$AU$516,15,)/VLOOKUP($D428,$C$5:$AU$516,3,))*$E428)</f>
        <v>0</v>
      </c>
      <c r="R428" s="97">
        <f>IF(VLOOKUP($D428,$C$5:$AU$516,3,)=0,0,(VLOOKUP($D428,$C$5:$AU$516,16,)/VLOOKUP($D428,$C$5:$AU$516,3,))*$E428)</f>
        <v>0</v>
      </c>
      <c r="S428" s="98">
        <f>IF(VLOOKUP($D428,$C$5:$AU$516,3,)=0,0,(VLOOKUP($D428,$C$5:$AU$516,17,)/VLOOKUP($D428,$C$5:$AU$516,3,))*$E428)</f>
        <v>0</v>
      </c>
      <c r="T428" s="98">
        <f>IF(VLOOKUP($D428,$C$5:$AU$516,3,)=0,0,(VLOOKUP($D428,$C$5:$AU$516,18,)/VLOOKUP($D428,$C$5:$AU$516,3,))*$E428)</f>
        <v>0</v>
      </c>
      <c r="U428" s="98">
        <f>IF(VLOOKUP($D428,$C$5:$AU$516,3,)=0,0,(VLOOKUP($D428,$C$5:$AU$516,19,)/VLOOKUP($D428,$C$5:$AU$516,3,))*$E428)</f>
        <v>0</v>
      </c>
      <c r="V428" s="98">
        <f>IF(VLOOKUP($D428,$C$5:$AU$516,3,)=0,0,(VLOOKUP($D428,$C$5:$AU$516,20,)/VLOOKUP($D428,$C$5:$AU$516,3,))*$E428)</f>
        <v>0</v>
      </c>
      <c r="W428" s="98">
        <f>IF(VLOOKUP($D428,$C$5:$AU$516,3,)=0,0,(VLOOKUP($D428,$C$5:$AU$516,21,)/VLOOKUP($D428,$C$5:$AU$516,3,))*$E428)</f>
        <v>0</v>
      </c>
      <c r="X428" s="98">
        <f>IF(VLOOKUP($D428,$C$5:$AU$516,3,)=0,0,(VLOOKUP($D428,$C$5:$AU$516,22,)/VLOOKUP($D428,$C$5:$AU$516,3,))*$E428)</f>
        <v>0</v>
      </c>
      <c r="Y428" s="98">
        <f>IF(VLOOKUP($D428,$C$5:$AU$516,3,)=0,0,(VLOOKUP($D428,$C$5:$AU$516,23,)/VLOOKUP($D428,$C$5:$AU$516,3,))*$E428)</f>
        <v>0</v>
      </c>
      <c r="Z428" s="98">
        <f>IF(VLOOKUP($D428,$C$5:$AU$516,3,)=0,0,(VLOOKUP($D428,$C$5:$AU$516,24,)/VLOOKUP($D428,$C$5:$AU$516,3,))*$E428)</f>
        <v>0</v>
      </c>
      <c r="AA428" s="98">
        <f>IF(VLOOKUP($D428,$C$5:$AU$516,3,)=0,0,(VLOOKUP($D428,$C$5:$AU$516,25,)/VLOOKUP($D428,$C$5:$AU$516,3,))*$E428)</f>
        <v>0</v>
      </c>
      <c r="AB428" s="98">
        <f>IF(VLOOKUP($D428,$C$5:$AU$516,3,)=0,0,(VLOOKUP($D428,$C$5:$AU$516,26,)/VLOOKUP($D428,$C$5:$AU$516,3,))*$E428)</f>
        <v>0</v>
      </c>
      <c r="AC428" s="98">
        <f>IF(VLOOKUP($D428,$C$5:$AU$516,3,)=0,0,(VLOOKUP($D428,$C$5:$AU$516,27,)/VLOOKUP($D428,$C$5:$AU$516,3,))*$E428)</f>
        <v>0</v>
      </c>
      <c r="AD428" s="98">
        <f>IF(VLOOKUP($D428,$C$5:$AU$516,3,)=0,0,(VLOOKUP($D428,$C$5:$AU$516,28,)/VLOOKUP($D428,$C$5:$AU$516,3,))*$E428)</f>
        <v>0</v>
      </c>
      <c r="AE428" s="98">
        <f>IF(VLOOKUP($D428,$C$5:$AU$516,3,)=0,0,(VLOOKUP($D428,$C$5:$AU$516,29,)/VLOOKUP($D428,$C$5:$AU$516,3,))*$E428)</f>
        <v>0</v>
      </c>
      <c r="AF428" s="98">
        <f>IF(VLOOKUP($D428,$C$5:$AU$516,3,)=0,0,(VLOOKUP($D428,$C$5:$AU$516,30,)/VLOOKUP($D428,$C$5:$AU$516,3,))*$E428)</f>
        <v>0</v>
      </c>
      <c r="AG428" s="17">
        <f t="shared" si="205"/>
        <v>1</v>
      </c>
      <c r="AH428" s="12" t="str">
        <f t="shared" si="206"/>
        <v>ok</v>
      </c>
    </row>
    <row r="429" spans="1:37" x14ac:dyDescent="0.2">
      <c r="A429" s="3" t="s">
        <v>343</v>
      </c>
      <c r="C429" s="3" t="s">
        <v>229</v>
      </c>
      <c r="E429" s="69">
        <v>1</v>
      </c>
      <c r="F429" s="23">
        <f>Meters!G6</f>
        <v>0.89692034287879407</v>
      </c>
      <c r="G429" s="23">
        <f>Meters!G7</f>
        <v>6.7570582245298327E-2</v>
      </c>
      <c r="H429" s="23">
        <f>Meters!G8</f>
        <v>3.3134966796607976E-2</v>
      </c>
      <c r="I429" s="23">
        <f>Meters!G9</f>
        <v>2.124201965689129E-3</v>
      </c>
      <c r="J429" s="23">
        <f>Meters!G10</f>
        <v>2.4990611361048575E-4</v>
      </c>
      <c r="K429" s="23">
        <f>Meters!G11</f>
        <v>0</v>
      </c>
      <c r="L429" s="199">
        <f>Meters!G12</f>
        <v>0</v>
      </c>
      <c r="M429" s="97">
        <v>0</v>
      </c>
      <c r="N429" s="97">
        <v>0</v>
      </c>
      <c r="O429" s="97">
        <v>0</v>
      </c>
      <c r="P429" s="97">
        <v>0</v>
      </c>
      <c r="Q429" s="97">
        <v>0</v>
      </c>
      <c r="R429" s="97">
        <v>0</v>
      </c>
      <c r="S429" s="98">
        <v>0</v>
      </c>
      <c r="T429" s="98">
        <v>0</v>
      </c>
      <c r="U429" s="98">
        <v>0</v>
      </c>
      <c r="V429" s="98">
        <v>0</v>
      </c>
      <c r="W429" s="98">
        <v>0</v>
      </c>
      <c r="X429" s="98">
        <v>0</v>
      </c>
      <c r="Y429" s="98">
        <v>0</v>
      </c>
      <c r="Z429" s="98">
        <v>0</v>
      </c>
      <c r="AA429" s="98">
        <v>0</v>
      </c>
      <c r="AB429" s="98">
        <v>0</v>
      </c>
      <c r="AC429" s="98">
        <v>0</v>
      </c>
      <c r="AD429" s="98">
        <v>0</v>
      </c>
      <c r="AE429" s="98">
        <v>0</v>
      </c>
      <c r="AF429" s="98">
        <v>0</v>
      </c>
      <c r="AG429" s="17">
        <f t="shared" ref="AG429" si="207">SUM(F429:AF429)</f>
        <v>1</v>
      </c>
      <c r="AH429" s="12" t="str">
        <f t="shared" si="206"/>
        <v>ok</v>
      </c>
    </row>
    <row r="430" spans="1:37" x14ac:dyDescent="0.2">
      <c r="A430" s="3" t="s">
        <v>344</v>
      </c>
      <c r="C430" s="3" t="s">
        <v>231</v>
      </c>
      <c r="D430" s="3" t="s">
        <v>565</v>
      </c>
      <c r="E430" s="69">
        <v>1</v>
      </c>
      <c r="F430" s="23">
        <f>IF(VLOOKUP($D430,$C$5:$AU$516,3,)=0,0,(VLOOKUP($D430,$C$5:$AU$516,4,)/VLOOKUP($D430,$C$5:$AU$516,3,))*$E430)</f>
        <v>0</v>
      </c>
      <c r="G430" s="23">
        <f>IF(VLOOKUP($D430,$C$5:$AU$516,3,)=0,0,(VLOOKUP($D430,$C$5:$AU$516,5,)/VLOOKUP($D430,$C$5:$AU$516,3,))*$E430)</f>
        <v>0</v>
      </c>
      <c r="H430" s="97">
        <f>IF(VLOOKUP($D430,$C$5:$AU$516,3,)=0,0,(VLOOKUP($D430,$C$5:$AU$516,6,)/VLOOKUP($D430,$C$5:$AU$516,3,))*$E430)</f>
        <v>0</v>
      </c>
      <c r="I430" s="97">
        <f>IF(VLOOKUP($D430,$C$5:$AU$516,3,)=0,0,(VLOOKUP($D430,$C$5:$AU$516,7,)/VLOOKUP($D430,$C$5:$AU$516,3,))*$E430)</f>
        <v>0</v>
      </c>
      <c r="J430" s="97">
        <f>IF(VLOOKUP($D430,$C$5:$AU$516,3,)=0,0,(VLOOKUP($D430,$C$5:$AU$516,8,)/VLOOKUP($D430,$C$5:$AU$516,3,))*$E430)</f>
        <v>0</v>
      </c>
      <c r="K430" s="97">
        <v>1</v>
      </c>
      <c r="L430" s="23">
        <v>0</v>
      </c>
      <c r="M430" s="97">
        <v>0</v>
      </c>
      <c r="N430" s="97">
        <f>IF(VLOOKUP($D430,$C$5:$AU$516,3,)=0,0,(VLOOKUP($D430,$C$5:$AU$516,12,)/VLOOKUP($D430,$C$5:$AU$516,3,))*$E430)</f>
        <v>0</v>
      </c>
      <c r="O430" s="97">
        <f>IF(VLOOKUP($D430,$C$5:$AU$516,3,)=0,0,(VLOOKUP($D430,$C$5:$AU$516,13,)/VLOOKUP($D430,$C$5:$AU$516,3,))*$E430)</f>
        <v>0</v>
      </c>
      <c r="P430" s="97">
        <f>IF(VLOOKUP($D430,$C$5:$AU$516,3,)=0,0,(VLOOKUP($D430,$C$5:$AU$516,14,)/VLOOKUP($D430,$C$5:$AU$516,3,))*$E430)</f>
        <v>0</v>
      </c>
      <c r="Q430" s="97">
        <f>IF(VLOOKUP($D430,$C$5:$AU$516,3,)=0,0,(VLOOKUP($D430,$C$5:$AU$516,15,)/VLOOKUP($D430,$C$5:$AU$516,3,))*$E430)</f>
        <v>0</v>
      </c>
      <c r="R430" s="97">
        <f>IF(VLOOKUP($D430,$C$5:$AU$516,3,)=0,0,(VLOOKUP($D430,$C$5:$AU$516,16,)/VLOOKUP($D430,$C$5:$AU$516,3,))*$E430)</f>
        <v>0</v>
      </c>
      <c r="S430" s="98">
        <f>IF(VLOOKUP($D430,$C$5:$AU$516,3,)=0,0,(VLOOKUP($D430,$C$5:$AU$516,17,)/VLOOKUP($D430,$C$5:$AU$516,3,))*$E430)</f>
        <v>0</v>
      </c>
      <c r="T430" s="98">
        <f>IF(VLOOKUP($D430,$C$5:$AU$516,3,)=0,0,(VLOOKUP($D430,$C$5:$AU$516,18,)/VLOOKUP($D430,$C$5:$AU$516,3,))*$E430)</f>
        <v>0</v>
      </c>
      <c r="U430" s="98">
        <f>IF(VLOOKUP($D430,$C$5:$AU$516,3,)=0,0,(VLOOKUP($D430,$C$5:$AU$516,19,)/VLOOKUP($D430,$C$5:$AU$516,3,))*$E430)</f>
        <v>0</v>
      </c>
      <c r="V430" s="98">
        <f>IF(VLOOKUP($D430,$C$5:$AU$516,3,)=0,0,(VLOOKUP($D430,$C$5:$AU$516,20,)/VLOOKUP($D430,$C$5:$AU$516,3,))*$E430)</f>
        <v>0</v>
      </c>
      <c r="W430" s="98">
        <f>IF(VLOOKUP($D430,$C$5:$AU$516,3,)=0,0,(VLOOKUP($D430,$C$5:$AU$516,21,)/VLOOKUP($D430,$C$5:$AU$516,3,))*$E430)</f>
        <v>0</v>
      </c>
      <c r="X430" s="98">
        <f>IF(VLOOKUP($D430,$C$5:$AU$516,3,)=0,0,(VLOOKUP($D430,$C$5:$AU$516,22,)/VLOOKUP($D430,$C$5:$AU$516,3,))*$E430)</f>
        <v>0</v>
      </c>
      <c r="Y430" s="98">
        <f>IF(VLOOKUP($D430,$C$5:$AU$516,3,)=0,0,(VLOOKUP($D430,$C$5:$AU$516,23,)/VLOOKUP($D430,$C$5:$AU$516,3,))*$E430)</f>
        <v>0</v>
      </c>
      <c r="Z430" s="98">
        <f>IF(VLOOKUP($D430,$C$5:$AU$516,3,)=0,0,(VLOOKUP($D430,$C$5:$AU$516,24,)/VLOOKUP($D430,$C$5:$AU$516,3,))*$E430)</f>
        <v>0</v>
      </c>
      <c r="AA430" s="98">
        <f>IF(VLOOKUP($D430,$C$5:$AU$516,3,)=0,0,(VLOOKUP($D430,$C$5:$AU$516,25,)/VLOOKUP($D430,$C$5:$AU$516,3,))*$E430)</f>
        <v>0</v>
      </c>
      <c r="AB430" s="98">
        <f>IF(VLOOKUP($D430,$C$5:$AU$516,3,)=0,0,(VLOOKUP($D430,$C$5:$AU$516,26,)/VLOOKUP($D430,$C$5:$AU$516,3,))*$E430)</f>
        <v>0</v>
      </c>
      <c r="AC430" s="98">
        <f>IF(VLOOKUP($D430,$C$5:$AU$516,3,)=0,0,(VLOOKUP($D430,$C$5:$AU$516,27,)/VLOOKUP($D430,$C$5:$AU$516,3,))*$E430)</f>
        <v>0</v>
      </c>
      <c r="AD430" s="98">
        <f>IF(VLOOKUP($D430,$C$5:$AU$516,3,)=0,0,(VLOOKUP($D430,$C$5:$AU$516,28,)/VLOOKUP($D430,$C$5:$AU$516,3,))*$E430)</f>
        <v>0</v>
      </c>
      <c r="AE430" s="98">
        <f>IF(VLOOKUP($D430,$C$5:$AU$516,3,)=0,0,(VLOOKUP($D430,$C$5:$AU$516,29,)/VLOOKUP($D430,$C$5:$AU$516,3,))*$E430)</f>
        <v>0</v>
      </c>
      <c r="AF430" s="98">
        <f>IF(VLOOKUP($D430,$C$5:$AU$516,3,)=0,0,(VLOOKUP($D430,$C$5:$AU$516,30,)/VLOOKUP($D430,$C$5:$AU$516,3,))*$E430)</f>
        <v>0</v>
      </c>
      <c r="AG430" s="17">
        <f t="shared" si="205"/>
        <v>1</v>
      </c>
      <c r="AH430" s="12" t="str">
        <f t="shared" si="206"/>
        <v>ok</v>
      </c>
    </row>
    <row r="431" spans="1:37" x14ac:dyDescent="0.2">
      <c r="A431" s="3" t="s">
        <v>345</v>
      </c>
      <c r="C431" s="3" t="s">
        <v>233</v>
      </c>
      <c r="D431" s="3" t="s">
        <v>563</v>
      </c>
      <c r="E431" s="69">
        <v>1</v>
      </c>
      <c r="F431" s="23">
        <f>IF(VLOOKUP($D431,$C$5:$AU$516,3,)=0,0,(VLOOKUP($D431,$C$5:$AU$516,4,)/VLOOKUP($D431,$C$5:$AU$516,3,))*$E431)</f>
        <v>0.91501802109915553</v>
      </c>
      <c r="G431" s="23">
        <f>IF(VLOOKUP($D431,$C$5:$AU$516,3,)=0,0,(VLOOKUP($D431,$C$5:$AU$516,5,)/VLOOKUP($D431,$C$5:$AU$516,3,))*$E431)</f>
        <v>6.8933992791560331E-2</v>
      </c>
      <c r="H431" s="97">
        <f>IF(VLOOKUP($D431,$C$5:$AU$516,3,)=0,0,(VLOOKUP($D431,$C$5:$AU$516,6,)/VLOOKUP($D431,$C$5:$AU$516,3,))*$E431)</f>
        <v>1.2647654626292389E-2</v>
      </c>
      <c r="I431" s="97">
        <f>IF(VLOOKUP($D431,$C$5:$AU$516,3,)=0,0,(VLOOKUP($D431,$C$5:$AU$516,7,)/VLOOKUP($D431,$C$5:$AU$516,3,))*$E431)</f>
        <v>6.7085843571597695E-4</v>
      </c>
      <c r="J431" s="97">
        <f>IF(VLOOKUP($D431,$C$5:$AU$516,3,)=0,0,(VLOOKUP($D431,$C$5:$AU$516,8,)/VLOOKUP($D431,$C$5:$AU$516,3,))*$E431)</f>
        <v>7.8924521848938457E-5</v>
      </c>
      <c r="K431" s="97">
        <f>IF(VLOOKUP($D431,$C$5:$AU$516,3,)=0,0,(VLOOKUP($D431,$C$5:$AU$516,9,)/VLOOKUP($D431,$C$5:$AU$516,3,))*$E431)</f>
        <v>2.65054852542685E-3</v>
      </c>
      <c r="L431" s="23">
        <f>IF(VLOOKUP($D431,$C$5:$AU$516,3,)=0,0,(VLOOKUP($D431,$C$5:$AU$516,10,)/VLOOKUP($D431,$C$5:$AU$516,3,))*$E431)</f>
        <v>0</v>
      </c>
      <c r="M431" s="97">
        <f>IF(VLOOKUP($D431,$C$5:$AU$516,3,)=0,0,(VLOOKUP($D431,$C$5:$AU$516,11,)/VLOOKUP($D431,$C$5:$AU$516,3,))*$E431)</f>
        <v>0</v>
      </c>
      <c r="N431" s="97">
        <f>IF(VLOOKUP($D431,$C$5:$AU$516,3,)=0,0,(VLOOKUP($D431,$C$5:$AU$516,12,)/VLOOKUP($D431,$C$5:$AU$516,3,))*$E431)</f>
        <v>0</v>
      </c>
      <c r="O431" s="97">
        <f>IF(VLOOKUP($D431,$C$5:$AU$516,3,)=0,0,(VLOOKUP($D431,$C$5:$AU$516,13,)/VLOOKUP($D431,$C$5:$AU$516,3,))*$E431)</f>
        <v>0</v>
      </c>
      <c r="P431" s="97">
        <f>IF(VLOOKUP($D431,$C$5:$AU$516,3,)=0,0,(VLOOKUP($D431,$C$5:$AU$516,14,)/VLOOKUP($D431,$C$5:$AU$516,3,))*$E431)</f>
        <v>0</v>
      </c>
      <c r="Q431" s="97">
        <f>IF(VLOOKUP($D431,$C$5:$AU$516,3,)=0,0,(VLOOKUP($D431,$C$5:$AU$516,15,)/VLOOKUP($D431,$C$5:$AU$516,3,))*$E431)</f>
        <v>0</v>
      </c>
      <c r="R431" s="97">
        <f>IF(VLOOKUP($D431,$C$5:$AU$516,3,)=0,0,(VLOOKUP($D431,$C$5:$AU$516,16,)/VLOOKUP($D431,$C$5:$AU$516,3,))*$E431)</f>
        <v>0</v>
      </c>
      <c r="S431" s="98">
        <f>IF(VLOOKUP($D431,$C$5:$AU$516,3,)=0,0,(VLOOKUP($D431,$C$5:$AU$516,17,)/VLOOKUP($D431,$C$5:$AU$516,3,))*$E431)</f>
        <v>0</v>
      </c>
      <c r="T431" s="98">
        <f>IF(VLOOKUP($D431,$C$5:$AU$516,3,)=0,0,(VLOOKUP($D431,$C$5:$AU$516,18,)/VLOOKUP($D431,$C$5:$AU$516,3,))*$E431)</f>
        <v>0</v>
      </c>
      <c r="U431" s="98">
        <f>IF(VLOOKUP($D431,$C$5:$AU$516,3,)=0,0,(VLOOKUP($D431,$C$5:$AU$516,19,)/VLOOKUP($D431,$C$5:$AU$516,3,))*$E431)</f>
        <v>0</v>
      </c>
      <c r="V431" s="98">
        <f>IF(VLOOKUP($D431,$C$5:$AU$516,3,)=0,0,(VLOOKUP($D431,$C$5:$AU$516,20,)/VLOOKUP($D431,$C$5:$AU$516,3,))*$E431)</f>
        <v>0</v>
      </c>
      <c r="W431" s="98">
        <f>IF(VLOOKUP($D431,$C$5:$AU$516,3,)=0,0,(VLOOKUP($D431,$C$5:$AU$516,21,)/VLOOKUP($D431,$C$5:$AU$516,3,))*$E431)</f>
        <v>0</v>
      </c>
      <c r="X431" s="98">
        <f>IF(VLOOKUP($D431,$C$5:$AU$516,3,)=0,0,(VLOOKUP($D431,$C$5:$AU$516,22,)/VLOOKUP($D431,$C$5:$AU$516,3,))*$E431)</f>
        <v>0</v>
      </c>
      <c r="Y431" s="98">
        <f>IF(VLOOKUP($D431,$C$5:$AU$516,3,)=0,0,(VLOOKUP($D431,$C$5:$AU$516,23,)/VLOOKUP($D431,$C$5:$AU$516,3,))*$E431)</f>
        <v>0</v>
      </c>
      <c r="Z431" s="98">
        <f>IF(VLOOKUP($D431,$C$5:$AU$516,3,)=0,0,(VLOOKUP($D431,$C$5:$AU$516,24,)/VLOOKUP($D431,$C$5:$AU$516,3,))*$E431)</f>
        <v>0</v>
      </c>
      <c r="AA431" s="98">
        <f>IF(VLOOKUP($D431,$C$5:$AU$516,3,)=0,0,(VLOOKUP($D431,$C$5:$AU$516,25,)/VLOOKUP($D431,$C$5:$AU$516,3,))*$E431)</f>
        <v>0</v>
      </c>
      <c r="AB431" s="98">
        <f>IF(VLOOKUP($D431,$C$5:$AU$516,3,)=0,0,(VLOOKUP($D431,$C$5:$AU$516,26,)/VLOOKUP($D431,$C$5:$AU$516,3,))*$E431)</f>
        <v>0</v>
      </c>
      <c r="AC431" s="98">
        <f>IF(VLOOKUP($D431,$C$5:$AU$516,3,)=0,0,(VLOOKUP($D431,$C$5:$AU$516,27,)/VLOOKUP($D431,$C$5:$AU$516,3,))*$E431)</f>
        <v>0</v>
      </c>
      <c r="AD431" s="98">
        <f>IF(VLOOKUP($D431,$C$5:$AU$516,3,)=0,0,(VLOOKUP($D431,$C$5:$AU$516,28,)/VLOOKUP($D431,$C$5:$AU$516,3,))*$E431)</f>
        <v>0</v>
      </c>
      <c r="AE431" s="98">
        <f>IF(VLOOKUP($D431,$C$5:$AU$516,3,)=0,0,(VLOOKUP($D431,$C$5:$AU$516,29,)/VLOOKUP($D431,$C$5:$AU$516,3,))*$E431)</f>
        <v>0</v>
      </c>
      <c r="AF431" s="98">
        <f>IF(VLOOKUP($D431,$C$5:$AU$516,3,)=0,0,(VLOOKUP($D431,$C$5:$AU$516,30,)/VLOOKUP($D431,$C$5:$AU$516,3,))*$E431)</f>
        <v>0</v>
      </c>
      <c r="AG431" s="17">
        <f t="shared" si="205"/>
        <v>1</v>
      </c>
      <c r="AH431" s="12" t="str">
        <f t="shared" si="206"/>
        <v>ok</v>
      </c>
    </row>
    <row r="432" spans="1:37" x14ac:dyDescent="0.2">
      <c r="A432" s="3" t="s">
        <v>470</v>
      </c>
      <c r="C432" s="3" t="s">
        <v>234</v>
      </c>
      <c r="D432" s="3" t="s">
        <v>618</v>
      </c>
      <c r="E432" s="69">
        <v>1</v>
      </c>
      <c r="F432" s="23">
        <f>IF(VLOOKUP($D432,$C$5:$AU$516,3,)=0,0,(VLOOKUP($D432,$C$5:$AU$516,4,)/VLOOKUP($D432,$C$5:$AU$516,3,))*$E432)</f>
        <v>0.91509024415912443</v>
      </c>
      <c r="G432" s="23">
        <f>IF(VLOOKUP($D432,$C$5:$AU$516,3,)=0,0,(VLOOKUP($D432,$C$5:$AU$516,5,)/VLOOKUP($D432,$C$5:$AU$516,3,))*$E432)</f>
        <v>6.8939433803409805E-2</v>
      </c>
      <c r="H432" s="97">
        <f>IF(VLOOKUP($D432,$C$5:$AU$516,3,)=0,0,(VLOOKUP($D432,$C$5:$AU$516,6,)/VLOOKUP($D432,$C$5:$AU$516,3,))*$E432)</f>
        <v>1.2648652915175753E-2</v>
      </c>
      <c r="I432" s="97">
        <f>IF(VLOOKUP($D432,$C$5:$AU$516,3,)=0,0,(VLOOKUP($D432,$C$5:$AU$516,7,)/VLOOKUP($D432,$C$5:$AU$516,3,))*$E432)</f>
        <v>6.7091138707640495E-4</v>
      </c>
      <c r="J432" s="97">
        <f>IF(VLOOKUP($D432,$C$5:$AU$516,3,)=0,0,(VLOOKUP($D432,$C$5:$AU$516,8,)/VLOOKUP($D432,$C$5:$AU$516,3,))*$E432)</f>
        <v>0</v>
      </c>
      <c r="K432" s="97">
        <f>IF(VLOOKUP($D432,$C$5:$AU$516,3,)=0,0,(VLOOKUP($D432,$C$5:$AU$516,9,)/VLOOKUP($D432,$C$5:$AU$516,3,))*$E432)</f>
        <v>2.6507577352136392E-3</v>
      </c>
      <c r="L432" s="23">
        <f>IF(VLOOKUP($D432,$C$5:$AU$516,3,)=0,0,(VLOOKUP($D432,$C$5:$AU$516,10,)/VLOOKUP($D432,$C$5:$AU$516,3,))*$E432)</f>
        <v>0</v>
      </c>
      <c r="M432" s="97">
        <f>IF(VLOOKUP($D432,$C$5:$AU$516,3,)=0,0,(VLOOKUP($D432,$C$5:$AU$516,11,)/VLOOKUP($D432,$C$5:$AU$516,3,))*$E432)</f>
        <v>0</v>
      </c>
      <c r="N432" s="97">
        <f>IF(VLOOKUP($D432,$C$5:$AU$516,3,)=0,0,(VLOOKUP($D432,$C$5:$AU$516,12,)/VLOOKUP($D432,$C$5:$AU$516,3,))*$E432)</f>
        <v>0</v>
      </c>
      <c r="O432" s="97">
        <f>IF(VLOOKUP($D432,$C$5:$AU$516,3,)=0,0,(VLOOKUP($D432,$C$5:$AU$516,13,)/VLOOKUP($D432,$C$5:$AU$516,3,))*$E432)</f>
        <v>0</v>
      </c>
      <c r="P432" s="97">
        <f>IF(VLOOKUP($D432,$C$5:$AU$516,3,)=0,0,(VLOOKUP($D432,$C$5:$AU$516,14,)/VLOOKUP($D432,$C$5:$AU$516,3,))*$E432)</f>
        <v>0</v>
      </c>
      <c r="Q432" s="97">
        <f>IF(VLOOKUP($D432,$C$5:$AU$516,3,)=0,0,(VLOOKUP($D432,$C$5:$AU$516,15,)/VLOOKUP($D432,$C$5:$AU$516,3,))*$E432)</f>
        <v>0</v>
      </c>
      <c r="R432" s="97">
        <f>IF(VLOOKUP($D432,$C$5:$AU$516,3,)=0,0,(VLOOKUP($D432,$C$5:$AU$516,16,)/VLOOKUP($D432,$C$5:$AU$516,3,))*$E432)</f>
        <v>0</v>
      </c>
      <c r="S432" s="98">
        <f>IF(VLOOKUP($D432,$C$5:$AU$516,3,)=0,0,(VLOOKUP($D432,$C$5:$AU$516,17,)/VLOOKUP($D432,$C$5:$AU$516,3,))*$E432)</f>
        <v>0</v>
      </c>
      <c r="T432" s="98">
        <f>IF(VLOOKUP($D432,$C$5:$AU$516,3,)=0,0,(VLOOKUP($D432,$C$5:$AU$516,18,)/VLOOKUP($D432,$C$5:$AU$516,3,))*$E432)</f>
        <v>0</v>
      </c>
      <c r="U432" s="98">
        <f>IF(VLOOKUP($D432,$C$5:$AU$516,3,)=0,0,(VLOOKUP($D432,$C$5:$AU$516,19,)/VLOOKUP($D432,$C$5:$AU$516,3,))*$E432)</f>
        <v>0</v>
      </c>
      <c r="V432" s="98">
        <f>IF(VLOOKUP($D432,$C$5:$AU$516,3,)=0,0,(VLOOKUP($D432,$C$5:$AU$516,20,)/VLOOKUP($D432,$C$5:$AU$516,3,))*$E432)</f>
        <v>0</v>
      </c>
      <c r="W432" s="98">
        <f>IF(VLOOKUP($D432,$C$5:$AU$516,3,)=0,0,(VLOOKUP($D432,$C$5:$AU$516,21,)/VLOOKUP($D432,$C$5:$AU$516,3,))*$E432)</f>
        <v>0</v>
      </c>
      <c r="X432" s="98">
        <f>IF(VLOOKUP($D432,$C$5:$AU$516,3,)=0,0,(VLOOKUP($D432,$C$5:$AU$516,22,)/VLOOKUP($D432,$C$5:$AU$516,3,))*$E432)</f>
        <v>0</v>
      </c>
      <c r="Y432" s="98">
        <f>IF(VLOOKUP($D432,$C$5:$AU$516,3,)=0,0,(VLOOKUP($D432,$C$5:$AU$516,23,)/VLOOKUP($D432,$C$5:$AU$516,3,))*$E432)</f>
        <v>0</v>
      </c>
      <c r="Z432" s="98">
        <f>IF(VLOOKUP($D432,$C$5:$AU$516,3,)=0,0,(VLOOKUP($D432,$C$5:$AU$516,24,)/VLOOKUP($D432,$C$5:$AU$516,3,))*$E432)</f>
        <v>0</v>
      </c>
      <c r="AA432" s="98">
        <f>IF(VLOOKUP($D432,$C$5:$AU$516,3,)=0,0,(VLOOKUP($D432,$C$5:$AU$516,25,)/VLOOKUP($D432,$C$5:$AU$516,3,))*$E432)</f>
        <v>0</v>
      </c>
      <c r="AB432" s="98">
        <f>IF(VLOOKUP($D432,$C$5:$AU$516,3,)=0,0,(VLOOKUP($D432,$C$5:$AU$516,26,)/VLOOKUP($D432,$C$5:$AU$516,3,))*$E432)</f>
        <v>0</v>
      </c>
      <c r="AC432" s="98">
        <f>IF(VLOOKUP($D432,$C$5:$AU$516,3,)=0,0,(VLOOKUP($D432,$C$5:$AU$516,27,)/VLOOKUP($D432,$C$5:$AU$516,3,))*$E432)</f>
        <v>0</v>
      </c>
      <c r="AD432" s="98">
        <f>IF(VLOOKUP($D432,$C$5:$AU$516,3,)=0,0,(VLOOKUP($D432,$C$5:$AU$516,28,)/VLOOKUP($D432,$C$5:$AU$516,3,))*$E432)</f>
        <v>0</v>
      </c>
      <c r="AE432" s="98">
        <f>IF(VLOOKUP($D432,$C$5:$AU$516,3,)=0,0,(VLOOKUP($D432,$C$5:$AU$516,29,)/VLOOKUP($D432,$C$5:$AU$516,3,))*$E432)</f>
        <v>0</v>
      </c>
      <c r="AF432" s="98">
        <f>IF(VLOOKUP($D432,$C$5:$AU$516,3,)=0,0,(VLOOKUP($D432,$C$5:$AU$516,30,)/VLOOKUP($D432,$C$5:$AU$516,3,))*$E432)</f>
        <v>0</v>
      </c>
      <c r="AG432" s="17">
        <f t="shared" si="205"/>
        <v>1.0000000000000002</v>
      </c>
      <c r="AH432" s="12" t="str">
        <f t="shared" si="206"/>
        <v>ok</v>
      </c>
    </row>
    <row r="434" spans="1:37" x14ac:dyDescent="0.2">
      <c r="A434" s="2" t="s">
        <v>837</v>
      </c>
      <c r="D434" s="21"/>
    </row>
    <row r="435" spans="1:37" x14ac:dyDescent="0.2">
      <c r="A435" s="3" t="s">
        <v>348</v>
      </c>
      <c r="C435" s="3" t="s">
        <v>561</v>
      </c>
      <c r="E435" s="24">
        <f>'Billing Det'!E25</f>
        <v>25883934.840000004</v>
      </c>
      <c r="F435" s="24">
        <f>'Billing Det'!$E8</f>
        <v>19440092.170000002</v>
      </c>
      <c r="G435" s="24">
        <f>'Billing Det'!$E9</f>
        <v>1385991.1199999999</v>
      </c>
      <c r="H435" s="7">
        <f>'Billing Det'!$E10</f>
        <v>2519950.3499999996</v>
      </c>
      <c r="I435" s="7">
        <f>'Billing Det'!$E11</f>
        <v>1060512.9200000002</v>
      </c>
      <c r="J435" s="7">
        <f>'Billing Det'!$E12</f>
        <v>580947.92000000004</v>
      </c>
      <c r="K435" s="7">
        <f>'Billing Det'!$E13</f>
        <v>896440.36</v>
      </c>
      <c r="L435" s="7">
        <f>'Billing Det'!$E14</f>
        <v>0</v>
      </c>
      <c r="M435" s="7">
        <f>'Billing Det'!$E15</f>
        <v>0</v>
      </c>
      <c r="N435" s="7">
        <f>'Billing Det'!$E16</f>
        <v>0</v>
      </c>
      <c r="O435" s="7">
        <f>'Billing Det'!$E17</f>
        <v>0</v>
      </c>
      <c r="P435" s="7">
        <f>'Billing Det'!$E18</f>
        <v>0</v>
      </c>
      <c r="Q435" s="7">
        <f>'Billing Det'!$E19</f>
        <v>0</v>
      </c>
      <c r="R435" s="7">
        <f>'Billing Det'!$E20</f>
        <v>0</v>
      </c>
      <c r="S435" s="88">
        <f>'Billing Det'!$E21</f>
        <v>0</v>
      </c>
      <c r="T435" s="88">
        <f>'Billing Det'!$E22</f>
        <v>0</v>
      </c>
      <c r="U435" s="88">
        <f>'Billing Det'!$E23</f>
        <v>0</v>
      </c>
      <c r="V435" s="88">
        <v>0</v>
      </c>
      <c r="W435" s="88">
        <v>0</v>
      </c>
      <c r="X435" s="88">
        <v>0</v>
      </c>
      <c r="Y435" s="88">
        <v>0</v>
      </c>
      <c r="Z435" s="88">
        <v>0</v>
      </c>
      <c r="AA435" s="88">
        <v>0</v>
      </c>
      <c r="AB435" s="88">
        <v>0</v>
      </c>
      <c r="AC435" s="88">
        <v>0</v>
      </c>
      <c r="AD435" s="88">
        <v>0</v>
      </c>
      <c r="AE435" s="88"/>
      <c r="AF435" s="88"/>
      <c r="AG435" s="7">
        <f t="shared" ref="AG435:AG445" si="208">SUM(F435:AF435)</f>
        <v>25883934.840000004</v>
      </c>
      <c r="AH435" s="12" t="str">
        <f t="shared" ref="AH435:AH444" si="209">IF(ABS(E435-AG435)&lt;0.01,"ok","err")</f>
        <v>ok</v>
      </c>
    </row>
    <row r="436" spans="1:37" x14ac:dyDescent="0.2">
      <c r="A436" s="3" t="s">
        <v>11</v>
      </c>
      <c r="C436" s="3" t="s">
        <v>213</v>
      </c>
      <c r="E436" s="24">
        <f>'Billing Det'!D25</f>
        <v>195084645</v>
      </c>
      <c r="F436" s="24">
        <f>'Billing Det'!D8</f>
        <v>142863015</v>
      </c>
      <c r="G436" s="24">
        <f>'Billing Det'!D9</f>
        <v>8504773</v>
      </c>
      <c r="H436" s="7">
        <f>'Billing Det'!D10</f>
        <v>22805417</v>
      </c>
      <c r="I436" s="7">
        <f>'Billing Det'!D11</f>
        <v>10505980</v>
      </c>
      <c r="J436" s="7">
        <f>'Billing Det'!D12</f>
        <v>6778800</v>
      </c>
      <c r="K436" s="7">
        <f>'Billing Det'!D13</f>
        <v>3626660</v>
      </c>
      <c r="L436" s="24">
        <f>'Billing Det'!D14</f>
        <v>0</v>
      </c>
      <c r="M436" s="7">
        <f>'Billing Det'!D15</f>
        <v>0</v>
      </c>
      <c r="N436" s="7">
        <f>'Billing Det'!D16</f>
        <v>0</v>
      </c>
      <c r="O436" s="7">
        <f>'Billing Det'!D17</f>
        <v>0</v>
      </c>
      <c r="P436" s="7">
        <f>'Billing Det'!D18</f>
        <v>0</v>
      </c>
      <c r="Q436" s="7">
        <f>'Billing Det'!D19</f>
        <v>0</v>
      </c>
      <c r="R436" s="7">
        <f>'Billing Det'!D20</f>
        <v>0</v>
      </c>
      <c r="S436" s="88">
        <f>'Billing Det'!$D21</f>
        <v>0</v>
      </c>
      <c r="T436" s="88">
        <f>'Billing Det'!$D22</f>
        <v>0</v>
      </c>
      <c r="U436" s="88">
        <f>'Billing Det'!$D23</f>
        <v>0</v>
      </c>
      <c r="V436" s="88">
        <v>0</v>
      </c>
      <c r="W436" s="88">
        <v>0</v>
      </c>
      <c r="X436" s="88">
        <v>0</v>
      </c>
      <c r="Y436" s="88">
        <v>0</v>
      </c>
      <c r="Z436" s="88">
        <v>0</v>
      </c>
      <c r="AA436" s="88">
        <v>0</v>
      </c>
      <c r="AB436" s="88">
        <v>0</v>
      </c>
      <c r="AC436" s="88">
        <v>0</v>
      </c>
      <c r="AD436" s="88">
        <v>0</v>
      </c>
      <c r="AE436" s="88"/>
      <c r="AF436" s="88"/>
      <c r="AG436" s="7">
        <f>SUM(F436:AF436)</f>
        <v>195084645</v>
      </c>
      <c r="AH436" s="12" t="str">
        <f t="shared" si="209"/>
        <v>ok</v>
      </c>
    </row>
    <row r="437" spans="1:37" x14ac:dyDescent="0.2">
      <c r="A437" s="3" t="s">
        <v>715</v>
      </c>
      <c r="E437" s="22"/>
      <c r="F437" s="100">
        <v>0.05</v>
      </c>
      <c r="G437" s="100">
        <f t="shared" ref="G437:O437" si="210">F437</f>
        <v>0.05</v>
      </c>
      <c r="H437" s="100">
        <v>2.5000000000000001E-2</v>
      </c>
      <c r="I437" s="7">
        <v>0</v>
      </c>
      <c r="J437" s="7">
        <v>0</v>
      </c>
      <c r="K437" s="8">
        <v>0.05</v>
      </c>
      <c r="L437" s="18">
        <v>0</v>
      </c>
      <c r="M437" s="24">
        <v>0</v>
      </c>
      <c r="N437" s="100">
        <f t="shared" si="210"/>
        <v>0</v>
      </c>
      <c r="O437" s="100">
        <f t="shared" si="210"/>
        <v>0</v>
      </c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  <c r="AD437" s="100"/>
      <c r="AE437" s="100"/>
      <c r="AF437" s="100"/>
      <c r="AG437" s="17"/>
      <c r="AH437" s="12"/>
    </row>
    <row r="438" spans="1:37" x14ac:dyDescent="0.2">
      <c r="A438" s="3" t="s">
        <v>716</v>
      </c>
      <c r="C438" s="3" t="s">
        <v>11</v>
      </c>
      <c r="E438" s="24">
        <v>203827001.8083671</v>
      </c>
      <c r="F438" s="24">
        <f t="shared" ref="F438:AF438" si="211">F436/(1-F437)</f>
        <v>150382121.05263159</v>
      </c>
      <c r="G438" s="24">
        <f t="shared" si="211"/>
        <v>8952392.6315789483</v>
      </c>
      <c r="H438" s="24">
        <f t="shared" si="211"/>
        <v>23390171.282051284</v>
      </c>
      <c r="I438" s="24">
        <f t="shared" si="211"/>
        <v>10505980</v>
      </c>
      <c r="J438" s="24">
        <f t="shared" si="211"/>
        <v>6778800</v>
      </c>
      <c r="K438" s="24">
        <f t="shared" si="211"/>
        <v>3817536.8421052634</v>
      </c>
      <c r="L438" s="24">
        <f t="shared" si="211"/>
        <v>0</v>
      </c>
      <c r="M438" s="24">
        <f t="shared" si="211"/>
        <v>0</v>
      </c>
      <c r="N438" s="24">
        <f t="shared" si="211"/>
        <v>0</v>
      </c>
      <c r="O438" s="24">
        <f t="shared" si="211"/>
        <v>0</v>
      </c>
      <c r="P438" s="24">
        <f t="shared" si="211"/>
        <v>0</v>
      </c>
      <c r="Q438" s="24">
        <f t="shared" si="211"/>
        <v>0</v>
      </c>
      <c r="R438" s="24">
        <f t="shared" si="211"/>
        <v>0</v>
      </c>
      <c r="S438" s="88">
        <f t="shared" si="211"/>
        <v>0</v>
      </c>
      <c r="T438" s="88">
        <f t="shared" si="211"/>
        <v>0</v>
      </c>
      <c r="U438" s="88">
        <f t="shared" si="211"/>
        <v>0</v>
      </c>
      <c r="V438" s="88">
        <f t="shared" si="211"/>
        <v>0</v>
      </c>
      <c r="W438" s="88">
        <f t="shared" si="211"/>
        <v>0</v>
      </c>
      <c r="X438" s="88">
        <f t="shared" si="211"/>
        <v>0</v>
      </c>
      <c r="Y438" s="88">
        <f t="shared" si="211"/>
        <v>0</v>
      </c>
      <c r="Z438" s="88">
        <f t="shared" si="211"/>
        <v>0</v>
      </c>
      <c r="AA438" s="88">
        <f t="shared" si="211"/>
        <v>0</v>
      </c>
      <c r="AB438" s="88">
        <f t="shared" si="211"/>
        <v>0</v>
      </c>
      <c r="AC438" s="88">
        <f t="shared" si="211"/>
        <v>0</v>
      </c>
      <c r="AD438" s="88">
        <f t="shared" si="211"/>
        <v>0</v>
      </c>
      <c r="AE438" s="88">
        <f t="shared" si="211"/>
        <v>0</v>
      </c>
      <c r="AF438" s="88">
        <f t="shared" si="211"/>
        <v>0</v>
      </c>
      <c r="AG438" s="7">
        <f t="shared" si="208"/>
        <v>203827001.8083671</v>
      </c>
      <c r="AH438" s="12" t="str">
        <f t="shared" si="209"/>
        <v>ok</v>
      </c>
    </row>
    <row r="439" spans="1:37" x14ac:dyDescent="0.2">
      <c r="A439" s="3" t="s">
        <v>558</v>
      </c>
      <c r="E439" s="24">
        <f>'Billing Det'!C25*12</f>
        <v>152044</v>
      </c>
      <c r="F439" s="24">
        <f>'Billing Det'!$C8*12</f>
        <v>139123</v>
      </c>
      <c r="G439" s="24">
        <f>'Billing Det'!$C9*12</f>
        <v>10481</v>
      </c>
      <c r="H439" s="24">
        <f>'Billing Det'!$C10*12</f>
        <v>1923</v>
      </c>
      <c r="I439" s="24">
        <f>'Billing Det'!$C11*12</f>
        <v>102</v>
      </c>
      <c r="J439" s="24">
        <f>'Billing Det'!$C12*12</f>
        <v>12</v>
      </c>
      <c r="K439" s="24">
        <f>'Billing Det'!$C13*12</f>
        <v>403</v>
      </c>
      <c r="L439" s="24">
        <f>'Billing Det'!$C14*12</f>
        <v>0</v>
      </c>
      <c r="M439" s="24">
        <f>'Billing Det'!$C15*12</f>
        <v>0</v>
      </c>
      <c r="N439" s="24">
        <f>'Billing Det'!$C16*12</f>
        <v>0</v>
      </c>
      <c r="O439" s="24">
        <f>'Billing Det'!$C17*12</f>
        <v>0</v>
      </c>
      <c r="P439" s="24">
        <f>'Billing Det'!$C18*12</f>
        <v>0</v>
      </c>
      <c r="Q439" s="24">
        <f>'Billing Det'!$C19*12</f>
        <v>0</v>
      </c>
      <c r="R439" s="24">
        <f>'Billing Det'!$C20*12</f>
        <v>0</v>
      </c>
      <c r="S439" s="88">
        <f>'Billing Det'!$C21*12</f>
        <v>0</v>
      </c>
      <c r="T439" s="88">
        <f>'Billing Det'!$C22*12</f>
        <v>0</v>
      </c>
      <c r="U439" s="88">
        <f>'Billing Det'!$C23*12</f>
        <v>0</v>
      </c>
      <c r="V439" s="88">
        <v>0</v>
      </c>
      <c r="W439" s="88">
        <v>0</v>
      </c>
      <c r="X439" s="88">
        <v>0</v>
      </c>
      <c r="Y439" s="88">
        <v>0</v>
      </c>
      <c r="Z439" s="88">
        <v>0</v>
      </c>
      <c r="AA439" s="88">
        <v>0</v>
      </c>
      <c r="AB439" s="88">
        <v>0</v>
      </c>
      <c r="AC439" s="88">
        <v>0</v>
      </c>
      <c r="AD439" s="88">
        <v>0</v>
      </c>
      <c r="AE439" s="88"/>
      <c r="AF439" s="88"/>
      <c r="AG439" s="7">
        <f t="shared" si="208"/>
        <v>152044</v>
      </c>
      <c r="AH439" s="12" t="str">
        <f t="shared" si="209"/>
        <v>ok</v>
      </c>
    </row>
    <row r="440" spans="1:37" x14ac:dyDescent="0.2">
      <c r="A440" s="3" t="s">
        <v>559</v>
      </c>
      <c r="C440" s="3" t="s">
        <v>562</v>
      </c>
      <c r="E440" s="24">
        <f>'Billing Det'!C25</f>
        <v>12670.333333333334</v>
      </c>
      <c r="F440" s="24">
        <f>F439/12</f>
        <v>11593.583333333334</v>
      </c>
      <c r="G440" s="24">
        <f t="shared" ref="G440:AF440" si="212">G439/12</f>
        <v>873.41666666666663</v>
      </c>
      <c r="H440" s="7">
        <f>H439/12</f>
        <v>160.25</v>
      </c>
      <c r="I440" s="7">
        <f t="shared" si="212"/>
        <v>8.5</v>
      </c>
      <c r="J440" s="7">
        <f t="shared" si="212"/>
        <v>1</v>
      </c>
      <c r="K440" s="7">
        <f t="shared" si="212"/>
        <v>33.583333333333336</v>
      </c>
      <c r="L440" s="7">
        <f t="shared" si="212"/>
        <v>0</v>
      </c>
      <c r="M440" s="7">
        <f t="shared" si="212"/>
        <v>0</v>
      </c>
      <c r="N440" s="7">
        <f t="shared" si="212"/>
        <v>0</v>
      </c>
      <c r="O440" s="7">
        <f t="shared" si="212"/>
        <v>0</v>
      </c>
      <c r="P440" s="7">
        <f t="shared" si="212"/>
        <v>0</v>
      </c>
      <c r="Q440" s="7">
        <f t="shared" si="212"/>
        <v>0</v>
      </c>
      <c r="R440" s="7">
        <f t="shared" si="212"/>
        <v>0</v>
      </c>
      <c r="S440" s="88">
        <f t="shared" si="212"/>
        <v>0</v>
      </c>
      <c r="T440" s="88">
        <f t="shared" si="212"/>
        <v>0</v>
      </c>
      <c r="U440" s="88">
        <f t="shared" si="212"/>
        <v>0</v>
      </c>
      <c r="V440" s="88">
        <v>0</v>
      </c>
      <c r="W440" s="88">
        <v>0</v>
      </c>
      <c r="X440" s="88">
        <v>0</v>
      </c>
      <c r="Y440" s="88">
        <v>0</v>
      </c>
      <c r="Z440" s="88">
        <f t="shared" si="212"/>
        <v>0</v>
      </c>
      <c r="AA440" s="88">
        <f t="shared" si="212"/>
        <v>0</v>
      </c>
      <c r="AB440" s="88">
        <f t="shared" si="212"/>
        <v>0</v>
      </c>
      <c r="AC440" s="88">
        <f t="shared" si="212"/>
        <v>0</v>
      </c>
      <c r="AD440" s="88">
        <f t="shared" si="212"/>
        <v>0</v>
      </c>
      <c r="AE440" s="88">
        <f t="shared" si="212"/>
        <v>0</v>
      </c>
      <c r="AF440" s="88">
        <f t="shared" si="212"/>
        <v>0</v>
      </c>
      <c r="AG440" s="7">
        <f t="shared" si="208"/>
        <v>12670.333333333334</v>
      </c>
      <c r="AH440" s="12" t="str">
        <f t="shared" si="209"/>
        <v>ok</v>
      </c>
    </row>
    <row r="441" spans="1:37" x14ac:dyDescent="0.2">
      <c r="A441" s="3" t="s">
        <v>560</v>
      </c>
      <c r="C441" s="3" t="s">
        <v>563</v>
      </c>
      <c r="E441" s="24">
        <f>E440</f>
        <v>12670.333333333334</v>
      </c>
      <c r="F441" s="24">
        <f t="shared" ref="F441:O441" si="213">F440</f>
        <v>11593.583333333334</v>
      </c>
      <c r="G441" s="24">
        <f t="shared" si="213"/>
        <v>873.41666666666663</v>
      </c>
      <c r="H441" s="24">
        <f t="shared" si="213"/>
        <v>160.25</v>
      </c>
      <c r="I441" s="24">
        <f t="shared" si="213"/>
        <v>8.5</v>
      </c>
      <c r="J441" s="24">
        <f t="shared" si="213"/>
        <v>1</v>
      </c>
      <c r="K441" s="24">
        <f t="shared" si="213"/>
        <v>33.583333333333336</v>
      </c>
      <c r="L441" s="24">
        <f t="shared" si="213"/>
        <v>0</v>
      </c>
      <c r="M441" s="24">
        <f t="shared" si="213"/>
        <v>0</v>
      </c>
      <c r="N441" s="24">
        <f t="shared" si="213"/>
        <v>0</v>
      </c>
      <c r="O441" s="24">
        <f t="shared" si="213"/>
        <v>0</v>
      </c>
      <c r="P441" s="24">
        <f t="shared" ref="P441:U441" si="214">P440</f>
        <v>0</v>
      </c>
      <c r="Q441" s="24">
        <f t="shared" si="214"/>
        <v>0</v>
      </c>
      <c r="R441" s="24">
        <f t="shared" si="214"/>
        <v>0</v>
      </c>
      <c r="S441" s="88">
        <f t="shared" si="214"/>
        <v>0</v>
      </c>
      <c r="T441" s="88">
        <f t="shared" si="214"/>
        <v>0</v>
      </c>
      <c r="U441" s="88">
        <f t="shared" si="214"/>
        <v>0</v>
      </c>
      <c r="V441" s="88">
        <v>0</v>
      </c>
      <c r="W441" s="88">
        <v>0</v>
      </c>
      <c r="X441" s="88">
        <v>0</v>
      </c>
      <c r="Y441" s="88">
        <v>0</v>
      </c>
      <c r="Z441" s="101">
        <f t="shared" ref="Z441:AF441" si="215">Z440</f>
        <v>0</v>
      </c>
      <c r="AA441" s="101">
        <f t="shared" si="215"/>
        <v>0</v>
      </c>
      <c r="AB441" s="101">
        <f t="shared" si="215"/>
        <v>0</v>
      </c>
      <c r="AC441" s="101">
        <f t="shared" si="215"/>
        <v>0</v>
      </c>
      <c r="AD441" s="101">
        <f t="shared" si="215"/>
        <v>0</v>
      </c>
      <c r="AE441" s="101">
        <f t="shared" si="215"/>
        <v>0</v>
      </c>
      <c r="AF441" s="101">
        <f t="shared" si="215"/>
        <v>0</v>
      </c>
      <c r="AG441" s="7">
        <f t="shared" si="208"/>
        <v>12670.333333333334</v>
      </c>
      <c r="AH441" s="12" t="str">
        <f t="shared" si="209"/>
        <v>ok</v>
      </c>
    </row>
    <row r="442" spans="1:37" x14ac:dyDescent="0.2">
      <c r="A442" s="3" t="s">
        <v>872</v>
      </c>
      <c r="C442" s="3" t="s">
        <v>564</v>
      </c>
      <c r="E442" s="24">
        <v>12669.333333333334</v>
      </c>
      <c r="F442" s="15">
        <f>F440</f>
        <v>11593.583333333334</v>
      </c>
      <c r="G442" s="15">
        <f>G440</f>
        <v>873.41666666666663</v>
      </c>
      <c r="H442" s="15">
        <f>H440</f>
        <v>160.25</v>
      </c>
      <c r="I442" s="15">
        <f>I440</f>
        <v>8.5</v>
      </c>
      <c r="J442" s="15">
        <v>0</v>
      </c>
      <c r="K442" s="15">
        <f>K440</f>
        <v>33.583333333333336</v>
      </c>
      <c r="L442" s="15">
        <f t="shared" ref="L442:R442" si="216">L440</f>
        <v>0</v>
      </c>
      <c r="M442" s="20">
        <f>M440/45</f>
        <v>0</v>
      </c>
      <c r="N442" s="15">
        <f t="shared" si="216"/>
        <v>0</v>
      </c>
      <c r="O442" s="15">
        <f t="shared" si="216"/>
        <v>0</v>
      </c>
      <c r="P442" s="15">
        <f>P440/45</f>
        <v>0</v>
      </c>
      <c r="Q442" s="15">
        <f t="shared" si="216"/>
        <v>0</v>
      </c>
      <c r="R442" s="15">
        <f t="shared" si="216"/>
        <v>0</v>
      </c>
      <c r="S442" s="88">
        <f>S440</f>
        <v>0</v>
      </c>
      <c r="T442" s="88">
        <f>T440</f>
        <v>0</v>
      </c>
      <c r="U442" s="88">
        <f>U440</f>
        <v>0</v>
      </c>
      <c r="V442" s="88">
        <v>0</v>
      </c>
      <c r="W442" s="88">
        <v>0</v>
      </c>
      <c r="X442" s="88">
        <v>0</v>
      </c>
      <c r="Y442" s="88">
        <v>0</v>
      </c>
      <c r="Z442" s="101">
        <f t="shared" ref="Z442:AF442" si="217">Z440</f>
        <v>0</v>
      </c>
      <c r="AA442" s="101">
        <f t="shared" si="217"/>
        <v>0</v>
      </c>
      <c r="AB442" s="101">
        <f t="shared" si="217"/>
        <v>0</v>
      </c>
      <c r="AC442" s="101">
        <f t="shared" si="217"/>
        <v>0</v>
      </c>
      <c r="AD442" s="101">
        <f t="shared" si="217"/>
        <v>0</v>
      </c>
      <c r="AE442" s="101">
        <f t="shared" si="217"/>
        <v>0</v>
      </c>
      <c r="AF442" s="101">
        <f t="shared" si="217"/>
        <v>0</v>
      </c>
      <c r="AG442" s="24">
        <f>SUM(F442:AF442)</f>
        <v>12669.333333333334</v>
      </c>
      <c r="AH442" s="12" t="str">
        <f>IF(ABS(E442-AG442)&lt;0.01,"ok","err")</f>
        <v>ok</v>
      </c>
      <c r="AK442" s="24"/>
    </row>
    <row r="443" spans="1:37" x14ac:dyDescent="0.2">
      <c r="A443" s="3" t="s">
        <v>726</v>
      </c>
      <c r="C443" s="3" t="s">
        <v>565</v>
      </c>
      <c r="E443" s="24">
        <v>1</v>
      </c>
      <c r="F443" s="24">
        <v>0</v>
      </c>
      <c r="G443" s="24">
        <v>0</v>
      </c>
      <c r="H443" s="7">
        <v>0</v>
      </c>
      <c r="I443" s="7">
        <v>0</v>
      </c>
      <c r="J443" s="24">
        <v>0</v>
      </c>
      <c r="K443" s="24">
        <v>1</v>
      </c>
      <c r="L443" s="178">
        <v>0</v>
      </c>
      <c r="M443" s="7">
        <v>0</v>
      </c>
      <c r="N443" s="7">
        <v>0</v>
      </c>
      <c r="O443" s="7">
        <v>0</v>
      </c>
      <c r="P443" s="7">
        <f>'Billing Det'!C18</f>
        <v>0</v>
      </c>
      <c r="Q443" s="7">
        <v>0</v>
      </c>
      <c r="R443" s="7">
        <v>0</v>
      </c>
      <c r="S443" s="88">
        <v>0</v>
      </c>
      <c r="T443" s="88">
        <v>0</v>
      </c>
      <c r="U443" s="88">
        <v>0</v>
      </c>
      <c r="V443" s="88">
        <v>0</v>
      </c>
      <c r="W443" s="88">
        <v>0</v>
      </c>
      <c r="X443" s="88">
        <v>0</v>
      </c>
      <c r="Y443" s="88">
        <v>0</v>
      </c>
      <c r="Z443" s="101"/>
      <c r="AA443" s="101"/>
      <c r="AB443" s="101"/>
      <c r="AC443" s="101"/>
      <c r="AD443" s="101"/>
      <c r="AE443" s="101"/>
      <c r="AF443" s="101"/>
      <c r="AG443" s="178">
        <f t="shared" si="208"/>
        <v>1</v>
      </c>
      <c r="AH443" s="12" t="str">
        <f>IF(ABS(E443-AG443)&lt;0.01,"ok","err")</f>
        <v>ok</v>
      </c>
    </row>
    <row r="444" spans="1:37" x14ac:dyDescent="0.2">
      <c r="A444" s="3" t="s">
        <v>1004</v>
      </c>
      <c r="C444" s="3" t="s">
        <v>617</v>
      </c>
      <c r="E444" s="24">
        <v>12669.333333333334</v>
      </c>
      <c r="F444" s="15">
        <f>F442</f>
        <v>11593.583333333334</v>
      </c>
      <c r="G444" s="15">
        <f>G442</f>
        <v>873.41666666666663</v>
      </c>
      <c r="H444" s="15">
        <f t="shared" ref="H444:M444" si="218">H442</f>
        <v>160.25</v>
      </c>
      <c r="I444" s="15">
        <f t="shared" si="218"/>
        <v>8.5</v>
      </c>
      <c r="J444" s="15">
        <f t="shared" si="218"/>
        <v>0</v>
      </c>
      <c r="K444" s="15">
        <f t="shared" si="218"/>
        <v>33.583333333333336</v>
      </c>
      <c r="L444" s="15">
        <v>0</v>
      </c>
      <c r="M444" s="15">
        <f t="shared" si="218"/>
        <v>0</v>
      </c>
      <c r="N444" s="24">
        <f>N439/12*2.11</f>
        <v>0</v>
      </c>
      <c r="O444" s="24">
        <f>O439/12*0.17+O439/12*0.83*2.11</f>
        <v>0</v>
      </c>
      <c r="P444" s="15">
        <f>P442</f>
        <v>0</v>
      </c>
      <c r="Q444" s="24">
        <f>Q439/12*2.11</f>
        <v>0</v>
      </c>
      <c r="R444" s="24">
        <f>R439/12*2.11</f>
        <v>0</v>
      </c>
      <c r="S444" s="24">
        <f>S442</f>
        <v>0</v>
      </c>
      <c r="T444" s="24">
        <f>T442</f>
        <v>0</v>
      </c>
      <c r="U444" s="24">
        <f>U442</f>
        <v>0</v>
      </c>
      <c r="V444" s="24">
        <v>0</v>
      </c>
      <c r="W444" s="24">
        <v>0</v>
      </c>
      <c r="X444" s="24">
        <v>0</v>
      </c>
      <c r="Y444" s="24">
        <v>0</v>
      </c>
      <c r="Z444" s="15">
        <v>0</v>
      </c>
      <c r="AA444" s="15">
        <v>0</v>
      </c>
      <c r="AB444" s="15">
        <v>0</v>
      </c>
      <c r="AC444" s="15">
        <v>0</v>
      </c>
      <c r="AD444" s="15">
        <v>0</v>
      </c>
      <c r="AE444" s="15">
        <v>0</v>
      </c>
      <c r="AF444" s="15">
        <v>0</v>
      </c>
      <c r="AG444" s="24">
        <f t="shared" si="208"/>
        <v>12669.333333333334</v>
      </c>
      <c r="AH444" s="12" t="str">
        <f t="shared" si="209"/>
        <v>ok</v>
      </c>
      <c r="AK444" s="24"/>
    </row>
    <row r="445" spans="1:37" x14ac:dyDescent="0.2">
      <c r="A445" s="3" t="s">
        <v>470</v>
      </c>
      <c r="C445" s="3" t="s">
        <v>618</v>
      </c>
      <c r="E445" s="24">
        <f>E442</f>
        <v>12669.333333333334</v>
      </c>
      <c r="F445" s="24">
        <f t="shared" ref="F445:L445" si="219">F442</f>
        <v>11593.583333333334</v>
      </c>
      <c r="G445" s="24">
        <f t="shared" si="219"/>
        <v>873.41666666666663</v>
      </c>
      <c r="H445" s="24">
        <f t="shared" si="219"/>
        <v>160.25</v>
      </c>
      <c r="I445" s="24">
        <f t="shared" si="219"/>
        <v>8.5</v>
      </c>
      <c r="J445" s="24">
        <f t="shared" si="219"/>
        <v>0</v>
      </c>
      <c r="K445" s="24">
        <f t="shared" si="219"/>
        <v>33.583333333333336</v>
      </c>
      <c r="L445" s="24">
        <f t="shared" si="219"/>
        <v>0</v>
      </c>
      <c r="M445" s="15">
        <f t="shared" ref="M445:Q445" si="220">M441</f>
        <v>0</v>
      </c>
      <c r="N445" s="15">
        <f t="shared" si="220"/>
        <v>0</v>
      </c>
      <c r="O445" s="15">
        <f t="shared" si="220"/>
        <v>0</v>
      </c>
      <c r="P445" s="15">
        <f t="shared" si="220"/>
        <v>0</v>
      </c>
      <c r="Q445" s="15">
        <f t="shared" si="220"/>
        <v>0</v>
      </c>
      <c r="R445" s="15">
        <f>R441</f>
        <v>0</v>
      </c>
      <c r="S445" s="88">
        <f>S441</f>
        <v>0</v>
      </c>
      <c r="T445" s="88">
        <v>0</v>
      </c>
      <c r="U445" s="88">
        <v>0</v>
      </c>
      <c r="V445" s="88">
        <v>0</v>
      </c>
      <c r="W445" s="88">
        <v>0</v>
      </c>
      <c r="X445" s="88">
        <v>0</v>
      </c>
      <c r="Y445" s="88">
        <v>0</v>
      </c>
      <c r="Z445" s="101"/>
      <c r="AA445" s="101"/>
      <c r="AB445" s="101"/>
      <c r="AC445" s="101"/>
      <c r="AD445" s="101"/>
      <c r="AE445" s="101"/>
      <c r="AF445" s="101"/>
      <c r="AG445" s="7">
        <f t="shared" si="208"/>
        <v>12669.333333333334</v>
      </c>
      <c r="AH445" s="12" t="str">
        <f>IF(ABS(E443-AG443)&lt;0.01,"ok","err")</f>
        <v>ok</v>
      </c>
    </row>
    <row r="447" spans="1:37" x14ac:dyDescent="0.2">
      <c r="A447" s="3" t="s">
        <v>690</v>
      </c>
      <c r="C447" s="3" t="s">
        <v>922</v>
      </c>
      <c r="E447" s="7">
        <f>'Billing Det'!$K$25</f>
        <v>373109.00015570904</v>
      </c>
      <c r="F447" s="24">
        <f>'Billing Det'!$K$8</f>
        <v>296810.2546160426</v>
      </c>
      <c r="G447" s="24">
        <f>'Billing Det'!$K$9</f>
        <v>19178.107656473534</v>
      </c>
      <c r="H447" s="7">
        <f>'Billing Det'!$K$10</f>
        <v>37980.56596169727</v>
      </c>
      <c r="I447" s="7">
        <f>'Billing Det'!$K$11</f>
        <v>6184.3392065092175</v>
      </c>
      <c r="J447" s="7">
        <f>'Billing Det'!$K$12</f>
        <v>7952.4174436090216</v>
      </c>
      <c r="K447" s="7">
        <f>'Billing Det'!$K$13</f>
        <v>5003.3152713773679</v>
      </c>
      <c r="L447" s="24">
        <f>'Billing Det'!$K$14</f>
        <v>0</v>
      </c>
      <c r="M447" s="7">
        <f>'Billing Det'!$K$15</f>
        <v>0</v>
      </c>
      <c r="N447" s="7">
        <f>'Billing Det'!$K$16</f>
        <v>0</v>
      </c>
      <c r="O447" s="7">
        <f>'Billing Det'!$K$17</f>
        <v>0</v>
      </c>
      <c r="P447" s="7">
        <f>'Billing Det'!$K$18</f>
        <v>0</v>
      </c>
      <c r="Q447" s="7">
        <f>'Billing Det'!$K$19</f>
        <v>0</v>
      </c>
      <c r="R447" s="7">
        <f>'Billing Det'!$K$20</f>
        <v>0</v>
      </c>
      <c r="S447" s="88">
        <f>'Billing Det'!$K$21</f>
        <v>0</v>
      </c>
      <c r="T447" s="88">
        <f>'Billing Det'!$K$22</f>
        <v>0</v>
      </c>
      <c r="U447" s="88">
        <f>'Billing Det'!$K$23</f>
        <v>0</v>
      </c>
      <c r="V447" s="88">
        <v>0</v>
      </c>
      <c r="W447" s="88">
        <v>0</v>
      </c>
      <c r="X447" s="88">
        <v>0</v>
      </c>
      <c r="Y447" s="88">
        <v>0</v>
      </c>
      <c r="Z447" s="88">
        <v>0</v>
      </c>
      <c r="AA447" s="88">
        <v>0</v>
      </c>
      <c r="AB447" s="88">
        <v>0</v>
      </c>
      <c r="AC447" s="88">
        <v>0</v>
      </c>
      <c r="AD447" s="88">
        <v>0</v>
      </c>
      <c r="AE447" s="88"/>
      <c r="AF447" s="88"/>
      <c r="AG447" s="65">
        <f>SUM(F447:AF447)</f>
        <v>373109.00015570904</v>
      </c>
      <c r="AH447" s="12" t="str">
        <f>IF(ABS(E447-AG447)&lt;0.01,"ok","err")</f>
        <v>ok</v>
      </c>
    </row>
    <row r="448" spans="1:37" x14ac:dyDescent="0.2">
      <c r="A448" s="3" t="s">
        <v>691</v>
      </c>
      <c r="C448" s="3" t="s">
        <v>923</v>
      </c>
      <c r="E448" s="7">
        <f>'Billing Det'!$J$25</f>
        <v>112557.00030985131</v>
      </c>
      <c r="F448" s="24">
        <f>'Billing Det'!$J$8</f>
        <v>89199.945203566371</v>
      </c>
      <c r="G448" s="24">
        <f>'Billing Det'!$J$9</f>
        <v>5707.7954580478954</v>
      </c>
      <c r="H448" s="7">
        <f>'Billing Det'!$J$10</f>
        <v>12825.638327293545</v>
      </c>
      <c r="I448" s="7">
        <f>'Billing Det'!$J$11</f>
        <v>1913.6122983870969</v>
      </c>
      <c r="J448" s="7">
        <f>'Billing Det'!$J$12</f>
        <v>2910.0090225563908</v>
      </c>
      <c r="K448" s="7">
        <f>'Billing Det'!$J$13</f>
        <v>0</v>
      </c>
      <c r="L448" s="24">
        <f>'Billing Det'!$J$14</f>
        <v>0</v>
      </c>
      <c r="M448" s="7">
        <f>'Billing Det'!$J$15</f>
        <v>0</v>
      </c>
      <c r="N448" s="7">
        <f>'Billing Det'!$J$16</f>
        <v>0</v>
      </c>
      <c r="O448" s="7">
        <f>'Billing Det'!$J$17</f>
        <v>0</v>
      </c>
      <c r="P448" s="7">
        <f>'Billing Det'!$J$18</f>
        <v>0</v>
      </c>
      <c r="Q448" s="7">
        <f>'Billing Det'!$J$19</f>
        <v>0</v>
      </c>
      <c r="R448" s="7">
        <f>'Billing Det'!$J$20</f>
        <v>0</v>
      </c>
      <c r="S448" s="88">
        <f>'Billing Det'!$J$21</f>
        <v>0</v>
      </c>
      <c r="T448" s="88">
        <f>'Billing Det'!$J$22</f>
        <v>0</v>
      </c>
      <c r="U448" s="88">
        <f>'Billing Det'!$J$23</f>
        <v>0</v>
      </c>
      <c r="V448" s="88">
        <v>0</v>
      </c>
      <c r="W448" s="88">
        <v>0</v>
      </c>
      <c r="X448" s="88">
        <v>0</v>
      </c>
      <c r="Y448" s="88">
        <v>0</v>
      </c>
      <c r="Z448" s="88">
        <v>0</v>
      </c>
      <c r="AA448" s="88">
        <v>0</v>
      </c>
      <c r="AB448" s="88">
        <v>0</v>
      </c>
      <c r="AC448" s="88">
        <v>0</v>
      </c>
      <c r="AD448" s="88">
        <v>0</v>
      </c>
      <c r="AE448" s="88"/>
      <c r="AF448" s="88"/>
      <c r="AG448" s="65">
        <f>SUM(F448:AF448)</f>
        <v>112557.00030985131</v>
      </c>
      <c r="AH448" s="12" t="str">
        <f>IF(ABS(E448-AG448)&lt;0.01,"ok","err")</f>
        <v>ok</v>
      </c>
    </row>
    <row r="449" spans="1:37" x14ac:dyDescent="0.2">
      <c r="A449" s="3" t="s">
        <v>861</v>
      </c>
      <c r="C449" s="3" t="s">
        <v>921</v>
      </c>
      <c r="E449" s="7">
        <f>'Billing Det'!$I$25</f>
        <v>485666.0004655603</v>
      </c>
      <c r="F449" s="24">
        <f>'Billing Det'!$I$8</f>
        <v>386010.19981960894</v>
      </c>
      <c r="G449" s="24">
        <f>'Billing Det'!$I$9</f>
        <v>24885.903114521429</v>
      </c>
      <c r="H449" s="7">
        <f>'Billing Det'!$I$10</f>
        <v>50806.204288990819</v>
      </c>
      <c r="I449" s="7">
        <f>'Billing Det'!$I$11</f>
        <v>8097.951504896314</v>
      </c>
      <c r="J449" s="7">
        <f>'Billing Det'!$I$12</f>
        <v>10862.426466165412</v>
      </c>
      <c r="K449" s="7">
        <f>'Billing Det'!$I$13</f>
        <v>5003.3152713773679</v>
      </c>
      <c r="L449" s="24">
        <f>'Billing Det'!$I$14</f>
        <v>0</v>
      </c>
      <c r="M449" s="7">
        <f>'Billing Det'!$I$15</f>
        <v>0</v>
      </c>
      <c r="N449" s="7">
        <f>'Billing Det'!$I$16</f>
        <v>0</v>
      </c>
      <c r="O449" s="7">
        <f>'Billing Det'!$I$17</f>
        <v>0</v>
      </c>
      <c r="P449" s="7">
        <f>'Billing Det'!$I$18</f>
        <v>0</v>
      </c>
      <c r="Q449" s="7">
        <f>'Billing Det'!$I$19</f>
        <v>0</v>
      </c>
      <c r="R449" s="7">
        <f>'Billing Det'!$I$20</f>
        <v>0</v>
      </c>
      <c r="S449" s="88">
        <f>'Billing Det'!$I$21</f>
        <v>0</v>
      </c>
      <c r="T449" s="88">
        <f>'Billing Det'!$I$22</f>
        <v>0</v>
      </c>
      <c r="U449" s="88">
        <f>'Billing Det'!$I$23</f>
        <v>0</v>
      </c>
      <c r="V449" s="88">
        <v>0</v>
      </c>
      <c r="W449" s="88">
        <v>0</v>
      </c>
      <c r="X449" s="88">
        <v>0</v>
      </c>
      <c r="Y449" s="88">
        <v>0</v>
      </c>
      <c r="Z449" s="88">
        <v>0</v>
      </c>
      <c r="AA449" s="88">
        <v>0</v>
      </c>
      <c r="AB449" s="88">
        <v>0</v>
      </c>
      <c r="AC449" s="88">
        <v>0</v>
      </c>
      <c r="AD449" s="88">
        <v>0</v>
      </c>
      <c r="AE449" s="88"/>
      <c r="AF449" s="88"/>
      <c r="AG449" s="65">
        <f>SUM(F449:AF449)</f>
        <v>485666.0004655603</v>
      </c>
      <c r="AH449" s="12" t="str">
        <f>IF(ABS(E449-AG449)&lt;0.01,"ok","err")</f>
        <v>ok</v>
      </c>
    </row>
    <row r="450" spans="1:37" x14ac:dyDescent="0.2">
      <c r="A450" s="3" t="s">
        <v>692</v>
      </c>
      <c r="C450" s="3" t="s">
        <v>566</v>
      </c>
      <c r="E450" s="7">
        <f>'Billing Det'!$H$25</f>
        <v>71127.252433733127</v>
      </c>
      <c r="F450" s="24">
        <f>'Billing Det'!$H$8</f>
        <v>57862.682820888382</v>
      </c>
      <c r="G450" s="24">
        <f>'Billing Det'!$H$9</f>
        <v>2926.390243853969</v>
      </c>
      <c r="H450" s="7">
        <f>'Billing Det'!$H$10</f>
        <v>6416.7940508567444</v>
      </c>
      <c r="I450" s="7">
        <f>'Billing Det'!$H$11</f>
        <v>1755.1478494623655</v>
      </c>
      <c r="J450" s="7">
        <f>'Billing Det'!$H$12</f>
        <v>1258.9398496240601</v>
      </c>
      <c r="K450" s="7">
        <f>'Billing Det'!$H$13</f>
        <v>907.29761904761904</v>
      </c>
      <c r="L450" s="24">
        <f>'Billing Det'!$H$14</f>
        <v>0</v>
      </c>
      <c r="M450" s="7">
        <f>'Billing Det'!$H$15</f>
        <v>0</v>
      </c>
      <c r="N450" s="7">
        <f>'Billing Det'!$H$16</f>
        <v>0</v>
      </c>
      <c r="O450" s="7">
        <f>'Billing Det'!$H$17</f>
        <v>0</v>
      </c>
      <c r="P450" s="7">
        <f>'Billing Det'!$H$18</f>
        <v>0</v>
      </c>
      <c r="Q450" s="7">
        <f>'Billing Det'!$H$19</f>
        <v>0</v>
      </c>
      <c r="R450" s="7">
        <f>'Billing Det'!$H$20</f>
        <v>0</v>
      </c>
      <c r="S450" s="88">
        <f>'Billing Det'!$H$21</f>
        <v>0</v>
      </c>
      <c r="T450" s="88">
        <f>'Billing Det'!$H$22</f>
        <v>0</v>
      </c>
      <c r="U450" s="88">
        <f>'Billing Det'!$H$23</f>
        <v>0</v>
      </c>
      <c r="V450" s="88">
        <v>0</v>
      </c>
      <c r="W450" s="88">
        <v>0</v>
      </c>
      <c r="X450" s="88">
        <v>0</v>
      </c>
      <c r="Y450" s="88">
        <v>0</v>
      </c>
      <c r="Z450" s="88">
        <v>0</v>
      </c>
      <c r="AA450" s="88">
        <v>0</v>
      </c>
      <c r="AB450" s="88">
        <v>0</v>
      </c>
      <c r="AC450" s="88">
        <v>0</v>
      </c>
      <c r="AD450" s="88">
        <v>0</v>
      </c>
      <c r="AE450" s="88"/>
      <c r="AF450" s="88"/>
      <c r="AG450" s="65">
        <f>SUM(F450:AF450)</f>
        <v>71127.252433733127</v>
      </c>
      <c r="AH450" s="12" t="str">
        <f>IF(ABS(E450-AG450)&lt;0.01,"ok","err")</f>
        <v>ok</v>
      </c>
    </row>
    <row r="451" spans="1:37" x14ac:dyDescent="0.2">
      <c r="A451" s="3" t="s">
        <v>717</v>
      </c>
      <c r="C451" s="3" t="s">
        <v>862</v>
      </c>
      <c r="E451" s="7">
        <f>'Billing Det'!$F$25</f>
        <v>1312752.7699296819</v>
      </c>
      <c r="F451" s="24">
        <f>'Billing Det'!$F$8</f>
        <v>1087864.9823277579</v>
      </c>
      <c r="G451" s="24">
        <f>'Billing Det'!$F$9</f>
        <v>39332.480633802814</v>
      </c>
      <c r="H451" s="7">
        <f>'Billing Det'!$F$10</f>
        <v>79986.506172839494</v>
      </c>
      <c r="I451" s="7">
        <f>'Billing Det'!$F$11</f>
        <v>39891.143712574856</v>
      </c>
      <c r="J451" s="7">
        <f>'Billing Det'!$F$12</f>
        <v>13578.033082706765</v>
      </c>
      <c r="K451" s="7">
        <f>'Billing Det'!$F$13</f>
        <v>52099.623999999996</v>
      </c>
      <c r="L451" s="24">
        <f>'Billing Det'!$F$14</f>
        <v>0</v>
      </c>
      <c r="M451" s="7">
        <f>'Billing Det'!$F$15</f>
        <v>0</v>
      </c>
      <c r="N451" s="7">
        <f>'Billing Det'!$F$16</f>
        <v>0</v>
      </c>
      <c r="O451" s="7">
        <f>'Billing Det'!$F$17</f>
        <v>0</v>
      </c>
      <c r="P451" s="7">
        <f>'Billing Det'!$F$18</f>
        <v>0</v>
      </c>
      <c r="Q451" s="7">
        <f>'Billing Det'!$F$19</f>
        <v>0</v>
      </c>
      <c r="R451" s="7">
        <f>'Billing Det'!$F$20</f>
        <v>0</v>
      </c>
      <c r="S451" s="88">
        <f>'Billing Det'!$F$21</f>
        <v>0</v>
      </c>
      <c r="T451" s="88">
        <f>'Billing Det'!$F$22</f>
        <v>0</v>
      </c>
      <c r="U451" s="88">
        <f>'Billing Det'!$F$23</f>
        <v>0</v>
      </c>
      <c r="V451" s="88">
        <v>0</v>
      </c>
      <c r="W451" s="88">
        <v>0</v>
      </c>
      <c r="X451" s="88">
        <v>0</v>
      </c>
      <c r="Y451" s="88">
        <v>0</v>
      </c>
      <c r="Z451" s="88">
        <v>0</v>
      </c>
      <c r="AA451" s="88">
        <v>0</v>
      </c>
      <c r="AB451" s="88">
        <v>0</v>
      </c>
      <c r="AC451" s="88">
        <v>0</v>
      </c>
      <c r="AD451" s="88">
        <v>0</v>
      </c>
      <c r="AE451" s="88"/>
      <c r="AF451" s="88"/>
      <c r="AG451" s="65">
        <f>SUM(F451:AF451)</f>
        <v>1312752.7699296819</v>
      </c>
      <c r="AH451" s="12" t="str">
        <f>IF(ABS(E451-AG451)&lt;0.01,"ok","err")</f>
        <v>ok</v>
      </c>
    </row>
    <row r="452" spans="1:37" x14ac:dyDescent="0.2">
      <c r="AK452" s="24"/>
    </row>
    <row r="453" spans="1:37" x14ac:dyDescent="0.2">
      <c r="A453" s="10" t="s">
        <v>873</v>
      </c>
    </row>
    <row r="454" spans="1:37" x14ac:dyDescent="0.2">
      <c r="E454" s="7"/>
      <c r="F454" s="24"/>
      <c r="G454" s="24"/>
      <c r="H454" s="7"/>
      <c r="I454" s="7"/>
      <c r="J454" s="7"/>
      <c r="K454" s="7"/>
      <c r="L454" s="24"/>
      <c r="M454" s="7"/>
      <c r="N454" s="7"/>
      <c r="O454" s="7"/>
      <c r="P454" s="7"/>
      <c r="Q454" s="7"/>
      <c r="R454" s="7"/>
      <c r="S454" s="88"/>
      <c r="T454" s="88"/>
      <c r="U454" s="88"/>
      <c r="V454" s="88"/>
      <c r="W454" s="88"/>
      <c r="X454" s="88"/>
      <c r="Y454" s="88"/>
      <c r="Z454" s="88"/>
      <c r="AA454" s="88"/>
      <c r="AB454" s="88"/>
      <c r="AC454" s="88"/>
      <c r="AD454" s="88"/>
      <c r="AE454" s="88"/>
      <c r="AF454" s="88"/>
      <c r="AG454" s="7"/>
      <c r="AH454" s="12"/>
    </row>
    <row r="455" spans="1:37" x14ac:dyDescent="0.2">
      <c r="A455" s="3" t="s">
        <v>598</v>
      </c>
      <c r="C455" s="3" t="s">
        <v>599</v>
      </c>
      <c r="E455" s="7">
        <v>485666.0004655603</v>
      </c>
      <c r="F455" s="24">
        <f>F449</f>
        <v>386010.19981960894</v>
      </c>
      <c r="G455" s="24">
        <f t="shared" ref="G455:S455" si="221">G449</f>
        <v>24885.903114521429</v>
      </c>
      <c r="H455" s="7">
        <f t="shared" si="221"/>
        <v>50806.204288990819</v>
      </c>
      <c r="I455" s="7">
        <f t="shared" si="221"/>
        <v>8097.951504896314</v>
      </c>
      <c r="J455" s="7">
        <f t="shared" si="221"/>
        <v>10862.426466165412</v>
      </c>
      <c r="K455" s="7">
        <f t="shared" si="221"/>
        <v>5003.3152713773679</v>
      </c>
      <c r="L455" s="7">
        <f t="shared" si="221"/>
        <v>0</v>
      </c>
      <c r="M455" s="7">
        <f t="shared" si="221"/>
        <v>0</v>
      </c>
      <c r="N455" s="7">
        <f t="shared" si="221"/>
        <v>0</v>
      </c>
      <c r="O455" s="7">
        <f t="shared" si="221"/>
        <v>0</v>
      </c>
      <c r="P455" s="7">
        <f t="shared" si="221"/>
        <v>0</v>
      </c>
      <c r="Q455" s="7">
        <f t="shared" si="221"/>
        <v>0</v>
      </c>
      <c r="R455" s="7">
        <f t="shared" si="221"/>
        <v>0</v>
      </c>
      <c r="S455" s="88">
        <f t="shared" si="221"/>
        <v>0</v>
      </c>
      <c r="T455" s="88">
        <f t="shared" ref="T455:AF455" si="222">T450</f>
        <v>0</v>
      </c>
      <c r="U455" s="88">
        <f t="shared" si="222"/>
        <v>0</v>
      </c>
      <c r="V455" s="88">
        <f t="shared" si="222"/>
        <v>0</v>
      </c>
      <c r="W455" s="88">
        <f t="shared" si="222"/>
        <v>0</v>
      </c>
      <c r="X455" s="88">
        <f t="shared" si="222"/>
        <v>0</v>
      </c>
      <c r="Y455" s="88">
        <f t="shared" si="222"/>
        <v>0</v>
      </c>
      <c r="Z455" s="88">
        <f t="shared" si="222"/>
        <v>0</v>
      </c>
      <c r="AA455" s="88">
        <f t="shared" si="222"/>
        <v>0</v>
      </c>
      <c r="AB455" s="88">
        <f t="shared" si="222"/>
        <v>0</v>
      </c>
      <c r="AC455" s="88">
        <f t="shared" si="222"/>
        <v>0</v>
      </c>
      <c r="AD455" s="88">
        <f t="shared" si="222"/>
        <v>0</v>
      </c>
      <c r="AE455" s="88">
        <f t="shared" si="222"/>
        <v>0</v>
      </c>
      <c r="AF455" s="88">
        <f t="shared" si="222"/>
        <v>0</v>
      </c>
      <c r="AG455" s="7">
        <f>SUM(F455:AF455)</f>
        <v>485666.0004655603</v>
      </c>
      <c r="AH455" s="12" t="str">
        <f t="shared" ref="AH455:AH460" si="223">IF(ABS(E455-AG455)&lt;0.01,"ok","err")</f>
        <v>ok</v>
      </c>
    </row>
    <row r="456" spans="1:37" x14ac:dyDescent="0.2">
      <c r="A456" s="3" t="s">
        <v>597</v>
      </c>
      <c r="E456" s="65">
        <f>'Func &amp; Classif'!K35</f>
        <v>0</v>
      </c>
      <c r="AG456" s="65">
        <f>E456</f>
        <v>0</v>
      </c>
      <c r="AH456" s="12" t="str">
        <f t="shared" si="223"/>
        <v>ok</v>
      </c>
    </row>
    <row r="457" spans="1:37" x14ac:dyDescent="0.2">
      <c r="A457" s="3" t="s">
        <v>595</v>
      </c>
      <c r="E457" s="41"/>
      <c r="M457" s="7">
        <v>0</v>
      </c>
      <c r="N457" s="7">
        <v>0</v>
      </c>
      <c r="O457" s="7"/>
      <c r="P457" s="7"/>
      <c r="AG457" s="65">
        <f>SUM(F457:AF457)</f>
        <v>0</v>
      </c>
      <c r="AH457" s="12" t="str">
        <f t="shared" si="223"/>
        <v>ok</v>
      </c>
    </row>
    <row r="458" spans="1:37" x14ac:dyDescent="0.2">
      <c r="A458" s="3" t="s">
        <v>596</v>
      </c>
      <c r="D458" s="3" t="s">
        <v>599</v>
      </c>
      <c r="E458" s="65">
        <f>E456-E457</f>
        <v>0</v>
      </c>
      <c r="F458" s="41">
        <f>IF(VLOOKUP($D458,$C$5:$AU$534,3,)=0,0,(VLOOKUP($D458,$C$5:$AU$534,4,)/VLOOKUP($D458,$C$5:$AU$534,3,))*$E458)</f>
        <v>0</v>
      </c>
      <c r="G458" s="41">
        <f>IF(VLOOKUP($D458,$C$5:$AU$534,3,)=0,0,(VLOOKUP($D458,$C$5:$AU$534,5,)/VLOOKUP($D458,$C$5:$AU$534,3,))*$E458)</f>
        <v>0</v>
      </c>
      <c r="H458" s="19">
        <f>IF(VLOOKUP($D458,$C$5:$AU$534,3,)=0,0,(VLOOKUP($D458,$C$5:$AU$534,6,)/VLOOKUP($D458,$C$5:$AU$534,3,))*$E458)</f>
        <v>0</v>
      </c>
      <c r="I458" s="19">
        <f>IF(VLOOKUP($D458,$C$5:$AU$534,3,)=0,0,(VLOOKUP($D458,$C$5:$AU$534,7,)/VLOOKUP($D458,$C$5:$AU$534,3,))*$E458)</f>
        <v>0</v>
      </c>
      <c r="J458" s="19">
        <f>IF(VLOOKUP($D458,$C$5:$AU$534,3,)=0,0,(VLOOKUP($D458,$C$5:$AU$534,8,)/VLOOKUP($D458,$C$5:$AU$534,3,))*$E458)</f>
        <v>0</v>
      </c>
      <c r="K458" s="19">
        <f>IF(VLOOKUP($D458,$C$5:$AU$534,3,)=0,0,(VLOOKUP($D458,$C$5:$AU$534,9,)/VLOOKUP($D458,$C$5:$AU$534,3,))*$E458)</f>
        <v>0</v>
      </c>
      <c r="L458" s="41">
        <f>IF(VLOOKUP($D458,$C$5:$AU$534,3,)=0,0,(VLOOKUP($D458,$C$5:$AU$534,10,)/VLOOKUP($D458,$C$5:$AU$534,3,))*$E458)</f>
        <v>0</v>
      </c>
      <c r="M458" s="19">
        <f>IF(VLOOKUP($D458,$C$5:$AU$534,3,)=0,0,(VLOOKUP($D458,$C$5:$AU$534,11,)/VLOOKUP($D458,$C$5:$AU$534,3,))*$E458)</f>
        <v>0</v>
      </c>
      <c r="N458" s="19">
        <f>IF(VLOOKUP($D458,$C$5:$AU$534,3,)=0,0,(VLOOKUP($D458,$C$5:$AU$534,12,)/VLOOKUP($D458,$C$5:$AU$534,3,))*$E458)</f>
        <v>0</v>
      </c>
      <c r="O458" s="19">
        <f>IF(VLOOKUP($D458,$C$5:$AU$534,3,)=0,0,(VLOOKUP($D458,$C$5:$AU$534,13,)/VLOOKUP($D458,$C$5:$AU$534,3,))*$E458)</f>
        <v>0</v>
      </c>
      <c r="P458" s="19">
        <f>IF(VLOOKUP($D458,$C$5:$AU$534,3,)=0,0,(VLOOKUP($D458,$C$5:$AU$534,14,)/VLOOKUP($D458,$C$5:$AU$534,3,))*$E458)</f>
        <v>0</v>
      </c>
      <c r="Q458" s="19">
        <f>IF(VLOOKUP($D458,$C$5:$AU$534,3,)=0,0,(VLOOKUP($D458,$C$5:$AU$534,15,)/VLOOKUP($D458,$C$5:$AU$534,3,))*$E458)</f>
        <v>0</v>
      </c>
      <c r="R458" s="19">
        <f>IF(VLOOKUP($D458,$C$5:$AU$534,3,)=0,0,(VLOOKUP($D458,$C$5:$AU$534,16,)/VLOOKUP($D458,$C$5:$AU$534,3,))*$E458)</f>
        <v>0</v>
      </c>
      <c r="S458" s="80">
        <f>IF(VLOOKUP($D458,$C$5:$AU$534,3,)=0,0,(VLOOKUP($D458,$C$5:$AU$534,17,)/VLOOKUP($D458,$C$5:$AU$534,3,))*$E458)</f>
        <v>0</v>
      </c>
      <c r="T458" s="80">
        <f>IF(VLOOKUP($D458,$C$5:$AU$534,3,)=0,0,(VLOOKUP($D458,$C$5:$AU$534,18,)/VLOOKUP($D458,$C$5:$AU$534,3,))*$E458)</f>
        <v>0</v>
      </c>
      <c r="U458" s="80">
        <f>IF(VLOOKUP($D458,$C$5:$AU$534,3,)=0,0,(VLOOKUP($D458,$C$5:$AU$534,19,)/VLOOKUP($D458,$C$5:$AU$534,3,))*$E458)</f>
        <v>0</v>
      </c>
      <c r="V458" s="80">
        <f>IF(VLOOKUP($D458,$C$5:$AU$534,3,)=0,0,(VLOOKUP($D458,$C$5:$AU$534,20,)/VLOOKUP($D458,$C$5:$AU$534,3,))*$E458)</f>
        <v>0</v>
      </c>
      <c r="W458" s="80">
        <f>IF(VLOOKUP($D458,$C$5:$AU$534,3,)=0,0,(VLOOKUP($D458,$C$5:$AU$534,21,)/VLOOKUP($D458,$C$5:$AU$534,3,))*$E458)</f>
        <v>0</v>
      </c>
      <c r="X458" s="80">
        <f>IF(VLOOKUP($D458,$C$5:$AU$534,3,)=0,0,(VLOOKUP($D458,$C$5:$AU$534,22,)/VLOOKUP($D458,$C$5:$AU$534,3,))*$E458)</f>
        <v>0</v>
      </c>
      <c r="Y458" s="80">
        <f>IF(VLOOKUP($D458,$C$5:$AU$534,3,)=0,0,(VLOOKUP($D458,$C$5:$AU$534,23,)/VLOOKUP($D458,$C$5:$AU$534,3,))*$E458)</f>
        <v>0</v>
      </c>
      <c r="Z458" s="80">
        <f>IF(VLOOKUP($D458,$C$5:$AU$534,3,)=0,0,(VLOOKUP($D458,$C$5:$AU$534,24,)/VLOOKUP($D458,$C$5:$AU$534,3,))*$E458)</f>
        <v>0</v>
      </c>
      <c r="AA458" s="80">
        <f>IF(VLOOKUP($D458,$C$5:$AU$534,3,)=0,0,(VLOOKUP($D458,$C$5:$AU$534,25,)/VLOOKUP($D458,$C$5:$AU$534,3,))*$E458)</f>
        <v>0</v>
      </c>
      <c r="AB458" s="80">
        <f>IF(VLOOKUP($D458,$C$5:$AU$534,3,)=0,0,(VLOOKUP($D458,$C$5:$AU$534,26,)/VLOOKUP($D458,$C$5:$AU$534,3,))*$E458)</f>
        <v>0</v>
      </c>
      <c r="AC458" s="80">
        <f>IF(VLOOKUP($D458,$C$5:$AU$534,3,)=0,0,(VLOOKUP($D458,$C$5:$AU$534,27,)/VLOOKUP($D458,$C$5:$AU$534,3,))*$E458)</f>
        <v>0</v>
      </c>
      <c r="AD458" s="80">
        <f>IF(VLOOKUP($D458,$C$5:$AU$534,3,)=0,0,(VLOOKUP($D458,$C$5:$AU$534,28,)/VLOOKUP($D458,$C$5:$AU$534,3,))*$E458)</f>
        <v>0</v>
      </c>
      <c r="AE458" s="80">
        <f>IF(VLOOKUP($D458,$C$5:$AU$534,3,)=0,0,(VLOOKUP($D458,$C$5:$AU$534,29,)/VLOOKUP($D458,$C$5:$AU$534,3,))*$E458)</f>
        <v>0</v>
      </c>
      <c r="AF458" s="80">
        <f>IF(VLOOKUP($D458,$C$5:$AU$534,3,)=0,0,(VLOOKUP($D458,$C$5:$AU$534,30,)/VLOOKUP($D458,$C$5:$AU$534,3,))*$E458)</f>
        <v>0</v>
      </c>
      <c r="AG458" s="65">
        <f>SUM(F458:AF458)</f>
        <v>0</v>
      </c>
      <c r="AH458" s="12" t="str">
        <f t="shared" si="223"/>
        <v>ok</v>
      </c>
    </row>
    <row r="459" spans="1:37" x14ac:dyDescent="0.2">
      <c r="A459" s="3" t="s">
        <v>601</v>
      </c>
      <c r="C459" s="3" t="s">
        <v>600</v>
      </c>
      <c r="E459" s="65">
        <f>E457+E458</f>
        <v>0</v>
      </c>
      <c r="F459" s="65">
        <f t="shared" ref="F459:U459" si="224">F457+F458</f>
        <v>0</v>
      </c>
      <c r="G459" s="65">
        <f t="shared" si="224"/>
        <v>0</v>
      </c>
      <c r="H459" s="65">
        <f t="shared" si="224"/>
        <v>0</v>
      </c>
      <c r="I459" s="65">
        <f t="shared" si="224"/>
        <v>0</v>
      </c>
      <c r="J459" s="65">
        <f t="shared" si="224"/>
        <v>0</v>
      </c>
      <c r="K459" s="65">
        <f t="shared" si="224"/>
        <v>0</v>
      </c>
      <c r="L459" s="65">
        <f t="shared" si="224"/>
        <v>0</v>
      </c>
      <c r="M459" s="65">
        <f t="shared" si="224"/>
        <v>0</v>
      </c>
      <c r="N459" s="65">
        <f t="shared" si="224"/>
        <v>0</v>
      </c>
      <c r="O459" s="65">
        <f t="shared" si="224"/>
        <v>0</v>
      </c>
      <c r="P459" s="65">
        <f t="shared" si="224"/>
        <v>0</v>
      </c>
      <c r="Q459" s="65">
        <f t="shared" si="224"/>
        <v>0</v>
      </c>
      <c r="R459" s="65">
        <f t="shared" si="224"/>
        <v>0</v>
      </c>
      <c r="S459" s="87">
        <f t="shared" si="224"/>
        <v>0</v>
      </c>
      <c r="T459" s="87">
        <f t="shared" si="224"/>
        <v>0</v>
      </c>
      <c r="U459" s="87">
        <f t="shared" si="224"/>
        <v>0</v>
      </c>
      <c r="V459" s="87"/>
      <c r="W459" s="87"/>
      <c r="X459" s="87"/>
      <c r="Y459" s="87"/>
      <c r="Z459" s="87"/>
      <c r="AA459" s="87"/>
      <c r="AB459" s="87"/>
      <c r="AC459" s="87"/>
      <c r="AD459" s="87"/>
      <c r="AE459" s="87"/>
      <c r="AF459" s="87"/>
      <c r="AG459" s="65">
        <f>SUM(F459:AF459)</f>
        <v>0</v>
      </c>
      <c r="AH459" s="12" t="str">
        <f t="shared" si="223"/>
        <v>ok</v>
      </c>
    </row>
    <row r="460" spans="1:37" x14ac:dyDescent="0.2">
      <c r="A460" s="3" t="s">
        <v>623</v>
      </c>
      <c r="C460" s="3" t="s">
        <v>602</v>
      </c>
      <c r="D460" s="3" t="s">
        <v>600</v>
      </c>
      <c r="E460" s="97">
        <v>0</v>
      </c>
      <c r="F460" s="72">
        <f>IF(VLOOKUP($D460,$C$5:$AU$534,3,)=0,0,(VLOOKUP($D460,$C$5:$AU$534,4,)/VLOOKUP($D460,$C$5:$AU$534,3,))*$E460)</f>
        <v>0</v>
      </c>
      <c r="G460" s="72">
        <f>IF(VLOOKUP($D460,$C$5:$AU$534,3,)=0,0,(VLOOKUP($D460,$C$5:$AU$534,5,)/VLOOKUP($D460,$C$5:$AU$534,3,))*$E460)</f>
        <v>0</v>
      </c>
      <c r="H460" s="17">
        <f>IF(VLOOKUP($D460,$C$5:$AU$534,3,)=0,0,(VLOOKUP($D460,$C$5:$AU$534,6,)/VLOOKUP($D460,$C$5:$AU$534,3,))*$E460)</f>
        <v>0</v>
      </c>
      <c r="I460" s="17">
        <f>IF(VLOOKUP($D460,$C$5:$AU$534,3,)=0,0,(VLOOKUP($D460,$C$5:$AU$534,7,)/VLOOKUP($D460,$C$5:$AU$534,3,))*$E460)</f>
        <v>0</v>
      </c>
      <c r="J460" s="17">
        <f>IF(VLOOKUP($D460,$C$5:$AU$534,3,)=0,0,(VLOOKUP($D460,$C$5:$AU$534,8,)/VLOOKUP($D460,$C$5:$AU$534,3,))*$E460)</f>
        <v>0</v>
      </c>
      <c r="K460" s="17">
        <f>IF(VLOOKUP($D460,$C$5:$AU$534,3,)=0,0,(VLOOKUP($D460,$C$5:$AU$534,9,)/VLOOKUP($D460,$C$5:$AU$534,3,))*$E460)</f>
        <v>0</v>
      </c>
      <c r="L460" s="72">
        <f>IF(VLOOKUP($D460,$C$5:$AU$534,3,)=0,0,(VLOOKUP($D460,$C$5:$AU$534,10,)/VLOOKUP($D460,$C$5:$AU$534,3,))*$E460)</f>
        <v>0</v>
      </c>
      <c r="M460" s="17">
        <f>IF(VLOOKUP($D460,$C$5:$AU$534,3,)=0,0,(VLOOKUP($D460,$C$5:$AU$534,11,)/VLOOKUP($D460,$C$5:$AU$534,3,))*$E460)</f>
        <v>0</v>
      </c>
      <c r="N460" s="17">
        <f>IF(VLOOKUP($D460,$C$5:$AU$534,3,)=0,0,(VLOOKUP($D460,$C$5:$AU$534,12,)/VLOOKUP($D460,$C$5:$AU$534,3,))*$E460)</f>
        <v>0</v>
      </c>
      <c r="O460" s="17">
        <f>IF(VLOOKUP($D460,$C$5:$AU$534,3,)=0,0,(VLOOKUP($D460,$C$5:$AU$534,13,)/VLOOKUP($D460,$C$5:$AU$534,3,))*$E460)</f>
        <v>0</v>
      </c>
      <c r="P460" s="17">
        <f>IF(VLOOKUP($D460,$C$5:$AU$534,3,)=0,0,(VLOOKUP($D460,$C$5:$AU$534,14,)/VLOOKUP($D460,$C$5:$AU$534,3,))*$E460)</f>
        <v>0</v>
      </c>
      <c r="Q460" s="17">
        <f>IF(VLOOKUP($D460,$C$5:$AU$534,3,)=0,0,(VLOOKUP($D460,$C$5:$AU$534,15,)/VLOOKUP($D460,$C$5:$AU$534,3,))*$E460)</f>
        <v>0</v>
      </c>
      <c r="R460" s="17">
        <f>IF(VLOOKUP($D460,$C$5:$AU$534,3,)=0,0,(VLOOKUP($D460,$C$5:$AU$534,16,)/VLOOKUP($D460,$C$5:$AU$534,3,))*$E460)</f>
        <v>0</v>
      </c>
      <c r="S460" s="102">
        <f>IF(VLOOKUP($D460,$C$5:$AU$534,3,)=0,0,(VLOOKUP($D460,$C$5:$AU$534,17,)/VLOOKUP($D460,$C$5:$AU$534,3,))*$E460)</f>
        <v>0</v>
      </c>
      <c r="T460" s="102">
        <f>IF(VLOOKUP($D460,$C$5:$AU$534,3,)=0,0,(VLOOKUP($D460,$C$5:$AU$534,18,)/VLOOKUP($D460,$C$5:$AU$534,3,))*$E460)</f>
        <v>0</v>
      </c>
      <c r="U460" s="102">
        <f>IF(VLOOKUP($D460,$C$5:$AU$534,3,)=0,0,(VLOOKUP($D460,$C$5:$AU$534,19,)/VLOOKUP($D460,$C$5:$AU$534,3,))*$E460)</f>
        <v>0</v>
      </c>
      <c r="V460" s="102">
        <f>IF(VLOOKUP($D460,$C$5:$AU$534,3,)=0,0,(VLOOKUP($D460,$C$5:$AU$534,20,)/VLOOKUP($D460,$C$5:$AU$534,3,))*$E460)</f>
        <v>0</v>
      </c>
      <c r="W460" s="102">
        <f>IF(VLOOKUP($D460,$C$5:$AU$534,3,)=0,0,(VLOOKUP($D460,$C$5:$AU$534,21,)/VLOOKUP($D460,$C$5:$AU$534,3,))*$E460)</f>
        <v>0</v>
      </c>
      <c r="X460" s="102">
        <f>IF(VLOOKUP($D460,$C$5:$AU$534,3,)=0,0,(VLOOKUP($D460,$C$5:$AU$534,22,)/VLOOKUP($D460,$C$5:$AU$534,3,))*$E460)</f>
        <v>0</v>
      </c>
      <c r="Y460" s="102">
        <f>IF(VLOOKUP($D460,$C$5:$AU$534,3,)=0,0,(VLOOKUP($D460,$C$5:$AU$534,23,)/VLOOKUP($D460,$C$5:$AU$534,3,))*$E460)</f>
        <v>0</v>
      </c>
      <c r="Z460" s="102">
        <f>IF(VLOOKUP($D460,$C$5:$AU$534,3,)=0,0,(VLOOKUP($D460,$C$5:$AU$534,24,)/VLOOKUP($D460,$C$5:$AU$534,3,))*$E460)</f>
        <v>0</v>
      </c>
      <c r="AA460" s="102">
        <f>IF(VLOOKUP($D460,$C$5:$AU$534,3,)=0,0,(VLOOKUP($D460,$C$5:$AU$534,25,)/VLOOKUP($D460,$C$5:$AU$534,3,))*$E460)</f>
        <v>0</v>
      </c>
      <c r="AB460" s="102">
        <f>IF(VLOOKUP($D460,$C$5:$AU$534,3,)=0,0,(VLOOKUP($D460,$C$5:$AU$534,26,)/VLOOKUP($D460,$C$5:$AU$534,3,))*$E460)</f>
        <v>0</v>
      </c>
      <c r="AC460" s="102">
        <f>IF(VLOOKUP($D460,$C$5:$AU$534,3,)=0,0,(VLOOKUP($D460,$C$5:$AU$534,27,)/VLOOKUP($D460,$C$5:$AU$534,3,))*$E460)</f>
        <v>0</v>
      </c>
      <c r="AD460" s="102">
        <f>IF(VLOOKUP($D460,$C$5:$AU$534,3,)=0,0,(VLOOKUP($D460,$C$5:$AU$534,28,)/VLOOKUP($D460,$C$5:$AU$534,3,))*$E460)</f>
        <v>0</v>
      </c>
      <c r="AE460" s="102">
        <f>IF(VLOOKUP($D460,$C$5:$AU$534,3,)=0,0,(VLOOKUP($D460,$C$5:$AU$534,29,)/VLOOKUP($D460,$C$5:$AU$534,3,))*$E460)</f>
        <v>0</v>
      </c>
      <c r="AF460" s="102">
        <f>IF(VLOOKUP($D460,$C$5:$AU$534,3,)=0,0,(VLOOKUP($D460,$C$5:$AU$534,30,)/VLOOKUP($D460,$C$5:$AU$534,3,))*$E460)</f>
        <v>0</v>
      </c>
      <c r="AG460" s="17">
        <f>SUM(F460:AF460)</f>
        <v>0</v>
      </c>
      <c r="AH460" s="12" t="str">
        <f t="shared" si="223"/>
        <v>ok</v>
      </c>
    </row>
    <row r="461" spans="1:37" x14ac:dyDescent="0.2">
      <c r="E461" s="97"/>
      <c r="F461" s="23"/>
      <c r="G461" s="23"/>
      <c r="H461" s="97"/>
      <c r="I461" s="97"/>
      <c r="J461" s="97"/>
      <c r="K461" s="97"/>
      <c r="L461" s="23"/>
      <c r="M461" s="97"/>
      <c r="N461" s="97"/>
      <c r="O461" s="97"/>
      <c r="P461" s="97"/>
      <c r="Q461" s="97"/>
      <c r="R461" s="97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7"/>
      <c r="AH461" s="12"/>
    </row>
    <row r="462" spans="1:37" x14ac:dyDescent="0.2">
      <c r="A462" s="3" t="s">
        <v>598</v>
      </c>
      <c r="C462" s="3" t="s">
        <v>624</v>
      </c>
      <c r="E462" s="7">
        <f t="shared" ref="E462:AF462" si="225">E455</f>
        <v>485666.0004655603</v>
      </c>
      <c r="F462" s="24">
        <f t="shared" si="225"/>
        <v>386010.19981960894</v>
      </c>
      <c r="G462" s="24">
        <f t="shared" si="225"/>
        <v>24885.903114521429</v>
      </c>
      <c r="H462" s="7">
        <f t="shared" si="225"/>
        <v>50806.204288990819</v>
      </c>
      <c r="I462" s="7">
        <f t="shared" si="225"/>
        <v>8097.951504896314</v>
      </c>
      <c r="J462" s="7">
        <f t="shared" si="225"/>
        <v>10862.426466165412</v>
      </c>
      <c r="K462" s="7">
        <f t="shared" si="225"/>
        <v>5003.3152713773679</v>
      </c>
      <c r="L462" s="24">
        <f t="shared" si="225"/>
        <v>0</v>
      </c>
      <c r="M462" s="7">
        <f t="shared" si="225"/>
        <v>0</v>
      </c>
      <c r="N462" s="7">
        <f t="shared" si="225"/>
        <v>0</v>
      </c>
      <c r="O462" s="7">
        <f t="shared" si="225"/>
        <v>0</v>
      </c>
      <c r="P462" s="7">
        <f t="shared" si="225"/>
        <v>0</v>
      </c>
      <c r="Q462" s="7">
        <f t="shared" si="225"/>
        <v>0</v>
      </c>
      <c r="R462" s="7">
        <f t="shared" si="225"/>
        <v>0</v>
      </c>
      <c r="S462" s="88">
        <f t="shared" si="225"/>
        <v>0</v>
      </c>
      <c r="T462" s="88">
        <f t="shared" si="225"/>
        <v>0</v>
      </c>
      <c r="U462" s="88">
        <f t="shared" si="225"/>
        <v>0</v>
      </c>
      <c r="V462" s="88">
        <f t="shared" si="225"/>
        <v>0</v>
      </c>
      <c r="W462" s="88">
        <f t="shared" si="225"/>
        <v>0</v>
      </c>
      <c r="X462" s="88">
        <f t="shared" si="225"/>
        <v>0</v>
      </c>
      <c r="Y462" s="88">
        <f t="shared" si="225"/>
        <v>0</v>
      </c>
      <c r="Z462" s="88">
        <f t="shared" si="225"/>
        <v>0</v>
      </c>
      <c r="AA462" s="88">
        <f t="shared" si="225"/>
        <v>0</v>
      </c>
      <c r="AB462" s="88">
        <f t="shared" si="225"/>
        <v>0</v>
      </c>
      <c r="AC462" s="88">
        <f t="shared" si="225"/>
        <v>0</v>
      </c>
      <c r="AD462" s="88">
        <f t="shared" si="225"/>
        <v>0</v>
      </c>
      <c r="AE462" s="88">
        <f t="shared" si="225"/>
        <v>0</v>
      </c>
      <c r="AF462" s="88">
        <f t="shared" si="225"/>
        <v>0</v>
      </c>
      <c r="AG462" s="7">
        <f>SUM(F462:AF462)</f>
        <v>485666.0004655603</v>
      </c>
      <c r="AH462" s="12" t="str">
        <f t="shared" ref="AH462:AH467" si="226">IF(ABS(E462-AG462)&lt;0.01,"ok","err")</f>
        <v>ok</v>
      </c>
    </row>
    <row r="463" spans="1:37" x14ac:dyDescent="0.2">
      <c r="A463" s="3" t="s">
        <v>597</v>
      </c>
      <c r="E463" s="65">
        <f>E456</f>
        <v>0</v>
      </c>
      <c r="AG463" s="65">
        <f>E463</f>
        <v>0</v>
      </c>
      <c r="AH463" s="12" t="str">
        <f t="shared" si="226"/>
        <v>ok</v>
      </c>
    </row>
    <row r="464" spans="1:37" x14ac:dyDescent="0.2">
      <c r="A464" s="3" t="s">
        <v>595</v>
      </c>
      <c r="E464" s="41">
        <f>E457</f>
        <v>0</v>
      </c>
      <c r="F464" s="41">
        <f>F457</f>
        <v>0</v>
      </c>
      <c r="G464" s="41">
        <f t="shared" ref="G464:S464" si="227">G457</f>
        <v>0</v>
      </c>
      <c r="H464" s="41">
        <f t="shared" si="227"/>
        <v>0</v>
      </c>
      <c r="I464" s="41">
        <f t="shared" si="227"/>
        <v>0</v>
      </c>
      <c r="J464" s="41">
        <f t="shared" si="227"/>
        <v>0</v>
      </c>
      <c r="K464" s="41">
        <f t="shared" si="227"/>
        <v>0</v>
      </c>
      <c r="L464" s="41">
        <f t="shared" si="227"/>
        <v>0</v>
      </c>
      <c r="M464" s="41">
        <f t="shared" si="227"/>
        <v>0</v>
      </c>
      <c r="N464" s="3">
        <f t="shared" si="227"/>
        <v>0</v>
      </c>
      <c r="O464" s="7">
        <f t="shared" si="227"/>
        <v>0</v>
      </c>
      <c r="P464" s="7">
        <f t="shared" si="227"/>
        <v>0</v>
      </c>
      <c r="Q464" s="3">
        <f t="shared" si="227"/>
        <v>0</v>
      </c>
      <c r="R464" s="3">
        <f t="shared" si="227"/>
        <v>0</v>
      </c>
      <c r="S464" s="73">
        <f t="shared" si="227"/>
        <v>0</v>
      </c>
      <c r="AG464" s="65">
        <f>SUM(F464:AF464)</f>
        <v>0</v>
      </c>
      <c r="AH464" s="12" t="str">
        <f t="shared" si="226"/>
        <v>ok</v>
      </c>
    </row>
    <row r="465" spans="1:37" x14ac:dyDescent="0.2">
      <c r="A465" s="3" t="s">
        <v>596</v>
      </c>
      <c r="D465" s="3" t="s">
        <v>624</v>
      </c>
      <c r="E465" s="65">
        <f>E463-E464</f>
        <v>0</v>
      </c>
      <c r="F465" s="41">
        <f>IF(VLOOKUP($D465,$C$5:$AU$534,3,)=0,0,(VLOOKUP($D465,$C$5:$AU$534,4,)/VLOOKUP($D465,$C$5:$AU$534,3,))*$E465)</f>
        <v>0</v>
      </c>
      <c r="G465" s="41">
        <f>IF(VLOOKUP($D465,$C$5:$AU$534,3,)=0,0,(VLOOKUP($D465,$C$5:$AU$534,5,)/VLOOKUP($D465,$C$5:$AU$534,3,))*$E465)</f>
        <v>0</v>
      </c>
      <c r="H465" s="19">
        <f>IF(VLOOKUP($D465,$C$5:$AU$534,3,)=0,0,(VLOOKUP($D465,$C$5:$AU$534,6,)/VLOOKUP($D465,$C$5:$AU$534,3,))*$E465)</f>
        <v>0</v>
      </c>
      <c r="I465" s="19">
        <f>IF(VLOOKUP($D465,$C$5:$AU$534,3,)=0,0,(VLOOKUP($D465,$C$5:$AU$534,7,)/VLOOKUP($D465,$C$5:$AU$534,3,))*$E465)</f>
        <v>0</v>
      </c>
      <c r="J465" s="19">
        <f>IF(VLOOKUP($D465,$C$5:$AU$534,3,)=0,0,(VLOOKUP($D465,$C$5:$AU$534,8,)/VLOOKUP($D465,$C$5:$AU$534,3,))*$E465)</f>
        <v>0</v>
      </c>
      <c r="K465" s="19">
        <f>IF(VLOOKUP($D465,$C$5:$AU$534,3,)=0,0,(VLOOKUP($D465,$C$5:$AU$534,9,)/VLOOKUP($D465,$C$5:$AU$534,3,))*$E465)</f>
        <v>0</v>
      </c>
      <c r="L465" s="41">
        <f>IF(VLOOKUP($D465,$C$5:$AU$534,3,)=0,0,(VLOOKUP($D465,$C$5:$AU$534,10,)/VLOOKUP($D465,$C$5:$AU$534,3,))*$E465)</f>
        <v>0</v>
      </c>
      <c r="M465" s="19">
        <f>IF(VLOOKUP($D465,$C$5:$AU$534,3,)=0,0,(VLOOKUP($D465,$C$5:$AU$534,11,)/VLOOKUP($D465,$C$5:$AU$534,3,))*$E465)</f>
        <v>0</v>
      </c>
      <c r="N465" s="19">
        <f>IF(VLOOKUP($D465,$C$5:$AU$534,3,)=0,0,(VLOOKUP($D465,$C$5:$AU$534,12,)/VLOOKUP($D465,$C$5:$AU$534,3,))*$E465)</f>
        <v>0</v>
      </c>
      <c r="O465" s="19">
        <f>IF(VLOOKUP($D465,$C$5:$AU$534,3,)=0,0,(VLOOKUP($D465,$C$5:$AU$534,13,)/VLOOKUP($D465,$C$5:$AU$534,3,))*$E465)</f>
        <v>0</v>
      </c>
      <c r="P465" s="19">
        <f>IF(VLOOKUP($D465,$C$5:$AU$534,3,)=0,0,(VLOOKUP($D465,$C$5:$AU$534,14,)/VLOOKUP($D465,$C$5:$AU$534,3,))*$E465)</f>
        <v>0</v>
      </c>
      <c r="Q465" s="19">
        <f>IF(VLOOKUP($D465,$C$5:$AU$534,3,)=0,0,(VLOOKUP($D465,$C$5:$AU$534,15,)/VLOOKUP($D465,$C$5:$AU$534,3,))*$E465)</f>
        <v>0</v>
      </c>
      <c r="R465" s="19">
        <f>IF(VLOOKUP($D465,$C$5:$AU$534,3,)=0,0,(VLOOKUP($D465,$C$5:$AU$534,16,)/VLOOKUP($D465,$C$5:$AU$534,3,))*$E465)</f>
        <v>0</v>
      </c>
      <c r="S465" s="80">
        <f>IF(VLOOKUP($D465,$C$5:$AU$534,3,)=0,0,(VLOOKUP($D465,$C$5:$AU$534,17,)/VLOOKUP($D465,$C$5:$AU$534,3,))*$E465)</f>
        <v>0</v>
      </c>
      <c r="T465" s="80">
        <f>IF(VLOOKUP($D465,$C$5:$AU$534,3,)=0,0,(VLOOKUP($D465,$C$5:$AU$534,18,)/VLOOKUP($D465,$C$5:$AU$534,3,))*$E465)</f>
        <v>0</v>
      </c>
      <c r="U465" s="80">
        <f>IF(VLOOKUP($D465,$C$5:$AU$534,3,)=0,0,(VLOOKUP($D465,$C$5:$AU$534,19,)/VLOOKUP($D465,$C$5:$AU$534,3,))*$E465)</f>
        <v>0</v>
      </c>
      <c r="V465" s="80">
        <f>IF(VLOOKUP($D465,$C$5:$AU$534,3,)=0,0,(VLOOKUP($D465,$C$5:$AU$534,20,)/VLOOKUP($D465,$C$5:$AU$534,3,))*$E465)</f>
        <v>0</v>
      </c>
      <c r="W465" s="80">
        <f>IF(VLOOKUP($D465,$C$5:$AU$534,3,)=0,0,(VLOOKUP($D465,$C$5:$AU$534,21,)/VLOOKUP($D465,$C$5:$AU$534,3,))*$E465)</f>
        <v>0</v>
      </c>
      <c r="X465" s="80">
        <f>IF(VLOOKUP($D465,$C$5:$AU$534,3,)=0,0,(VLOOKUP($D465,$C$5:$AU$534,22,)/VLOOKUP($D465,$C$5:$AU$534,3,))*$E465)</f>
        <v>0</v>
      </c>
      <c r="Y465" s="80">
        <f>IF(VLOOKUP($D465,$C$5:$AU$534,3,)=0,0,(VLOOKUP($D465,$C$5:$AU$534,23,)/VLOOKUP($D465,$C$5:$AU$534,3,))*$E465)</f>
        <v>0</v>
      </c>
      <c r="Z465" s="80">
        <f>IF(VLOOKUP($D465,$C$5:$AU$534,3,)=0,0,(VLOOKUP($D465,$C$5:$AU$534,24,)/VLOOKUP($D465,$C$5:$AU$534,3,))*$E465)</f>
        <v>0</v>
      </c>
      <c r="AA465" s="80">
        <f>IF(VLOOKUP($D465,$C$5:$AU$534,3,)=0,0,(VLOOKUP($D465,$C$5:$AU$534,25,)/VLOOKUP($D465,$C$5:$AU$534,3,))*$E465)</f>
        <v>0</v>
      </c>
      <c r="AB465" s="80">
        <f>IF(VLOOKUP($D465,$C$5:$AU$534,3,)=0,0,(VLOOKUP($D465,$C$5:$AU$534,26,)/VLOOKUP($D465,$C$5:$AU$534,3,))*$E465)</f>
        <v>0</v>
      </c>
      <c r="AC465" s="80">
        <f>IF(VLOOKUP($D465,$C$5:$AU$534,3,)=0,0,(VLOOKUP($D465,$C$5:$AU$534,27,)/VLOOKUP($D465,$C$5:$AU$534,3,))*$E465)</f>
        <v>0</v>
      </c>
      <c r="AD465" s="80">
        <f>IF(VLOOKUP($D465,$C$5:$AU$534,3,)=0,0,(VLOOKUP($D465,$C$5:$AU$534,28,)/VLOOKUP($D465,$C$5:$AU$534,3,))*$E465)</f>
        <v>0</v>
      </c>
      <c r="AE465" s="80">
        <f>IF(VLOOKUP($D465,$C$5:$AU$534,3,)=0,0,(VLOOKUP($D465,$C$5:$AU$534,29,)/VLOOKUP($D465,$C$5:$AU$534,3,))*$E465)</f>
        <v>0</v>
      </c>
      <c r="AF465" s="80">
        <f>IF(VLOOKUP($D465,$C$5:$AU$534,3,)=0,0,(VLOOKUP($D465,$C$5:$AU$534,30,)/VLOOKUP($D465,$C$5:$AU$534,3,))*$E465)</f>
        <v>0</v>
      </c>
      <c r="AG465" s="65">
        <f>SUM(F465:AF465)</f>
        <v>0</v>
      </c>
      <c r="AH465" s="12" t="str">
        <f t="shared" si="226"/>
        <v>ok</v>
      </c>
    </row>
    <row r="466" spans="1:37" x14ac:dyDescent="0.2">
      <c r="A466" s="3" t="s">
        <v>601</v>
      </c>
      <c r="C466" s="3" t="s">
        <v>625</v>
      </c>
      <c r="E466" s="65">
        <f t="shared" ref="E466:U466" si="228">E464+E465</f>
        <v>0</v>
      </c>
      <c r="F466" s="65">
        <f t="shared" si="228"/>
        <v>0</v>
      </c>
      <c r="G466" s="65">
        <f t="shared" si="228"/>
        <v>0</v>
      </c>
      <c r="H466" s="65">
        <f t="shared" si="228"/>
        <v>0</v>
      </c>
      <c r="I466" s="65">
        <f t="shared" si="228"/>
        <v>0</v>
      </c>
      <c r="J466" s="65">
        <f t="shared" si="228"/>
        <v>0</v>
      </c>
      <c r="K466" s="65">
        <f t="shared" si="228"/>
        <v>0</v>
      </c>
      <c r="L466" s="65">
        <f t="shared" si="228"/>
        <v>0</v>
      </c>
      <c r="M466" s="65">
        <f t="shared" si="228"/>
        <v>0</v>
      </c>
      <c r="N466" s="65">
        <f t="shared" si="228"/>
        <v>0</v>
      </c>
      <c r="O466" s="65">
        <f t="shared" si="228"/>
        <v>0</v>
      </c>
      <c r="P466" s="65">
        <f t="shared" si="228"/>
        <v>0</v>
      </c>
      <c r="Q466" s="65">
        <f t="shared" si="228"/>
        <v>0</v>
      </c>
      <c r="R466" s="65">
        <f t="shared" si="228"/>
        <v>0</v>
      </c>
      <c r="S466" s="87">
        <f t="shared" si="228"/>
        <v>0</v>
      </c>
      <c r="T466" s="87">
        <f t="shared" si="228"/>
        <v>0</v>
      </c>
      <c r="U466" s="87">
        <f t="shared" si="228"/>
        <v>0</v>
      </c>
      <c r="V466" s="87"/>
      <c r="W466" s="87"/>
      <c r="X466" s="87"/>
      <c r="Y466" s="87"/>
      <c r="Z466" s="87"/>
      <c r="AA466" s="87"/>
      <c r="AB466" s="87"/>
      <c r="AC466" s="87"/>
      <c r="AD466" s="87"/>
      <c r="AE466" s="87"/>
      <c r="AF466" s="87"/>
      <c r="AG466" s="65">
        <f>SUM(F466:AF466)</f>
        <v>0</v>
      </c>
      <c r="AH466" s="12" t="str">
        <f t="shared" si="226"/>
        <v>ok</v>
      </c>
    </row>
    <row r="467" spans="1:37" x14ac:dyDescent="0.2">
      <c r="A467" s="3" t="s">
        <v>633</v>
      </c>
      <c r="C467" s="3" t="s">
        <v>626</v>
      </c>
      <c r="D467" s="3" t="s">
        <v>625</v>
      </c>
      <c r="E467" s="97">
        <v>0</v>
      </c>
      <c r="F467" s="72">
        <f>IF(VLOOKUP($D467,$C$5:$AU$534,3,)=0,0,(VLOOKUP($D467,$C$5:$AU$534,4,)/VLOOKUP($D467,$C$5:$AU$534,3,))*$E467)</f>
        <v>0</v>
      </c>
      <c r="G467" s="72">
        <f>IF(VLOOKUP($D467,$C$5:$AU$534,3,)=0,0,(VLOOKUP($D467,$C$5:$AU$534,5,)/VLOOKUP($D467,$C$5:$AU$534,3,))*$E467)</f>
        <v>0</v>
      </c>
      <c r="H467" s="17">
        <f>IF(VLOOKUP($D467,$C$5:$AU$534,3,)=0,0,(VLOOKUP($D467,$C$5:$AU$534,6,)/VLOOKUP($D467,$C$5:$AU$534,3,))*$E467)</f>
        <v>0</v>
      </c>
      <c r="I467" s="17">
        <f>IF(VLOOKUP($D467,$C$5:$AU$534,3,)=0,0,(VLOOKUP($D467,$C$5:$AU$534,7,)/VLOOKUP($D467,$C$5:$AU$534,3,))*$E467)</f>
        <v>0</v>
      </c>
      <c r="J467" s="17">
        <f>IF(VLOOKUP($D467,$C$5:$AU$534,3,)=0,0,(VLOOKUP($D467,$C$5:$AU$534,8,)/VLOOKUP($D467,$C$5:$AU$534,3,))*$E467)</f>
        <v>0</v>
      </c>
      <c r="K467" s="17">
        <f>IF(VLOOKUP($D467,$C$5:$AU$534,3,)=0,0,(VLOOKUP($D467,$C$5:$AU$534,9,)/VLOOKUP($D467,$C$5:$AU$534,3,))*$E467)</f>
        <v>0</v>
      </c>
      <c r="L467" s="72">
        <f>IF(VLOOKUP($D467,$C$5:$AU$534,3,)=0,0,(VLOOKUP($D467,$C$5:$AU$534,10,)/VLOOKUP($D467,$C$5:$AU$534,3,))*$E467)</f>
        <v>0</v>
      </c>
      <c r="M467" s="17">
        <f>IF(VLOOKUP($D467,$C$5:$AU$534,3,)=0,0,(VLOOKUP($D467,$C$5:$AU$534,11,)/VLOOKUP($D467,$C$5:$AU$534,3,))*$E467)</f>
        <v>0</v>
      </c>
      <c r="N467" s="17">
        <f>IF(VLOOKUP($D467,$C$5:$AU$534,3,)=0,0,(VLOOKUP($D467,$C$5:$AU$534,12,)/VLOOKUP($D467,$C$5:$AU$534,3,))*$E467)</f>
        <v>0</v>
      </c>
      <c r="O467" s="17">
        <f>IF(VLOOKUP($D467,$C$5:$AU$534,3,)=0,0,(VLOOKUP($D467,$C$5:$AU$534,13,)/VLOOKUP($D467,$C$5:$AU$534,3,))*$E467)</f>
        <v>0</v>
      </c>
      <c r="P467" s="17">
        <f>IF(VLOOKUP($D467,$C$5:$AU$534,3,)=0,0,(VLOOKUP($D467,$C$5:$AU$534,14,)/VLOOKUP($D467,$C$5:$AU$534,3,))*$E467)</f>
        <v>0</v>
      </c>
      <c r="Q467" s="17">
        <f>IF(VLOOKUP($D467,$C$5:$AU$534,3,)=0,0,(VLOOKUP($D467,$C$5:$AU$534,15,)/VLOOKUP($D467,$C$5:$AU$534,3,))*$E467)</f>
        <v>0</v>
      </c>
      <c r="R467" s="17">
        <f>IF(VLOOKUP($D467,$C$5:$AU$534,3,)=0,0,(VLOOKUP($D467,$C$5:$AU$534,16,)/VLOOKUP($D467,$C$5:$AU$534,3,))*$E467)</f>
        <v>0</v>
      </c>
      <c r="S467" s="102">
        <f>IF(VLOOKUP($D467,$C$5:$AU$534,3,)=0,0,(VLOOKUP($D467,$C$5:$AU$534,17,)/VLOOKUP($D467,$C$5:$AU$534,3,))*$E467)</f>
        <v>0</v>
      </c>
      <c r="T467" s="102">
        <f>IF(VLOOKUP($D467,$C$5:$AU$534,3,)=0,0,(VLOOKUP($D467,$C$5:$AU$534,18,)/VLOOKUP($D467,$C$5:$AU$534,3,))*$E467)</f>
        <v>0</v>
      </c>
      <c r="U467" s="102">
        <f>IF(VLOOKUP($D467,$C$5:$AU$534,3,)=0,0,(VLOOKUP($D467,$C$5:$AU$534,19,)/VLOOKUP($D467,$C$5:$AU$534,3,))*$E467)</f>
        <v>0</v>
      </c>
      <c r="V467" s="102">
        <f>IF(VLOOKUP($D467,$C$5:$AU$534,3,)=0,0,(VLOOKUP($D467,$C$5:$AU$534,20,)/VLOOKUP($D467,$C$5:$AU$534,3,))*$E467)</f>
        <v>0</v>
      </c>
      <c r="W467" s="102">
        <f>IF(VLOOKUP($D467,$C$5:$AU$534,3,)=0,0,(VLOOKUP($D467,$C$5:$AU$534,21,)/VLOOKUP($D467,$C$5:$AU$534,3,))*$E467)</f>
        <v>0</v>
      </c>
      <c r="X467" s="102">
        <f>IF(VLOOKUP($D467,$C$5:$AU$534,3,)=0,0,(VLOOKUP($D467,$C$5:$AU$534,22,)/VLOOKUP($D467,$C$5:$AU$534,3,))*$E467)</f>
        <v>0</v>
      </c>
      <c r="Y467" s="102">
        <f>IF(VLOOKUP($D467,$C$5:$AU$534,3,)=0,0,(VLOOKUP($D467,$C$5:$AU$534,23,)/VLOOKUP($D467,$C$5:$AU$534,3,))*$E467)</f>
        <v>0</v>
      </c>
      <c r="Z467" s="102">
        <f>IF(VLOOKUP($D467,$C$5:$AU$534,3,)=0,0,(VLOOKUP($D467,$C$5:$AU$534,24,)/VLOOKUP($D467,$C$5:$AU$534,3,))*$E467)</f>
        <v>0</v>
      </c>
      <c r="AA467" s="102">
        <f>IF(VLOOKUP($D467,$C$5:$AU$534,3,)=0,0,(VLOOKUP($D467,$C$5:$AU$534,25,)/VLOOKUP($D467,$C$5:$AU$534,3,))*$E467)</f>
        <v>0</v>
      </c>
      <c r="AB467" s="102">
        <f>IF(VLOOKUP($D467,$C$5:$AU$534,3,)=0,0,(VLOOKUP($D467,$C$5:$AU$534,26,)/VLOOKUP($D467,$C$5:$AU$534,3,))*$E467)</f>
        <v>0</v>
      </c>
      <c r="AC467" s="102">
        <f>IF(VLOOKUP($D467,$C$5:$AU$534,3,)=0,0,(VLOOKUP($D467,$C$5:$AU$534,27,)/VLOOKUP($D467,$C$5:$AU$534,3,))*$E467)</f>
        <v>0</v>
      </c>
      <c r="AD467" s="102">
        <f>IF(VLOOKUP($D467,$C$5:$AU$534,3,)=0,0,(VLOOKUP($D467,$C$5:$AU$534,28,)/VLOOKUP($D467,$C$5:$AU$534,3,))*$E467)</f>
        <v>0</v>
      </c>
      <c r="AE467" s="102">
        <f>IF(VLOOKUP($D467,$C$5:$AU$534,3,)=0,0,(VLOOKUP($D467,$C$5:$AU$534,29,)/VLOOKUP($D467,$C$5:$AU$534,3,))*$E467)</f>
        <v>0</v>
      </c>
      <c r="AF467" s="102">
        <f>IF(VLOOKUP($D467,$C$5:$AU$534,3,)=0,0,(VLOOKUP($D467,$C$5:$AU$534,30,)/VLOOKUP($D467,$C$5:$AU$534,3,))*$E467)</f>
        <v>0</v>
      </c>
      <c r="AG467" s="17">
        <f>SUM(F467:AF467)</f>
        <v>0</v>
      </c>
      <c r="AH467" s="12" t="str">
        <f t="shared" si="226"/>
        <v>ok</v>
      </c>
    </row>
    <row r="468" spans="1:37" x14ac:dyDescent="0.2">
      <c r="E468" s="97"/>
      <c r="F468" s="23"/>
      <c r="G468" s="23"/>
      <c r="H468" s="97"/>
      <c r="I468" s="97"/>
      <c r="J468" s="97"/>
      <c r="K468" s="97"/>
      <c r="L468" s="23"/>
      <c r="M468" s="97"/>
      <c r="N468" s="97"/>
      <c r="O468" s="97"/>
      <c r="P468" s="97"/>
      <c r="Q468" s="97"/>
      <c r="R468" s="97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7"/>
      <c r="AH468" s="12"/>
    </row>
    <row r="469" spans="1:37" x14ac:dyDescent="0.2">
      <c r="A469" s="3" t="s">
        <v>603</v>
      </c>
      <c r="B469" s="24"/>
      <c r="C469" s="3" t="s">
        <v>607</v>
      </c>
      <c r="E469" s="24">
        <v>1516505.2021882483</v>
      </c>
      <c r="F469" s="24">
        <f>F451</f>
        <v>1087864.9823277579</v>
      </c>
      <c r="G469" s="24">
        <f t="shared" ref="G469:L469" si="229">G451</f>
        <v>39332.480633802814</v>
      </c>
      <c r="H469" s="24">
        <f>H451*2.11</f>
        <v>168771.52802469133</v>
      </c>
      <c r="I469" s="24">
        <f>I451*(2.11*0.95+1*0.05)</f>
        <v>81956.354757485024</v>
      </c>
      <c r="J469" s="24">
        <f>J451*2.11</f>
        <v>28649.649804511271</v>
      </c>
      <c r="K469" s="24">
        <f>K451*2.11</f>
        <v>109930.20663999999</v>
      </c>
      <c r="L469" s="24">
        <f t="shared" si="229"/>
        <v>0</v>
      </c>
      <c r="M469" s="24">
        <f>M451*2.11</f>
        <v>0</v>
      </c>
      <c r="N469" s="24">
        <f>N451*2.11</f>
        <v>0</v>
      </c>
      <c r="O469" s="24">
        <f>O451*((2.11*0.83)+0.17)</f>
        <v>0</v>
      </c>
      <c r="P469" s="24">
        <f>P451</f>
        <v>0</v>
      </c>
      <c r="Q469" s="24">
        <f>Q451*2.11</f>
        <v>0</v>
      </c>
      <c r="R469" s="24">
        <f>R451*2.11</f>
        <v>0</v>
      </c>
      <c r="S469" s="24">
        <f>S451</f>
        <v>0</v>
      </c>
      <c r="T469" s="24">
        <f>T451*0.9</f>
        <v>0</v>
      </c>
      <c r="U469" s="24">
        <f t="shared" ref="U469:Z469" si="230">U451</f>
        <v>0</v>
      </c>
      <c r="V469" s="24">
        <f t="shared" si="230"/>
        <v>0</v>
      </c>
      <c r="W469" s="24">
        <f t="shared" si="230"/>
        <v>0</v>
      </c>
      <c r="X469" s="24">
        <f t="shared" si="230"/>
        <v>0</v>
      </c>
      <c r="Y469" s="24">
        <f t="shared" si="230"/>
        <v>0</v>
      </c>
      <c r="Z469" s="24">
        <f t="shared" si="230"/>
        <v>0</v>
      </c>
      <c r="AA469" s="24">
        <f>AA451*0.5</f>
        <v>0</v>
      </c>
      <c r="AB469" s="24">
        <f>AB451*0.1</f>
        <v>0</v>
      </c>
      <c r="AC469" s="24">
        <f>AC451*0.5</f>
        <v>0</v>
      </c>
      <c r="AD469" s="24">
        <f>AD451*0.07</f>
        <v>0</v>
      </c>
      <c r="AE469" s="24">
        <f>AE451*0.07</f>
        <v>0</v>
      </c>
      <c r="AF469" s="24">
        <f>AF451</f>
        <v>0</v>
      </c>
      <c r="AG469" s="24">
        <f>SUM(F469:AF469)</f>
        <v>1516505.2021882483</v>
      </c>
      <c r="AH469" s="12" t="str">
        <f t="shared" ref="AH469:AH474" si="231">IF(ABS(E469-AG469)&lt;0.01,"ok","err")</f>
        <v>ok</v>
      </c>
      <c r="AK469" s="24"/>
    </row>
    <row r="470" spans="1:37" x14ac:dyDescent="0.2">
      <c r="A470" s="3" t="s">
        <v>604</v>
      </c>
      <c r="E470" s="65">
        <f>'Func &amp; Classif'!O54</f>
        <v>25025145.377026547</v>
      </c>
      <c r="AG470" s="65">
        <f>E470</f>
        <v>25025145.377026547</v>
      </c>
      <c r="AH470" s="12" t="str">
        <f t="shared" si="231"/>
        <v>ok</v>
      </c>
    </row>
    <row r="471" spans="1:37" x14ac:dyDescent="0.2">
      <c r="A471" s="3" t="s">
        <v>595</v>
      </c>
      <c r="E471" s="41"/>
      <c r="M471" s="7">
        <v>0</v>
      </c>
      <c r="N471" s="7">
        <v>0</v>
      </c>
      <c r="P471" s="7"/>
      <c r="Q471" s="7">
        <f>(1/70)*'Func &amp; Classif'!F53</f>
        <v>0</v>
      </c>
      <c r="AA471" s="80">
        <v>0</v>
      </c>
      <c r="AB471" s="80">
        <v>0</v>
      </c>
      <c r="AC471" s="80">
        <v>0</v>
      </c>
      <c r="AD471" s="80">
        <v>0</v>
      </c>
      <c r="AE471" s="80">
        <v>0</v>
      </c>
      <c r="AG471" s="65">
        <f>SUM(F471:AF471)</f>
        <v>0</v>
      </c>
      <c r="AH471" s="12" t="str">
        <f t="shared" si="231"/>
        <v>ok</v>
      </c>
    </row>
    <row r="472" spans="1:37" x14ac:dyDescent="0.2">
      <c r="A472" s="3" t="s">
        <v>605</v>
      </c>
      <c r="D472" s="3" t="s">
        <v>627</v>
      </c>
      <c r="E472" s="65">
        <f>E470-E471</f>
        <v>25025145.377026547</v>
      </c>
      <c r="F472" s="103">
        <f>IF(VLOOKUP($D472,$C$5:$AU$534,3,)=0,0,(VLOOKUP($D472,$C$5:$AU$534,4,)/VLOOKUP($D472,$C$5:$AU$534,3,))*$E472)</f>
        <v>17951787.632541969</v>
      </c>
      <c r="G472" s="41">
        <f>IF(VLOOKUP($D472,$C$5:$AU$534,3,)=0,0,(VLOOKUP($D472,$C$5:$AU$534,5,)/VLOOKUP($D472,$C$5:$AU$534,3,))*$E472)</f>
        <v>649058.79945528368</v>
      </c>
      <c r="H472" s="19">
        <f>IF(VLOOKUP($D472,$C$5:$AU$534,3,)=0,0,(VLOOKUP($D472,$C$5:$AU$534,6,)/VLOOKUP($D472,$C$5:$AU$534,3,))*$E472)</f>
        <v>2785042.8855940918</v>
      </c>
      <c r="I472" s="19">
        <f>IF(VLOOKUP($D472,$C$5:$AU$534,3,)=0,0,(VLOOKUP($D472,$C$5:$AU$534,7,)/VLOOKUP($D472,$C$5:$AU$534,3,))*$E472)</f>
        <v>1352431.6892667217</v>
      </c>
      <c r="J472" s="19">
        <f>IF(VLOOKUP($D472,$C$5:$AU$534,3,)=0,0,(VLOOKUP($D472,$C$5:$AU$534,8,)/VLOOKUP($D472,$C$5:$AU$534,3,))*$E472)</f>
        <v>472772.29931308609</v>
      </c>
      <c r="K472" s="19">
        <f>IF(VLOOKUP($D472,$C$5:$AU$534,3,)=0,0,(VLOOKUP($D472,$C$5:$AU$534,9,)/VLOOKUP($D472,$C$5:$AU$534,3,))*$E472)</f>
        <v>1814052.0708553933</v>
      </c>
      <c r="L472" s="41">
        <f>IF(VLOOKUP($D472,$C$5:$AU$534,3,)=0,0,(VLOOKUP($D472,$C$5:$AU$534,10,)/VLOOKUP($D472,$C$5:$AU$534,3,))*$E472)</f>
        <v>0</v>
      </c>
      <c r="M472" s="19">
        <f>IF(VLOOKUP($D472,$C$5:$AU$534,3,)=0,0,(VLOOKUP($D472,$C$5:$AU$534,11,)/VLOOKUP($D472,$C$5:$AU$534,3,))*$E472)</f>
        <v>0</v>
      </c>
      <c r="N472" s="19">
        <f>IF(VLOOKUP($D472,$C$5:$AU$534,3,)=0,0,(VLOOKUP($D472,$C$5:$AU$534,12,)/VLOOKUP($D472,$C$5:$AU$534,3,))*$E472)</f>
        <v>0</v>
      </c>
      <c r="O472" s="19">
        <f>IF(VLOOKUP($D472,$C$5:$AU$534,3,)=0,0,(VLOOKUP($D472,$C$5:$AU$534,13,)/VLOOKUP($D472,$C$5:$AU$534,3,))*$E472)</f>
        <v>0</v>
      </c>
      <c r="P472" s="19">
        <f>IF(VLOOKUP($D472,$C$5:$AU$534,3,)=0,0,(VLOOKUP($D472,$C$5:$AU$534,14,)/VLOOKUP($D472,$C$5:$AU$534,3,))*$E472)</f>
        <v>0</v>
      </c>
      <c r="Q472" s="19">
        <f>IF(VLOOKUP($D472,$C$5:$AU$534,3,)=0,0,(VLOOKUP($D472,$C$5:$AU$534,15,)/VLOOKUP($D472,$C$5:$AU$534,3,))*$E472)</f>
        <v>0</v>
      </c>
      <c r="R472" s="19">
        <f>IF(VLOOKUP($D472,$C$5:$AU$534,3,)=0,0,(VLOOKUP($D472,$C$5:$AU$534,16,)/VLOOKUP($D472,$C$5:$AU$534,3,))*$E472)</f>
        <v>0</v>
      </c>
      <c r="S472" s="80">
        <f>IF(VLOOKUP($D472,$C$5:$AU$534,3,)=0,0,(VLOOKUP($D472,$C$5:$AU$534,17,)/VLOOKUP($D472,$C$5:$AU$534,3,))*$E472)</f>
        <v>0</v>
      </c>
      <c r="T472" s="80">
        <f>IF(VLOOKUP($D472,$C$5:$AU$534,3,)=0,0,(VLOOKUP($D472,$C$5:$AU$534,18,)/VLOOKUP($D472,$C$5:$AU$534,3,))*$E472)</f>
        <v>0</v>
      </c>
      <c r="U472" s="80">
        <f>IF(VLOOKUP($D472,$C$5:$AU$534,3,)=0,0,(VLOOKUP($D472,$C$5:$AU$534,19,)/VLOOKUP($D472,$C$5:$AU$534,3,))*$E472)</f>
        <v>0</v>
      </c>
      <c r="V472" s="80">
        <f>IF(VLOOKUP($D472,$C$5:$AU$534,3,)=0,0,(VLOOKUP($D472,$C$5:$AU$534,20,)/VLOOKUP($D472,$C$5:$AU$534,3,))*$E472)</f>
        <v>0</v>
      </c>
      <c r="W472" s="80">
        <f>IF(VLOOKUP($D472,$C$5:$AU$534,3,)=0,0,(VLOOKUP($D472,$C$5:$AU$534,21,)/VLOOKUP($D472,$C$5:$AU$534,3,))*$E472)</f>
        <v>0</v>
      </c>
      <c r="X472" s="80">
        <f>IF(VLOOKUP($D472,$C$5:$AU$534,3,)=0,0,(VLOOKUP($D472,$C$5:$AU$534,22,)/VLOOKUP($D472,$C$5:$AU$534,3,))*$E472)</f>
        <v>0</v>
      </c>
      <c r="Y472" s="80">
        <f>IF(VLOOKUP($D472,$C$5:$AU$534,3,)=0,0,(VLOOKUP($D472,$C$5:$AU$534,23,)/VLOOKUP($D472,$C$5:$AU$534,3,))*$E472)</f>
        <v>0</v>
      </c>
      <c r="Z472" s="80">
        <f>IF(VLOOKUP($D472,$C$5:$AU$534,3,)=0,0,(VLOOKUP($D472,$C$5:$AU$534,24,)/VLOOKUP($D472,$C$5:$AU$534,3,))*$E472)</f>
        <v>0</v>
      </c>
      <c r="AA472" s="80">
        <f>IF(VLOOKUP($D472,$C$5:$AU$534,3,)=0,0,(VLOOKUP($D472,$C$5:$AU$534,25,)/VLOOKUP($D472,$C$5:$AU$534,3,))*$E472)</f>
        <v>0</v>
      </c>
      <c r="AB472" s="80">
        <f>IF(VLOOKUP($D472,$C$5:$AU$534,3,)=0,0,(VLOOKUP($D472,$C$5:$AU$534,26,)/VLOOKUP($D472,$C$5:$AU$534,3,))*$E472)</f>
        <v>0</v>
      </c>
      <c r="AC472" s="80">
        <f>IF(VLOOKUP($D472,$C$5:$AU$534,3,)=0,0,(VLOOKUP($D472,$C$5:$AU$534,27,)/VLOOKUP($D472,$C$5:$AU$534,3,))*$E472)</f>
        <v>0</v>
      </c>
      <c r="AD472" s="80">
        <f>IF(VLOOKUP($D472,$C$5:$AU$534,3,)=0,0,(VLOOKUP($D472,$C$5:$AU$534,28,)/VLOOKUP($D472,$C$5:$AU$534,3,))*$E472)</f>
        <v>0</v>
      </c>
      <c r="AE472" s="80">
        <f>IF(VLOOKUP($D472,$C$5:$AU$534,3,)=0,0,(VLOOKUP($D472,$C$5:$AU$534,29,)/VLOOKUP($D472,$C$5:$AU$534,3,))*$E472)</f>
        <v>0</v>
      </c>
      <c r="AF472" s="80">
        <f>IF(VLOOKUP($D472,$C$5:$AU$534,3,)=0,0,(VLOOKUP($D472,$C$5:$AU$534,30,)/VLOOKUP($D472,$C$5:$AU$534,3,))*$E472)</f>
        <v>0</v>
      </c>
      <c r="AG472" s="65">
        <f>SUM(F472:AF472)</f>
        <v>25025145.37702655</v>
      </c>
      <c r="AH472" s="12" t="str">
        <f t="shared" si="231"/>
        <v>ok</v>
      </c>
    </row>
    <row r="473" spans="1:37" x14ac:dyDescent="0.2">
      <c r="A473" s="3" t="s">
        <v>606</v>
      </c>
      <c r="C473" s="3" t="s">
        <v>609</v>
      </c>
      <c r="E473" s="65">
        <f t="shared" ref="E473:AF473" si="232">E471+E472</f>
        <v>25025145.377026547</v>
      </c>
      <c r="F473" s="104">
        <f t="shared" si="232"/>
        <v>17951787.632541969</v>
      </c>
      <c r="G473" s="65">
        <f t="shared" si="232"/>
        <v>649058.79945528368</v>
      </c>
      <c r="H473" s="65">
        <f t="shared" si="232"/>
        <v>2785042.8855940918</v>
      </c>
      <c r="I473" s="65">
        <f t="shared" si="232"/>
        <v>1352431.6892667217</v>
      </c>
      <c r="J473" s="65">
        <f t="shared" si="232"/>
        <v>472772.29931308609</v>
      </c>
      <c r="K473" s="65">
        <f t="shared" si="232"/>
        <v>1814052.0708553933</v>
      </c>
      <c r="L473" s="65">
        <f t="shared" si="232"/>
        <v>0</v>
      </c>
      <c r="M473" s="65">
        <f t="shared" si="232"/>
        <v>0</v>
      </c>
      <c r="N473" s="65">
        <f t="shared" si="232"/>
        <v>0</v>
      </c>
      <c r="O473" s="65">
        <f t="shared" si="232"/>
        <v>0</v>
      </c>
      <c r="P473" s="65">
        <f>P471+P472</f>
        <v>0</v>
      </c>
      <c r="Q473" s="65">
        <f t="shared" si="232"/>
        <v>0</v>
      </c>
      <c r="R473" s="65">
        <f t="shared" si="232"/>
        <v>0</v>
      </c>
      <c r="S473" s="87">
        <f t="shared" si="232"/>
        <v>0</v>
      </c>
      <c r="T473" s="87">
        <f t="shared" si="232"/>
        <v>0</v>
      </c>
      <c r="U473" s="87">
        <f t="shared" si="232"/>
        <v>0</v>
      </c>
      <c r="V473" s="87">
        <f t="shared" si="232"/>
        <v>0</v>
      </c>
      <c r="W473" s="87">
        <f t="shared" si="232"/>
        <v>0</v>
      </c>
      <c r="X473" s="87">
        <f t="shared" si="232"/>
        <v>0</v>
      </c>
      <c r="Y473" s="87">
        <f t="shared" si="232"/>
        <v>0</v>
      </c>
      <c r="Z473" s="87">
        <f t="shared" si="232"/>
        <v>0</v>
      </c>
      <c r="AA473" s="87">
        <f t="shared" si="232"/>
        <v>0</v>
      </c>
      <c r="AB473" s="87">
        <f t="shared" si="232"/>
        <v>0</v>
      </c>
      <c r="AC473" s="87">
        <f t="shared" si="232"/>
        <v>0</v>
      </c>
      <c r="AD473" s="87">
        <f t="shared" si="232"/>
        <v>0</v>
      </c>
      <c r="AE473" s="87">
        <f t="shared" si="232"/>
        <v>0</v>
      </c>
      <c r="AF473" s="87">
        <f t="shared" si="232"/>
        <v>0</v>
      </c>
      <c r="AG473" s="65">
        <f>SUM(F473:AF473)</f>
        <v>25025145.37702655</v>
      </c>
      <c r="AH473" s="12" t="str">
        <f t="shared" si="231"/>
        <v>ok</v>
      </c>
    </row>
    <row r="474" spans="1:37" x14ac:dyDescent="0.2">
      <c r="A474" s="3" t="s">
        <v>635</v>
      </c>
      <c r="C474" s="3" t="s">
        <v>608</v>
      </c>
      <c r="D474" s="3" t="s">
        <v>609</v>
      </c>
      <c r="E474" s="97">
        <v>1</v>
      </c>
      <c r="F474" s="72">
        <f>IF(VLOOKUP($D474,$C$5:$AU$534,3,)=0,0,(VLOOKUP($D474,$C$5:$AU$534,4,)/VLOOKUP($D474,$C$5:$AU$534,3,))*$E474)</f>
        <v>0.71734998386950333</v>
      </c>
      <c r="G474" s="72">
        <f>IF(VLOOKUP($D474,$C$5:$AU$534,3,)=0,0,(VLOOKUP($D474,$C$5:$AU$534,5,)/VLOOKUP($D474,$C$5:$AU$534,3,))*$E474)</f>
        <v>2.5936264891836723E-2</v>
      </c>
      <c r="H474" s="17">
        <f>IF(VLOOKUP($D474,$C$5:$AU$534,3,)=0,0,(VLOOKUP($D474,$C$5:$AU$534,6,)/VLOOKUP($D474,$C$5:$AU$534,3,))*$E474)</f>
        <v>0.11128977848619423</v>
      </c>
      <c r="I474" s="17">
        <f>IF(VLOOKUP($D474,$C$5:$AU$534,3,)=0,0,(VLOOKUP($D474,$C$5:$AU$534,7,)/VLOOKUP($D474,$C$5:$AU$534,3,))*$E474)</f>
        <v>5.404291039636773E-2</v>
      </c>
      <c r="J474" s="17">
        <f>IF(VLOOKUP($D474,$C$5:$AU$534,3,)=0,0,(VLOOKUP($D474,$C$5:$AU$534,8,)/VLOOKUP($D474,$C$5:$AU$534,3,))*$E474)</f>
        <v>1.8891890224425952E-2</v>
      </c>
      <c r="K474" s="17">
        <f>IF(VLOOKUP($D474,$C$5:$AU$534,3,)=0,0,(VLOOKUP($D474,$C$5:$AU$534,9,)/VLOOKUP($D474,$C$5:$AU$534,3,))*$E474)</f>
        <v>7.2489172131672011E-2</v>
      </c>
      <c r="L474" s="72">
        <f>IF(VLOOKUP($D474,$C$5:$AU$534,3,)=0,0,(VLOOKUP($D474,$C$5:$AU$534,10,)/VLOOKUP($D474,$C$5:$AU$534,3,))*$E474)</f>
        <v>0</v>
      </c>
      <c r="M474" s="17">
        <f>IF(VLOOKUP($D474,$C$5:$AU$534,3,)=0,0,(VLOOKUP($D474,$C$5:$AU$534,11,)/VLOOKUP($D474,$C$5:$AU$534,3,))*$E474)</f>
        <v>0</v>
      </c>
      <c r="N474" s="17">
        <f>IF(VLOOKUP($D474,$C$5:$AU$534,3,)=0,0,(VLOOKUP($D474,$C$5:$AU$534,12,)/VLOOKUP($D474,$C$5:$AU$534,3,))*$E474)</f>
        <v>0</v>
      </c>
      <c r="O474" s="17">
        <f>IF(VLOOKUP($D474,$C$5:$AU$534,3,)=0,0,(VLOOKUP($D474,$C$5:$AU$534,13,)/VLOOKUP($D474,$C$5:$AU$534,3,))*$E474)</f>
        <v>0</v>
      </c>
      <c r="P474" s="17">
        <f>IF(VLOOKUP($D474,$C$5:$AU$534,3,)=0,0,(VLOOKUP($D474,$C$5:$AU$534,14,)/VLOOKUP($D474,$C$5:$AU$534,3,))*$E474)</f>
        <v>0</v>
      </c>
      <c r="Q474" s="17">
        <f>IF(VLOOKUP($D474,$C$5:$AU$534,3,)=0,0,(VLOOKUP($D474,$C$5:$AU$534,15,)/VLOOKUP($D474,$C$5:$AU$534,3,))*$E474)</f>
        <v>0</v>
      </c>
      <c r="R474" s="17">
        <f>IF(VLOOKUP($D474,$C$5:$AU$534,3,)=0,0,(VLOOKUP($D474,$C$5:$AU$534,16,)/VLOOKUP($D474,$C$5:$AU$534,3,))*$E474)</f>
        <v>0</v>
      </c>
      <c r="S474" s="102">
        <f>IF(VLOOKUP($D474,$C$5:$AU$534,3,)=0,0,(VLOOKUP($D474,$C$5:$AU$534,17,)/VLOOKUP($D474,$C$5:$AU$534,3,))*$E474)</f>
        <v>0</v>
      </c>
      <c r="T474" s="102">
        <f>IF(VLOOKUP($D474,$C$5:$AU$534,3,)=0,0,(VLOOKUP($D474,$C$5:$AU$534,18,)/VLOOKUP($D474,$C$5:$AU$534,3,))*$E474)</f>
        <v>0</v>
      </c>
      <c r="U474" s="102">
        <f>IF(VLOOKUP($D474,$C$5:$AU$534,3,)=0,0,(VLOOKUP($D474,$C$5:$AU$534,19,)/VLOOKUP($D474,$C$5:$AU$534,3,))*$E474)</f>
        <v>0</v>
      </c>
      <c r="V474" s="102">
        <f>IF(VLOOKUP($D474,$C$5:$AU$534,3,)=0,0,(VLOOKUP($D474,$C$5:$AU$534,20,)/VLOOKUP($D474,$C$5:$AU$534,3,))*$E474)</f>
        <v>0</v>
      </c>
      <c r="W474" s="102">
        <f>IF(VLOOKUP($D474,$C$5:$AU$534,3,)=0,0,(VLOOKUP($D474,$C$5:$AU$534,21,)/VLOOKUP($D474,$C$5:$AU$534,3,))*$E474)</f>
        <v>0</v>
      </c>
      <c r="X474" s="102">
        <f>IF(VLOOKUP($D474,$C$5:$AU$534,3,)=0,0,(VLOOKUP($D474,$C$5:$AU$534,22,)/VLOOKUP($D474,$C$5:$AU$534,3,))*$E474)</f>
        <v>0</v>
      </c>
      <c r="Y474" s="102">
        <f>IF(VLOOKUP($D474,$C$5:$AU$534,3,)=0,0,(VLOOKUP($D474,$C$5:$AU$534,23,)/VLOOKUP($D474,$C$5:$AU$534,3,))*$E474)</f>
        <v>0</v>
      </c>
      <c r="Z474" s="102">
        <f>IF(VLOOKUP($D474,$C$5:$AU$534,3,)=0,0,(VLOOKUP($D474,$C$5:$AU$534,24,)/VLOOKUP($D474,$C$5:$AU$534,3,))*$E474)</f>
        <v>0</v>
      </c>
      <c r="AA474" s="102">
        <f>IF(VLOOKUP($D474,$C$5:$AU$534,3,)=0,0,(VLOOKUP($D474,$C$5:$AU$534,25,)/VLOOKUP($D474,$C$5:$AU$534,3,))*$E474)</f>
        <v>0</v>
      </c>
      <c r="AB474" s="102">
        <f>IF(VLOOKUP($D474,$C$5:$AU$534,3,)=0,0,(VLOOKUP($D474,$C$5:$AU$534,26,)/VLOOKUP($D474,$C$5:$AU$534,3,))*$E474)</f>
        <v>0</v>
      </c>
      <c r="AC474" s="102">
        <f>IF(VLOOKUP($D474,$C$5:$AU$534,3,)=0,0,(VLOOKUP($D474,$C$5:$AU$534,27,)/VLOOKUP($D474,$C$5:$AU$534,3,))*$E474)</f>
        <v>0</v>
      </c>
      <c r="AD474" s="102">
        <f>IF(VLOOKUP($D474,$C$5:$AU$534,3,)=0,0,(VLOOKUP($D474,$C$5:$AU$534,28,)/VLOOKUP($D474,$C$5:$AU$534,3,))*$E474)</f>
        <v>0</v>
      </c>
      <c r="AE474" s="102">
        <f>IF(VLOOKUP($D474,$C$5:$AU$534,3,)=0,0,(VLOOKUP($D474,$C$5:$AU$534,29,)/VLOOKUP($D474,$C$5:$AU$534,3,))*$E474)</f>
        <v>0</v>
      </c>
      <c r="AF474" s="102">
        <f>IF(VLOOKUP($D474,$C$5:$AU$534,3,)=0,0,(VLOOKUP($D474,$C$5:$AU$534,30,)/VLOOKUP($D474,$C$5:$AU$534,3,))*$E474)</f>
        <v>0</v>
      </c>
      <c r="AG474" s="17">
        <f>SUM(F474:AF474)</f>
        <v>1</v>
      </c>
      <c r="AH474" s="12" t="str">
        <f t="shared" si="231"/>
        <v>ok</v>
      </c>
    </row>
    <row r="476" spans="1:37" x14ac:dyDescent="0.2">
      <c r="A476" s="3" t="s">
        <v>603</v>
      </c>
      <c r="C476" s="3" t="s">
        <v>627</v>
      </c>
      <c r="E476" s="7">
        <f>E469</f>
        <v>1516505.2021882483</v>
      </c>
      <c r="F476" s="22">
        <f>F469</f>
        <v>1087864.9823277579</v>
      </c>
      <c r="G476" s="24">
        <f t="shared" ref="G476:Q476" si="233">G469</f>
        <v>39332.480633802814</v>
      </c>
      <c r="H476" s="7">
        <f t="shared" si="233"/>
        <v>168771.52802469133</v>
      </c>
      <c r="I476" s="7">
        <f t="shared" si="233"/>
        <v>81956.354757485024</v>
      </c>
      <c r="J476" s="7">
        <f t="shared" si="233"/>
        <v>28649.649804511271</v>
      </c>
      <c r="K476" s="7">
        <f t="shared" si="233"/>
        <v>109930.20663999999</v>
      </c>
      <c r="L476" s="24">
        <f t="shared" si="233"/>
        <v>0</v>
      </c>
      <c r="M476" s="7">
        <f t="shared" si="233"/>
        <v>0</v>
      </c>
      <c r="N476" s="7">
        <f t="shared" si="233"/>
        <v>0</v>
      </c>
      <c r="O476" s="7">
        <f t="shared" si="233"/>
        <v>0</v>
      </c>
      <c r="P476" s="7">
        <f t="shared" si="233"/>
        <v>0</v>
      </c>
      <c r="Q476" s="7">
        <f t="shared" si="233"/>
        <v>0</v>
      </c>
      <c r="R476" s="7">
        <f>R469</f>
        <v>0</v>
      </c>
      <c r="S476" s="88">
        <f>S469</f>
        <v>0</v>
      </c>
      <c r="T476" s="88">
        <f>T469</f>
        <v>0</v>
      </c>
      <c r="U476" s="88">
        <f t="shared" ref="U476:AF476" si="234">U469</f>
        <v>0</v>
      </c>
      <c r="V476" s="88">
        <f t="shared" si="234"/>
        <v>0</v>
      </c>
      <c r="W476" s="88">
        <f t="shared" si="234"/>
        <v>0</v>
      </c>
      <c r="X476" s="88">
        <f t="shared" si="234"/>
        <v>0</v>
      </c>
      <c r="Y476" s="88">
        <f t="shared" si="234"/>
        <v>0</v>
      </c>
      <c r="Z476" s="88">
        <f t="shared" si="234"/>
        <v>0</v>
      </c>
      <c r="AA476" s="88">
        <f t="shared" si="234"/>
        <v>0</v>
      </c>
      <c r="AB476" s="88">
        <f t="shared" si="234"/>
        <v>0</v>
      </c>
      <c r="AC476" s="88">
        <f t="shared" si="234"/>
        <v>0</v>
      </c>
      <c r="AD476" s="88">
        <f t="shared" si="234"/>
        <v>0</v>
      </c>
      <c r="AE476" s="88">
        <f t="shared" si="234"/>
        <v>0</v>
      </c>
      <c r="AF476" s="88">
        <f t="shared" si="234"/>
        <v>0</v>
      </c>
      <c r="AG476" s="7">
        <f>SUM(F476:AF476)</f>
        <v>1516505.2021882483</v>
      </c>
      <c r="AH476" s="12" t="str">
        <f t="shared" ref="AH476:AH481" si="235">IF(ABS(E476-AG476)&lt;0.01,"ok","err")</f>
        <v>ok</v>
      </c>
    </row>
    <row r="477" spans="1:37" x14ac:dyDescent="0.2">
      <c r="A477" s="3" t="s">
        <v>604</v>
      </c>
      <c r="E477" s="65">
        <f>E470</f>
        <v>25025145.377026547</v>
      </c>
      <c r="AG477" s="65">
        <f>E477</f>
        <v>25025145.377026547</v>
      </c>
      <c r="AH477" s="12" t="str">
        <f t="shared" si="235"/>
        <v>ok</v>
      </c>
    </row>
    <row r="478" spans="1:37" x14ac:dyDescent="0.2">
      <c r="A478" s="3" t="s">
        <v>595</v>
      </c>
      <c r="E478" s="41"/>
      <c r="M478" s="7">
        <v>0</v>
      </c>
      <c r="N478" s="7">
        <v>0</v>
      </c>
      <c r="P478" s="7"/>
      <c r="Q478" s="105"/>
      <c r="R478" s="3">
        <v>0</v>
      </c>
      <c r="S478" s="73">
        <v>0</v>
      </c>
      <c r="AA478" s="80">
        <v>0</v>
      </c>
      <c r="AB478" s="80">
        <v>0</v>
      </c>
      <c r="AC478" s="80">
        <v>0</v>
      </c>
      <c r="AD478" s="87">
        <f>AD471</f>
        <v>0</v>
      </c>
      <c r="AE478" s="80">
        <v>0</v>
      </c>
      <c r="AG478" s="65">
        <f>SUM(F478:AF478)</f>
        <v>0</v>
      </c>
      <c r="AH478" s="12" t="str">
        <f t="shared" si="235"/>
        <v>ok</v>
      </c>
    </row>
    <row r="479" spans="1:37" x14ac:dyDescent="0.2">
      <c r="A479" s="3" t="s">
        <v>605</v>
      </c>
      <c r="D479" s="3" t="s">
        <v>627</v>
      </c>
      <c r="E479" s="65">
        <f>E477-E478</f>
        <v>25025145.377026547</v>
      </c>
      <c r="F479" s="103">
        <f>IF(VLOOKUP($D479,$C$5:$AU$534,3,)=0,0,(VLOOKUP($D479,$C$5:$AU$534,4,)/VLOOKUP($D479,$C$5:$AU$534,3,))*$E479)</f>
        <v>17951787.632541969</v>
      </c>
      <c r="G479" s="41">
        <f>IF(VLOOKUP($D479,$C$5:$AU$534,3,)=0,0,(VLOOKUP($D479,$C$5:$AU$534,5,)/VLOOKUP($D479,$C$5:$AU$534,3,))*$E479)</f>
        <v>649058.79945528368</v>
      </c>
      <c r="H479" s="19">
        <f>IF(VLOOKUP($D479,$C$5:$AU$534,3,)=0,0,(VLOOKUP($D479,$C$5:$AU$534,6,)/VLOOKUP($D479,$C$5:$AU$534,3,))*$E479)</f>
        <v>2785042.8855940918</v>
      </c>
      <c r="I479" s="19">
        <f>IF(VLOOKUP($D479,$C$5:$AU$534,3,)=0,0,(VLOOKUP($D479,$C$5:$AU$534,7,)/VLOOKUP($D479,$C$5:$AU$534,3,))*$E479)</f>
        <v>1352431.6892667217</v>
      </c>
      <c r="J479" s="19">
        <f>IF(VLOOKUP($D479,$C$5:$AU$534,3,)=0,0,(VLOOKUP($D479,$C$5:$AU$534,8,)/VLOOKUP($D479,$C$5:$AU$534,3,))*$E479)</f>
        <v>472772.29931308609</v>
      </c>
      <c r="K479" s="19">
        <f>IF(VLOOKUP($D479,$C$5:$AU$534,3,)=0,0,(VLOOKUP($D479,$C$5:$AU$534,9,)/VLOOKUP($D479,$C$5:$AU$534,3,))*$E479)</f>
        <v>1814052.0708553933</v>
      </c>
      <c r="L479" s="41">
        <f>IF(VLOOKUP($D479,$C$5:$AU$534,3,)=0,0,(VLOOKUP($D479,$C$5:$AU$534,10,)/VLOOKUP($D479,$C$5:$AU$534,3,))*$E479)</f>
        <v>0</v>
      </c>
      <c r="M479" s="19">
        <f>IF(VLOOKUP($D479,$C$5:$AU$534,3,)=0,0,(VLOOKUP($D479,$C$5:$AU$534,11,)/VLOOKUP($D479,$C$5:$AU$534,3,))*$E479)</f>
        <v>0</v>
      </c>
      <c r="N479" s="19">
        <f>IF(VLOOKUP($D479,$C$5:$AU$534,3,)=0,0,(VLOOKUP($D479,$C$5:$AU$534,12,)/VLOOKUP($D479,$C$5:$AU$534,3,))*$E479)</f>
        <v>0</v>
      </c>
      <c r="O479" s="19">
        <f>IF(VLOOKUP($D479,$C$5:$AU$534,3,)=0,0,(VLOOKUP($D479,$C$5:$AU$534,13,)/VLOOKUP($D479,$C$5:$AU$534,3,))*$E479)</f>
        <v>0</v>
      </c>
      <c r="P479" s="19">
        <f>IF(VLOOKUP($D479,$C$5:$AU$534,3,)=0,0,(VLOOKUP($D479,$C$5:$AU$534,14,)/VLOOKUP($D479,$C$5:$AU$534,3,))*$E479)</f>
        <v>0</v>
      </c>
      <c r="Q479" s="19">
        <f>IF(VLOOKUP($D479,$C$5:$AU$534,3,)=0,0,(VLOOKUP($D479,$C$5:$AU$534,15,)/VLOOKUP($D479,$C$5:$AU$534,3,))*$E479)</f>
        <v>0</v>
      </c>
      <c r="R479" s="19">
        <f>IF(VLOOKUP($D479,$C$5:$AU$534,3,)=0,0,(VLOOKUP($D479,$C$5:$AU$534,16,)/VLOOKUP($D479,$C$5:$AU$534,3,))*$E479)</f>
        <v>0</v>
      </c>
      <c r="S479" s="80">
        <f>IF(VLOOKUP($D479,$C$5:$AU$534,3,)=0,0,(VLOOKUP($D479,$C$5:$AU$534,17,)/VLOOKUP($D479,$C$5:$AU$534,3,))*$E479)</f>
        <v>0</v>
      </c>
      <c r="T479" s="80">
        <f>IF(VLOOKUP($D479,$C$5:$AU$534,3,)=0,0,(VLOOKUP($D479,$C$5:$AU$534,18,)/VLOOKUP($D479,$C$5:$AU$534,3,))*$E479)</f>
        <v>0</v>
      </c>
      <c r="U479" s="80">
        <f>IF(VLOOKUP($D479,$C$5:$AU$534,3,)=0,0,(VLOOKUP($D479,$C$5:$AU$534,19,)/VLOOKUP($D479,$C$5:$AU$534,3,))*$E479)</f>
        <v>0</v>
      </c>
      <c r="V479" s="80">
        <f>IF(VLOOKUP($D479,$C$5:$AU$534,3,)=0,0,(VLOOKUP($D479,$C$5:$AU$534,20,)/VLOOKUP($D479,$C$5:$AU$534,3,))*$E479)</f>
        <v>0</v>
      </c>
      <c r="W479" s="80">
        <f>IF(VLOOKUP($D479,$C$5:$AU$534,3,)=0,0,(VLOOKUP($D479,$C$5:$AU$534,21,)/VLOOKUP($D479,$C$5:$AU$534,3,))*$E479)</f>
        <v>0</v>
      </c>
      <c r="X479" s="80">
        <f>IF(VLOOKUP($D479,$C$5:$AU$534,3,)=0,0,(VLOOKUP($D479,$C$5:$AU$534,22,)/VLOOKUP($D479,$C$5:$AU$534,3,))*$E479)</f>
        <v>0</v>
      </c>
      <c r="Y479" s="80">
        <f>IF(VLOOKUP($D479,$C$5:$AU$534,3,)=0,0,(VLOOKUP($D479,$C$5:$AU$534,23,)/VLOOKUP($D479,$C$5:$AU$534,3,))*$E479)</f>
        <v>0</v>
      </c>
      <c r="Z479" s="80">
        <f>IF(VLOOKUP($D479,$C$5:$AU$534,3,)=0,0,(VLOOKUP($D479,$C$5:$AU$534,24,)/VLOOKUP($D479,$C$5:$AU$534,3,))*$E479)</f>
        <v>0</v>
      </c>
      <c r="AA479" s="80">
        <f>IF(VLOOKUP($D479,$C$5:$AU$534,3,)=0,0,(VLOOKUP($D479,$C$5:$AU$534,25,)/VLOOKUP($D479,$C$5:$AU$534,3,))*$E479)</f>
        <v>0</v>
      </c>
      <c r="AB479" s="80">
        <f>IF(VLOOKUP($D479,$C$5:$AU$534,3,)=0,0,(VLOOKUP($D479,$C$5:$AU$534,26,)/VLOOKUP($D479,$C$5:$AU$534,3,))*$E479)</f>
        <v>0</v>
      </c>
      <c r="AC479" s="80">
        <f>IF(VLOOKUP($D479,$C$5:$AU$534,3,)=0,0,(VLOOKUP($D479,$C$5:$AU$534,27,)/VLOOKUP($D479,$C$5:$AU$534,3,))*$E479)</f>
        <v>0</v>
      </c>
      <c r="AD479" s="80">
        <f>IF(VLOOKUP($D479,$C$5:$AU$534,3,)=0,0,(VLOOKUP($D479,$C$5:$AU$534,28,)/VLOOKUP($D479,$C$5:$AU$534,3,))*$E479)</f>
        <v>0</v>
      </c>
      <c r="AE479" s="80">
        <f>IF(VLOOKUP($D479,$C$5:$AU$534,3,)=0,0,(VLOOKUP($D479,$C$5:$AU$534,29,)/VLOOKUP($D479,$C$5:$AU$534,3,))*$E479)</f>
        <v>0</v>
      </c>
      <c r="AF479" s="80">
        <f>IF(VLOOKUP($D479,$C$5:$AU$534,3,)=0,0,(VLOOKUP($D479,$C$5:$AU$534,30,)/VLOOKUP($D479,$C$5:$AU$534,3,))*$E479)</f>
        <v>0</v>
      </c>
      <c r="AG479" s="65">
        <f>SUM(F479:AF479)</f>
        <v>25025145.37702655</v>
      </c>
      <c r="AH479" s="12" t="str">
        <f t="shared" si="235"/>
        <v>ok</v>
      </c>
    </row>
    <row r="480" spans="1:37" x14ac:dyDescent="0.2">
      <c r="A480" s="3" t="s">
        <v>606</v>
      </c>
      <c r="C480" s="3" t="s">
        <v>628</v>
      </c>
      <c r="E480" s="65">
        <f t="shared" ref="E480:AF480" si="236">E478+E479</f>
        <v>25025145.377026547</v>
      </c>
      <c r="F480" s="104">
        <f t="shared" si="236"/>
        <v>17951787.632541969</v>
      </c>
      <c r="G480" s="65">
        <f t="shared" si="236"/>
        <v>649058.79945528368</v>
      </c>
      <c r="H480" s="65">
        <f t="shared" si="236"/>
        <v>2785042.8855940918</v>
      </c>
      <c r="I480" s="65">
        <f t="shared" si="236"/>
        <v>1352431.6892667217</v>
      </c>
      <c r="J480" s="65">
        <f t="shared" si="236"/>
        <v>472772.29931308609</v>
      </c>
      <c r="K480" s="65">
        <f t="shared" si="236"/>
        <v>1814052.0708553933</v>
      </c>
      <c r="L480" s="65">
        <f t="shared" si="236"/>
        <v>0</v>
      </c>
      <c r="M480" s="65">
        <f t="shared" si="236"/>
        <v>0</v>
      </c>
      <c r="N480" s="65">
        <f t="shared" si="236"/>
        <v>0</v>
      </c>
      <c r="O480" s="65">
        <f t="shared" si="236"/>
        <v>0</v>
      </c>
      <c r="P480" s="65">
        <f t="shared" si="236"/>
        <v>0</v>
      </c>
      <c r="Q480" s="65">
        <f t="shared" si="236"/>
        <v>0</v>
      </c>
      <c r="R480" s="65">
        <f t="shared" si="236"/>
        <v>0</v>
      </c>
      <c r="S480" s="87">
        <f t="shared" si="236"/>
        <v>0</v>
      </c>
      <c r="T480" s="87">
        <f t="shared" si="236"/>
        <v>0</v>
      </c>
      <c r="U480" s="87">
        <f t="shared" si="236"/>
        <v>0</v>
      </c>
      <c r="V480" s="87">
        <f t="shared" si="236"/>
        <v>0</v>
      </c>
      <c r="W480" s="87">
        <f t="shared" si="236"/>
        <v>0</v>
      </c>
      <c r="X480" s="87">
        <f t="shared" si="236"/>
        <v>0</v>
      </c>
      <c r="Y480" s="87">
        <f t="shared" si="236"/>
        <v>0</v>
      </c>
      <c r="Z480" s="87">
        <f t="shared" si="236"/>
        <v>0</v>
      </c>
      <c r="AA480" s="87">
        <f t="shared" si="236"/>
        <v>0</v>
      </c>
      <c r="AB480" s="87">
        <f t="shared" si="236"/>
        <v>0</v>
      </c>
      <c r="AC480" s="87">
        <f t="shared" si="236"/>
        <v>0</v>
      </c>
      <c r="AD480" s="87">
        <f t="shared" si="236"/>
        <v>0</v>
      </c>
      <c r="AE480" s="87">
        <f t="shared" si="236"/>
        <v>0</v>
      </c>
      <c r="AF480" s="87">
        <f t="shared" si="236"/>
        <v>0</v>
      </c>
      <c r="AG480" s="65">
        <f>SUM(F480:AF480)</f>
        <v>25025145.37702655</v>
      </c>
      <c r="AH480" s="12" t="str">
        <f t="shared" si="235"/>
        <v>ok</v>
      </c>
    </row>
    <row r="481" spans="1:37" x14ac:dyDescent="0.2">
      <c r="A481" s="3" t="s">
        <v>634</v>
      </c>
      <c r="C481" s="3" t="s">
        <v>629</v>
      </c>
      <c r="D481" s="3" t="s">
        <v>628</v>
      </c>
      <c r="E481" s="97">
        <v>1</v>
      </c>
      <c r="F481" s="72">
        <f>IF(VLOOKUP($D481,$C$5:$AU$534,3,)=0,0,(VLOOKUP($D481,$C$5:$AU$534,4,)/VLOOKUP($D481,$C$5:$AU$534,3,))*$E481)</f>
        <v>0.71734998386950333</v>
      </c>
      <c r="G481" s="72">
        <f>IF(VLOOKUP($D481,$C$5:$AU$534,3,)=0,0,(VLOOKUP($D481,$C$5:$AU$534,5,)/VLOOKUP($D481,$C$5:$AU$534,3,))*$E481)</f>
        <v>2.5936264891836723E-2</v>
      </c>
      <c r="H481" s="17">
        <f>IF(VLOOKUP($D481,$C$5:$AU$534,3,)=0,0,(VLOOKUP($D481,$C$5:$AU$534,6,)/VLOOKUP($D481,$C$5:$AU$534,3,))*$E481)</f>
        <v>0.11128977848619423</v>
      </c>
      <c r="I481" s="17">
        <f>IF(VLOOKUP($D481,$C$5:$AU$534,3,)=0,0,(VLOOKUP($D481,$C$5:$AU$534,7,)/VLOOKUP($D481,$C$5:$AU$534,3,))*$E481)</f>
        <v>5.404291039636773E-2</v>
      </c>
      <c r="J481" s="17">
        <f>IF(VLOOKUP($D481,$C$5:$AU$534,3,)=0,0,(VLOOKUP($D481,$C$5:$AU$534,8,)/VLOOKUP($D481,$C$5:$AU$534,3,))*$E481)</f>
        <v>1.8891890224425952E-2</v>
      </c>
      <c r="K481" s="17">
        <f>IF(VLOOKUP($D481,$C$5:$AU$534,3,)=0,0,(VLOOKUP($D481,$C$5:$AU$534,9,)/VLOOKUP($D481,$C$5:$AU$534,3,))*$E481)</f>
        <v>7.2489172131672011E-2</v>
      </c>
      <c r="L481" s="72">
        <f>IF(VLOOKUP($D481,$C$5:$AU$534,3,)=0,0,(VLOOKUP($D481,$C$5:$AU$534,10,)/VLOOKUP($D481,$C$5:$AU$534,3,))*$E481)</f>
        <v>0</v>
      </c>
      <c r="M481" s="17">
        <f>IF(VLOOKUP($D481,$C$5:$AU$534,3,)=0,0,(VLOOKUP($D481,$C$5:$AU$534,11,)/VLOOKUP($D481,$C$5:$AU$534,3,))*$E481)</f>
        <v>0</v>
      </c>
      <c r="N481" s="17">
        <f>IF(VLOOKUP($D481,$C$5:$AU$534,3,)=0,0,(VLOOKUP($D481,$C$5:$AU$534,12,)/VLOOKUP($D481,$C$5:$AU$534,3,))*$E481)</f>
        <v>0</v>
      </c>
      <c r="O481" s="17">
        <f>IF(VLOOKUP($D481,$C$5:$AU$534,3,)=0,0,(VLOOKUP($D481,$C$5:$AU$534,13,)/VLOOKUP($D481,$C$5:$AU$534,3,))*$E481)</f>
        <v>0</v>
      </c>
      <c r="P481" s="17">
        <f>IF(VLOOKUP($D481,$C$5:$AU$534,3,)=0,0,(VLOOKUP($D481,$C$5:$AU$534,14,)/VLOOKUP($D481,$C$5:$AU$534,3,))*$E481)</f>
        <v>0</v>
      </c>
      <c r="Q481" s="17">
        <f>IF(VLOOKUP($D481,$C$5:$AU$534,3,)=0,0,(VLOOKUP($D481,$C$5:$AU$534,15,)/VLOOKUP($D481,$C$5:$AU$534,3,))*$E481)</f>
        <v>0</v>
      </c>
      <c r="R481" s="17">
        <f>IF(VLOOKUP($D481,$C$5:$AU$534,3,)=0,0,(VLOOKUP($D481,$C$5:$AU$534,16,)/VLOOKUP($D481,$C$5:$AU$534,3,))*$E481)</f>
        <v>0</v>
      </c>
      <c r="S481" s="102">
        <f>IF(VLOOKUP($D481,$C$5:$AU$534,3,)=0,0,(VLOOKUP($D481,$C$5:$AU$534,17,)/VLOOKUP($D481,$C$5:$AU$534,3,))*$E481)</f>
        <v>0</v>
      </c>
      <c r="T481" s="102">
        <f>IF(VLOOKUP($D481,$C$5:$AU$534,3,)=0,0,(VLOOKUP($D481,$C$5:$AU$534,18,)/VLOOKUP($D481,$C$5:$AU$534,3,))*$E481)</f>
        <v>0</v>
      </c>
      <c r="U481" s="102">
        <f>IF(VLOOKUP($D481,$C$5:$AU$534,3,)=0,0,(VLOOKUP($D481,$C$5:$AU$534,19,)/VLOOKUP($D481,$C$5:$AU$534,3,))*$E481)</f>
        <v>0</v>
      </c>
      <c r="V481" s="102">
        <f>IF(VLOOKUP($D481,$C$5:$AU$534,3,)=0,0,(VLOOKUP($D481,$C$5:$AU$534,20,)/VLOOKUP($D481,$C$5:$AU$534,3,))*$E481)</f>
        <v>0</v>
      </c>
      <c r="W481" s="102">
        <f>IF(VLOOKUP($D481,$C$5:$AU$534,3,)=0,0,(VLOOKUP($D481,$C$5:$AU$534,21,)/VLOOKUP($D481,$C$5:$AU$534,3,))*$E481)</f>
        <v>0</v>
      </c>
      <c r="X481" s="102">
        <f>IF(VLOOKUP($D481,$C$5:$AU$534,3,)=0,0,(VLOOKUP($D481,$C$5:$AU$534,22,)/VLOOKUP($D481,$C$5:$AU$534,3,))*$E481)</f>
        <v>0</v>
      </c>
      <c r="Y481" s="102">
        <f>IF(VLOOKUP($D481,$C$5:$AU$534,3,)=0,0,(VLOOKUP($D481,$C$5:$AU$534,23,)/VLOOKUP($D481,$C$5:$AU$534,3,))*$E481)</f>
        <v>0</v>
      </c>
      <c r="Z481" s="102">
        <f>IF(VLOOKUP($D481,$C$5:$AU$534,3,)=0,0,(VLOOKUP($D481,$C$5:$AU$534,24,)/VLOOKUP($D481,$C$5:$AU$534,3,))*$E481)</f>
        <v>0</v>
      </c>
      <c r="AA481" s="102">
        <f>IF(VLOOKUP($D481,$C$5:$AU$534,3,)=0,0,(VLOOKUP($D481,$C$5:$AU$534,25,)/VLOOKUP($D481,$C$5:$AU$534,3,))*$E481)</f>
        <v>0</v>
      </c>
      <c r="AB481" s="102">
        <f>IF(VLOOKUP($D481,$C$5:$AU$534,3,)=0,0,(VLOOKUP($D481,$C$5:$AU$534,26,)/VLOOKUP($D481,$C$5:$AU$534,3,))*$E481)</f>
        <v>0</v>
      </c>
      <c r="AC481" s="102">
        <f>IF(VLOOKUP($D481,$C$5:$AU$534,3,)=0,0,(VLOOKUP($D481,$C$5:$AU$534,27,)/VLOOKUP($D481,$C$5:$AU$534,3,))*$E481)</f>
        <v>0</v>
      </c>
      <c r="AD481" s="102">
        <f>IF(VLOOKUP($D481,$C$5:$AU$534,3,)=0,0,(VLOOKUP($D481,$C$5:$AU$534,28,)/VLOOKUP($D481,$C$5:$AU$534,3,))*$E481)</f>
        <v>0</v>
      </c>
      <c r="AE481" s="102">
        <f>IF(VLOOKUP($D481,$C$5:$AU$534,3,)=0,0,(VLOOKUP($D481,$C$5:$AU$534,29,)/VLOOKUP($D481,$C$5:$AU$534,3,))*$E481)</f>
        <v>0</v>
      </c>
      <c r="AF481" s="102">
        <f>IF(VLOOKUP($D481,$C$5:$AU$534,3,)=0,0,(VLOOKUP($D481,$C$5:$AU$534,30,)/VLOOKUP($D481,$C$5:$AU$534,3,))*$E481)</f>
        <v>0</v>
      </c>
      <c r="AG481" s="17">
        <f>SUM(F481:AF481)</f>
        <v>1</v>
      </c>
      <c r="AH481" s="12" t="str">
        <f t="shared" si="235"/>
        <v>ok</v>
      </c>
    </row>
    <row r="483" spans="1:37" x14ac:dyDescent="0.2">
      <c r="A483" s="3" t="s">
        <v>610</v>
      </c>
      <c r="C483" s="3" t="s">
        <v>614</v>
      </c>
      <c r="E483" s="24">
        <f>E462</f>
        <v>485666.0004655603</v>
      </c>
      <c r="F483" s="24">
        <f t="shared" ref="F483:S483" si="237">F462</f>
        <v>386010.19981960894</v>
      </c>
      <c r="G483" s="24">
        <f t="shared" si="237"/>
        <v>24885.903114521429</v>
      </c>
      <c r="H483" s="24">
        <f t="shared" si="237"/>
        <v>50806.204288990819</v>
      </c>
      <c r="I483" s="24">
        <f t="shared" si="237"/>
        <v>8097.951504896314</v>
      </c>
      <c r="J483" s="24">
        <f t="shared" si="237"/>
        <v>10862.426466165412</v>
      </c>
      <c r="K483" s="24">
        <f t="shared" si="237"/>
        <v>5003.3152713773679</v>
      </c>
      <c r="L483" s="24">
        <f t="shared" si="237"/>
        <v>0</v>
      </c>
      <c r="M483" s="24">
        <f t="shared" si="237"/>
        <v>0</v>
      </c>
      <c r="N483" s="24">
        <f t="shared" si="237"/>
        <v>0</v>
      </c>
      <c r="O483" s="24">
        <f t="shared" si="237"/>
        <v>0</v>
      </c>
      <c r="P483" s="24">
        <f t="shared" si="237"/>
        <v>0</v>
      </c>
      <c r="Q483" s="24">
        <f t="shared" si="237"/>
        <v>0</v>
      </c>
      <c r="R483" s="24">
        <f t="shared" si="237"/>
        <v>0</v>
      </c>
      <c r="S483" s="88">
        <f t="shared" si="237"/>
        <v>0</v>
      </c>
      <c r="T483" s="88">
        <f t="shared" ref="T483:Y483" si="238">T450</f>
        <v>0</v>
      </c>
      <c r="U483" s="88">
        <f t="shared" si="238"/>
        <v>0</v>
      </c>
      <c r="V483" s="88">
        <f t="shared" si="238"/>
        <v>0</v>
      </c>
      <c r="W483" s="88">
        <f t="shared" si="238"/>
        <v>0</v>
      </c>
      <c r="X483" s="88">
        <f t="shared" si="238"/>
        <v>0</v>
      </c>
      <c r="Y483" s="88">
        <f t="shared" si="238"/>
        <v>0</v>
      </c>
      <c r="Z483" s="88">
        <f>Z450</f>
        <v>0</v>
      </c>
      <c r="AA483" s="88">
        <f>AA450</f>
        <v>0</v>
      </c>
      <c r="AB483" s="88">
        <f>AB450</f>
        <v>0</v>
      </c>
      <c r="AC483" s="88">
        <f>AC450</f>
        <v>0</v>
      </c>
      <c r="AD483" s="88">
        <v>0</v>
      </c>
      <c r="AE483" s="88">
        <v>0</v>
      </c>
      <c r="AF483" s="88">
        <f>AF450</f>
        <v>0</v>
      </c>
      <c r="AG483" s="65">
        <f>SUM(F483:AF483)</f>
        <v>485666.0004655603</v>
      </c>
      <c r="AH483" s="12" t="str">
        <f t="shared" ref="AH483:AH488" si="239">IF(ABS(E483-AG483)&lt;0.01,"ok","err")</f>
        <v>ok</v>
      </c>
    </row>
    <row r="484" spans="1:37" x14ac:dyDescent="0.2">
      <c r="A484" s="3" t="s">
        <v>611</v>
      </c>
      <c r="E484" s="65">
        <f>'Func &amp; Classif'!M56</f>
        <v>489306.13</v>
      </c>
      <c r="AG484" s="65">
        <f>E484</f>
        <v>489306.13</v>
      </c>
      <c r="AH484" s="12" t="str">
        <f t="shared" si="239"/>
        <v>ok</v>
      </c>
    </row>
    <row r="485" spans="1:37" x14ac:dyDescent="0.2">
      <c r="A485" s="3" t="s">
        <v>595</v>
      </c>
      <c r="E485" s="24"/>
      <c r="F485" s="24">
        <v>0</v>
      </c>
      <c r="G485" s="24">
        <v>0</v>
      </c>
      <c r="H485" s="7">
        <v>0</v>
      </c>
      <c r="I485" s="7">
        <v>0</v>
      </c>
      <c r="J485" s="7">
        <v>0</v>
      </c>
      <c r="K485" s="7">
        <v>0</v>
      </c>
      <c r="L485" s="24">
        <v>0</v>
      </c>
      <c r="M485" s="7">
        <v>0</v>
      </c>
      <c r="N485" s="7">
        <v>0</v>
      </c>
      <c r="O485" s="19"/>
      <c r="P485" s="7"/>
      <c r="Q485" s="3">
        <v>0</v>
      </c>
      <c r="R485" s="3">
        <v>0</v>
      </c>
      <c r="S485" s="73">
        <v>0</v>
      </c>
      <c r="AG485" s="65">
        <f>SUM(F485:AF485)</f>
        <v>0</v>
      </c>
      <c r="AH485" s="12" t="str">
        <f t="shared" si="239"/>
        <v>ok</v>
      </c>
    </row>
    <row r="486" spans="1:37" x14ac:dyDescent="0.2">
      <c r="A486" s="3" t="s">
        <v>612</v>
      </c>
      <c r="D486" s="3" t="s">
        <v>614</v>
      </c>
      <c r="E486" s="65">
        <f>E484-E485</f>
        <v>489306.13</v>
      </c>
      <c r="F486" s="41">
        <f>IF(VLOOKUP($D486,$C$5:$AU$534,3,)=0,0,(VLOOKUP($D486,$C$5:$AU$534,4,)/VLOOKUP($D486,$C$5:$AU$534,3,))*$E486)</f>
        <v>388903.39622951072</v>
      </c>
      <c r="G486" s="41">
        <f>IF(VLOOKUP($D486,$C$5:$AU$534,3,)=0,0,(VLOOKUP($D486,$C$5:$AU$534,5,)/VLOOKUP($D486,$C$5:$AU$534,3,))*$E486)</f>
        <v>25072.426179408692</v>
      </c>
      <c r="H486" s="19">
        <f>IF(VLOOKUP($D486,$C$5:$AU$534,3,)=0,0,(VLOOKUP($D486,$C$5:$AU$534,6,)/VLOOKUP($D486,$C$5:$AU$534,3,))*$E486)</f>
        <v>51187.003366109348</v>
      </c>
      <c r="I486" s="19">
        <f>IF(VLOOKUP($D486,$C$5:$AU$534,3,)=0,0,(VLOOKUP($D486,$C$5:$AU$534,7,)/VLOOKUP($D486,$C$5:$AU$534,3,))*$E486)</f>
        <v>8158.6466995633818</v>
      </c>
      <c r="J486" s="19">
        <f>IF(VLOOKUP($D486,$C$5:$AU$534,3,)=0,0,(VLOOKUP($D486,$C$5:$AU$534,8,)/VLOOKUP($D486,$C$5:$AU$534,3,))*$E486)</f>
        <v>10943.841758480017</v>
      </c>
      <c r="K486" s="19">
        <f>IF(VLOOKUP($D486,$C$5:$AU$534,3,)=0,0,(VLOOKUP($D486,$C$5:$AU$534,9,)/VLOOKUP($D486,$C$5:$AU$534,3,))*$E486)</f>
        <v>5040.815766927798</v>
      </c>
      <c r="L486" s="41">
        <f>IF(VLOOKUP($D486,$C$5:$AU$534,3,)=0,0,(VLOOKUP($D486,$C$5:$AU$534,10,)/VLOOKUP($D486,$C$5:$AU$534,3,))*$E486)</f>
        <v>0</v>
      </c>
      <c r="M486" s="19">
        <f>IF(VLOOKUP($D486,$C$5:$AU$534,3,)=0,0,(VLOOKUP($D486,$C$5:$AU$534,11,)/VLOOKUP($D486,$C$5:$AU$534,3,))*$E486)</f>
        <v>0</v>
      </c>
      <c r="N486" s="19">
        <f>IF(VLOOKUP($D486,$C$5:$AU$534,3,)=0,0,(VLOOKUP($D486,$C$5:$AU$534,12,)/VLOOKUP($D486,$C$5:$AU$534,3,))*$E486)</f>
        <v>0</v>
      </c>
      <c r="O486" s="19">
        <f>IF(VLOOKUP($D486,$C$5:$AU$534,3,)=0,0,(VLOOKUP($D486,$C$5:$AU$534,13,)/VLOOKUP($D486,$C$5:$AU$534,3,))*$E486)</f>
        <v>0</v>
      </c>
      <c r="P486" s="19">
        <f>IF(VLOOKUP($D486,$C$5:$AU$534,3,)=0,0,(VLOOKUP($D486,$C$5:$AU$534,14,)/VLOOKUP($D486,$C$5:$AU$534,3,))*$E486)</f>
        <v>0</v>
      </c>
      <c r="Q486" s="19">
        <f>IF(VLOOKUP($D486,$C$5:$AU$534,3,)=0,0,(VLOOKUP($D486,$C$5:$AU$534,15,)/VLOOKUP($D486,$C$5:$AU$534,3,))*$E486)</f>
        <v>0</v>
      </c>
      <c r="R486" s="19">
        <f>IF(VLOOKUP($D486,$C$5:$AU$534,3,)=0,0,(VLOOKUP($D486,$C$5:$AU$534,16,)/VLOOKUP($D486,$C$5:$AU$534,3,))*$E486)</f>
        <v>0</v>
      </c>
      <c r="S486" s="80">
        <f>IF(VLOOKUP($D486,$C$5:$AU$534,3,)=0,0,(VLOOKUP($D486,$C$5:$AU$534,17,)/VLOOKUP($D486,$C$5:$AU$534,3,))*$E486)</f>
        <v>0</v>
      </c>
      <c r="T486" s="80">
        <f>IF(VLOOKUP($D486,$C$5:$AU$534,3,)=0,0,(VLOOKUP($D486,$C$5:$AU$534,18,)/VLOOKUP($D486,$C$5:$AU$534,3,))*$E486)</f>
        <v>0</v>
      </c>
      <c r="U486" s="80">
        <f>IF(VLOOKUP($D486,$C$5:$AU$534,3,)=0,0,(VLOOKUP($D486,$C$5:$AU$534,19,)/VLOOKUP($D486,$C$5:$AU$534,3,))*$E486)</f>
        <v>0</v>
      </c>
      <c r="V486" s="80">
        <f>IF(VLOOKUP($D486,$C$5:$AU$534,3,)=0,0,(VLOOKUP($D486,$C$5:$AU$534,20,)/VLOOKUP($D486,$C$5:$AU$534,3,))*$E486)</f>
        <v>0</v>
      </c>
      <c r="W486" s="80">
        <f>IF(VLOOKUP($D486,$C$5:$AU$534,3,)=0,0,(VLOOKUP($D486,$C$5:$AU$534,21,)/VLOOKUP($D486,$C$5:$AU$534,3,))*$E486)</f>
        <v>0</v>
      </c>
      <c r="X486" s="80">
        <f>IF(VLOOKUP($D486,$C$5:$AU$534,3,)=0,0,(VLOOKUP($D486,$C$5:$AU$534,22,)/VLOOKUP($D486,$C$5:$AU$534,3,))*$E486)</f>
        <v>0</v>
      </c>
      <c r="Y486" s="80">
        <f>IF(VLOOKUP($D486,$C$5:$AU$534,3,)=0,0,(VLOOKUP($D486,$C$5:$AU$534,23,)/VLOOKUP($D486,$C$5:$AU$534,3,))*$E486)</f>
        <v>0</v>
      </c>
      <c r="Z486" s="80">
        <f>IF(VLOOKUP($D486,$C$5:$AU$534,3,)=0,0,(VLOOKUP($D486,$C$5:$AU$534,24,)/VLOOKUP($D486,$C$5:$AU$534,3,))*$E486)</f>
        <v>0</v>
      </c>
      <c r="AA486" s="80">
        <f>IF(VLOOKUP($D486,$C$5:$AU$534,3,)=0,0,(VLOOKUP($D486,$C$5:$AU$534,25,)/VLOOKUP($D486,$C$5:$AU$534,3,))*$E486)</f>
        <v>0</v>
      </c>
      <c r="AB486" s="80">
        <f>IF(VLOOKUP($D486,$C$5:$AU$534,3,)=0,0,(VLOOKUP($D486,$C$5:$AU$534,26,)/VLOOKUP($D486,$C$5:$AU$534,3,))*$E486)</f>
        <v>0</v>
      </c>
      <c r="AC486" s="80">
        <f>IF(VLOOKUP($D486,$C$5:$AU$534,3,)=0,0,(VLOOKUP($D486,$C$5:$AU$534,27,)/VLOOKUP($D486,$C$5:$AU$534,3,))*$E486)</f>
        <v>0</v>
      </c>
      <c r="AD486" s="80">
        <f>IF(VLOOKUP($D486,$C$5:$AU$534,3,)=0,0,(VLOOKUP($D486,$C$5:$AU$534,28,)/VLOOKUP($D486,$C$5:$AU$534,3,))*$E486)</f>
        <v>0</v>
      </c>
      <c r="AE486" s="80">
        <f>IF(VLOOKUP($D486,$C$5:$AU$534,3,)=0,0,(VLOOKUP($D486,$C$5:$AU$534,29,)/VLOOKUP($D486,$C$5:$AU$534,3,))*$E486)</f>
        <v>0</v>
      </c>
      <c r="AF486" s="80">
        <f>IF(VLOOKUP($D486,$C$5:$AU$534,3,)=0,0,(VLOOKUP($D486,$C$5:$AU$534,30,)/VLOOKUP($D486,$C$5:$AU$534,3,))*$E486)</f>
        <v>0</v>
      </c>
      <c r="AG486" s="65">
        <f>SUM(F486:AF486)</f>
        <v>489306.12999999989</v>
      </c>
      <c r="AH486" s="12" t="str">
        <f t="shared" si="239"/>
        <v>ok</v>
      </c>
    </row>
    <row r="487" spans="1:37" x14ac:dyDescent="0.2">
      <c r="A487" s="3" t="s">
        <v>613</v>
      </c>
      <c r="C487" s="3" t="s">
        <v>615</v>
      </c>
      <c r="E487" s="65">
        <f t="shared" ref="E487:AF487" si="240">E485+E486</f>
        <v>489306.13</v>
      </c>
      <c r="F487" s="65">
        <f t="shared" si="240"/>
        <v>388903.39622951072</v>
      </c>
      <c r="G487" s="65">
        <f t="shared" si="240"/>
        <v>25072.426179408692</v>
      </c>
      <c r="H487" s="65">
        <f t="shared" si="240"/>
        <v>51187.003366109348</v>
      </c>
      <c r="I487" s="65">
        <f t="shared" si="240"/>
        <v>8158.6466995633818</v>
      </c>
      <c r="J487" s="65">
        <f t="shared" si="240"/>
        <v>10943.841758480017</v>
      </c>
      <c r="K487" s="65">
        <f t="shared" si="240"/>
        <v>5040.815766927798</v>
      </c>
      <c r="L487" s="65">
        <f t="shared" si="240"/>
        <v>0</v>
      </c>
      <c r="M487" s="65">
        <f t="shared" si="240"/>
        <v>0</v>
      </c>
      <c r="N487" s="65">
        <f t="shared" si="240"/>
        <v>0</v>
      </c>
      <c r="O487" s="65">
        <f t="shared" si="240"/>
        <v>0</v>
      </c>
      <c r="P487" s="65">
        <f t="shared" si="240"/>
        <v>0</v>
      </c>
      <c r="Q487" s="65">
        <f t="shared" si="240"/>
        <v>0</v>
      </c>
      <c r="R487" s="65">
        <f t="shared" si="240"/>
        <v>0</v>
      </c>
      <c r="S487" s="87">
        <f t="shared" si="240"/>
        <v>0</v>
      </c>
      <c r="T487" s="87">
        <f t="shared" si="240"/>
        <v>0</v>
      </c>
      <c r="U487" s="87">
        <f t="shared" si="240"/>
        <v>0</v>
      </c>
      <c r="V487" s="87">
        <f t="shared" si="240"/>
        <v>0</v>
      </c>
      <c r="W487" s="87">
        <f t="shared" si="240"/>
        <v>0</v>
      </c>
      <c r="X487" s="87">
        <f t="shared" si="240"/>
        <v>0</v>
      </c>
      <c r="Y487" s="87">
        <f t="shared" si="240"/>
        <v>0</v>
      </c>
      <c r="Z487" s="87">
        <f t="shared" si="240"/>
        <v>0</v>
      </c>
      <c r="AA487" s="87">
        <f t="shared" si="240"/>
        <v>0</v>
      </c>
      <c r="AB487" s="87">
        <f t="shared" si="240"/>
        <v>0</v>
      </c>
      <c r="AC487" s="87">
        <f t="shared" si="240"/>
        <v>0</v>
      </c>
      <c r="AD487" s="87">
        <f t="shared" si="240"/>
        <v>0</v>
      </c>
      <c r="AE487" s="87">
        <f t="shared" si="240"/>
        <v>0</v>
      </c>
      <c r="AF487" s="87">
        <f t="shared" si="240"/>
        <v>0</v>
      </c>
      <c r="AG487" s="65">
        <f>SUM(F487:AF487)</f>
        <v>489306.12999999989</v>
      </c>
      <c r="AH487" s="12" t="str">
        <f t="shared" si="239"/>
        <v>ok</v>
      </c>
    </row>
    <row r="488" spans="1:37" x14ac:dyDescent="0.2">
      <c r="A488" s="3" t="s">
        <v>636</v>
      </c>
      <c r="C488" s="3" t="s">
        <v>616</v>
      </c>
      <c r="D488" s="3" t="s">
        <v>615</v>
      </c>
      <c r="E488" s="97">
        <v>1</v>
      </c>
      <c r="F488" s="72">
        <f>IF(VLOOKUP($D488,$C$5:$AU$534,3,)=0,0,(VLOOKUP($D488,$C$5:$AU$534,4,)/VLOOKUP($D488,$C$5:$AU$534,3,))*$E488)</f>
        <v>0.7948058942762698</v>
      </c>
      <c r="G488" s="72">
        <f>IF(VLOOKUP($D488,$C$5:$AU$534,3,)=0,0,(VLOOKUP($D488,$C$5:$AU$534,5,)/VLOOKUP($D488,$C$5:$AU$534,3,))*$E488)</f>
        <v>5.1240776769767203E-2</v>
      </c>
      <c r="H488" s="17">
        <f>IF(VLOOKUP($D488,$C$5:$AU$534,3,)=0,0,(VLOOKUP($D488,$C$5:$AU$534,6,)/VLOOKUP($D488,$C$5:$AU$534,3,))*$E488)</f>
        <v>0.10461140833471542</v>
      </c>
      <c r="I488" s="17">
        <f>IF(VLOOKUP($D488,$C$5:$AU$534,3,)=0,0,(VLOOKUP($D488,$C$5:$AU$534,7,)/VLOOKUP($D488,$C$5:$AU$534,3,))*$E488)</f>
        <v>1.6673910665217666E-2</v>
      </c>
      <c r="J488" s="17">
        <f>IF(VLOOKUP($D488,$C$5:$AU$534,3,)=0,0,(VLOOKUP($D488,$C$5:$AU$534,8,)/VLOOKUP($D488,$C$5:$AU$534,3,))*$E488)</f>
        <v>2.2366042621374919E-2</v>
      </c>
      <c r="K488" s="17">
        <f>IF(VLOOKUP($D488,$C$5:$AU$534,3,)=0,0,(VLOOKUP($D488,$C$5:$AU$534,9,)/VLOOKUP($D488,$C$5:$AU$534,3,))*$E488)</f>
        <v>1.0301967332654913E-2</v>
      </c>
      <c r="L488" s="72">
        <f>IF(VLOOKUP($D488,$C$5:$AU$534,3,)=0,0,(VLOOKUP($D488,$C$5:$AU$534,10,)/VLOOKUP($D488,$C$5:$AU$534,3,))*$E488)</f>
        <v>0</v>
      </c>
      <c r="M488" s="17">
        <f>IF(VLOOKUP($D488,$C$5:$AU$534,3,)=0,0,(VLOOKUP($D488,$C$5:$AU$534,11,)/VLOOKUP($D488,$C$5:$AU$534,3,))*$E488)</f>
        <v>0</v>
      </c>
      <c r="N488" s="17">
        <f>IF(VLOOKUP($D488,$C$5:$AU$534,3,)=0,0,(VLOOKUP($D488,$C$5:$AU$534,12,)/VLOOKUP($D488,$C$5:$AU$534,3,))*$E488)</f>
        <v>0</v>
      </c>
      <c r="O488" s="17">
        <f>IF(VLOOKUP($D488,$C$5:$AU$534,3,)=0,0,(VLOOKUP($D488,$C$5:$AU$534,13,)/VLOOKUP($D488,$C$5:$AU$534,3,))*$E488)</f>
        <v>0</v>
      </c>
      <c r="P488" s="17">
        <f>IF(VLOOKUP($D488,$C$5:$AU$534,3,)=0,0,(VLOOKUP($D488,$C$5:$AU$534,14,)/VLOOKUP($D488,$C$5:$AU$534,3,))*$E488)</f>
        <v>0</v>
      </c>
      <c r="Q488" s="17">
        <f>IF(VLOOKUP($D488,$C$5:$AU$534,3,)=0,0,(VLOOKUP($D488,$C$5:$AU$534,15,)/VLOOKUP($D488,$C$5:$AU$534,3,))*$E488)</f>
        <v>0</v>
      </c>
      <c r="R488" s="17">
        <f>IF(VLOOKUP($D488,$C$5:$AU$534,3,)=0,0,(VLOOKUP($D488,$C$5:$AU$534,16,)/VLOOKUP($D488,$C$5:$AU$534,3,))*$E488)</f>
        <v>0</v>
      </c>
      <c r="S488" s="102">
        <f>IF(VLOOKUP($D488,$C$5:$AU$534,3,)=0,0,(VLOOKUP($D488,$C$5:$AU$534,17,)/VLOOKUP($D488,$C$5:$AU$534,3,))*$E488)</f>
        <v>0</v>
      </c>
      <c r="T488" s="102">
        <f>IF(VLOOKUP($D488,$C$5:$AU$534,3,)=0,0,(VLOOKUP($D488,$C$5:$AU$534,18,)/VLOOKUP($D488,$C$5:$AU$534,3,))*$E488)</f>
        <v>0</v>
      </c>
      <c r="U488" s="102">
        <f>IF(VLOOKUP($D488,$C$5:$AU$534,3,)=0,0,(VLOOKUP($D488,$C$5:$AU$534,19,)/VLOOKUP($D488,$C$5:$AU$534,3,))*$E488)</f>
        <v>0</v>
      </c>
      <c r="V488" s="102">
        <f>IF(VLOOKUP($D488,$C$5:$AU$534,3,)=0,0,(VLOOKUP($D488,$C$5:$AU$534,20,)/VLOOKUP($D488,$C$5:$AU$534,3,))*$E488)</f>
        <v>0</v>
      </c>
      <c r="W488" s="102">
        <f>IF(VLOOKUP($D488,$C$5:$AU$534,3,)=0,0,(VLOOKUP($D488,$C$5:$AU$534,21,)/VLOOKUP($D488,$C$5:$AU$534,3,))*$E488)</f>
        <v>0</v>
      </c>
      <c r="X488" s="102">
        <f>IF(VLOOKUP($D488,$C$5:$AU$534,3,)=0,0,(VLOOKUP($D488,$C$5:$AU$534,22,)/VLOOKUP($D488,$C$5:$AU$534,3,))*$E488)</f>
        <v>0</v>
      </c>
      <c r="Y488" s="102">
        <f>IF(VLOOKUP($D488,$C$5:$AU$534,3,)=0,0,(VLOOKUP($D488,$C$5:$AU$534,23,)/VLOOKUP($D488,$C$5:$AU$534,3,))*$E488)</f>
        <v>0</v>
      </c>
      <c r="Z488" s="102">
        <f>IF(VLOOKUP($D488,$C$5:$AU$534,3,)=0,0,(VLOOKUP($D488,$C$5:$AU$534,24,)/VLOOKUP($D488,$C$5:$AU$534,3,))*$E488)</f>
        <v>0</v>
      </c>
      <c r="AA488" s="102">
        <f>IF(VLOOKUP($D488,$C$5:$AU$534,3,)=0,0,(VLOOKUP($D488,$C$5:$AU$534,25,)/VLOOKUP($D488,$C$5:$AU$534,3,))*$E488)</f>
        <v>0</v>
      </c>
      <c r="AB488" s="102">
        <f>IF(VLOOKUP($D488,$C$5:$AU$534,3,)=0,0,(VLOOKUP($D488,$C$5:$AU$534,26,)/VLOOKUP($D488,$C$5:$AU$534,3,))*$E488)</f>
        <v>0</v>
      </c>
      <c r="AC488" s="102">
        <f>IF(VLOOKUP($D488,$C$5:$AU$534,3,)=0,0,(VLOOKUP($D488,$C$5:$AU$534,27,)/VLOOKUP($D488,$C$5:$AU$534,3,))*$E488)</f>
        <v>0</v>
      </c>
      <c r="AD488" s="102">
        <f>IF(VLOOKUP($D488,$C$5:$AU$534,3,)=0,0,(VLOOKUP($D488,$C$5:$AU$534,28,)/VLOOKUP($D488,$C$5:$AU$534,3,))*$E488)</f>
        <v>0</v>
      </c>
      <c r="AE488" s="102">
        <f>IF(VLOOKUP($D488,$C$5:$AU$534,3,)=0,0,(VLOOKUP($D488,$C$5:$AU$534,29,)/VLOOKUP($D488,$C$5:$AU$534,3,))*$E488)</f>
        <v>0</v>
      </c>
      <c r="AF488" s="102">
        <f>IF(VLOOKUP($D488,$C$5:$AU$534,3,)=0,0,(VLOOKUP($D488,$C$5:$AU$534,30,)/VLOOKUP($D488,$C$5:$AU$534,3,))*$E488)</f>
        <v>0</v>
      </c>
      <c r="AG488" s="17">
        <f>SUM(F488:AF488)</f>
        <v>0.99999999999999978</v>
      </c>
      <c r="AH488" s="12" t="str">
        <f t="shared" si="239"/>
        <v>ok</v>
      </c>
    </row>
    <row r="490" spans="1:37" x14ac:dyDescent="0.2">
      <c r="A490" s="3" t="s">
        <v>610</v>
      </c>
      <c r="C490" s="3" t="s">
        <v>630</v>
      </c>
      <c r="E490" s="19">
        <f>E483</f>
        <v>485666.0004655603</v>
      </c>
      <c r="F490" s="24">
        <f>F483</f>
        <v>386010.19981960894</v>
      </c>
      <c r="G490" s="24">
        <f t="shared" ref="G490:AF490" si="241">G483</f>
        <v>24885.903114521429</v>
      </c>
      <c r="H490" s="7">
        <f t="shared" si="241"/>
        <v>50806.204288990819</v>
      </c>
      <c r="I490" s="7">
        <f t="shared" si="241"/>
        <v>8097.951504896314</v>
      </c>
      <c r="J490" s="7">
        <f t="shared" si="241"/>
        <v>10862.426466165412</v>
      </c>
      <c r="K490" s="7">
        <f t="shared" si="241"/>
        <v>5003.3152713773679</v>
      </c>
      <c r="L490" s="24">
        <f t="shared" si="241"/>
        <v>0</v>
      </c>
      <c r="M490" s="7">
        <f t="shared" si="241"/>
        <v>0</v>
      </c>
      <c r="N490" s="7">
        <f t="shared" si="241"/>
        <v>0</v>
      </c>
      <c r="O490" s="7">
        <f t="shared" si="241"/>
        <v>0</v>
      </c>
      <c r="P490" s="7">
        <f t="shared" si="241"/>
        <v>0</v>
      </c>
      <c r="Q490" s="7">
        <f t="shared" si="241"/>
        <v>0</v>
      </c>
      <c r="R490" s="7">
        <f t="shared" si="241"/>
        <v>0</v>
      </c>
      <c r="S490" s="88">
        <f t="shared" si="241"/>
        <v>0</v>
      </c>
      <c r="T490" s="88">
        <f t="shared" si="241"/>
        <v>0</v>
      </c>
      <c r="U490" s="88">
        <f t="shared" si="241"/>
        <v>0</v>
      </c>
      <c r="V490" s="88">
        <f t="shared" si="241"/>
        <v>0</v>
      </c>
      <c r="W490" s="88">
        <f t="shared" si="241"/>
        <v>0</v>
      </c>
      <c r="X490" s="88">
        <f t="shared" si="241"/>
        <v>0</v>
      </c>
      <c r="Y490" s="88">
        <f t="shared" si="241"/>
        <v>0</v>
      </c>
      <c r="Z490" s="88">
        <f t="shared" si="241"/>
        <v>0</v>
      </c>
      <c r="AA490" s="88">
        <f t="shared" si="241"/>
        <v>0</v>
      </c>
      <c r="AB490" s="88">
        <f t="shared" si="241"/>
        <v>0</v>
      </c>
      <c r="AC490" s="88">
        <f t="shared" si="241"/>
        <v>0</v>
      </c>
      <c r="AD490" s="88">
        <f t="shared" si="241"/>
        <v>0</v>
      </c>
      <c r="AE490" s="88">
        <f t="shared" si="241"/>
        <v>0</v>
      </c>
      <c r="AF490" s="88">
        <f t="shared" si="241"/>
        <v>0</v>
      </c>
      <c r="AG490" s="65">
        <f>SUM(F490:AF490)</f>
        <v>485666.0004655603</v>
      </c>
      <c r="AH490" s="12" t="str">
        <f t="shared" ref="AH490:AH495" si="242">IF(ABS(E490-AG490)&lt;0.01,"ok","err")</f>
        <v>ok</v>
      </c>
    </row>
    <row r="491" spans="1:37" x14ac:dyDescent="0.2">
      <c r="A491" s="3" t="s">
        <v>611</v>
      </c>
      <c r="E491" s="65">
        <f>E484</f>
        <v>489306.13</v>
      </c>
      <c r="AG491" s="65">
        <f>E491</f>
        <v>489306.13</v>
      </c>
      <c r="AH491" s="12" t="str">
        <f t="shared" si="242"/>
        <v>ok</v>
      </c>
    </row>
    <row r="492" spans="1:37" x14ac:dyDescent="0.2">
      <c r="A492" s="3" t="s">
        <v>595</v>
      </c>
      <c r="E492" s="24"/>
      <c r="M492" s="7">
        <v>0</v>
      </c>
      <c r="N492" s="7">
        <v>0</v>
      </c>
      <c r="O492" s="7"/>
      <c r="P492" s="7"/>
      <c r="Q492" s="3">
        <v>0</v>
      </c>
      <c r="R492" s="3">
        <v>0</v>
      </c>
      <c r="S492" s="73">
        <v>0</v>
      </c>
      <c r="AD492" s="80">
        <v>0</v>
      </c>
      <c r="AE492" s="80"/>
      <c r="AG492" s="65">
        <f>SUM(F492:AF492)</f>
        <v>0</v>
      </c>
      <c r="AH492" s="12" t="str">
        <f t="shared" si="242"/>
        <v>ok</v>
      </c>
    </row>
    <row r="493" spans="1:37" x14ac:dyDescent="0.2">
      <c r="A493" s="3" t="s">
        <v>612</v>
      </c>
      <c r="D493" s="3" t="s">
        <v>630</v>
      </c>
      <c r="E493" s="65">
        <f>E491-E492</f>
        <v>489306.13</v>
      </c>
      <c r="F493" s="41">
        <f>IF(VLOOKUP($D493,$C$5:$AU$534,3,)=0,0,(VLOOKUP($D493,$C$5:$AU$534,4,)/VLOOKUP($D493,$C$5:$AU$534,3,))*$E493)</f>
        <v>388903.39622951072</v>
      </c>
      <c r="G493" s="41">
        <f>IF(VLOOKUP($D493,$C$5:$AU$534,3,)=0,0,(VLOOKUP($D493,$C$5:$AU$534,5,)/VLOOKUP($D493,$C$5:$AU$534,3,))*$E493)</f>
        <v>25072.426179408692</v>
      </c>
      <c r="H493" s="19">
        <f>IF(VLOOKUP($D493,$C$5:$AU$534,3,)=0,0,(VLOOKUP($D493,$C$5:$AU$534,6,)/VLOOKUP($D493,$C$5:$AU$534,3,))*$E493)</f>
        <v>51187.003366109348</v>
      </c>
      <c r="I493" s="19">
        <f>IF(VLOOKUP($D493,$C$5:$AU$534,3,)=0,0,(VLOOKUP($D493,$C$5:$AU$534,7,)/VLOOKUP($D493,$C$5:$AU$534,3,))*$E493)</f>
        <v>8158.6466995633818</v>
      </c>
      <c r="J493" s="19">
        <f>IF(VLOOKUP($D493,$C$5:$AU$534,3,)=0,0,(VLOOKUP($D493,$C$5:$AU$534,8,)/VLOOKUP($D493,$C$5:$AU$534,3,))*$E493)</f>
        <v>10943.841758480017</v>
      </c>
      <c r="K493" s="19">
        <f>IF(VLOOKUP($D493,$C$5:$AU$534,3,)=0,0,(VLOOKUP($D493,$C$5:$AU$534,9,)/VLOOKUP($D493,$C$5:$AU$534,3,))*$E493)</f>
        <v>5040.815766927798</v>
      </c>
      <c r="L493" s="41">
        <f>IF(VLOOKUP($D493,$C$5:$AU$534,3,)=0,0,(VLOOKUP($D493,$C$5:$AU$534,10,)/VLOOKUP($D493,$C$5:$AU$534,3,))*$E493)</f>
        <v>0</v>
      </c>
      <c r="M493" s="19">
        <f>IF(VLOOKUP($D493,$C$5:$AU$534,3,)=0,0,(VLOOKUP($D493,$C$5:$AU$534,11,)/VLOOKUP($D493,$C$5:$AU$534,3,))*$E493)</f>
        <v>0</v>
      </c>
      <c r="N493" s="19">
        <f>IF(VLOOKUP($D493,$C$5:$AU$534,3,)=0,0,(VLOOKUP($D493,$C$5:$AU$534,12,)/VLOOKUP($D493,$C$5:$AU$534,3,))*$E493)</f>
        <v>0</v>
      </c>
      <c r="O493" s="19">
        <f>IF(VLOOKUP($D493,$C$5:$AU$534,3,)=0,0,(VLOOKUP($D493,$C$5:$AU$534,13,)/VLOOKUP($D493,$C$5:$AU$534,3,))*$E493)</f>
        <v>0</v>
      </c>
      <c r="P493" s="19">
        <f>IF(VLOOKUP($D493,$C$5:$AU$534,3,)=0,0,(VLOOKUP($D493,$C$5:$AU$534,14,)/VLOOKUP($D493,$C$5:$AU$534,3,))*$E493)</f>
        <v>0</v>
      </c>
      <c r="Q493" s="19">
        <f>IF(VLOOKUP($D493,$C$5:$AU$534,3,)=0,0,(VLOOKUP($D493,$C$5:$AU$534,15,)/VLOOKUP($D493,$C$5:$AU$534,3,))*$E493)</f>
        <v>0</v>
      </c>
      <c r="R493" s="19">
        <f>IF(VLOOKUP($D493,$C$5:$AU$534,3,)=0,0,(VLOOKUP($D493,$C$5:$AU$534,16,)/VLOOKUP($D493,$C$5:$AU$534,3,))*$E493)</f>
        <v>0</v>
      </c>
      <c r="S493" s="80">
        <f>IF(VLOOKUP($D493,$C$5:$AU$534,3,)=0,0,(VLOOKUP($D493,$C$5:$AU$534,17,)/VLOOKUP($D493,$C$5:$AU$534,3,))*$E493)</f>
        <v>0</v>
      </c>
      <c r="T493" s="80">
        <f>IF(VLOOKUP($D493,$C$5:$AU$534,3,)=0,0,(VLOOKUP($D493,$C$5:$AU$534,18,)/VLOOKUP($D493,$C$5:$AU$534,3,))*$E493)</f>
        <v>0</v>
      </c>
      <c r="U493" s="80">
        <f>IF(VLOOKUP($D493,$C$5:$AU$534,3,)=0,0,(VLOOKUP($D493,$C$5:$AU$534,19,)/VLOOKUP($D493,$C$5:$AU$534,3,))*$E493)</f>
        <v>0</v>
      </c>
      <c r="V493" s="80">
        <f>IF(VLOOKUP($D493,$C$5:$AU$534,3,)=0,0,(VLOOKUP($D493,$C$5:$AU$534,20,)/VLOOKUP($D493,$C$5:$AU$534,3,))*$E493)</f>
        <v>0</v>
      </c>
      <c r="W493" s="80">
        <f>IF(VLOOKUP($D493,$C$5:$AU$534,3,)=0,0,(VLOOKUP($D493,$C$5:$AU$534,21,)/VLOOKUP($D493,$C$5:$AU$534,3,))*$E493)</f>
        <v>0</v>
      </c>
      <c r="X493" s="80">
        <f>IF(VLOOKUP($D493,$C$5:$AU$534,3,)=0,0,(VLOOKUP($D493,$C$5:$AU$534,22,)/VLOOKUP($D493,$C$5:$AU$534,3,))*$E493)</f>
        <v>0</v>
      </c>
      <c r="Y493" s="80">
        <f>IF(VLOOKUP($D493,$C$5:$AU$534,3,)=0,0,(VLOOKUP($D493,$C$5:$AU$534,23,)/VLOOKUP($D493,$C$5:$AU$534,3,))*$E493)</f>
        <v>0</v>
      </c>
      <c r="Z493" s="80">
        <f>IF(VLOOKUP($D493,$C$5:$AU$534,3,)=0,0,(VLOOKUP($D493,$C$5:$AU$534,24,)/VLOOKUP($D493,$C$5:$AU$534,3,))*$E493)</f>
        <v>0</v>
      </c>
      <c r="AA493" s="80">
        <f>IF(VLOOKUP($D493,$C$5:$AU$534,3,)=0,0,(VLOOKUP($D493,$C$5:$AU$534,25,)/VLOOKUP($D493,$C$5:$AU$534,3,))*$E493)</f>
        <v>0</v>
      </c>
      <c r="AB493" s="80">
        <f>IF(VLOOKUP($D493,$C$5:$AU$534,3,)=0,0,(VLOOKUP($D493,$C$5:$AU$534,26,)/VLOOKUP($D493,$C$5:$AU$534,3,))*$E493)</f>
        <v>0</v>
      </c>
      <c r="AC493" s="80">
        <f>IF(VLOOKUP($D493,$C$5:$AU$534,3,)=0,0,(VLOOKUP($D493,$C$5:$AU$534,27,)/VLOOKUP($D493,$C$5:$AU$534,3,))*$E493)</f>
        <v>0</v>
      </c>
      <c r="AD493" s="80">
        <f>IF(VLOOKUP($D493,$C$5:$AU$534,3,)=0,0,(VLOOKUP($D493,$C$5:$AU$534,28,)/VLOOKUP($D493,$C$5:$AU$534,3,))*$E493)</f>
        <v>0</v>
      </c>
      <c r="AE493" s="80">
        <f>IF(VLOOKUP($D493,$C$5:$AU$534,3,)=0,0,(VLOOKUP($D493,$C$5:$AU$534,29,)/VLOOKUP($D493,$C$5:$AU$534,3,))*$E493)</f>
        <v>0</v>
      </c>
      <c r="AF493" s="80">
        <f>IF(VLOOKUP($D493,$C$5:$AU$534,3,)=0,0,(VLOOKUP($D493,$C$5:$AU$534,30,)/VLOOKUP($D493,$C$5:$AU$534,3,))*$E493)</f>
        <v>0</v>
      </c>
      <c r="AG493" s="65">
        <f>SUM(F493:AF493)</f>
        <v>489306.12999999989</v>
      </c>
      <c r="AH493" s="12" t="str">
        <f t="shared" si="242"/>
        <v>ok</v>
      </c>
    </row>
    <row r="494" spans="1:37" x14ac:dyDescent="0.2">
      <c r="A494" s="3" t="s">
        <v>613</v>
      </c>
      <c r="C494" s="3" t="s">
        <v>631</v>
      </c>
      <c r="E494" s="65">
        <f t="shared" ref="E494:AF494" si="243">E492+E493</f>
        <v>489306.13</v>
      </c>
      <c r="F494" s="65">
        <f t="shared" si="243"/>
        <v>388903.39622951072</v>
      </c>
      <c r="G494" s="65">
        <f t="shared" si="243"/>
        <v>25072.426179408692</v>
      </c>
      <c r="H494" s="65">
        <f t="shared" si="243"/>
        <v>51187.003366109348</v>
      </c>
      <c r="I494" s="65">
        <f t="shared" si="243"/>
        <v>8158.6466995633818</v>
      </c>
      <c r="J494" s="65">
        <f t="shared" si="243"/>
        <v>10943.841758480017</v>
      </c>
      <c r="K494" s="65">
        <f t="shared" si="243"/>
        <v>5040.815766927798</v>
      </c>
      <c r="L494" s="65">
        <f t="shared" si="243"/>
        <v>0</v>
      </c>
      <c r="M494" s="65">
        <f t="shared" si="243"/>
        <v>0</v>
      </c>
      <c r="N494" s="65">
        <f t="shared" si="243"/>
        <v>0</v>
      </c>
      <c r="O494" s="65">
        <f t="shared" si="243"/>
        <v>0</v>
      </c>
      <c r="P494" s="65">
        <f t="shared" si="243"/>
        <v>0</v>
      </c>
      <c r="Q494" s="65">
        <f t="shared" si="243"/>
        <v>0</v>
      </c>
      <c r="R494" s="65">
        <f t="shared" si="243"/>
        <v>0</v>
      </c>
      <c r="S494" s="87">
        <f t="shared" si="243"/>
        <v>0</v>
      </c>
      <c r="T494" s="87">
        <f t="shared" si="243"/>
        <v>0</v>
      </c>
      <c r="U494" s="87">
        <f t="shared" si="243"/>
        <v>0</v>
      </c>
      <c r="V494" s="87">
        <f t="shared" si="243"/>
        <v>0</v>
      </c>
      <c r="W494" s="87">
        <f t="shared" si="243"/>
        <v>0</v>
      </c>
      <c r="X494" s="87">
        <f t="shared" si="243"/>
        <v>0</v>
      </c>
      <c r="Y494" s="87">
        <f t="shared" si="243"/>
        <v>0</v>
      </c>
      <c r="Z494" s="87">
        <f t="shared" si="243"/>
        <v>0</v>
      </c>
      <c r="AA494" s="87">
        <f t="shared" si="243"/>
        <v>0</v>
      </c>
      <c r="AB494" s="87">
        <f t="shared" si="243"/>
        <v>0</v>
      </c>
      <c r="AC494" s="87">
        <f t="shared" si="243"/>
        <v>0</v>
      </c>
      <c r="AD494" s="87">
        <f t="shared" si="243"/>
        <v>0</v>
      </c>
      <c r="AE494" s="87">
        <f t="shared" si="243"/>
        <v>0</v>
      </c>
      <c r="AF494" s="87">
        <f t="shared" si="243"/>
        <v>0</v>
      </c>
      <c r="AG494" s="65">
        <f>SUM(F494:AF494)</f>
        <v>489306.12999999989</v>
      </c>
      <c r="AH494" s="12" t="str">
        <f t="shared" si="242"/>
        <v>ok</v>
      </c>
    </row>
    <row r="495" spans="1:37" x14ac:dyDescent="0.2">
      <c r="A495" s="3" t="s">
        <v>637</v>
      </c>
      <c r="C495" s="3" t="s">
        <v>632</v>
      </c>
      <c r="D495" s="3" t="s">
        <v>631</v>
      </c>
      <c r="E495" s="97">
        <v>1</v>
      </c>
      <c r="F495" s="72">
        <f>IF(VLOOKUP($D495,$C$5:$AU$534,3,)=0,0,(VLOOKUP($D495,$C$5:$AU$534,4,)/VLOOKUP($D495,$C$5:$AU$534,3,))*$E495)</f>
        <v>0.7948058942762698</v>
      </c>
      <c r="G495" s="72">
        <f>IF(VLOOKUP($D495,$C$5:$AU$534,3,)=0,0,(VLOOKUP($D495,$C$5:$AU$534,5,)/VLOOKUP($D495,$C$5:$AU$534,3,))*$E495)</f>
        <v>5.1240776769767203E-2</v>
      </c>
      <c r="H495" s="17">
        <f>IF(VLOOKUP($D495,$C$5:$AU$534,3,)=0,0,(VLOOKUP($D495,$C$5:$AU$534,6,)/VLOOKUP($D495,$C$5:$AU$534,3,))*$E495)</f>
        <v>0.10461140833471542</v>
      </c>
      <c r="I495" s="17">
        <f>IF(VLOOKUP($D495,$C$5:$AU$534,3,)=0,0,(VLOOKUP($D495,$C$5:$AU$534,7,)/VLOOKUP($D495,$C$5:$AU$534,3,))*$E495)</f>
        <v>1.6673910665217666E-2</v>
      </c>
      <c r="J495" s="17">
        <f>IF(VLOOKUP($D495,$C$5:$AU$534,3,)=0,0,(VLOOKUP($D495,$C$5:$AU$534,8,)/VLOOKUP($D495,$C$5:$AU$534,3,))*$E495)</f>
        <v>2.2366042621374919E-2</v>
      </c>
      <c r="K495" s="17">
        <f>IF(VLOOKUP($D495,$C$5:$AU$534,3,)=0,0,(VLOOKUP($D495,$C$5:$AU$534,9,)/VLOOKUP($D495,$C$5:$AU$534,3,))*$E495)</f>
        <v>1.0301967332654913E-2</v>
      </c>
      <c r="L495" s="72">
        <f>IF(VLOOKUP($D495,$C$5:$AU$534,3,)=0,0,(VLOOKUP($D495,$C$5:$AU$534,10,)/VLOOKUP($D495,$C$5:$AU$534,3,))*$E495)</f>
        <v>0</v>
      </c>
      <c r="M495" s="17">
        <f>IF(VLOOKUP($D495,$C$5:$AU$534,3,)=0,0,(VLOOKUP($D495,$C$5:$AU$534,11,)/VLOOKUP($D495,$C$5:$AU$534,3,))*$E495)</f>
        <v>0</v>
      </c>
      <c r="N495" s="17">
        <f>IF(VLOOKUP($D495,$C$5:$AU$534,3,)=0,0,(VLOOKUP($D495,$C$5:$AU$534,12,)/VLOOKUP($D495,$C$5:$AU$534,3,))*$E495)</f>
        <v>0</v>
      </c>
      <c r="O495" s="17">
        <f>IF(VLOOKUP($D495,$C$5:$AU$534,3,)=0,0,(VLOOKUP($D495,$C$5:$AU$534,13,)/VLOOKUP($D495,$C$5:$AU$534,3,))*$E495)</f>
        <v>0</v>
      </c>
      <c r="P495" s="17">
        <f>IF(VLOOKUP($D495,$C$5:$AU$534,3,)=0,0,(VLOOKUP($D495,$C$5:$AU$534,14,)/VLOOKUP($D495,$C$5:$AU$534,3,))*$E495)</f>
        <v>0</v>
      </c>
      <c r="Q495" s="17">
        <f>IF(VLOOKUP($D495,$C$5:$AU$534,3,)=0,0,(VLOOKUP($D495,$C$5:$AU$534,15,)/VLOOKUP($D495,$C$5:$AU$534,3,))*$E495)</f>
        <v>0</v>
      </c>
      <c r="R495" s="17">
        <f>IF(VLOOKUP($D495,$C$5:$AU$534,3,)=0,0,(VLOOKUP($D495,$C$5:$AU$534,16,)/VLOOKUP($D495,$C$5:$AU$534,3,))*$E495)</f>
        <v>0</v>
      </c>
      <c r="S495" s="102">
        <f>IF(VLOOKUP($D495,$C$5:$AU$534,3,)=0,0,(VLOOKUP($D495,$C$5:$AU$534,17,)/VLOOKUP($D495,$C$5:$AU$534,3,))*$E495)</f>
        <v>0</v>
      </c>
      <c r="T495" s="102">
        <f>IF(VLOOKUP($D495,$C$5:$AU$534,3,)=0,0,(VLOOKUP($D495,$C$5:$AU$534,18,)/VLOOKUP($D495,$C$5:$AU$534,3,))*$E495)</f>
        <v>0</v>
      </c>
      <c r="U495" s="102">
        <f>IF(VLOOKUP($D495,$C$5:$AU$534,3,)=0,0,(VLOOKUP($D495,$C$5:$AU$534,19,)/VLOOKUP($D495,$C$5:$AU$534,3,))*$E495)</f>
        <v>0</v>
      </c>
      <c r="V495" s="102">
        <f>IF(VLOOKUP($D495,$C$5:$AU$534,3,)=0,0,(VLOOKUP($D495,$C$5:$AU$534,20,)/VLOOKUP($D495,$C$5:$AU$534,3,))*$E495)</f>
        <v>0</v>
      </c>
      <c r="W495" s="102">
        <f>IF(VLOOKUP($D495,$C$5:$AU$534,3,)=0,0,(VLOOKUP($D495,$C$5:$AU$534,21,)/VLOOKUP($D495,$C$5:$AU$534,3,))*$E495)</f>
        <v>0</v>
      </c>
      <c r="X495" s="102">
        <f>IF(VLOOKUP($D495,$C$5:$AU$534,3,)=0,0,(VLOOKUP($D495,$C$5:$AU$534,22,)/VLOOKUP($D495,$C$5:$AU$534,3,))*$E495)</f>
        <v>0</v>
      </c>
      <c r="Y495" s="102">
        <f>IF(VLOOKUP($D495,$C$5:$AU$534,3,)=0,0,(VLOOKUP($D495,$C$5:$AU$534,23,)/VLOOKUP($D495,$C$5:$AU$534,3,))*$E495)</f>
        <v>0</v>
      </c>
      <c r="Z495" s="102">
        <f>IF(VLOOKUP($D495,$C$5:$AU$534,3,)=0,0,(VLOOKUP($D495,$C$5:$AU$534,24,)/VLOOKUP($D495,$C$5:$AU$534,3,))*$E495)</f>
        <v>0</v>
      </c>
      <c r="AA495" s="102">
        <f>IF(VLOOKUP($D495,$C$5:$AU$534,3,)=0,0,(VLOOKUP($D495,$C$5:$AU$534,25,)/VLOOKUP($D495,$C$5:$AU$534,3,))*$E495)</f>
        <v>0</v>
      </c>
      <c r="AB495" s="102">
        <f>IF(VLOOKUP($D495,$C$5:$AU$534,3,)=0,0,(VLOOKUP($D495,$C$5:$AU$534,26,)/VLOOKUP($D495,$C$5:$AU$534,3,))*$E495)</f>
        <v>0</v>
      </c>
      <c r="AC495" s="102">
        <f>IF(VLOOKUP($D495,$C$5:$AU$534,3,)=0,0,(VLOOKUP($D495,$C$5:$AU$534,27,)/VLOOKUP($D495,$C$5:$AU$534,3,))*$E495)</f>
        <v>0</v>
      </c>
      <c r="AD495" s="102">
        <f>IF(VLOOKUP($D495,$C$5:$AU$534,3,)=0,0,(VLOOKUP($D495,$C$5:$AU$534,28,)/VLOOKUP($D495,$C$5:$AU$534,3,))*$E495)</f>
        <v>0</v>
      </c>
      <c r="AE495" s="102">
        <f>IF(VLOOKUP($D495,$C$5:$AU$534,3,)=0,0,(VLOOKUP($D495,$C$5:$AU$534,29,)/VLOOKUP($D495,$C$5:$AU$534,3,))*$E495)</f>
        <v>0</v>
      </c>
      <c r="AF495" s="102">
        <f>IF(VLOOKUP($D495,$C$5:$AU$534,3,)=0,0,(VLOOKUP($D495,$C$5:$AU$534,30,)/VLOOKUP($D495,$C$5:$AU$534,3,))*$E495)</f>
        <v>0</v>
      </c>
      <c r="AG495" s="17">
        <f>SUM(F495:AF495)</f>
        <v>0.99999999999999978</v>
      </c>
      <c r="AH495" s="12" t="str">
        <f t="shared" si="242"/>
        <v>ok</v>
      </c>
    </row>
    <row r="496" spans="1:37" x14ac:dyDescent="0.2">
      <c r="AK496" s="24"/>
    </row>
    <row r="497" spans="1:34" x14ac:dyDescent="0.2">
      <c r="A497" s="10" t="s">
        <v>873</v>
      </c>
    </row>
    <row r="499" spans="1:34" x14ac:dyDescent="0.2">
      <c r="A499" s="3" t="s">
        <v>621</v>
      </c>
      <c r="C499" s="3" t="s">
        <v>622</v>
      </c>
      <c r="E499" s="24">
        <f>E469</f>
        <v>1516505.2021882483</v>
      </c>
      <c r="F499" s="24">
        <f t="shared" ref="F499:AF499" si="244">F469</f>
        <v>1087864.9823277579</v>
      </c>
      <c r="G499" s="24">
        <f t="shared" si="244"/>
        <v>39332.480633802814</v>
      </c>
      <c r="H499" s="24">
        <f t="shared" si="244"/>
        <v>168771.52802469133</v>
      </c>
      <c r="I499" s="24">
        <f t="shared" si="244"/>
        <v>81956.354757485024</v>
      </c>
      <c r="J499" s="24">
        <f t="shared" si="244"/>
        <v>28649.649804511271</v>
      </c>
      <c r="K499" s="24">
        <f t="shared" si="244"/>
        <v>109930.20663999999</v>
      </c>
      <c r="L499" s="24">
        <f t="shared" si="244"/>
        <v>0</v>
      </c>
      <c r="M499" s="7">
        <f t="shared" si="244"/>
        <v>0</v>
      </c>
      <c r="N499" s="7">
        <f t="shared" si="244"/>
        <v>0</v>
      </c>
      <c r="O499" s="7">
        <f t="shared" si="244"/>
        <v>0</v>
      </c>
      <c r="P499" s="7">
        <f t="shared" si="244"/>
        <v>0</v>
      </c>
      <c r="Q499" s="7">
        <f t="shared" si="244"/>
        <v>0</v>
      </c>
      <c r="R499" s="7">
        <f t="shared" si="244"/>
        <v>0</v>
      </c>
      <c r="S499" s="88">
        <f t="shared" si="244"/>
        <v>0</v>
      </c>
      <c r="T499" s="88">
        <f t="shared" si="244"/>
        <v>0</v>
      </c>
      <c r="U499" s="88">
        <f t="shared" si="244"/>
        <v>0</v>
      </c>
      <c r="V499" s="88">
        <f t="shared" si="244"/>
        <v>0</v>
      </c>
      <c r="W499" s="88">
        <f t="shared" si="244"/>
        <v>0</v>
      </c>
      <c r="X499" s="88">
        <f t="shared" si="244"/>
        <v>0</v>
      </c>
      <c r="Y499" s="88">
        <f t="shared" si="244"/>
        <v>0</v>
      </c>
      <c r="Z499" s="88">
        <f t="shared" si="244"/>
        <v>0</v>
      </c>
      <c r="AA499" s="88">
        <f t="shared" si="244"/>
        <v>0</v>
      </c>
      <c r="AB499" s="88">
        <f t="shared" si="244"/>
        <v>0</v>
      </c>
      <c r="AC499" s="88">
        <f t="shared" si="244"/>
        <v>0</v>
      </c>
      <c r="AD499" s="88">
        <f t="shared" si="244"/>
        <v>0</v>
      </c>
      <c r="AE499" s="88">
        <f t="shared" si="244"/>
        <v>0</v>
      </c>
      <c r="AF499" s="88">
        <f t="shared" si="244"/>
        <v>0</v>
      </c>
      <c r="AG499" s="65">
        <f>SUM(F499:AF499)</f>
        <v>1516505.2021882483</v>
      </c>
      <c r="AH499" s="12" t="str">
        <f>IF(ABS(E499-AG499)&lt;0.01,"ok","err")</f>
        <v>ok</v>
      </c>
    </row>
    <row r="500" spans="1:34" x14ac:dyDescent="0.2">
      <c r="A500" s="3" t="s">
        <v>620</v>
      </c>
      <c r="C500" s="3" t="s">
        <v>619</v>
      </c>
      <c r="D500" s="3" t="s">
        <v>622</v>
      </c>
      <c r="E500" s="97">
        <v>1</v>
      </c>
      <c r="F500" s="72">
        <f>IF(VLOOKUP($D500,$C$5:$AU$534,3,)=0,0,(VLOOKUP($D500,$C$5:$AU$534,4,)/VLOOKUP($D500,$C$5:$AU$534,3,))*$E500)</f>
        <v>0.71734998386950333</v>
      </c>
      <c r="G500" s="72">
        <f>IF(VLOOKUP($D500,$C$5:$AU$534,3,)=0,0,(VLOOKUP($D500,$C$5:$AU$534,5,)/VLOOKUP($D500,$C$5:$AU$534,3,))*$E500)</f>
        <v>2.5936264891836723E-2</v>
      </c>
      <c r="H500" s="17">
        <f>IF(VLOOKUP($D500,$C$5:$AU$534,3,)=0,0,(VLOOKUP($D500,$C$5:$AU$534,6,)/VLOOKUP($D500,$C$5:$AU$534,3,))*$E500)</f>
        <v>0.11128977848619422</v>
      </c>
      <c r="I500" s="17">
        <f>IF(VLOOKUP($D500,$C$5:$AU$534,3,)=0,0,(VLOOKUP($D500,$C$5:$AU$534,7,)/VLOOKUP($D500,$C$5:$AU$534,3,))*$E500)</f>
        <v>5.4042910396367723E-2</v>
      </c>
      <c r="J500" s="17">
        <f>IF(VLOOKUP($D500,$C$5:$AU$534,3,)=0,0,(VLOOKUP($D500,$C$5:$AU$534,8,)/VLOOKUP($D500,$C$5:$AU$534,3,))*$E500)</f>
        <v>1.8891890224425952E-2</v>
      </c>
      <c r="K500" s="17">
        <f>IF(VLOOKUP($D500,$C$5:$AU$534,3,)=0,0,(VLOOKUP($D500,$C$5:$AU$534,9,)/VLOOKUP($D500,$C$5:$AU$534,3,))*$E500)</f>
        <v>7.2489172131672011E-2</v>
      </c>
      <c r="L500" s="72">
        <f>IF(VLOOKUP($D500,$C$5:$AU$534,3,)=0,0,(VLOOKUP($D500,$C$5:$AU$534,10,)/VLOOKUP($D500,$C$5:$AU$534,3,))*$E500)</f>
        <v>0</v>
      </c>
      <c r="M500" s="17">
        <f>IF(VLOOKUP($D500,$C$5:$AU$534,3,)=0,0,(VLOOKUP($D500,$C$5:$AU$534,11,)/VLOOKUP($D500,$C$5:$AU$534,3,))*$E500)</f>
        <v>0</v>
      </c>
      <c r="N500" s="17">
        <f>IF(VLOOKUP($D500,$C$5:$AU$534,3,)=0,0,(VLOOKUP($D500,$C$5:$AU$534,12,)/VLOOKUP($D500,$C$5:$AU$534,3,))*$E500)</f>
        <v>0</v>
      </c>
      <c r="O500" s="17">
        <f>IF(VLOOKUP($D500,$C$5:$AU$534,3,)=0,0,(VLOOKUP($D500,$C$5:$AU$534,13,)/VLOOKUP($D500,$C$5:$AU$534,3,))*$E500)</f>
        <v>0</v>
      </c>
      <c r="P500" s="17">
        <f>IF(VLOOKUP($D500,$C$5:$AU$534,3,)=0,0,(VLOOKUP($D500,$C$5:$AU$534,14,)/VLOOKUP($D500,$C$5:$AU$534,3,))*$E500)</f>
        <v>0</v>
      </c>
      <c r="Q500" s="17">
        <f>IF(VLOOKUP($D500,$C$5:$AU$534,3,)=0,0,(VLOOKUP($D500,$C$5:$AU$534,15,)/VLOOKUP($D500,$C$5:$AU$534,3,))*$E500)</f>
        <v>0</v>
      </c>
      <c r="R500" s="17">
        <f>IF(VLOOKUP($D500,$C$5:$AU$534,3,)=0,0,(VLOOKUP($D500,$C$5:$AU$534,16,)/VLOOKUP($D500,$C$5:$AU$534,3,))*$E500)</f>
        <v>0</v>
      </c>
      <c r="S500" s="102">
        <f>IF(VLOOKUP($D500,$C$5:$AU$534,3,)=0,0,(VLOOKUP($D500,$C$5:$AU$534,17,)/VLOOKUP($D500,$C$5:$AU$534,3,))*$E500)</f>
        <v>0</v>
      </c>
      <c r="T500" s="102">
        <f>IF(VLOOKUP($D500,$C$5:$AU$534,3,)=0,0,(VLOOKUP($D500,$C$5:$AU$534,18,)/VLOOKUP($D500,$C$5:$AU$534,3,))*$E500)</f>
        <v>0</v>
      </c>
      <c r="U500" s="102">
        <f>IF(VLOOKUP($D500,$C$5:$AU$534,3,)=0,0,(VLOOKUP($D500,$C$5:$AU$534,19,)/VLOOKUP($D500,$C$5:$AU$534,3,))*$E500)</f>
        <v>0</v>
      </c>
      <c r="V500" s="102">
        <f>IF(VLOOKUP($D500,$C$5:$AU$534,3,)=0,0,(VLOOKUP($D500,$C$5:$AU$534,20,)/VLOOKUP($D500,$C$5:$AU$534,3,))*$E500)</f>
        <v>0</v>
      </c>
      <c r="W500" s="102">
        <f>IF(VLOOKUP($D500,$C$5:$AU$534,3,)=0,0,(VLOOKUP($D500,$C$5:$AU$534,21,)/VLOOKUP($D500,$C$5:$AU$534,3,))*$E500)</f>
        <v>0</v>
      </c>
      <c r="X500" s="102">
        <f>IF(VLOOKUP($D500,$C$5:$AU$534,3,)=0,0,(VLOOKUP($D500,$C$5:$AU$534,22,)/VLOOKUP($D500,$C$5:$AU$534,3,))*$E500)</f>
        <v>0</v>
      </c>
      <c r="Y500" s="102">
        <f>IF(VLOOKUP($D500,$C$5:$AU$534,3,)=0,0,(VLOOKUP($D500,$C$5:$AU$534,23,)/VLOOKUP($D500,$C$5:$AU$534,3,))*$E500)</f>
        <v>0</v>
      </c>
      <c r="Z500" s="102">
        <f>IF(VLOOKUP($D500,$C$5:$AU$534,3,)=0,0,(VLOOKUP($D500,$C$5:$AU$534,24,)/VLOOKUP($D500,$C$5:$AU$534,3,))*$E500)</f>
        <v>0</v>
      </c>
      <c r="AA500" s="102">
        <f>IF(VLOOKUP($D500,$C$5:$AU$534,3,)=0,0,(VLOOKUP($D500,$C$5:$AU$534,25,)/VLOOKUP($D500,$C$5:$AU$534,3,))*$E500)</f>
        <v>0</v>
      </c>
      <c r="AB500" s="102">
        <f>IF(VLOOKUP($D500,$C$5:$AU$534,3,)=0,0,(VLOOKUP($D500,$C$5:$AU$534,26,)/VLOOKUP($D500,$C$5:$AU$534,3,))*$E500)</f>
        <v>0</v>
      </c>
      <c r="AC500" s="102">
        <f>IF(VLOOKUP($D500,$C$5:$AU$534,3,)=0,0,(VLOOKUP($D500,$C$5:$AU$534,27,)/VLOOKUP($D500,$C$5:$AU$534,3,))*$E500)</f>
        <v>0</v>
      </c>
      <c r="AD500" s="102">
        <f>IF(VLOOKUP($D500,$C$5:$AU$534,3,)=0,0,(VLOOKUP($D500,$C$5:$AU$534,28,)/VLOOKUP($D500,$C$5:$AU$534,3,))*$E500)</f>
        <v>0</v>
      </c>
      <c r="AE500" s="102">
        <f>IF(VLOOKUP($D500,$C$5:$AU$534,3,)=0,0,(VLOOKUP($D500,$C$5:$AU$534,29,)/VLOOKUP($D500,$C$5:$AU$534,3,))*$E500)</f>
        <v>0</v>
      </c>
      <c r="AF500" s="102">
        <f>IF(VLOOKUP($D500,$C$5:$AU$534,3,)=0,0,(VLOOKUP($D500,$C$5:$AU$534,30,)/VLOOKUP($D500,$C$5:$AU$534,3,))*$E500)</f>
        <v>0</v>
      </c>
      <c r="AG500" s="17">
        <f>SUM(F500:AF500)</f>
        <v>1</v>
      </c>
      <c r="AH500" s="12" t="str">
        <f>IF(ABS(E500-AG500)&lt;0.01,"ok","err")</f>
        <v>ok</v>
      </c>
    </row>
    <row r="502" spans="1:34" x14ac:dyDescent="0.2">
      <c r="A502" s="3" t="s">
        <v>651</v>
      </c>
      <c r="C502" s="3" t="s">
        <v>658</v>
      </c>
      <c r="E502" s="24">
        <v>474803.5739993949</v>
      </c>
      <c r="F502" s="24">
        <f t="shared" ref="F502:Y502" si="245">F449</f>
        <v>386010.19981960894</v>
      </c>
      <c r="G502" s="24">
        <f t="shared" si="245"/>
        <v>24885.903114521429</v>
      </c>
      <c r="H502" s="24">
        <f t="shared" si="245"/>
        <v>50806.204288990819</v>
      </c>
      <c r="I502" s="24">
        <f t="shared" si="245"/>
        <v>8097.951504896314</v>
      </c>
      <c r="J502" s="24">
        <v>0</v>
      </c>
      <c r="K502" s="24">
        <f t="shared" ref="K502" si="246">K449</f>
        <v>5003.3152713773679</v>
      </c>
      <c r="L502" s="24">
        <f t="shared" si="245"/>
        <v>0</v>
      </c>
      <c r="M502" s="7">
        <f t="shared" si="245"/>
        <v>0</v>
      </c>
      <c r="N502" s="7">
        <f t="shared" si="245"/>
        <v>0</v>
      </c>
      <c r="O502" s="7">
        <f t="shared" si="245"/>
        <v>0</v>
      </c>
      <c r="P502" s="7">
        <f t="shared" si="245"/>
        <v>0</v>
      </c>
      <c r="Q502" s="7">
        <f t="shared" si="245"/>
        <v>0</v>
      </c>
      <c r="R502" s="7">
        <f t="shared" si="245"/>
        <v>0</v>
      </c>
      <c r="S502" s="88">
        <f t="shared" si="245"/>
        <v>0</v>
      </c>
      <c r="T502" s="88">
        <f t="shared" si="245"/>
        <v>0</v>
      </c>
      <c r="U502" s="88">
        <f t="shared" si="245"/>
        <v>0</v>
      </c>
      <c r="V502" s="88">
        <f t="shared" si="245"/>
        <v>0</v>
      </c>
      <c r="W502" s="88">
        <f t="shared" si="245"/>
        <v>0</v>
      </c>
      <c r="X502" s="88">
        <f t="shared" si="245"/>
        <v>0</v>
      </c>
      <c r="Y502" s="88">
        <f t="shared" si="245"/>
        <v>0</v>
      </c>
      <c r="Z502" s="88">
        <f>Z449</f>
        <v>0</v>
      </c>
      <c r="AA502" s="88">
        <v>0</v>
      </c>
      <c r="AB502" s="88">
        <v>0</v>
      </c>
      <c r="AC502" s="88">
        <v>0</v>
      </c>
      <c r="AD502" s="88">
        <v>0</v>
      </c>
      <c r="AE502" s="88">
        <v>0</v>
      </c>
      <c r="AF502" s="88">
        <f>AF449</f>
        <v>0</v>
      </c>
      <c r="AG502" s="65">
        <f>SUM(F502:AF502)</f>
        <v>474803.5739993949</v>
      </c>
      <c r="AH502" s="12" t="str">
        <f t="shared" ref="AH502:AH507" si="247">IF(ABS(E502-AG502)&lt;0.01,"ok","err")</f>
        <v>ok</v>
      </c>
    </row>
    <row r="503" spans="1:34" x14ac:dyDescent="0.2">
      <c r="A503" s="3" t="s">
        <v>652</v>
      </c>
      <c r="E503" s="65">
        <f>E123</f>
        <v>5014334.2</v>
      </c>
      <c r="AG503" s="65">
        <f>E503</f>
        <v>5014334.2</v>
      </c>
      <c r="AH503" s="12" t="str">
        <f t="shared" si="247"/>
        <v>ok</v>
      </c>
    </row>
    <row r="504" spans="1:34" x14ac:dyDescent="0.2">
      <c r="A504" s="3" t="s">
        <v>595</v>
      </c>
      <c r="E504" s="41">
        <f>J504</f>
        <v>178337</v>
      </c>
      <c r="H504" s="24"/>
      <c r="I504" s="24"/>
      <c r="J504" s="24">
        <f>'Purchased Power'!O26+'Purchased Power'!O29</f>
        <v>178337</v>
      </c>
      <c r="K504" s="24"/>
      <c r="L504" s="24"/>
      <c r="M504" s="7"/>
      <c r="N504" s="7">
        <v>0</v>
      </c>
      <c r="O504" s="8">
        <v>0</v>
      </c>
      <c r="P504" s="8">
        <v>0</v>
      </c>
      <c r="Q504" s="8">
        <v>0</v>
      </c>
      <c r="R504" s="7">
        <v>0</v>
      </c>
      <c r="S504" s="73">
        <v>0</v>
      </c>
      <c r="Y504" s="88">
        <v>0</v>
      </c>
      <c r="AA504" s="106">
        <v>0</v>
      </c>
      <c r="AB504" s="88">
        <v>0</v>
      </c>
      <c r="AC504" s="88">
        <v>0</v>
      </c>
      <c r="AD504" s="106">
        <v>0</v>
      </c>
      <c r="AE504" s="106"/>
      <c r="AG504" s="65">
        <f>SUM(F504:AF504)</f>
        <v>178337</v>
      </c>
      <c r="AH504" s="12" t="str">
        <f t="shared" si="247"/>
        <v>ok</v>
      </c>
    </row>
    <row r="505" spans="1:34" x14ac:dyDescent="0.2">
      <c r="A505" s="3" t="s">
        <v>653</v>
      </c>
      <c r="D505" s="3" t="s">
        <v>658</v>
      </c>
      <c r="E505" s="65">
        <f>E503-E504</f>
        <v>4835997.2</v>
      </c>
      <c r="F505" s="41">
        <f>IF(VLOOKUP($D505,$C$5:$AU$534,3,)=0,0,(VLOOKUP($D505,$C$5:$AU$534,4,)/VLOOKUP($D505,$C$5:$AU$534,3,))*$E505)</f>
        <v>3931613.7192797298</v>
      </c>
      <c r="G505" s="41">
        <f>IF(VLOOKUP($D505,$C$5:$AU$534,3,)=0,0,(VLOOKUP($D505,$C$5:$AU$534,5,)/VLOOKUP($D505,$C$5:$AU$534,3,))*$E505)</f>
        <v>253469.3594818018</v>
      </c>
      <c r="H505" s="41">
        <f>IF(VLOOKUP($D505,$C$5:$AU$534,3,)=0,0,(VLOOKUP($D505,$C$5:$AU$534,6,)/VLOOKUP($D505,$C$5:$AU$534,3,))*$E505)</f>
        <v>517474.33073134517</v>
      </c>
      <c r="I505" s="41">
        <f>IF(VLOOKUP($D505,$C$5:$AU$534,3,)=0,0,(VLOOKUP($D505,$C$5:$AU$534,7,)/VLOOKUP($D505,$C$5:$AU$534,3,))*$E505)</f>
        <v>82479.73045683997</v>
      </c>
      <c r="J505" s="41">
        <f>IF(VLOOKUP($D505,$C$5:$AU$534,3,)=0,0,(VLOOKUP($D505,$C$5:$AU$534,8,)/VLOOKUP($D505,$C$5:$AU$534,3,))*$E505)</f>
        <v>0</v>
      </c>
      <c r="K505" s="41">
        <f>IF(VLOOKUP($D505,$C$5:$AU$534,3,)=0,0,(VLOOKUP($D505,$C$5:$AU$534,9,)/VLOOKUP($D505,$C$5:$AU$534,3,))*$E505)</f>
        <v>50960.060050283086</v>
      </c>
      <c r="L505" s="41">
        <f>IF(VLOOKUP($D505,$C$5:$AU$534,3,)=0,0,(VLOOKUP($D505,$C$5:$AU$534,10,)/VLOOKUP($D505,$C$5:$AU$534,3,))*$E505)</f>
        <v>0</v>
      </c>
      <c r="M505" s="19">
        <f>IF(VLOOKUP($D505,$C$5:$AU$534,3,)=0,0,(VLOOKUP($D505,$C$5:$AU$534,11,)/VLOOKUP($D505,$C$5:$AU$534,3,))*$E505)</f>
        <v>0</v>
      </c>
      <c r="N505" s="19">
        <f>IF(VLOOKUP($D505,$C$5:$AU$534,3,)=0,0,(VLOOKUP($D505,$C$5:$AU$534,12,)/VLOOKUP($D505,$C$5:$AU$534,3,))*$E505)</f>
        <v>0</v>
      </c>
      <c r="O505" s="19">
        <f>IF(VLOOKUP($D505,$C$5:$AU$534,3,)=0,0,(VLOOKUP($D505,$C$5:$AU$534,13,)/VLOOKUP($D505,$C$5:$AU$534,3,))*$E505)</f>
        <v>0</v>
      </c>
      <c r="P505" s="19">
        <f>IF(VLOOKUP($D505,$C$5:$AU$534,3,)=0,0,(VLOOKUP($D505,$C$5:$AU$534,14,)/VLOOKUP($D505,$C$5:$AU$534,3,))*$E505)</f>
        <v>0</v>
      </c>
      <c r="Q505" s="19">
        <f>IF(VLOOKUP($D505,$C$5:$AU$534,3,)=0,0,(VLOOKUP($D505,$C$5:$AU$534,15,)/VLOOKUP($D505,$C$5:$AU$534,3,))*$E505)</f>
        <v>0</v>
      </c>
      <c r="R505" s="19">
        <f>IF(VLOOKUP($D505,$C$5:$AU$534,3,)=0,0,(VLOOKUP($D505,$C$5:$AU$534,16,)/VLOOKUP($D505,$C$5:$AU$534,3,))*$E505)</f>
        <v>0</v>
      </c>
      <c r="S505" s="80">
        <f>IF(VLOOKUP($D505,$C$5:$AU$534,3,)=0,0,(VLOOKUP($D505,$C$5:$AU$534,17,)/VLOOKUP($D505,$C$5:$AU$534,3,))*$E505)</f>
        <v>0</v>
      </c>
      <c r="T505" s="80">
        <f>IF(VLOOKUP($D505,$C$5:$AU$534,3,)=0,0,(VLOOKUP($D505,$C$5:$AU$534,18,)/VLOOKUP($D505,$C$5:$AU$534,3,))*$E505)</f>
        <v>0</v>
      </c>
      <c r="U505" s="80">
        <f>IF(VLOOKUP($D505,$C$5:$AU$534,3,)=0,0,(VLOOKUP($D505,$C$5:$AU$534,19,)/VLOOKUP($D505,$C$5:$AU$534,3,))*$E505)</f>
        <v>0</v>
      </c>
      <c r="V505" s="80">
        <f>IF(VLOOKUP($D505,$C$5:$AU$534,3,)=0,0,(VLOOKUP($D505,$C$5:$AU$534,20,)/VLOOKUP($D505,$C$5:$AU$534,3,))*$E505)</f>
        <v>0</v>
      </c>
      <c r="W505" s="80">
        <f>IF(VLOOKUP($D505,$C$5:$AU$534,3,)=0,0,(VLOOKUP($D505,$C$5:$AU$534,21,)/VLOOKUP($D505,$C$5:$AU$534,3,))*$E505)</f>
        <v>0</v>
      </c>
      <c r="X505" s="80">
        <f>IF(VLOOKUP($D505,$C$5:$AU$534,3,)=0,0,(VLOOKUP($D505,$C$5:$AU$534,22,)/VLOOKUP($D505,$C$5:$AU$534,3,))*$E505)</f>
        <v>0</v>
      </c>
      <c r="Y505" s="80">
        <f>IF(VLOOKUP($D505,$C$5:$AU$534,3,)=0,0,(VLOOKUP($D505,$C$5:$AU$534,23,)/VLOOKUP($D505,$C$5:$AU$534,3,))*$E505)</f>
        <v>0</v>
      </c>
      <c r="Z505" s="80">
        <f>IF(VLOOKUP($D505,$C$5:$AU$534,3,)=0,0,(VLOOKUP($D505,$C$5:$AU$534,24,)/VLOOKUP($D505,$C$5:$AU$534,3,))*$E505)</f>
        <v>0</v>
      </c>
      <c r="AA505" s="80">
        <f>IF(VLOOKUP($D505,$C$5:$AU$534,3,)=0,0,(VLOOKUP($D505,$C$5:$AU$534,25,)/VLOOKUP($D505,$C$5:$AU$534,3,))*$E505)</f>
        <v>0</v>
      </c>
      <c r="AB505" s="80">
        <f>IF(VLOOKUP($D505,$C$5:$AU$534,3,)=0,0,(VLOOKUP($D505,$C$5:$AU$534,26,)/VLOOKUP($D505,$C$5:$AU$534,3,))*$E505)</f>
        <v>0</v>
      </c>
      <c r="AC505" s="80">
        <f>IF(VLOOKUP($D505,$C$5:$AU$534,3,)=0,0,(VLOOKUP($D505,$C$5:$AU$534,27,)/VLOOKUP($D505,$C$5:$AU$534,3,))*$E505)</f>
        <v>0</v>
      </c>
      <c r="AD505" s="80">
        <f>IF(VLOOKUP($D505,$C$5:$AU$534,3,)=0,0,(VLOOKUP($D505,$C$5:$AU$534,28,)/VLOOKUP($D505,$C$5:$AU$534,3,))*$E505)</f>
        <v>0</v>
      </c>
      <c r="AE505" s="80">
        <f>IF(VLOOKUP($D505,$C$5:$AU$534,3,)=0,0,(VLOOKUP($D505,$C$5:$AU$534,29,)/VLOOKUP($D505,$C$5:$AU$534,3,))*$E505)</f>
        <v>0</v>
      </c>
      <c r="AF505" s="80">
        <f>IF(VLOOKUP($D505,$C$5:$AU$534,3,)=0,0,(VLOOKUP($D505,$C$5:$AU$534,30,)/VLOOKUP($D505,$C$5:$AU$534,3,))*$E505)</f>
        <v>0</v>
      </c>
      <c r="AG505" s="65">
        <f>SUM(F505:AF505)</f>
        <v>4835997.1999999993</v>
      </c>
      <c r="AH505" s="12" t="str">
        <f t="shared" si="247"/>
        <v>ok</v>
      </c>
    </row>
    <row r="506" spans="1:34" x14ac:dyDescent="0.2">
      <c r="A506" s="3" t="s">
        <v>654</v>
      </c>
      <c r="C506" s="3" t="s">
        <v>656</v>
      </c>
      <c r="E506" s="65">
        <f t="shared" ref="E506:AF506" si="248">E504+E505</f>
        <v>5014334.2</v>
      </c>
      <c r="F506" s="65">
        <f t="shared" si="248"/>
        <v>3931613.7192797298</v>
      </c>
      <c r="G506" s="65">
        <f t="shared" si="248"/>
        <v>253469.3594818018</v>
      </c>
      <c r="H506" s="65">
        <f t="shared" si="248"/>
        <v>517474.33073134517</v>
      </c>
      <c r="I506" s="65">
        <f t="shared" si="248"/>
        <v>82479.73045683997</v>
      </c>
      <c r="J506" s="65">
        <f t="shared" si="248"/>
        <v>178337</v>
      </c>
      <c r="K506" s="65">
        <f t="shared" ref="K506" si="249">K504+K505</f>
        <v>50960.060050283086</v>
      </c>
      <c r="L506" s="65">
        <f t="shared" ref="L506" si="250">L504+L505</f>
        <v>0</v>
      </c>
      <c r="M506" s="65">
        <f t="shared" si="248"/>
        <v>0</v>
      </c>
      <c r="N506" s="65">
        <f t="shared" si="248"/>
        <v>0</v>
      </c>
      <c r="O506" s="65">
        <f t="shared" si="248"/>
        <v>0</v>
      </c>
      <c r="P506" s="65">
        <f t="shared" si="248"/>
        <v>0</v>
      </c>
      <c r="Q506" s="65">
        <f t="shared" si="248"/>
        <v>0</v>
      </c>
      <c r="R506" s="65">
        <f t="shared" si="248"/>
        <v>0</v>
      </c>
      <c r="S506" s="87">
        <f t="shared" si="248"/>
        <v>0</v>
      </c>
      <c r="T506" s="87">
        <f t="shared" si="248"/>
        <v>0</v>
      </c>
      <c r="U506" s="87">
        <f t="shared" si="248"/>
        <v>0</v>
      </c>
      <c r="V506" s="87">
        <f t="shared" si="248"/>
        <v>0</v>
      </c>
      <c r="W506" s="87">
        <f t="shared" si="248"/>
        <v>0</v>
      </c>
      <c r="X506" s="87">
        <f t="shared" si="248"/>
        <v>0</v>
      </c>
      <c r="Y506" s="87">
        <f t="shared" si="248"/>
        <v>0</v>
      </c>
      <c r="Z506" s="87">
        <f t="shared" si="248"/>
        <v>0</v>
      </c>
      <c r="AA506" s="87">
        <f t="shared" si="248"/>
        <v>0</v>
      </c>
      <c r="AB506" s="87">
        <f t="shared" si="248"/>
        <v>0</v>
      </c>
      <c r="AC506" s="87">
        <f t="shared" si="248"/>
        <v>0</v>
      </c>
      <c r="AD506" s="87">
        <f t="shared" si="248"/>
        <v>0</v>
      </c>
      <c r="AE506" s="87">
        <f t="shared" si="248"/>
        <v>0</v>
      </c>
      <c r="AF506" s="87">
        <f t="shared" si="248"/>
        <v>0</v>
      </c>
      <c r="AG506" s="65">
        <f>SUM(F506:AF506)</f>
        <v>5014334.1999999993</v>
      </c>
      <c r="AH506" s="12" t="str">
        <f t="shared" si="247"/>
        <v>ok</v>
      </c>
    </row>
    <row r="507" spans="1:34" x14ac:dyDescent="0.2">
      <c r="A507" s="3" t="s">
        <v>655</v>
      </c>
      <c r="C507" s="3" t="s">
        <v>657</v>
      </c>
      <c r="D507" s="3" t="s">
        <v>656</v>
      </c>
      <c r="E507" s="23">
        <v>1</v>
      </c>
      <c r="F507" s="72">
        <f>IF(VLOOKUP($D507,$C$5:$AU$534,3,)=0,0,(VLOOKUP($D507,$C$5:$AU$534,4,)/VLOOKUP($D507,$C$5:$AU$534,3,))*$E507)</f>
        <v>0.78407492649367683</v>
      </c>
      <c r="G507" s="72">
        <f>IF(VLOOKUP($D507,$C$5:$AU$534,3,)=0,0,(VLOOKUP($D507,$C$5:$AU$534,5,)/VLOOKUP($D507,$C$5:$AU$534,3,))*$E507)</f>
        <v>5.0548956126977296E-2</v>
      </c>
      <c r="H507" s="72">
        <f>IF(VLOOKUP($D507,$C$5:$AU$534,3,)=0,0,(VLOOKUP($D507,$C$5:$AU$534,6,)/VLOOKUP($D507,$C$5:$AU$534,3,))*$E507)</f>
        <v>0.1031990110933063</v>
      </c>
      <c r="I507" s="72">
        <f>IF(VLOOKUP($D507,$C$5:$AU$534,3,)=0,0,(VLOOKUP($D507,$C$5:$AU$534,7,)/VLOOKUP($D507,$C$5:$AU$534,3,))*$E507)</f>
        <v>1.6448790042123632E-2</v>
      </c>
      <c r="J507" s="72">
        <f>IF(VLOOKUP($D507,$C$5:$AU$534,3,)=0,0,(VLOOKUP($D507,$C$5:$AU$534,8,)/VLOOKUP($D507,$C$5:$AU$534,3,))*$E507)</f>
        <v>3.5565439575208212E-2</v>
      </c>
      <c r="K507" s="72">
        <f>IF(VLOOKUP($D507,$C$5:$AU$534,3,)=0,0,(VLOOKUP($D507,$C$5:$AU$534,9,)/VLOOKUP($D507,$C$5:$AU$534,3,))*$E507)</f>
        <v>1.0162876668707698E-2</v>
      </c>
      <c r="L507" s="72">
        <f>IF(VLOOKUP($D507,$C$5:$AU$534,3,)=0,0,(VLOOKUP($D507,$C$5:$AU$534,10,)/VLOOKUP($D507,$C$5:$AU$534,3,))*$E507)</f>
        <v>0</v>
      </c>
      <c r="M507" s="17">
        <f>IF(VLOOKUP($D507,$C$5:$AU$534,3,)=0,0,(VLOOKUP($D507,$C$5:$AU$534,11,)/VLOOKUP($D507,$C$5:$AU$534,3,))*$E507)</f>
        <v>0</v>
      </c>
      <c r="N507" s="17">
        <f>IF(VLOOKUP($D507,$C$5:$AU$534,3,)=0,0,(VLOOKUP($D507,$C$5:$AU$534,12,)/VLOOKUP($D507,$C$5:$AU$534,3,))*$E507)</f>
        <v>0</v>
      </c>
      <c r="O507" s="17">
        <f>IF(VLOOKUP($D507,$C$5:$AU$534,3,)=0,0,(VLOOKUP($D507,$C$5:$AU$534,13,)/VLOOKUP($D507,$C$5:$AU$534,3,))*$E507)</f>
        <v>0</v>
      </c>
      <c r="P507" s="17">
        <f>IF(VLOOKUP($D507,$C$5:$AU$534,3,)=0,0,(VLOOKUP($D507,$C$5:$AU$534,14,)/VLOOKUP($D507,$C$5:$AU$534,3,))*$E507)</f>
        <v>0</v>
      </c>
      <c r="Q507" s="17">
        <f>IF(VLOOKUP($D507,$C$5:$AU$534,3,)=0,0,(VLOOKUP($D507,$C$5:$AU$534,15,)/VLOOKUP($D507,$C$5:$AU$534,3,))*$E507)</f>
        <v>0</v>
      </c>
      <c r="R507" s="17">
        <f>IF(VLOOKUP($D507,$C$5:$AU$534,3,)=0,0,(VLOOKUP($D507,$C$5:$AU$534,16,)/VLOOKUP($D507,$C$5:$AU$534,3,))*$E507)</f>
        <v>0</v>
      </c>
      <c r="S507" s="102">
        <f>IF(VLOOKUP($D507,$C$5:$AU$534,3,)=0,0,(VLOOKUP($D507,$C$5:$AU$534,17,)/VLOOKUP($D507,$C$5:$AU$534,3,))*$E507)</f>
        <v>0</v>
      </c>
      <c r="T507" s="102">
        <f>IF(VLOOKUP($D507,$C$5:$AU$534,3,)=0,0,(VLOOKUP($D507,$C$5:$AU$534,18,)/VLOOKUP($D507,$C$5:$AU$534,3,))*$E507)</f>
        <v>0</v>
      </c>
      <c r="U507" s="102">
        <f>IF(VLOOKUP($D507,$C$5:$AU$534,3,)=0,0,(VLOOKUP($D507,$C$5:$AU$534,19,)/VLOOKUP($D507,$C$5:$AU$534,3,))*$E507)</f>
        <v>0</v>
      </c>
      <c r="V507" s="102">
        <f>IF(VLOOKUP($D507,$C$5:$AU$534,3,)=0,0,(VLOOKUP($D507,$C$5:$AU$534,20,)/VLOOKUP($D507,$C$5:$AU$534,3,))*$E507)</f>
        <v>0</v>
      </c>
      <c r="W507" s="102">
        <f>IF(VLOOKUP($D507,$C$5:$AU$534,3,)=0,0,(VLOOKUP($D507,$C$5:$AU$534,21,)/VLOOKUP($D507,$C$5:$AU$534,3,))*$E507)</f>
        <v>0</v>
      </c>
      <c r="X507" s="102">
        <f>IF(VLOOKUP($D507,$C$5:$AU$534,3,)=0,0,(VLOOKUP($D507,$C$5:$AU$534,22,)/VLOOKUP($D507,$C$5:$AU$534,3,))*$E507)</f>
        <v>0</v>
      </c>
      <c r="Y507" s="102">
        <f>IF(VLOOKUP($D507,$C$5:$AU$534,3,)=0,0,(VLOOKUP($D507,$C$5:$AU$534,23,)/VLOOKUP($D507,$C$5:$AU$534,3,))*$E507)</f>
        <v>0</v>
      </c>
      <c r="Z507" s="102">
        <f>IF(VLOOKUP($D507,$C$5:$AU$534,3,)=0,0,(VLOOKUP($D507,$C$5:$AU$534,24,)/VLOOKUP($D507,$C$5:$AU$534,3,))*$E507)</f>
        <v>0</v>
      </c>
      <c r="AA507" s="102">
        <f>IF(VLOOKUP($D507,$C$5:$AU$534,3,)=0,0,(VLOOKUP($D507,$C$5:$AU$534,25,)/VLOOKUP($D507,$C$5:$AU$534,3,))*$E507)</f>
        <v>0</v>
      </c>
      <c r="AB507" s="102">
        <f>IF(VLOOKUP($D507,$C$5:$AU$534,3,)=0,0,(VLOOKUP($D507,$C$5:$AU$534,26,)/VLOOKUP($D507,$C$5:$AU$534,3,))*$E507)</f>
        <v>0</v>
      </c>
      <c r="AC507" s="102">
        <f>IF(VLOOKUP($D507,$C$5:$AU$534,3,)=0,0,(VLOOKUP($D507,$C$5:$AU$534,27,)/VLOOKUP($D507,$C$5:$AU$534,3,))*$E507)</f>
        <v>0</v>
      </c>
      <c r="AD507" s="102">
        <f>IF(VLOOKUP($D507,$C$5:$AU$534,3,)=0,0,(VLOOKUP($D507,$C$5:$AU$534,28,)/VLOOKUP($D507,$C$5:$AU$534,3,))*$E507)</f>
        <v>0</v>
      </c>
      <c r="AE507" s="102">
        <f>IF(VLOOKUP($D507,$C$5:$AU$534,3,)=0,0,(VLOOKUP($D507,$C$5:$AU$534,29,)/VLOOKUP($D507,$C$5:$AU$534,3,))*$E507)</f>
        <v>0</v>
      </c>
      <c r="AF507" s="102">
        <f>IF(VLOOKUP($D507,$C$5:$AU$534,3,)=0,0,(VLOOKUP($D507,$C$5:$AU$534,30,)/VLOOKUP($D507,$C$5:$AU$534,3,))*$E507)</f>
        <v>0</v>
      </c>
      <c r="AG507" s="17">
        <f>SUM(F507:AF507)</f>
        <v>1</v>
      </c>
      <c r="AH507" s="12" t="str">
        <f t="shared" si="247"/>
        <v>ok</v>
      </c>
    </row>
    <row r="508" spans="1:34" x14ac:dyDescent="0.2">
      <c r="E508" s="23"/>
      <c r="F508" s="72"/>
      <c r="G508" s="72"/>
      <c r="H508" s="72"/>
      <c r="I508" s="72"/>
      <c r="J508" s="72"/>
      <c r="K508" s="72"/>
      <c r="L508" s="72"/>
      <c r="M508" s="17"/>
      <c r="N508" s="17"/>
      <c r="O508" s="17"/>
      <c r="P508" s="17"/>
      <c r="Q508" s="17"/>
      <c r="R508" s="17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7"/>
      <c r="AH508" s="12"/>
    </row>
    <row r="509" spans="1:34" x14ac:dyDescent="0.2">
      <c r="A509" s="3" t="s">
        <v>659</v>
      </c>
      <c r="C509" s="3" t="s">
        <v>664</v>
      </c>
      <c r="E509" s="24">
        <v>188305845</v>
      </c>
      <c r="F509" s="24">
        <f t="shared" ref="F509:AF509" si="251">F436</f>
        <v>142863015</v>
      </c>
      <c r="G509" s="24">
        <f t="shared" si="251"/>
        <v>8504773</v>
      </c>
      <c r="H509" s="24">
        <f t="shared" si="251"/>
        <v>22805417</v>
      </c>
      <c r="I509" s="24">
        <f t="shared" si="251"/>
        <v>10505980</v>
      </c>
      <c r="J509" s="24">
        <v>0</v>
      </c>
      <c r="K509" s="24">
        <f t="shared" ref="K509" si="252">K436</f>
        <v>3626660</v>
      </c>
      <c r="L509" s="24">
        <f t="shared" ref="L509" si="253">L436</f>
        <v>0</v>
      </c>
      <c r="M509" s="7">
        <f t="shared" si="251"/>
        <v>0</v>
      </c>
      <c r="N509" s="7">
        <f t="shared" si="251"/>
        <v>0</v>
      </c>
      <c r="O509" s="7">
        <f t="shared" si="251"/>
        <v>0</v>
      </c>
      <c r="P509" s="7">
        <f t="shared" si="251"/>
        <v>0</v>
      </c>
      <c r="Q509" s="7">
        <f t="shared" si="251"/>
        <v>0</v>
      </c>
      <c r="R509" s="7">
        <f t="shared" si="251"/>
        <v>0</v>
      </c>
      <c r="S509" s="88">
        <f>S436</f>
        <v>0</v>
      </c>
      <c r="T509" s="88">
        <f>T436</f>
        <v>0</v>
      </c>
      <c r="U509" s="88">
        <f t="shared" si="251"/>
        <v>0</v>
      </c>
      <c r="V509" s="88">
        <f t="shared" si="251"/>
        <v>0</v>
      </c>
      <c r="W509" s="88">
        <f t="shared" si="251"/>
        <v>0</v>
      </c>
      <c r="X509" s="88">
        <f t="shared" si="251"/>
        <v>0</v>
      </c>
      <c r="Y509" s="88">
        <f t="shared" si="251"/>
        <v>0</v>
      </c>
      <c r="Z509" s="88">
        <f t="shared" si="251"/>
        <v>0</v>
      </c>
      <c r="AA509" s="88">
        <v>0</v>
      </c>
      <c r="AB509" s="88">
        <v>0</v>
      </c>
      <c r="AC509" s="88">
        <v>0</v>
      </c>
      <c r="AD509" s="88">
        <v>0</v>
      </c>
      <c r="AE509" s="88">
        <v>0</v>
      </c>
      <c r="AF509" s="88">
        <f t="shared" si="251"/>
        <v>0</v>
      </c>
      <c r="AG509" s="65">
        <f>SUM(F509:AF509)</f>
        <v>188305845</v>
      </c>
      <c r="AH509" s="12" t="str">
        <f t="shared" ref="AH509:AH514" si="254">IF(ABS(E509-AG509)&lt;0.01,"ok","err")</f>
        <v>ok</v>
      </c>
    </row>
    <row r="510" spans="1:34" x14ac:dyDescent="0.2">
      <c r="A510" s="3" t="s">
        <v>660</v>
      </c>
      <c r="E510" s="65">
        <f>E124</f>
        <v>12813298.799999999</v>
      </c>
      <c r="AG510" s="65">
        <f>E510</f>
        <v>12813298.799999999</v>
      </c>
      <c r="AH510" s="12" t="str">
        <f t="shared" si="254"/>
        <v>ok</v>
      </c>
    </row>
    <row r="511" spans="1:34" x14ac:dyDescent="0.2">
      <c r="A511" s="3" t="s">
        <v>595</v>
      </c>
      <c r="E511" s="41">
        <f>J511</f>
        <v>340205</v>
      </c>
      <c r="F511" s="24">
        <v>0</v>
      </c>
      <c r="G511" s="24">
        <v>0</v>
      </c>
      <c r="H511" s="24"/>
      <c r="I511" s="24"/>
      <c r="J511" s="24">
        <f>'Purchased Power'!O27+'Purchased Power'!O28</f>
        <v>340205</v>
      </c>
      <c r="K511" s="24"/>
      <c r="L511" s="24"/>
      <c r="M511" s="7">
        <v>0</v>
      </c>
      <c r="N511" s="7">
        <v>0</v>
      </c>
      <c r="O511" s="7">
        <v>0</v>
      </c>
      <c r="P511" s="7">
        <v>0</v>
      </c>
      <c r="Q511" s="7">
        <v>0</v>
      </c>
      <c r="R511" s="7">
        <v>0</v>
      </c>
      <c r="S511" s="88">
        <v>0</v>
      </c>
      <c r="T511" s="88"/>
      <c r="U511" s="88"/>
      <c r="V511" s="88"/>
      <c r="W511" s="88"/>
      <c r="X511" s="88"/>
      <c r="Y511" s="88">
        <v>0</v>
      </c>
      <c r="Z511" s="88"/>
      <c r="AA511" s="88">
        <v>0</v>
      </c>
      <c r="AB511" s="88">
        <v>0</v>
      </c>
      <c r="AC511" s="88">
        <v>0</v>
      </c>
      <c r="AD511" s="88">
        <v>0</v>
      </c>
      <c r="AE511" s="88"/>
      <c r="AF511" s="88"/>
      <c r="AG511" s="65">
        <f>SUM(F511:AF511)</f>
        <v>340205</v>
      </c>
      <c r="AH511" s="12" t="str">
        <f t="shared" si="254"/>
        <v>ok</v>
      </c>
    </row>
    <row r="512" spans="1:34" x14ac:dyDescent="0.2">
      <c r="A512" s="3" t="s">
        <v>661</v>
      </c>
      <c r="D512" s="3" t="s">
        <v>664</v>
      </c>
      <c r="E512" s="65">
        <f>E510-E511</f>
        <v>12473093.799999999</v>
      </c>
      <c r="F512" s="41">
        <f>IF(VLOOKUP($D512,$C$5:$AU$534,3,)=0,0,(VLOOKUP($D512,$C$5:$AU$534,4,)/VLOOKUP($D512,$C$5:$AU$534,3,))*$E512)</f>
        <v>9463029.6082726847</v>
      </c>
      <c r="G512" s="41">
        <f>IF(VLOOKUP($D512,$C$5:$AU$534,3,)=0,0,(VLOOKUP($D512,$C$5:$AU$534,5,)/VLOOKUP($D512,$C$5:$AU$534,3,))*$E512)</f>
        <v>563343.27474915818</v>
      </c>
      <c r="H512" s="41">
        <f>IF(VLOOKUP($D512,$C$5:$AU$534,3,)=0,0,(VLOOKUP($D512,$C$5:$AU$534,6,)/VLOOKUP($D512,$C$5:$AU$534,3,))*$E512)</f>
        <v>1510596.2610407264</v>
      </c>
      <c r="I512" s="41">
        <f>IF(VLOOKUP($D512,$C$5:$AU$534,3,)=0,0,(VLOOKUP($D512,$C$5:$AU$534,7,)/VLOOKUP($D512,$C$5:$AU$534,3,))*$E512)</f>
        <v>695900.19364998466</v>
      </c>
      <c r="J512" s="41">
        <f>IF(VLOOKUP($D512,$C$5:$AU$534,3,)=0,0,(VLOOKUP($D512,$C$5:$AU$534,8,)/VLOOKUP($D512,$C$5:$AU$534,3,))*$E512)</f>
        <v>0</v>
      </c>
      <c r="K512" s="41">
        <f>IF(VLOOKUP($D512,$C$5:$AU$534,3,)=0,0,(VLOOKUP($D512,$C$5:$AU$534,9,)/VLOOKUP($D512,$C$5:$AU$534,3,))*$E512)</f>
        <v>240224.46228744517</v>
      </c>
      <c r="L512" s="41">
        <f>IF(VLOOKUP($D512,$C$5:$AU$534,3,)=0,0,(VLOOKUP($D512,$C$5:$AU$534,10,)/VLOOKUP($D512,$C$5:$AU$534,3,))*$E512)</f>
        <v>0</v>
      </c>
      <c r="M512" s="19">
        <f>IF(VLOOKUP($D512,$C$5:$AU$534,3,)=0,0,(VLOOKUP($D512,$C$5:$AU$534,11,)/VLOOKUP($D512,$C$5:$AU$534,3,))*$E512)</f>
        <v>0</v>
      </c>
      <c r="N512" s="19">
        <f>IF(VLOOKUP($D512,$C$5:$AU$534,3,)=0,0,(VLOOKUP($D512,$C$5:$AU$534,12,)/VLOOKUP($D512,$C$5:$AU$534,3,))*$E512)</f>
        <v>0</v>
      </c>
      <c r="O512" s="19">
        <f>IF(VLOOKUP($D512,$C$5:$AU$534,3,)=0,0,(VLOOKUP($D512,$C$5:$AU$534,13,)/VLOOKUP($D512,$C$5:$AU$534,3,))*$E512)</f>
        <v>0</v>
      </c>
      <c r="P512" s="19">
        <f>IF(VLOOKUP($D512,$C$5:$AU$534,3,)=0,0,(VLOOKUP($D512,$C$5:$AU$534,14,)/VLOOKUP($D512,$C$5:$AU$534,3,))*$E512)</f>
        <v>0</v>
      </c>
      <c r="Q512" s="19">
        <f>IF(VLOOKUP($D512,$C$5:$AU$534,3,)=0,0,(VLOOKUP($D512,$C$5:$AU$534,15,)/VLOOKUP($D512,$C$5:$AU$534,3,))*$E512)</f>
        <v>0</v>
      </c>
      <c r="R512" s="19">
        <f>IF(VLOOKUP($D512,$C$5:$AU$534,3,)=0,0,(VLOOKUP($D512,$C$5:$AU$534,16,)/VLOOKUP($D512,$C$5:$AU$534,3,))*$E512)</f>
        <v>0</v>
      </c>
      <c r="S512" s="80">
        <f>IF(VLOOKUP($D512,$C$5:$AU$534,3,)=0,0,(VLOOKUP($D512,$C$5:$AU$534,17,)/VLOOKUP($D512,$C$5:$AU$534,3,))*$E512)</f>
        <v>0</v>
      </c>
      <c r="T512" s="80">
        <f>IF(VLOOKUP($D512,$C$5:$AU$534,3,)=0,0,(VLOOKUP($D512,$C$5:$AU$534,18,)/VLOOKUP($D512,$C$5:$AU$534,3,))*$E512)</f>
        <v>0</v>
      </c>
      <c r="U512" s="80">
        <f>IF(VLOOKUP($D512,$C$5:$AU$534,3,)=0,0,(VLOOKUP($D512,$C$5:$AU$534,19,)/VLOOKUP($D512,$C$5:$AU$534,3,))*$E512)</f>
        <v>0</v>
      </c>
      <c r="V512" s="80">
        <f>IF(VLOOKUP($D512,$C$5:$AU$534,3,)=0,0,(VLOOKUP($D512,$C$5:$AU$534,20,)/VLOOKUP($D512,$C$5:$AU$534,3,))*$E512)</f>
        <v>0</v>
      </c>
      <c r="W512" s="80">
        <f>IF(VLOOKUP($D512,$C$5:$AU$534,3,)=0,0,(VLOOKUP($D512,$C$5:$AU$534,21,)/VLOOKUP($D512,$C$5:$AU$534,3,))*$E512)</f>
        <v>0</v>
      </c>
      <c r="X512" s="80">
        <f>IF(VLOOKUP($D512,$C$5:$AU$534,3,)=0,0,(VLOOKUP($D512,$C$5:$AU$534,22,)/VLOOKUP($D512,$C$5:$AU$534,3,))*$E512)</f>
        <v>0</v>
      </c>
      <c r="Y512" s="80">
        <f>IF(VLOOKUP($D512,$C$5:$AU$534,3,)=0,0,(VLOOKUP($D512,$C$5:$AU$534,23,)/VLOOKUP($D512,$C$5:$AU$534,3,))*$E512)</f>
        <v>0</v>
      </c>
      <c r="Z512" s="80">
        <f>IF(VLOOKUP($D512,$C$5:$AU$534,3,)=0,0,(VLOOKUP($D512,$C$5:$AU$534,24,)/VLOOKUP($D512,$C$5:$AU$534,3,))*$E512)</f>
        <v>0</v>
      </c>
      <c r="AA512" s="80">
        <f>IF(VLOOKUP($D512,$C$5:$AU$534,3,)=0,0,(VLOOKUP($D512,$C$5:$AU$534,25,)/VLOOKUP($D512,$C$5:$AU$534,3,))*$E512)</f>
        <v>0</v>
      </c>
      <c r="AB512" s="80">
        <f>IF(VLOOKUP($D512,$C$5:$AU$534,3,)=0,0,(VLOOKUP($D512,$C$5:$AU$534,26,)/VLOOKUP($D512,$C$5:$AU$534,3,))*$E512)</f>
        <v>0</v>
      </c>
      <c r="AC512" s="80">
        <f>IF(VLOOKUP($D512,$C$5:$AU$534,3,)=0,0,(VLOOKUP($D512,$C$5:$AU$534,27,)/VLOOKUP($D512,$C$5:$AU$534,3,))*$E512)</f>
        <v>0</v>
      </c>
      <c r="AD512" s="80">
        <f>IF(VLOOKUP($D512,$C$5:$AU$534,3,)=0,0,(VLOOKUP($D512,$C$5:$AU$534,28,)/VLOOKUP($D512,$C$5:$AU$534,3,))*$E512)</f>
        <v>0</v>
      </c>
      <c r="AE512" s="80">
        <f>IF(VLOOKUP($D512,$C$5:$AU$534,3,)=0,0,(VLOOKUP($D512,$C$5:$AU$534,29,)/VLOOKUP($D512,$C$5:$AU$534,3,))*$E512)</f>
        <v>0</v>
      </c>
      <c r="AF512" s="80">
        <f>IF(VLOOKUP($D512,$C$5:$AU$534,3,)=0,0,(VLOOKUP($D512,$C$5:$AU$534,30,)/VLOOKUP($D512,$C$5:$AU$534,3,))*$E512)</f>
        <v>0</v>
      </c>
      <c r="AG512" s="65">
        <f>SUM(F512:AF512)</f>
        <v>12473093.799999999</v>
      </c>
      <c r="AH512" s="12" t="str">
        <f t="shared" si="254"/>
        <v>ok</v>
      </c>
    </row>
    <row r="513" spans="1:41" x14ac:dyDescent="0.2">
      <c r="A513" s="3" t="s">
        <v>662</v>
      </c>
      <c r="C513" s="3" t="s">
        <v>665</v>
      </c>
      <c r="E513" s="65">
        <f t="shared" ref="E513:AF513" si="255">E511+E512</f>
        <v>12813298.799999999</v>
      </c>
      <c r="F513" s="65">
        <f t="shared" si="255"/>
        <v>9463029.6082726847</v>
      </c>
      <c r="G513" s="65">
        <f t="shared" si="255"/>
        <v>563343.27474915818</v>
      </c>
      <c r="H513" s="65">
        <f t="shared" si="255"/>
        <v>1510596.2610407264</v>
      </c>
      <c r="I513" s="65">
        <f t="shared" si="255"/>
        <v>695900.19364998466</v>
      </c>
      <c r="J513" s="65">
        <f t="shared" si="255"/>
        <v>340205</v>
      </c>
      <c r="K513" s="65">
        <f t="shared" ref="K513" si="256">K511+K512</f>
        <v>240224.46228744517</v>
      </c>
      <c r="L513" s="65">
        <f t="shared" si="255"/>
        <v>0</v>
      </c>
      <c r="M513" s="65">
        <f t="shared" si="255"/>
        <v>0</v>
      </c>
      <c r="N513" s="65">
        <f t="shared" si="255"/>
        <v>0</v>
      </c>
      <c r="O513" s="65">
        <f t="shared" si="255"/>
        <v>0</v>
      </c>
      <c r="P513" s="65">
        <f t="shared" si="255"/>
        <v>0</v>
      </c>
      <c r="Q513" s="65">
        <f t="shared" si="255"/>
        <v>0</v>
      </c>
      <c r="R513" s="65">
        <f t="shared" si="255"/>
        <v>0</v>
      </c>
      <c r="S513" s="87">
        <f t="shared" si="255"/>
        <v>0</v>
      </c>
      <c r="T513" s="87">
        <f t="shared" si="255"/>
        <v>0</v>
      </c>
      <c r="U513" s="87">
        <f t="shared" si="255"/>
        <v>0</v>
      </c>
      <c r="V513" s="87">
        <f t="shared" si="255"/>
        <v>0</v>
      </c>
      <c r="W513" s="87">
        <f t="shared" si="255"/>
        <v>0</v>
      </c>
      <c r="X513" s="87">
        <f t="shared" si="255"/>
        <v>0</v>
      </c>
      <c r="Y513" s="87">
        <f t="shared" si="255"/>
        <v>0</v>
      </c>
      <c r="Z513" s="87">
        <f t="shared" si="255"/>
        <v>0</v>
      </c>
      <c r="AA513" s="87">
        <f t="shared" si="255"/>
        <v>0</v>
      </c>
      <c r="AB513" s="87">
        <f t="shared" si="255"/>
        <v>0</v>
      </c>
      <c r="AC513" s="87">
        <f t="shared" si="255"/>
        <v>0</v>
      </c>
      <c r="AD513" s="87">
        <f t="shared" si="255"/>
        <v>0</v>
      </c>
      <c r="AE513" s="87">
        <f t="shared" si="255"/>
        <v>0</v>
      </c>
      <c r="AF513" s="87">
        <f t="shared" si="255"/>
        <v>0</v>
      </c>
      <c r="AG513" s="65">
        <f>SUM(F513:AF513)</f>
        <v>12813298.799999999</v>
      </c>
      <c r="AH513" s="12" t="str">
        <f t="shared" si="254"/>
        <v>ok</v>
      </c>
    </row>
    <row r="514" spans="1:41" x14ac:dyDescent="0.2">
      <c r="A514" s="3" t="s">
        <v>663</v>
      </c>
      <c r="C514" s="3" t="s">
        <v>666</v>
      </c>
      <c r="D514" s="3" t="s">
        <v>665</v>
      </c>
      <c r="E514" s="97">
        <v>1</v>
      </c>
      <c r="F514" s="72">
        <f>IF(VLOOKUP($D514,$C$5:$AU$534,3,)=0,0,(VLOOKUP($D514,$C$5:$AU$534,4,)/VLOOKUP($D514,$C$5:$AU$534,3,))*$E514)</f>
        <v>0.73853187660563147</v>
      </c>
      <c r="G514" s="72">
        <f>IF(VLOOKUP($D514,$C$5:$AU$534,3,)=0,0,(VLOOKUP($D514,$C$5:$AU$534,5,)/VLOOKUP($D514,$C$5:$AU$534,3,))*$E514)</f>
        <v>4.3965514544089007E-2</v>
      </c>
      <c r="H514" s="17">
        <f>IF(VLOOKUP($D514,$C$5:$AU$534,3,)=0,0,(VLOOKUP($D514,$C$5:$AU$534,6,)/VLOOKUP($D514,$C$5:$AU$534,3,))*$E514)</f>
        <v>0.11789284591105662</v>
      </c>
      <c r="I514" s="17">
        <f>IF(VLOOKUP($D514,$C$5:$AU$534,3,)=0,0,(VLOOKUP($D514,$C$5:$AU$534,7,)/VLOOKUP($D514,$C$5:$AU$534,3,))*$E514)</f>
        <v>5.4310775430444554E-2</v>
      </c>
      <c r="J514" s="17">
        <f>IF(VLOOKUP($D514,$C$5:$AU$534,3,)=0,0,(VLOOKUP($D514,$C$5:$AU$534,8,)/VLOOKUP($D514,$C$5:$AU$534,3,))*$E514)</f>
        <v>2.655093003840666E-2</v>
      </c>
      <c r="K514" s="17">
        <f>IF(VLOOKUP($D514,$C$5:$AU$534,3,)=0,0,(VLOOKUP($D514,$C$5:$AU$534,9,)/VLOOKUP($D514,$C$5:$AU$534,3,))*$E514)</f>
        <v>1.8748057470371737E-2</v>
      </c>
      <c r="L514" s="72">
        <f>IF(VLOOKUP($D514,$C$5:$AU$534,3,)=0,0,(VLOOKUP($D514,$C$5:$AU$534,10,)/VLOOKUP($D514,$C$5:$AU$534,3,))*$E514)</f>
        <v>0</v>
      </c>
      <c r="M514" s="17">
        <f>IF(VLOOKUP($D514,$C$5:$AU$534,3,)=0,0,(VLOOKUP($D514,$C$5:$AU$534,11,)/VLOOKUP($D514,$C$5:$AU$534,3,))*$E514)</f>
        <v>0</v>
      </c>
      <c r="N514" s="17">
        <f>IF(VLOOKUP($D514,$C$5:$AU$534,3,)=0,0,(VLOOKUP($D514,$C$5:$AU$534,12,)/VLOOKUP($D514,$C$5:$AU$534,3,))*$E514)</f>
        <v>0</v>
      </c>
      <c r="O514" s="17">
        <f>IF(VLOOKUP($D514,$C$5:$AU$534,3,)=0,0,(VLOOKUP($D514,$C$5:$AU$534,13,)/VLOOKUP($D514,$C$5:$AU$534,3,))*$E514)</f>
        <v>0</v>
      </c>
      <c r="P514" s="17">
        <f>IF(VLOOKUP($D514,$C$5:$AU$534,3,)=0,0,(VLOOKUP($D514,$C$5:$AU$534,14,)/VLOOKUP($D514,$C$5:$AU$534,3,))*$E514)</f>
        <v>0</v>
      </c>
      <c r="Q514" s="17">
        <f>IF(VLOOKUP($D514,$C$5:$AU$534,3,)=0,0,(VLOOKUP($D514,$C$5:$AU$534,15,)/VLOOKUP($D514,$C$5:$AU$534,3,))*$E514)</f>
        <v>0</v>
      </c>
      <c r="R514" s="17">
        <f>IF(VLOOKUP($D514,$C$5:$AU$534,3,)=0,0,(VLOOKUP($D514,$C$5:$AU$534,16,)/VLOOKUP($D514,$C$5:$AU$534,3,))*$E514)</f>
        <v>0</v>
      </c>
      <c r="S514" s="102">
        <f>IF(VLOOKUP($D514,$C$5:$AU$534,3,)=0,0,(VLOOKUP($D514,$C$5:$AU$534,17,)/VLOOKUP($D514,$C$5:$AU$534,3,))*$E514)</f>
        <v>0</v>
      </c>
      <c r="T514" s="102">
        <f>IF(VLOOKUP($D514,$C$5:$AU$534,3,)=0,0,(VLOOKUP($D514,$C$5:$AU$534,18,)/VLOOKUP($D514,$C$5:$AU$534,3,))*$E514)</f>
        <v>0</v>
      </c>
      <c r="U514" s="102">
        <f>IF(VLOOKUP($D514,$C$5:$AU$534,3,)=0,0,(VLOOKUP($D514,$C$5:$AU$534,19,)/VLOOKUP($D514,$C$5:$AU$534,3,))*$E514)</f>
        <v>0</v>
      </c>
      <c r="V514" s="102">
        <f>IF(VLOOKUP($D514,$C$5:$AU$534,3,)=0,0,(VLOOKUP($D514,$C$5:$AU$534,20,)/VLOOKUP($D514,$C$5:$AU$534,3,))*$E514)</f>
        <v>0</v>
      </c>
      <c r="W514" s="102">
        <f>IF(VLOOKUP($D514,$C$5:$AU$534,3,)=0,0,(VLOOKUP($D514,$C$5:$AU$534,21,)/VLOOKUP($D514,$C$5:$AU$534,3,))*$E514)</f>
        <v>0</v>
      </c>
      <c r="X514" s="102">
        <f>IF(VLOOKUP($D514,$C$5:$AU$534,3,)=0,0,(VLOOKUP($D514,$C$5:$AU$534,22,)/VLOOKUP($D514,$C$5:$AU$534,3,))*$E514)</f>
        <v>0</v>
      </c>
      <c r="Y514" s="102">
        <f>IF(VLOOKUP($D514,$C$5:$AU$534,3,)=0,0,(VLOOKUP($D514,$C$5:$AU$534,23,)/VLOOKUP($D514,$C$5:$AU$534,3,))*$E514)</f>
        <v>0</v>
      </c>
      <c r="Z514" s="102">
        <f>IF(VLOOKUP($D514,$C$5:$AU$534,3,)=0,0,(VLOOKUP($D514,$C$5:$AU$534,24,)/VLOOKUP($D514,$C$5:$AU$534,3,))*$E514)</f>
        <v>0</v>
      </c>
      <c r="AA514" s="102">
        <f>IF(VLOOKUP($D514,$C$5:$AU$534,3,)=0,0,(VLOOKUP($D514,$C$5:$AU$534,25,)/VLOOKUP($D514,$C$5:$AU$534,3,))*$E514)</f>
        <v>0</v>
      </c>
      <c r="AB514" s="102">
        <f>IF(VLOOKUP($D514,$C$5:$AU$534,3,)=0,0,(VLOOKUP($D514,$C$5:$AU$534,26,)/VLOOKUP($D514,$C$5:$AU$534,3,))*$E514)</f>
        <v>0</v>
      </c>
      <c r="AC514" s="102">
        <f>IF(VLOOKUP($D514,$C$5:$AU$534,3,)=0,0,(VLOOKUP($D514,$C$5:$AU$534,27,)/VLOOKUP($D514,$C$5:$AU$534,3,))*$E514)</f>
        <v>0</v>
      </c>
      <c r="AD514" s="102">
        <f>IF(VLOOKUP($D514,$C$5:$AU$534,3,)=0,0,(VLOOKUP($D514,$C$5:$AU$534,28,)/VLOOKUP($D514,$C$5:$AU$534,3,))*$E514)</f>
        <v>0</v>
      </c>
      <c r="AE514" s="102">
        <f>IF(VLOOKUP($D514,$C$5:$AU$534,3,)=0,0,(VLOOKUP($D514,$C$5:$AU$534,29,)/VLOOKUP($D514,$C$5:$AU$534,3,))*$E514)</f>
        <v>0</v>
      </c>
      <c r="AF514" s="102">
        <f>IF(VLOOKUP($D514,$C$5:$AU$534,3,)=0,0,(VLOOKUP($D514,$C$5:$AU$534,30,)/VLOOKUP($D514,$C$5:$AU$534,3,))*$E514)</f>
        <v>0</v>
      </c>
      <c r="AG514" s="17">
        <f>SUM(F514:AF514)</f>
        <v>1.0000000000000002</v>
      </c>
      <c r="AH514" s="12" t="str">
        <f t="shared" si="254"/>
        <v>ok</v>
      </c>
    </row>
    <row r="515" spans="1:41" x14ac:dyDescent="0.2">
      <c r="E515" s="97"/>
      <c r="F515" s="72"/>
      <c r="G515" s="72"/>
      <c r="H515" s="17"/>
      <c r="I515" s="17"/>
      <c r="J515" s="17"/>
      <c r="K515" s="17"/>
      <c r="L515" s="72"/>
      <c r="M515" s="17"/>
      <c r="N515" s="17"/>
      <c r="O515" s="17"/>
      <c r="P515" s="17"/>
      <c r="Q515" s="17"/>
      <c r="R515" s="17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7"/>
      <c r="AH515" s="12"/>
    </row>
    <row r="516" spans="1:41" x14ac:dyDescent="0.2">
      <c r="A516" s="2" t="s">
        <v>326</v>
      </c>
    </row>
    <row r="517" spans="1:41" x14ac:dyDescent="0.2">
      <c r="AJ517" s="14"/>
      <c r="AK517" s="85"/>
      <c r="AL517" s="14"/>
      <c r="AM517" s="14"/>
      <c r="AN517" s="14"/>
      <c r="AO517" s="14"/>
    </row>
    <row r="518" spans="1:41" x14ac:dyDescent="0.2">
      <c r="A518" s="3" t="s">
        <v>645</v>
      </c>
      <c r="E518" s="65">
        <f t="shared" ref="E518:R518" si="257">E123+E199+E237+E275</f>
        <v>5014334.2</v>
      </c>
      <c r="F518" s="65">
        <f t="shared" si="257"/>
        <v>3931613.7192797298</v>
      </c>
      <c r="G518" s="65">
        <f t="shared" si="257"/>
        <v>253469.3594818018</v>
      </c>
      <c r="H518" s="65">
        <f t="shared" si="257"/>
        <v>517474.33073134517</v>
      </c>
      <c r="I518" s="65">
        <f t="shared" si="257"/>
        <v>82479.73045683997</v>
      </c>
      <c r="J518" s="65">
        <f t="shared" si="257"/>
        <v>178337.00000000003</v>
      </c>
      <c r="K518" s="65">
        <f t="shared" si="257"/>
        <v>50960.060050283086</v>
      </c>
      <c r="L518" s="65">
        <f t="shared" si="257"/>
        <v>0</v>
      </c>
      <c r="M518" s="65">
        <f t="shared" si="257"/>
        <v>0</v>
      </c>
      <c r="N518" s="65">
        <f t="shared" si="257"/>
        <v>0</v>
      </c>
      <c r="O518" s="65">
        <f t="shared" si="257"/>
        <v>0</v>
      </c>
      <c r="P518" s="65">
        <f t="shared" si="257"/>
        <v>0</v>
      </c>
      <c r="Q518" s="65">
        <f t="shared" si="257"/>
        <v>0</v>
      </c>
      <c r="R518" s="65">
        <f t="shared" si="257"/>
        <v>0</v>
      </c>
      <c r="S518" s="87">
        <f t="shared" ref="S518:AF518" si="258">S123</f>
        <v>0</v>
      </c>
      <c r="T518" s="87">
        <f t="shared" si="258"/>
        <v>0</v>
      </c>
      <c r="U518" s="87">
        <f t="shared" si="258"/>
        <v>0</v>
      </c>
      <c r="V518" s="87">
        <f t="shared" si="258"/>
        <v>0</v>
      </c>
      <c r="W518" s="87">
        <f t="shared" si="258"/>
        <v>0</v>
      </c>
      <c r="X518" s="87">
        <f t="shared" si="258"/>
        <v>0</v>
      </c>
      <c r="Y518" s="87">
        <f t="shared" si="258"/>
        <v>0</v>
      </c>
      <c r="Z518" s="87">
        <f t="shared" si="258"/>
        <v>0</v>
      </c>
      <c r="AA518" s="87">
        <f t="shared" si="258"/>
        <v>0</v>
      </c>
      <c r="AB518" s="87">
        <f t="shared" si="258"/>
        <v>0</v>
      </c>
      <c r="AC518" s="87">
        <f t="shared" si="258"/>
        <v>0</v>
      </c>
      <c r="AD518" s="87">
        <f t="shared" si="258"/>
        <v>0</v>
      </c>
      <c r="AE518" s="87">
        <f t="shared" si="258"/>
        <v>0</v>
      </c>
      <c r="AF518" s="87">
        <f t="shared" si="258"/>
        <v>0</v>
      </c>
      <c r="AG518" s="65">
        <f>SUM(F518:AF518)</f>
        <v>5014334.1999999993</v>
      </c>
      <c r="AH518" s="12" t="str">
        <f t="shared" ref="AH518:AH523" si="259">IF(ABS(E518-AG518)&lt;0.01,"ok","err")</f>
        <v>ok</v>
      </c>
      <c r="AJ518" s="86"/>
      <c r="AK518" s="86"/>
      <c r="AL518" s="86"/>
      <c r="AM518" s="86"/>
      <c r="AN518" s="86"/>
      <c r="AO518" s="86"/>
    </row>
    <row r="519" spans="1:41" x14ac:dyDescent="0.2">
      <c r="A519" s="3" t="s">
        <v>646</v>
      </c>
      <c r="E519" s="65">
        <f t="shared" ref="E519:R519" si="260">E124+E200+E238+E276</f>
        <v>12813298.799999999</v>
      </c>
      <c r="F519" s="65">
        <f t="shared" si="260"/>
        <v>9463029.6082726847</v>
      </c>
      <c r="G519" s="65">
        <f t="shared" si="260"/>
        <v>563343.27474915818</v>
      </c>
      <c r="H519" s="65">
        <f t="shared" si="260"/>
        <v>1510596.2610407264</v>
      </c>
      <c r="I519" s="65">
        <f t="shared" si="260"/>
        <v>695900.19364998466</v>
      </c>
      <c r="J519" s="65">
        <f t="shared" si="260"/>
        <v>340205</v>
      </c>
      <c r="K519" s="65">
        <f t="shared" si="260"/>
        <v>240224.46228744517</v>
      </c>
      <c r="L519" s="65">
        <f t="shared" si="260"/>
        <v>0</v>
      </c>
      <c r="M519" s="65">
        <f t="shared" si="260"/>
        <v>0</v>
      </c>
      <c r="N519" s="65">
        <f t="shared" si="260"/>
        <v>0</v>
      </c>
      <c r="O519" s="65">
        <f t="shared" si="260"/>
        <v>0</v>
      </c>
      <c r="P519" s="65">
        <f t="shared" si="260"/>
        <v>0</v>
      </c>
      <c r="Q519" s="65">
        <f t="shared" si="260"/>
        <v>0</v>
      </c>
      <c r="R519" s="65">
        <f t="shared" si="260"/>
        <v>0</v>
      </c>
      <c r="S519" s="87">
        <f t="shared" ref="S519:AF519" si="261">S124</f>
        <v>0</v>
      </c>
      <c r="T519" s="87">
        <f t="shared" si="261"/>
        <v>0</v>
      </c>
      <c r="U519" s="87">
        <f t="shared" si="261"/>
        <v>0</v>
      </c>
      <c r="V519" s="87">
        <f t="shared" si="261"/>
        <v>0</v>
      </c>
      <c r="W519" s="87">
        <f t="shared" si="261"/>
        <v>0</v>
      </c>
      <c r="X519" s="87">
        <f t="shared" si="261"/>
        <v>0</v>
      </c>
      <c r="Y519" s="87">
        <f t="shared" si="261"/>
        <v>0</v>
      </c>
      <c r="Z519" s="87">
        <f t="shared" si="261"/>
        <v>0</v>
      </c>
      <c r="AA519" s="87">
        <f t="shared" si="261"/>
        <v>0</v>
      </c>
      <c r="AB519" s="87">
        <f t="shared" si="261"/>
        <v>0</v>
      </c>
      <c r="AC519" s="87">
        <f t="shared" si="261"/>
        <v>0</v>
      </c>
      <c r="AD519" s="87">
        <f t="shared" si="261"/>
        <v>0</v>
      </c>
      <c r="AE519" s="87">
        <f t="shared" si="261"/>
        <v>0</v>
      </c>
      <c r="AF519" s="87">
        <f t="shared" si="261"/>
        <v>0</v>
      </c>
      <c r="AG519" s="65">
        <f>SUM(F519:AF519)</f>
        <v>12813298.799999999</v>
      </c>
      <c r="AH519" s="12" t="str">
        <f t="shared" si="259"/>
        <v>ok</v>
      </c>
      <c r="AJ519" s="86"/>
      <c r="AK519" s="86"/>
      <c r="AL519" s="86"/>
      <c r="AM519" s="86"/>
      <c r="AN519" s="86"/>
      <c r="AO519" s="86"/>
    </row>
    <row r="520" spans="1:41" x14ac:dyDescent="0.2">
      <c r="A520" s="3" t="s">
        <v>863</v>
      </c>
      <c r="E520" s="65">
        <f t="shared" ref="E520:R520" si="262">E128+E204+E242+E280</f>
        <v>0</v>
      </c>
      <c r="F520" s="65">
        <f t="shared" si="262"/>
        <v>0</v>
      </c>
      <c r="G520" s="65">
        <f t="shared" si="262"/>
        <v>0</v>
      </c>
      <c r="H520" s="65">
        <f t="shared" si="262"/>
        <v>0</v>
      </c>
      <c r="I520" s="65">
        <f t="shared" si="262"/>
        <v>0</v>
      </c>
      <c r="J520" s="65">
        <f t="shared" si="262"/>
        <v>0</v>
      </c>
      <c r="K520" s="65">
        <f t="shared" si="262"/>
        <v>0</v>
      </c>
      <c r="L520" s="65">
        <f t="shared" si="262"/>
        <v>0</v>
      </c>
      <c r="M520" s="65">
        <f t="shared" si="262"/>
        <v>0</v>
      </c>
      <c r="N520" s="65">
        <f t="shared" si="262"/>
        <v>0</v>
      </c>
      <c r="O520" s="65">
        <f t="shared" si="262"/>
        <v>0</v>
      </c>
      <c r="P520" s="65">
        <f t="shared" si="262"/>
        <v>0</v>
      </c>
      <c r="Q520" s="65">
        <f t="shared" si="262"/>
        <v>0</v>
      </c>
      <c r="R520" s="65">
        <f t="shared" si="262"/>
        <v>0</v>
      </c>
      <c r="S520" s="87"/>
      <c r="T520" s="87"/>
      <c r="U520" s="87"/>
      <c r="V520" s="87"/>
      <c r="W520" s="87"/>
      <c r="X520" s="87"/>
      <c r="Y520" s="87"/>
      <c r="Z520" s="87"/>
      <c r="AA520" s="87"/>
      <c r="AB520" s="87"/>
      <c r="AC520" s="87"/>
      <c r="AD520" s="87"/>
      <c r="AE520" s="87"/>
      <c r="AF520" s="87"/>
      <c r="AG520" s="65">
        <f>SUM(F520:AF520)</f>
        <v>0</v>
      </c>
      <c r="AH520" s="12" t="str">
        <f t="shared" si="259"/>
        <v>ok</v>
      </c>
      <c r="AJ520" s="86"/>
      <c r="AK520" s="86"/>
      <c r="AL520" s="86"/>
      <c r="AM520" s="86"/>
      <c r="AN520" s="86"/>
      <c r="AO520" s="86"/>
    </row>
    <row r="521" spans="1:41" x14ac:dyDescent="0.2">
      <c r="A521" s="3" t="s">
        <v>647</v>
      </c>
      <c r="D521" s="184">
        <f>E521/(E521+E522)</f>
        <v>0.3750254881254898</v>
      </c>
      <c r="E521" s="65">
        <f t="shared" ref="E521:AG521" si="263">E131+E134+E139+E207+E210+E215+E245+E248+E253+E283+E286+E291</f>
        <v>3488485.9804678615</v>
      </c>
      <c r="F521" s="65">
        <f t="shared" si="263"/>
        <v>2504954.2799592647</v>
      </c>
      <c r="G521" s="65">
        <f t="shared" si="263"/>
        <v>91291.415283542461</v>
      </c>
      <c r="H521" s="65">
        <f t="shared" si="263"/>
        <v>388018.23359028023</v>
      </c>
      <c r="I521" s="65">
        <f t="shared" si="263"/>
        <v>187327.14398701952</v>
      </c>
      <c r="J521" s="65">
        <f t="shared" si="263"/>
        <v>66015.730359168068</v>
      </c>
      <c r="K521" s="65">
        <f t="shared" si="263"/>
        <v>250879.1772885863</v>
      </c>
      <c r="L521" s="65">
        <f t="shared" si="263"/>
        <v>0</v>
      </c>
      <c r="M521" s="65">
        <f t="shared" si="263"/>
        <v>0</v>
      </c>
      <c r="N521" s="65">
        <f t="shared" si="263"/>
        <v>0</v>
      </c>
      <c r="O521" s="65">
        <f t="shared" si="263"/>
        <v>0</v>
      </c>
      <c r="P521" s="65">
        <f t="shared" si="263"/>
        <v>0</v>
      </c>
      <c r="Q521" s="65">
        <f t="shared" si="263"/>
        <v>0</v>
      </c>
      <c r="R521" s="65">
        <f t="shared" si="263"/>
        <v>0</v>
      </c>
      <c r="S521" s="65">
        <f t="shared" si="263"/>
        <v>0</v>
      </c>
      <c r="T521" s="65">
        <f t="shared" si="263"/>
        <v>0</v>
      </c>
      <c r="U521" s="65">
        <f t="shared" si="263"/>
        <v>0</v>
      </c>
      <c r="V521" s="65">
        <f t="shared" si="263"/>
        <v>0</v>
      </c>
      <c r="W521" s="65">
        <f t="shared" si="263"/>
        <v>0</v>
      </c>
      <c r="X521" s="65">
        <f t="shared" si="263"/>
        <v>0</v>
      </c>
      <c r="Y521" s="65">
        <f t="shared" si="263"/>
        <v>0</v>
      </c>
      <c r="Z521" s="65">
        <f t="shared" si="263"/>
        <v>0</v>
      </c>
      <c r="AA521" s="65">
        <f t="shared" si="263"/>
        <v>0</v>
      </c>
      <c r="AB521" s="65">
        <f t="shared" si="263"/>
        <v>0</v>
      </c>
      <c r="AC521" s="65">
        <f t="shared" si="263"/>
        <v>0</v>
      </c>
      <c r="AD521" s="65">
        <f t="shared" si="263"/>
        <v>0</v>
      </c>
      <c r="AE521" s="65">
        <f t="shared" si="263"/>
        <v>0</v>
      </c>
      <c r="AF521" s="65">
        <f t="shared" si="263"/>
        <v>0</v>
      </c>
      <c r="AG521" s="65">
        <f t="shared" si="263"/>
        <v>3488485.9804678611</v>
      </c>
      <c r="AH521" s="12" t="str">
        <f t="shared" si="259"/>
        <v>ok</v>
      </c>
      <c r="AJ521" s="86"/>
      <c r="AK521" s="86"/>
      <c r="AL521" s="86"/>
      <c r="AM521" s="86"/>
      <c r="AN521" s="86"/>
      <c r="AO521" s="86"/>
    </row>
    <row r="522" spans="1:41" x14ac:dyDescent="0.2">
      <c r="A522" s="3" t="s">
        <v>648</v>
      </c>
      <c r="D522" s="184">
        <f>E522/(E521+E522)</f>
        <v>0.62497451187451025</v>
      </c>
      <c r="E522" s="19">
        <f t="shared" ref="E522:AD522" si="264">E135+E140+E144+E147+E150+E153+E211+E216+E220+E223+E226+E229+E249+E254+E258+E261+E264+E267+E287+E292+E296+E299+E302+E305</f>
        <v>5813511.0595321395</v>
      </c>
      <c r="F522" s="19">
        <f t="shared" si="264"/>
        <v>5054475.6712995265</v>
      </c>
      <c r="G522" s="19">
        <f t="shared" si="264"/>
        <v>380785.05718601757</v>
      </c>
      <c r="H522" s="19">
        <f t="shared" si="264"/>
        <v>104029.63092545165</v>
      </c>
      <c r="I522" s="19">
        <f t="shared" si="264"/>
        <v>12094.579763162146</v>
      </c>
      <c r="J522" s="19">
        <f t="shared" si="264"/>
        <v>633.27796722249673</v>
      </c>
      <c r="K522" s="19">
        <f t="shared" si="264"/>
        <v>261492.84239075953</v>
      </c>
      <c r="L522" s="19">
        <f t="shared" si="264"/>
        <v>0</v>
      </c>
      <c r="M522" s="19">
        <f t="shared" si="264"/>
        <v>0</v>
      </c>
      <c r="N522" s="19">
        <f t="shared" si="264"/>
        <v>0</v>
      </c>
      <c r="O522" s="19">
        <f t="shared" si="264"/>
        <v>0</v>
      </c>
      <c r="P522" s="19">
        <f t="shared" si="264"/>
        <v>0</v>
      </c>
      <c r="Q522" s="19">
        <f t="shared" si="264"/>
        <v>0</v>
      </c>
      <c r="R522" s="19">
        <f t="shared" si="264"/>
        <v>0</v>
      </c>
      <c r="S522" s="80">
        <f t="shared" si="264"/>
        <v>0</v>
      </c>
      <c r="T522" s="80">
        <f t="shared" si="264"/>
        <v>0</v>
      </c>
      <c r="U522" s="80">
        <f t="shared" si="264"/>
        <v>0</v>
      </c>
      <c r="V522" s="80">
        <f t="shared" si="264"/>
        <v>0</v>
      </c>
      <c r="W522" s="80">
        <f t="shared" si="264"/>
        <v>0</v>
      </c>
      <c r="X522" s="80">
        <f t="shared" si="264"/>
        <v>0</v>
      </c>
      <c r="Y522" s="80">
        <f t="shared" si="264"/>
        <v>0</v>
      </c>
      <c r="Z522" s="80">
        <f t="shared" si="264"/>
        <v>0</v>
      </c>
      <c r="AA522" s="80">
        <f t="shared" si="264"/>
        <v>0</v>
      </c>
      <c r="AB522" s="80">
        <f t="shared" si="264"/>
        <v>0</v>
      </c>
      <c r="AC522" s="80">
        <f t="shared" si="264"/>
        <v>0</v>
      </c>
      <c r="AD522" s="80">
        <f t="shared" si="264"/>
        <v>0</v>
      </c>
      <c r="AE522" s="80"/>
      <c r="AF522" s="80">
        <f>AF135+AF140+AF144+AF147+AF150+AF153+AF211+AF216+AF220+AF223+AF226+AF229+AF249+AF254+AF258+AF261+AF264+AF267+AF287+AF292+AF296+AF299+AF302+AF305</f>
        <v>0</v>
      </c>
      <c r="AG522" s="65">
        <f>SUM(F522:AF522)</f>
        <v>5813511.0595321395</v>
      </c>
      <c r="AH522" s="12" t="str">
        <f t="shared" si="259"/>
        <v>ok</v>
      </c>
      <c r="AJ522" s="86"/>
      <c r="AK522" s="86"/>
      <c r="AL522" s="86"/>
      <c r="AM522" s="86"/>
      <c r="AN522" s="86"/>
      <c r="AO522" s="86"/>
    </row>
    <row r="523" spans="1:41" x14ac:dyDescent="0.2">
      <c r="A523" s="3" t="s">
        <v>0</v>
      </c>
      <c r="D523" s="13"/>
      <c r="E523" s="84">
        <f>SUM(E518:E522)</f>
        <v>27129630.040000003</v>
      </c>
      <c r="F523" s="84">
        <f t="shared" ref="F523:R523" si="265">SUM(F518:F522)</f>
        <v>20954073.278811209</v>
      </c>
      <c r="G523" s="84">
        <f t="shared" si="265"/>
        <v>1288889.10670052</v>
      </c>
      <c r="H523" s="84">
        <f t="shared" si="265"/>
        <v>2520118.4562878036</v>
      </c>
      <c r="I523" s="84">
        <f t="shared" si="265"/>
        <v>977801.64785700641</v>
      </c>
      <c r="J523" s="84">
        <f t="shared" si="265"/>
        <v>585191.00832639053</v>
      </c>
      <c r="K523" s="84">
        <f t="shared" si="265"/>
        <v>803556.54201707407</v>
      </c>
      <c r="L523" s="84">
        <f t="shared" si="265"/>
        <v>0</v>
      </c>
      <c r="M523" s="84">
        <f t="shared" si="265"/>
        <v>0</v>
      </c>
      <c r="N523" s="84">
        <f t="shared" si="265"/>
        <v>0</v>
      </c>
      <c r="O523" s="84">
        <f t="shared" si="265"/>
        <v>0</v>
      </c>
      <c r="P523" s="84">
        <f t="shared" si="265"/>
        <v>0</v>
      </c>
      <c r="Q523" s="84">
        <f t="shared" si="265"/>
        <v>0</v>
      </c>
      <c r="R523" s="84">
        <f t="shared" si="265"/>
        <v>0</v>
      </c>
      <c r="S523" s="107">
        <f t="shared" ref="S523:AG523" si="266">SUM(S518:S522)</f>
        <v>0</v>
      </c>
      <c r="T523" s="107">
        <f t="shared" si="266"/>
        <v>0</v>
      </c>
      <c r="U523" s="107">
        <f t="shared" si="266"/>
        <v>0</v>
      </c>
      <c r="V523" s="107">
        <f t="shared" si="266"/>
        <v>0</v>
      </c>
      <c r="W523" s="107">
        <f t="shared" si="266"/>
        <v>0</v>
      </c>
      <c r="X523" s="107">
        <f t="shared" si="266"/>
        <v>0</v>
      </c>
      <c r="Y523" s="107">
        <f t="shared" si="266"/>
        <v>0</v>
      </c>
      <c r="Z523" s="107">
        <f t="shared" si="266"/>
        <v>0</v>
      </c>
      <c r="AA523" s="107">
        <f t="shared" si="266"/>
        <v>0</v>
      </c>
      <c r="AB523" s="107">
        <f t="shared" si="266"/>
        <v>0</v>
      </c>
      <c r="AC523" s="107">
        <f t="shared" si="266"/>
        <v>0</v>
      </c>
      <c r="AD523" s="107">
        <f t="shared" si="266"/>
        <v>0</v>
      </c>
      <c r="AE523" s="107">
        <f t="shared" si="266"/>
        <v>0</v>
      </c>
      <c r="AF523" s="107">
        <f t="shared" si="266"/>
        <v>0</v>
      </c>
      <c r="AG523" s="84">
        <f t="shared" si="266"/>
        <v>27129630.039999999</v>
      </c>
      <c r="AH523" s="12" t="str">
        <f t="shared" si="259"/>
        <v>ok</v>
      </c>
      <c r="AJ523" s="86"/>
      <c r="AK523" s="86"/>
      <c r="AL523" s="86"/>
      <c r="AM523" s="86"/>
      <c r="AN523" s="86"/>
      <c r="AO523" s="86"/>
    </row>
    <row r="525" spans="1:41" x14ac:dyDescent="0.2">
      <c r="A525" s="2" t="s">
        <v>696</v>
      </c>
      <c r="E525" s="65"/>
    </row>
    <row r="526" spans="1:41" x14ac:dyDescent="0.2">
      <c r="AJ526" s="14"/>
      <c r="AK526" s="85"/>
      <c r="AL526" s="14"/>
      <c r="AM526" s="14"/>
      <c r="AN526" s="14"/>
      <c r="AO526" s="14"/>
    </row>
    <row r="527" spans="1:41" x14ac:dyDescent="0.2">
      <c r="A527" s="3" t="s">
        <v>645</v>
      </c>
      <c r="D527" s="65"/>
      <c r="E527" s="65">
        <f>E518</f>
        <v>5014334.2</v>
      </c>
      <c r="F527" s="65">
        <f t="shared" ref="F527:AF527" si="267">F518</f>
        <v>3931613.7192797298</v>
      </c>
      <c r="G527" s="65">
        <f t="shared" si="267"/>
        <v>253469.3594818018</v>
      </c>
      <c r="H527" s="65">
        <f t="shared" si="267"/>
        <v>517474.33073134517</v>
      </c>
      <c r="I527" s="65">
        <f t="shared" si="267"/>
        <v>82479.73045683997</v>
      </c>
      <c r="J527" s="65">
        <f t="shared" si="267"/>
        <v>178337.00000000003</v>
      </c>
      <c r="K527" s="65">
        <f t="shared" si="267"/>
        <v>50960.060050283086</v>
      </c>
      <c r="L527" s="65">
        <f t="shared" si="267"/>
        <v>0</v>
      </c>
      <c r="M527" s="65">
        <f t="shared" si="267"/>
        <v>0</v>
      </c>
      <c r="N527" s="65">
        <f t="shared" si="267"/>
        <v>0</v>
      </c>
      <c r="O527" s="65">
        <f t="shared" si="267"/>
        <v>0</v>
      </c>
      <c r="P527" s="65">
        <f t="shared" si="267"/>
        <v>0</v>
      </c>
      <c r="Q527" s="65">
        <f t="shared" si="267"/>
        <v>0</v>
      </c>
      <c r="R527" s="65">
        <f t="shared" si="267"/>
        <v>0</v>
      </c>
      <c r="S527" s="65">
        <f t="shared" si="267"/>
        <v>0</v>
      </c>
      <c r="T527" s="65">
        <f t="shared" si="267"/>
        <v>0</v>
      </c>
      <c r="U527" s="65">
        <f t="shared" si="267"/>
        <v>0</v>
      </c>
      <c r="V527" s="65">
        <f t="shared" si="267"/>
        <v>0</v>
      </c>
      <c r="W527" s="65">
        <f t="shared" si="267"/>
        <v>0</v>
      </c>
      <c r="X527" s="65">
        <f t="shared" si="267"/>
        <v>0</v>
      </c>
      <c r="Y527" s="65">
        <f t="shared" si="267"/>
        <v>0</v>
      </c>
      <c r="Z527" s="65">
        <f t="shared" si="267"/>
        <v>0</v>
      </c>
      <c r="AA527" s="65">
        <f t="shared" si="267"/>
        <v>0</v>
      </c>
      <c r="AB527" s="65">
        <f t="shared" si="267"/>
        <v>0</v>
      </c>
      <c r="AC527" s="65">
        <f t="shared" si="267"/>
        <v>0</v>
      </c>
      <c r="AD527" s="65">
        <f t="shared" si="267"/>
        <v>0</v>
      </c>
      <c r="AE527" s="65">
        <f t="shared" si="267"/>
        <v>0</v>
      </c>
      <c r="AF527" s="65">
        <f t="shared" si="267"/>
        <v>0</v>
      </c>
      <c r="AG527" s="65">
        <f t="shared" ref="AG527:AG532" si="268">SUM(F527:AF527)</f>
        <v>5014334.1999999993</v>
      </c>
      <c r="AH527" s="12" t="str">
        <f t="shared" ref="AH527:AH532" si="269">IF(ABS(E527-AG527)&lt;0.01,"ok","err")</f>
        <v>ok</v>
      </c>
      <c r="AJ527" s="86"/>
      <c r="AK527" s="86"/>
      <c r="AL527" s="86"/>
      <c r="AM527" s="86"/>
      <c r="AN527" s="86"/>
      <c r="AO527" s="86"/>
    </row>
    <row r="528" spans="1:41" x14ac:dyDescent="0.2">
      <c r="A528" s="3" t="s">
        <v>646</v>
      </c>
      <c r="D528" s="65"/>
      <c r="E528" s="65">
        <f t="shared" ref="E528:K528" si="270">E519+E358+E359+E360+E361</f>
        <v>8179977.8499999987</v>
      </c>
      <c r="F528" s="65">
        <f t="shared" si="270"/>
        <v>5919101.0996667622</v>
      </c>
      <c r="G528" s="65">
        <f t="shared" si="270"/>
        <v>331386.55172757839</v>
      </c>
      <c r="H528" s="65">
        <f t="shared" si="270"/>
        <v>1006526.1846979315</v>
      </c>
      <c r="I528" s="65">
        <f t="shared" si="270"/>
        <v>478234.74131891673</v>
      </c>
      <c r="J528" s="65">
        <f t="shared" si="270"/>
        <v>210379.23390977411</v>
      </c>
      <c r="K528" s="65">
        <f t="shared" si="270"/>
        <v>234350.03867903657</v>
      </c>
      <c r="L528" s="65">
        <f t="shared" ref="L528" si="271">L519+L358+L359+L360+L361+L368</f>
        <v>0</v>
      </c>
      <c r="M528" s="65">
        <f t="shared" ref="M528:AF528" si="272">M519+M358+M359+M360+M361+M367</f>
        <v>0</v>
      </c>
      <c r="N528" s="65">
        <f t="shared" si="272"/>
        <v>0</v>
      </c>
      <c r="O528" s="65">
        <f t="shared" si="272"/>
        <v>0</v>
      </c>
      <c r="P528" s="65">
        <f t="shared" si="272"/>
        <v>0</v>
      </c>
      <c r="Q528" s="65">
        <f t="shared" si="272"/>
        <v>0</v>
      </c>
      <c r="R528" s="65">
        <f t="shared" si="272"/>
        <v>0</v>
      </c>
      <c r="S528" s="65">
        <f t="shared" si="272"/>
        <v>0</v>
      </c>
      <c r="T528" s="65">
        <f t="shared" si="272"/>
        <v>0</v>
      </c>
      <c r="U528" s="65">
        <f t="shared" si="272"/>
        <v>0</v>
      </c>
      <c r="V528" s="65">
        <f t="shared" si="272"/>
        <v>0</v>
      </c>
      <c r="W528" s="65">
        <f t="shared" si="272"/>
        <v>0</v>
      </c>
      <c r="X528" s="65">
        <f t="shared" si="272"/>
        <v>0</v>
      </c>
      <c r="Y528" s="65">
        <f t="shared" si="272"/>
        <v>0</v>
      </c>
      <c r="Z528" s="65">
        <f t="shared" si="272"/>
        <v>0</v>
      </c>
      <c r="AA528" s="65">
        <f t="shared" si="272"/>
        <v>0</v>
      </c>
      <c r="AB528" s="65">
        <f t="shared" si="272"/>
        <v>0</v>
      </c>
      <c r="AC528" s="65">
        <f t="shared" si="272"/>
        <v>0</v>
      </c>
      <c r="AD528" s="65">
        <f t="shared" si="272"/>
        <v>0</v>
      </c>
      <c r="AE528" s="65">
        <f t="shared" si="272"/>
        <v>0</v>
      </c>
      <c r="AF528" s="65">
        <f t="shared" si="272"/>
        <v>0</v>
      </c>
      <c r="AG528" s="65">
        <f t="shared" si="268"/>
        <v>8179977.8499999987</v>
      </c>
      <c r="AH528" s="12" t="str">
        <f t="shared" si="269"/>
        <v>ok</v>
      </c>
      <c r="AJ528" s="86"/>
      <c r="AK528" s="86"/>
      <c r="AL528" s="86"/>
      <c r="AM528" s="86"/>
      <c r="AN528" s="86"/>
      <c r="AO528" s="86"/>
    </row>
    <row r="529" spans="1:41" x14ac:dyDescent="0.2">
      <c r="A529" s="3" t="s">
        <v>863</v>
      </c>
      <c r="D529" s="65"/>
      <c r="E529" s="65">
        <f t="shared" ref="E529:T529" si="273">E520</f>
        <v>0</v>
      </c>
      <c r="F529" s="65">
        <f t="shared" si="273"/>
        <v>0</v>
      </c>
      <c r="G529" s="65">
        <f t="shared" si="273"/>
        <v>0</v>
      </c>
      <c r="H529" s="65">
        <f t="shared" si="273"/>
        <v>0</v>
      </c>
      <c r="I529" s="65">
        <f t="shared" si="273"/>
        <v>0</v>
      </c>
      <c r="J529" s="65">
        <f t="shared" si="273"/>
        <v>0</v>
      </c>
      <c r="K529" s="65">
        <f t="shared" si="273"/>
        <v>0</v>
      </c>
      <c r="L529" s="65">
        <f t="shared" si="273"/>
        <v>0</v>
      </c>
      <c r="M529" s="65">
        <f t="shared" si="273"/>
        <v>0</v>
      </c>
      <c r="N529" s="65">
        <f t="shared" si="273"/>
        <v>0</v>
      </c>
      <c r="O529" s="65">
        <f t="shared" si="273"/>
        <v>0</v>
      </c>
      <c r="P529" s="65">
        <f t="shared" si="273"/>
        <v>0</v>
      </c>
      <c r="Q529" s="65">
        <f t="shared" si="273"/>
        <v>0</v>
      </c>
      <c r="R529" s="65">
        <f t="shared" si="273"/>
        <v>0</v>
      </c>
      <c r="S529" s="65">
        <f t="shared" si="273"/>
        <v>0</v>
      </c>
      <c r="T529" s="65">
        <f t="shared" si="273"/>
        <v>0</v>
      </c>
      <c r="U529" s="65">
        <f t="shared" ref="U529:AF529" si="274">U520</f>
        <v>0</v>
      </c>
      <c r="V529" s="65">
        <f t="shared" si="274"/>
        <v>0</v>
      </c>
      <c r="W529" s="65">
        <f t="shared" si="274"/>
        <v>0</v>
      </c>
      <c r="X529" s="65">
        <f t="shared" si="274"/>
        <v>0</v>
      </c>
      <c r="Y529" s="65">
        <f t="shared" si="274"/>
        <v>0</v>
      </c>
      <c r="Z529" s="65">
        <f t="shared" si="274"/>
        <v>0</v>
      </c>
      <c r="AA529" s="65">
        <f t="shared" si="274"/>
        <v>0</v>
      </c>
      <c r="AB529" s="65">
        <f t="shared" si="274"/>
        <v>0</v>
      </c>
      <c r="AC529" s="65">
        <f t="shared" si="274"/>
        <v>0</v>
      </c>
      <c r="AD529" s="65">
        <f t="shared" si="274"/>
        <v>0</v>
      </c>
      <c r="AE529" s="65">
        <f t="shared" si="274"/>
        <v>0</v>
      </c>
      <c r="AF529" s="65">
        <f t="shared" si="274"/>
        <v>0</v>
      </c>
      <c r="AG529" s="65">
        <f t="shared" si="268"/>
        <v>0</v>
      </c>
      <c r="AH529" s="12" t="str">
        <f t="shared" si="269"/>
        <v>ok</v>
      </c>
      <c r="AJ529" s="86"/>
      <c r="AK529" s="86"/>
      <c r="AL529" s="86"/>
      <c r="AM529" s="86"/>
      <c r="AN529" s="86"/>
      <c r="AO529" s="86"/>
    </row>
    <row r="530" spans="1:41" x14ac:dyDescent="0.2">
      <c r="A530" s="3" t="s">
        <v>647</v>
      </c>
      <c r="D530" s="65"/>
      <c r="E530" s="65">
        <f t="shared" ref="E530:K530" si="275">E521+E394+(E362+E363+E364+E365+E366+E367+E368+E369)*$D521</f>
        <v>3727298.7026702608</v>
      </c>
      <c r="F530" s="65">
        <f t="shared" si="275"/>
        <v>2675375.6306570079</v>
      </c>
      <c r="G530" s="65">
        <f t="shared" si="275"/>
        <v>97061.482799301448</v>
      </c>
      <c r="H530" s="65">
        <f t="shared" si="275"/>
        <v>415785.60981183546</v>
      </c>
      <c r="I530" s="65">
        <f t="shared" si="275"/>
        <v>200868.57548079587</v>
      </c>
      <c r="J530" s="65">
        <f t="shared" si="275"/>
        <v>70762.749133163758</v>
      </c>
      <c r="K530" s="65">
        <f t="shared" si="275"/>
        <v>267444.65478815616</v>
      </c>
      <c r="L530" s="65">
        <f t="shared" ref="L530:AF530" si="276">L521+L394+(L362+L363+L364+L365+L366+L367+L368+L369)*$D521</f>
        <v>0</v>
      </c>
      <c r="M530" s="65">
        <f t="shared" si="276"/>
        <v>0</v>
      </c>
      <c r="N530" s="65">
        <f t="shared" si="276"/>
        <v>0</v>
      </c>
      <c r="O530" s="65">
        <f t="shared" si="276"/>
        <v>0</v>
      </c>
      <c r="P530" s="65">
        <f t="shared" si="276"/>
        <v>0</v>
      </c>
      <c r="Q530" s="65">
        <f t="shared" si="276"/>
        <v>0</v>
      </c>
      <c r="R530" s="65">
        <f t="shared" si="276"/>
        <v>0</v>
      </c>
      <c r="S530" s="65">
        <f t="shared" si="276"/>
        <v>0</v>
      </c>
      <c r="T530" s="65">
        <f t="shared" si="276"/>
        <v>0</v>
      </c>
      <c r="U530" s="65">
        <f t="shared" si="276"/>
        <v>0</v>
      </c>
      <c r="V530" s="65">
        <f t="shared" si="276"/>
        <v>0</v>
      </c>
      <c r="W530" s="65">
        <f t="shared" si="276"/>
        <v>0</v>
      </c>
      <c r="X530" s="65">
        <f t="shared" si="276"/>
        <v>0</v>
      </c>
      <c r="Y530" s="65">
        <f t="shared" si="276"/>
        <v>0</v>
      </c>
      <c r="Z530" s="65">
        <f t="shared" si="276"/>
        <v>0</v>
      </c>
      <c r="AA530" s="65">
        <f t="shared" si="276"/>
        <v>0</v>
      </c>
      <c r="AB530" s="65">
        <f t="shared" si="276"/>
        <v>0</v>
      </c>
      <c r="AC530" s="65">
        <f t="shared" si="276"/>
        <v>0</v>
      </c>
      <c r="AD530" s="65">
        <f t="shared" si="276"/>
        <v>0</v>
      </c>
      <c r="AE530" s="65">
        <f t="shared" si="276"/>
        <v>0</v>
      </c>
      <c r="AF530" s="65">
        <f t="shared" si="276"/>
        <v>0</v>
      </c>
      <c r="AG530" s="65">
        <f t="shared" si="268"/>
        <v>3727298.7026702603</v>
      </c>
      <c r="AH530" s="12" t="str">
        <f t="shared" si="269"/>
        <v>ok</v>
      </c>
      <c r="AJ530" s="86"/>
      <c r="AK530" s="86"/>
      <c r="AL530" s="86"/>
      <c r="AM530" s="86"/>
      <c r="AN530" s="86"/>
      <c r="AO530" s="86"/>
    </row>
    <row r="531" spans="1:41" x14ac:dyDescent="0.2">
      <c r="A531" s="3" t="s">
        <v>648</v>
      </c>
      <c r="D531" s="65"/>
      <c r="E531" s="65">
        <f t="shared" ref="E531:K531" si="277">E522+(E362+E363+E364+E365+E366+E367+E368+E369)*$D522</f>
        <v>6211488.9816031996</v>
      </c>
      <c r="F531" s="65">
        <f t="shared" si="277"/>
        <v>5338480.3692140244</v>
      </c>
      <c r="G531" s="65">
        <f t="shared" si="277"/>
        <v>390400.79063168075</v>
      </c>
      <c r="H531" s="65">
        <f t="shared" si="277"/>
        <v>150303.55883057436</v>
      </c>
      <c r="I531" s="65">
        <f t="shared" si="277"/>
        <v>34661.1780501381</v>
      </c>
      <c r="J531" s="65">
        <f t="shared" si="277"/>
        <v>8544.1155904625448</v>
      </c>
      <c r="K531" s="65">
        <f t="shared" si="277"/>
        <v>289098.96928632027</v>
      </c>
      <c r="L531" s="65">
        <f t="shared" ref="L531:AF531" si="278">L522+(L362+L363+L364+L365+L366+L367+L368+L369)*$D522</f>
        <v>0</v>
      </c>
      <c r="M531" s="65">
        <f t="shared" si="278"/>
        <v>0</v>
      </c>
      <c r="N531" s="65">
        <f t="shared" si="278"/>
        <v>0</v>
      </c>
      <c r="O531" s="65">
        <f t="shared" si="278"/>
        <v>0</v>
      </c>
      <c r="P531" s="65">
        <f t="shared" si="278"/>
        <v>0</v>
      </c>
      <c r="Q531" s="65">
        <f t="shared" si="278"/>
        <v>0</v>
      </c>
      <c r="R531" s="65">
        <f t="shared" si="278"/>
        <v>0</v>
      </c>
      <c r="S531" s="65">
        <f t="shared" si="278"/>
        <v>0</v>
      </c>
      <c r="T531" s="65">
        <f t="shared" si="278"/>
        <v>0</v>
      </c>
      <c r="U531" s="65">
        <f t="shared" si="278"/>
        <v>0</v>
      </c>
      <c r="V531" s="65">
        <f t="shared" si="278"/>
        <v>0</v>
      </c>
      <c r="W531" s="65">
        <f t="shared" si="278"/>
        <v>0</v>
      </c>
      <c r="X531" s="65">
        <f t="shared" si="278"/>
        <v>0</v>
      </c>
      <c r="Y531" s="65">
        <f t="shared" si="278"/>
        <v>0</v>
      </c>
      <c r="Z531" s="65">
        <f t="shared" si="278"/>
        <v>0</v>
      </c>
      <c r="AA531" s="65">
        <f t="shared" si="278"/>
        <v>0</v>
      </c>
      <c r="AB531" s="65">
        <f t="shared" si="278"/>
        <v>0</v>
      </c>
      <c r="AC531" s="65">
        <f t="shared" si="278"/>
        <v>0</v>
      </c>
      <c r="AD531" s="65">
        <f t="shared" si="278"/>
        <v>0</v>
      </c>
      <c r="AE531" s="65">
        <f t="shared" si="278"/>
        <v>0</v>
      </c>
      <c r="AF531" s="65">
        <f t="shared" si="278"/>
        <v>0</v>
      </c>
      <c r="AG531" s="65">
        <f t="shared" si="268"/>
        <v>6211488.9816031996</v>
      </c>
      <c r="AH531" s="12" t="str">
        <f t="shared" si="269"/>
        <v>ok</v>
      </c>
      <c r="AJ531" s="86"/>
      <c r="AK531" s="86"/>
      <c r="AL531" s="86"/>
      <c r="AM531" s="86"/>
      <c r="AN531" s="86"/>
      <c r="AO531" s="86"/>
    </row>
    <row r="532" spans="1:41" x14ac:dyDescent="0.2">
      <c r="A532" s="3" t="s">
        <v>0</v>
      </c>
      <c r="E532" s="84">
        <f>SUM(E527:E531)</f>
        <v>23133099.734273456</v>
      </c>
      <c r="F532" s="84">
        <f t="shared" ref="F532:AF532" si="279">SUM(F527:F531)</f>
        <v>17864570.818817526</v>
      </c>
      <c r="G532" s="84">
        <f t="shared" si="279"/>
        <v>1072318.1846403624</v>
      </c>
      <c r="H532" s="84">
        <f t="shared" si="279"/>
        <v>2090089.6840716866</v>
      </c>
      <c r="I532" s="84">
        <f t="shared" si="279"/>
        <v>796244.22530669067</v>
      </c>
      <c r="J532" s="84">
        <f t="shared" si="279"/>
        <v>468023.0986334004</v>
      </c>
      <c r="K532" s="84">
        <f t="shared" si="279"/>
        <v>841853.72280379606</v>
      </c>
      <c r="L532" s="84">
        <f t="shared" si="279"/>
        <v>0</v>
      </c>
      <c r="M532" s="84">
        <f t="shared" si="279"/>
        <v>0</v>
      </c>
      <c r="N532" s="84">
        <f t="shared" si="279"/>
        <v>0</v>
      </c>
      <c r="O532" s="84">
        <f t="shared" si="279"/>
        <v>0</v>
      </c>
      <c r="P532" s="84">
        <f t="shared" si="279"/>
        <v>0</v>
      </c>
      <c r="Q532" s="84">
        <f t="shared" si="279"/>
        <v>0</v>
      </c>
      <c r="R532" s="84">
        <f t="shared" si="279"/>
        <v>0</v>
      </c>
      <c r="S532" s="87">
        <f t="shared" si="279"/>
        <v>0</v>
      </c>
      <c r="T532" s="87">
        <f t="shared" si="279"/>
        <v>0</v>
      </c>
      <c r="U532" s="87">
        <f t="shared" si="279"/>
        <v>0</v>
      </c>
      <c r="V532" s="87">
        <f t="shared" si="279"/>
        <v>0</v>
      </c>
      <c r="W532" s="87">
        <f t="shared" si="279"/>
        <v>0</v>
      </c>
      <c r="X532" s="87">
        <f t="shared" si="279"/>
        <v>0</v>
      </c>
      <c r="Y532" s="87">
        <f t="shared" si="279"/>
        <v>0</v>
      </c>
      <c r="Z532" s="87">
        <f t="shared" si="279"/>
        <v>0</v>
      </c>
      <c r="AA532" s="87">
        <f t="shared" si="279"/>
        <v>0</v>
      </c>
      <c r="AB532" s="87">
        <f t="shared" si="279"/>
        <v>0</v>
      </c>
      <c r="AC532" s="87">
        <f t="shared" si="279"/>
        <v>0</v>
      </c>
      <c r="AD532" s="87">
        <f t="shared" si="279"/>
        <v>0</v>
      </c>
      <c r="AE532" s="87">
        <f t="shared" si="279"/>
        <v>0</v>
      </c>
      <c r="AF532" s="87">
        <f t="shared" si="279"/>
        <v>0</v>
      </c>
      <c r="AG532" s="65">
        <f t="shared" si="268"/>
        <v>23133099.734273463</v>
      </c>
      <c r="AH532" s="12" t="str">
        <f t="shared" si="269"/>
        <v>ok</v>
      </c>
      <c r="AJ532" s="86"/>
      <c r="AK532" s="86"/>
      <c r="AL532" s="86"/>
      <c r="AM532" s="86"/>
      <c r="AN532" s="86"/>
      <c r="AO532" s="86"/>
    </row>
    <row r="533" spans="1:41" x14ac:dyDescent="0.2">
      <c r="D533" s="7" t="s">
        <v>1002</v>
      </c>
      <c r="E533" s="65">
        <f>E532-E523</f>
        <v>-3996530.3057265468</v>
      </c>
      <c r="F533" s="65"/>
    </row>
    <row r="534" spans="1:41" x14ac:dyDescent="0.2">
      <c r="A534" s="2" t="s">
        <v>76</v>
      </c>
      <c r="D534" s="3" t="s">
        <v>1003</v>
      </c>
      <c r="E534" s="198">
        <f>E533-E396</f>
        <v>-5.5879354476928711E-9</v>
      </c>
      <c r="F534" s="65"/>
      <c r="G534" s="65"/>
      <c r="H534" s="65"/>
      <c r="I534" s="65"/>
      <c r="J534" s="65"/>
      <c r="K534" s="65"/>
    </row>
    <row r="536" spans="1:41" x14ac:dyDescent="0.2">
      <c r="A536" s="3" t="s">
        <v>865</v>
      </c>
      <c r="E536" s="65">
        <f t="shared" ref="E536:R536" si="280">E85</f>
        <v>0</v>
      </c>
      <c r="F536" s="65">
        <f t="shared" si="280"/>
        <v>0</v>
      </c>
      <c r="G536" s="65">
        <f t="shared" si="280"/>
        <v>0</v>
      </c>
      <c r="H536" s="65">
        <f t="shared" si="280"/>
        <v>0</v>
      </c>
      <c r="I536" s="65">
        <f t="shared" si="280"/>
        <v>0</v>
      </c>
      <c r="J536" s="65">
        <f t="shared" si="280"/>
        <v>0</v>
      </c>
      <c r="K536" s="65">
        <f t="shared" si="280"/>
        <v>0</v>
      </c>
      <c r="L536" s="65">
        <f t="shared" si="280"/>
        <v>0</v>
      </c>
      <c r="M536" s="65">
        <f t="shared" si="280"/>
        <v>0</v>
      </c>
      <c r="N536" s="65">
        <f t="shared" si="280"/>
        <v>0</v>
      </c>
      <c r="O536" s="65">
        <f t="shared" si="280"/>
        <v>0</v>
      </c>
      <c r="P536" s="65">
        <f t="shared" si="280"/>
        <v>0</v>
      </c>
      <c r="Q536" s="65">
        <f t="shared" si="280"/>
        <v>0</v>
      </c>
      <c r="R536" s="65">
        <f t="shared" si="280"/>
        <v>0</v>
      </c>
      <c r="AG536" s="65">
        <f>SUM(F536:AF536)</f>
        <v>0</v>
      </c>
      <c r="AH536" s="12" t="str">
        <f>IF(ABS(E536-AG536)&lt;0.01,"ok","err")</f>
        <v>ok</v>
      </c>
    </row>
    <row r="537" spans="1:41" x14ac:dyDescent="0.2">
      <c r="A537" s="3" t="s">
        <v>866</v>
      </c>
      <c r="E537" s="65">
        <f t="shared" ref="E537:R537" si="281">E86</f>
        <v>0</v>
      </c>
      <c r="F537" s="65">
        <f t="shared" si="281"/>
        <v>0</v>
      </c>
      <c r="G537" s="65">
        <f t="shared" si="281"/>
        <v>0</v>
      </c>
      <c r="H537" s="65">
        <f t="shared" si="281"/>
        <v>0</v>
      </c>
      <c r="I537" s="65">
        <f t="shared" si="281"/>
        <v>0</v>
      </c>
      <c r="J537" s="65">
        <f t="shared" si="281"/>
        <v>0</v>
      </c>
      <c r="K537" s="65">
        <f t="shared" si="281"/>
        <v>0</v>
      </c>
      <c r="L537" s="65">
        <f t="shared" si="281"/>
        <v>0</v>
      </c>
      <c r="M537" s="65">
        <f t="shared" si="281"/>
        <v>0</v>
      </c>
      <c r="N537" s="65">
        <f t="shared" si="281"/>
        <v>0</v>
      </c>
      <c r="O537" s="65">
        <f t="shared" si="281"/>
        <v>0</v>
      </c>
      <c r="P537" s="65">
        <f t="shared" si="281"/>
        <v>0</v>
      </c>
      <c r="Q537" s="65">
        <f t="shared" si="281"/>
        <v>0</v>
      </c>
      <c r="R537" s="65">
        <f t="shared" si="281"/>
        <v>0</v>
      </c>
      <c r="AG537" s="65"/>
      <c r="AH537" s="12"/>
    </row>
    <row r="538" spans="1:41" x14ac:dyDescent="0.2">
      <c r="A538" s="3" t="s">
        <v>863</v>
      </c>
      <c r="E538" s="65">
        <f t="shared" ref="E538:R538" si="282">E90</f>
        <v>0</v>
      </c>
      <c r="F538" s="65">
        <f t="shared" si="282"/>
        <v>0</v>
      </c>
      <c r="G538" s="65">
        <f t="shared" si="282"/>
        <v>0</v>
      </c>
      <c r="H538" s="65">
        <f t="shared" si="282"/>
        <v>0</v>
      </c>
      <c r="I538" s="65">
        <f t="shared" si="282"/>
        <v>0</v>
      </c>
      <c r="J538" s="65">
        <f t="shared" si="282"/>
        <v>0</v>
      </c>
      <c r="K538" s="65">
        <f t="shared" si="282"/>
        <v>0</v>
      </c>
      <c r="L538" s="65">
        <f t="shared" si="282"/>
        <v>0</v>
      </c>
      <c r="M538" s="65">
        <f t="shared" si="282"/>
        <v>0</v>
      </c>
      <c r="N538" s="65">
        <f t="shared" si="282"/>
        <v>0</v>
      </c>
      <c r="O538" s="65">
        <f t="shared" si="282"/>
        <v>0</v>
      </c>
      <c r="P538" s="65">
        <f t="shared" si="282"/>
        <v>0</v>
      </c>
      <c r="Q538" s="65">
        <f t="shared" si="282"/>
        <v>0</v>
      </c>
      <c r="R538" s="65">
        <f t="shared" si="282"/>
        <v>0</v>
      </c>
      <c r="AG538" s="65">
        <f>SUM(F538:AF538)</f>
        <v>0</v>
      </c>
      <c r="AH538" s="12" t="str">
        <f>IF(ABS(E538-AG538)&lt;0.01,"ok","err")</f>
        <v>ok</v>
      </c>
    </row>
    <row r="539" spans="1:41" x14ac:dyDescent="0.2">
      <c r="A539" s="3" t="s">
        <v>647</v>
      </c>
      <c r="E539" s="65">
        <f t="shared" ref="E539:AF539" si="283">E93+E96+E101</f>
        <v>15953971.874377763</v>
      </c>
      <c r="F539" s="65">
        <f t="shared" si="283"/>
        <v>11467943.181975316</v>
      </c>
      <c r="G539" s="65">
        <f t="shared" si="283"/>
        <v>421418.61222391023</v>
      </c>
      <c r="H539" s="65">
        <f t="shared" si="283"/>
        <v>1773499.712123892</v>
      </c>
      <c r="I539" s="65">
        <f t="shared" si="283"/>
        <v>850928.09359259543</v>
      </c>
      <c r="J539" s="65">
        <f t="shared" si="283"/>
        <v>302448.5350782522</v>
      </c>
      <c r="K539" s="65">
        <f t="shared" si="283"/>
        <v>1137733.7393837972</v>
      </c>
      <c r="L539" s="65">
        <f t="shared" si="283"/>
        <v>0</v>
      </c>
      <c r="M539" s="65">
        <f t="shared" si="283"/>
        <v>0</v>
      </c>
      <c r="N539" s="65">
        <f t="shared" si="283"/>
        <v>0</v>
      </c>
      <c r="O539" s="65">
        <f t="shared" si="283"/>
        <v>0</v>
      </c>
      <c r="P539" s="65">
        <f t="shared" si="283"/>
        <v>0</v>
      </c>
      <c r="Q539" s="65">
        <f t="shared" si="283"/>
        <v>0</v>
      </c>
      <c r="R539" s="65">
        <f t="shared" si="283"/>
        <v>0</v>
      </c>
      <c r="S539" s="87">
        <f t="shared" si="283"/>
        <v>0</v>
      </c>
      <c r="T539" s="87">
        <f t="shared" si="283"/>
        <v>0</v>
      </c>
      <c r="U539" s="87">
        <f t="shared" si="283"/>
        <v>0</v>
      </c>
      <c r="V539" s="87">
        <f t="shared" si="283"/>
        <v>0</v>
      </c>
      <c r="W539" s="87">
        <f t="shared" si="283"/>
        <v>0</v>
      </c>
      <c r="X539" s="87">
        <f t="shared" si="283"/>
        <v>0</v>
      </c>
      <c r="Y539" s="87">
        <f t="shared" si="283"/>
        <v>0</v>
      </c>
      <c r="Z539" s="87">
        <f t="shared" si="283"/>
        <v>0</v>
      </c>
      <c r="AA539" s="87">
        <f t="shared" si="283"/>
        <v>0</v>
      </c>
      <c r="AB539" s="87">
        <f t="shared" si="283"/>
        <v>0</v>
      </c>
      <c r="AC539" s="87">
        <f t="shared" si="283"/>
        <v>0</v>
      </c>
      <c r="AD539" s="87">
        <f t="shared" si="283"/>
        <v>0</v>
      </c>
      <c r="AE539" s="87">
        <f t="shared" si="283"/>
        <v>0</v>
      </c>
      <c r="AF539" s="87">
        <f t="shared" si="283"/>
        <v>0</v>
      </c>
      <c r="AG539" s="65">
        <f>SUM(F539:AF539)</f>
        <v>15953971.874377761</v>
      </c>
      <c r="AH539" s="12" t="str">
        <f>IF(ABS(E539-AG539)&lt;0.01,"ok","err")</f>
        <v>ok</v>
      </c>
    </row>
    <row r="540" spans="1:41" x14ac:dyDescent="0.2">
      <c r="A540" s="3" t="s">
        <v>648</v>
      </c>
      <c r="E540" s="19">
        <f t="shared" ref="E540:AD540" si="284">E97+E102+E106+E109+E112+E115</f>
        <v>19443274.258026086</v>
      </c>
      <c r="F540" s="19">
        <f t="shared" si="284"/>
        <v>15487253.562435579</v>
      </c>
      <c r="G540" s="19">
        <f t="shared" si="284"/>
        <v>1166751.0374840056</v>
      </c>
      <c r="H540" s="19">
        <f t="shared" si="284"/>
        <v>325612.22367963282</v>
      </c>
      <c r="I540" s="19">
        <f t="shared" si="284"/>
        <v>74048.368095073456</v>
      </c>
      <c r="J540" s="19">
        <f t="shared" si="284"/>
        <v>1466.0041280955777</v>
      </c>
      <c r="K540" s="19">
        <f t="shared" si="284"/>
        <v>2388143.0622037007</v>
      </c>
      <c r="L540" s="19">
        <f t="shared" si="284"/>
        <v>0</v>
      </c>
      <c r="M540" s="19">
        <f t="shared" si="284"/>
        <v>0</v>
      </c>
      <c r="N540" s="19">
        <f t="shared" si="284"/>
        <v>0</v>
      </c>
      <c r="O540" s="19">
        <f t="shared" si="284"/>
        <v>0</v>
      </c>
      <c r="P540" s="19">
        <f t="shared" si="284"/>
        <v>0</v>
      </c>
      <c r="Q540" s="19">
        <f t="shared" si="284"/>
        <v>0</v>
      </c>
      <c r="R540" s="19">
        <f t="shared" si="284"/>
        <v>0</v>
      </c>
      <c r="S540" s="80">
        <f t="shared" si="284"/>
        <v>0</v>
      </c>
      <c r="T540" s="80">
        <f t="shared" si="284"/>
        <v>0</v>
      </c>
      <c r="U540" s="80">
        <f t="shared" si="284"/>
        <v>0</v>
      </c>
      <c r="V540" s="80">
        <f t="shared" si="284"/>
        <v>0</v>
      </c>
      <c r="W540" s="80">
        <f t="shared" si="284"/>
        <v>0</v>
      </c>
      <c r="X540" s="80">
        <f t="shared" si="284"/>
        <v>0</v>
      </c>
      <c r="Y540" s="80">
        <f t="shared" si="284"/>
        <v>0</v>
      </c>
      <c r="Z540" s="80">
        <f t="shared" si="284"/>
        <v>0</v>
      </c>
      <c r="AA540" s="80">
        <f t="shared" si="284"/>
        <v>0</v>
      </c>
      <c r="AB540" s="80">
        <f t="shared" si="284"/>
        <v>0</v>
      </c>
      <c r="AC540" s="80">
        <f t="shared" si="284"/>
        <v>0</v>
      </c>
      <c r="AD540" s="80">
        <f t="shared" si="284"/>
        <v>0</v>
      </c>
      <c r="AE540" s="80"/>
      <c r="AF540" s="80">
        <f>AF97+AF102+AF106+AF109+AF112+AF115</f>
        <v>0</v>
      </c>
      <c r="AG540" s="65">
        <f>SUM(F540:AF540)</f>
        <v>19443274.258026086</v>
      </c>
      <c r="AH540" s="12" t="str">
        <f>IF(ABS(E540-AG540)&lt;0.01,"ok","err")</f>
        <v>ok</v>
      </c>
    </row>
    <row r="541" spans="1:41" x14ac:dyDescent="0.2">
      <c r="A541" s="3" t="s">
        <v>0</v>
      </c>
      <c r="E541" s="84">
        <f>SUM(E536:E540)</f>
        <v>35397246.132403851</v>
      </c>
      <c r="F541" s="84">
        <f t="shared" ref="F541:R541" si="285">SUM(F536:F540)</f>
        <v>26955196.744410895</v>
      </c>
      <c r="G541" s="84">
        <f t="shared" si="285"/>
        <v>1588169.6497079157</v>
      </c>
      <c r="H541" s="84">
        <f t="shared" si="285"/>
        <v>2099111.9358035247</v>
      </c>
      <c r="I541" s="84">
        <f t="shared" si="285"/>
        <v>924976.46168766893</v>
      </c>
      <c r="J541" s="84">
        <f t="shared" si="285"/>
        <v>303914.53920634778</v>
      </c>
      <c r="K541" s="84">
        <f t="shared" si="285"/>
        <v>3525876.8015874978</v>
      </c>
      <c r="L541" s="84">
        <f t="shared" si="285"/>
        <v>0</v>
      </c>
      <c r="M541" s="84">
        <f t="shared" si="285"/>
        <v>0</v>
      </c>
      <c r="N541" s="84">
        <f t="shared" si="285"/>
        <v>0</v>
      </c>
      <c r="O541" s="84">
        <f t="shared" si="285"/>
        <v>0</v>
      </c>
      <c r="P541" s="84">
        <f t="shared" si="285"/>
        <v>0</v>
      </c>
      <c r="Q541" s="84">
        <f t="shared" si="285"/>
        <v>0</v>
      </c>
      <c r="R541" s="84">
        <f t="shared" si="285"/>
        <v>0</v>
      </c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  <c r="AF541" s="108"/>
      <c r="AG541" s="84">
        <f>SUM(F541:AF541)</f>
        <v>35397246.132403851</v>
      </c>
      <c r="AH541" s="12" t="str">
        <f>IF(ABS(E541-AG541)&lt;0.01,"ok","err")</f>
        <v>ok</v>
      </c>
    </row>
    <row r="543" spans="1:41" x14ac:dyDescent="0.2"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K543" s="24"/>
    </row>
    <row r="544" spans="1:41" x14ac:dyDescent="0.2">
      <c r="A544" s="2" t="s">
        <v>732</v>
      </c>
      <c r="C544" s="179">
        <v>3.8359984415764992E-2</v>
      </c>
      <c r="R544" s="20"/>
    </row>
    <row r="545" spans="1:37" x14ac:dyDescent="0.2">
      <c r="A545" s="3" t="s">
        <v>865</v>
      </c>
      <c r="E545" s="65">
        <f>E527+(E536*$C$544)</f>
        <v>5014334.2</v>
      </c>
      <c r="F545" s="65">
        <f t="shared" ref="F545:R545" si="286">F527+(F536*$C$544)</f>
        <v>3931613.7192797298</v>
      </c>
      <c r="G545" s="65">
        <f t="shared" si="286"/>
        <v>253469.3594818018</v>
      </c>
      <c r="H545" s="65">
        <f t="shared" si="286"/>
        <v>517474.33073134517</v>
      </c>
      <c r="I545" s="65">
        <f t="shared" si="286"/>
        <v>82479.73045683997</v>
      </c>
      <c r="J545" s="65">
        <f t="shared" si="286"/>
        <v>178337.00000000003</v>
      </c>
      <c r="K545" s="65">
        <f t="shared" si="286"/>
        <v>50960.060050283086</v>
      </c>
      <c r="L545" s="65">
        <f t="shared" si="286"/>
        <v>0</v>
      </c>
      <c r="M545" s="65">
        <f t="shared" si="286"/>
        <v>0</v>
      </c>
      <c r="N545" s="65">
        <f t="shared" si="286"/>
        <v>0</v>
      </c>
      <c r="O545" s="65">
        <f t="shared" si="286"/>
        <v>0</v>
      </c>
      <c r="P545" s="65">
        <f t="shared" si="286"/>
        <v>0</v>
      </c>
      <c r="Q545" s="65">
        <f t="shared" si="286"/>
        <v>0</v>
      </c>
      <c r="R545" s="65">
        <f t="shared" si="286"/>
        <v>0</v>
      </c>
      <c r="S545" s="73">
        <f>S527</f>
        <v>0</v>
      </c>
    </row>
    <row r="546" spans="1:37" x14ac:dyDescent="0.2">
      <c r="A546" s="3" t="s">
        <v>866</v>
      </c>
      <c r="E546" s="65">
        <f>E528+(E537*$C$544)</f>
        <v>8179977.8499999987</v>
      </c>
      <c r="F546" s="65">
        <f t="shared" ref="F546:R546" si="287">F528+(F537*$C$544)</f>
        <v>5919101.0996667622</v>
      </c>
      <c r="G546" s="65">
        <f t="shared" si="287"/>
        <v>331386.55172757839</v>
      </c>
      <c r="H546" s="65">
        <f t="shared" si="287"/>
        <v>1006526.1846979315</v>
      </c>
      <c r="I546" s="65">
        <f t="shared" si="287"/>
        <v>478234.74131891673</v>
      </c>
      <c r="J546" s="65">
        <f t="shared" si="287"/>
        <v>210379.23390977411</v>
      </c>
      <c r="K546" s="65">
        <f t="shared" si="287"/>
        <v>234350.03867903657</v>
      </c>
      <c r="L546" s="65">
        <f t="shared" si="287"/>
        <v>0</v>
      </c>
      <c r="M546" s="65">
        <f t="shared" si="287"/>
        <v>0</v>
      </c>
      <c r="N546" s="65">
        <f t="shared" si="287"/>
        <v>0</v>
      </c>
      <c r="O546" s="65">
        <f t="shared" si="287"/>
        <v>0</v>
      </c>
      <c r="P546" s="65">
        <f t="shared" si="287"/>
        <v>0</v>
      </c>
      <c r="Q546" s="65">
        <f t="shared" si="287"/>
        <v>0</v>
      </c>
      <c r="R546" s="65">
        <f t="shared" si="287"/>
        <v>0</v>
      </c>
      <c r="S546" s="73">
        <f>S528</f>
        <v>0</v>
      </c>
    </row>
    <row r="547" spans="1:37" x14ac:dyDescent="0.2">
      <c r="A547" s="3" t="s">
        <v>863</v>
      </c>
      <c r="E547" s="65">
        <f>E529+(E538*$C$544)</f>
        <v>0</v>
      </c>
      <c r="F547" s="65">
        <f t="shared" ref="F547:R547" si="288">F529+(F538*$C$544)</f>
        <v>0</v>
      </c>
      <c r="G547" s="65">
        <f t="shared" si="288"/>
        <v>0</v>
      </c>
      <c r="H547" s="65">
        <f t="shared" si="288"/>
        <v>0</v>
      </c>
      <c r="I547" s="65">
        <f t="shared" si="288"/>
        <v>0</v>
      </c>
      <c r="J547" s="65">
        <f t="shared" si="288"/>
        <v>0</v>
      </c>
      <c r="K547" s="65">
        <f t="shared" si="288"/>
        <v>0</v>
      </c>
      <c r="L547" s="65">
        <f t="shared" si="288"/>
        <v>0</v>
      </c>
      <c r="M547" s="65">
        <f t="shared" si="288"/>
        <v>0</v>
      </c>
      <c r="N547" s="65">
        <f t="shared" si="288"/>
        <v>0</v>
      </c>
      <c r="O547" s="65">
        <f t="shared" si="288"/>
        <v>0</v>
      </c>
      <c r="P547" s="65">
        <f t="shared" si="288"/>
        <v>0</v>
      </c>
      <c r="Q547" s="65">
        <f t="shared" si="288"/>
        <v>0</v>
      </c>
      <c r="R547" s="65">
        <f t="shared" si="288"/>
        <v>0</v>
      </c>
    </row>
    <row r="548" spans="1:37" x14ac:dyDescent="0.2">
      <c r="A548" s="3" t="s">
        <v>647</v>
      </c>
      <c r="E548" s="65">
        <f>E530+(E539*$C$544)</f>
        <v>4339292.8151409449</v>
      </c>
      <c r="F548" s="65">
        <f t="shared" ref="F548:R548" si="289">F530+(F539*$C$544)</f>
        <v>3115285.7523984592</v>
      </c>
      <c r="G548" s="65">
        <f t="shared" si="289"/>
        <v>113227.09419672395</v>
      </c>
      <c r="H548" s="65">
        <f t="shared" si="289"/>
        <v>483817.03113027167</v>
      </c>
      <c r="I548" s="65">
        <f t="shared" si="289"/>
        <v>233510.16388994444</v>
      </c>
      <c r="J548" s="65">
        <f t="shared" si="289"/>
        <v>82364.670225336464</v>
      </c>
      <c r="K548" s="65">
        <f t="shared" si="289"/>
        <v>311088.10330020863</v>
      </c>
      <c r="L548" s="65">
        <f t="shared" si="289"/>
        <v>0</v>
      </c>
      <c r="M548" s="65">
        <f t="shared" si="289"/>
        <v>0</v>
      </c>
      <c r="N548" s="65">
        <f t="shared" si="289"/>
        <v>0</v>
      </c>
      <c r="O548" s="65">
        <f t="shared" si="289"/>
        <v>0</v>
      </c>
      <c r="P548" s="65">
        <f t="shared" si="289"/>
        <v>0</v>
      </c>
      <c r="Q548" s="65">
        <f t="shared" si="289"/>
        <v>0</v>
      </c>
      <c r="R548" s="65">
        <f t="shared" si="289"/>
        <v>0</v>
      </c>
      <c r="S548" s="73">
        <f>S530+(S540*$C$544)</f>
        <v>0</v>
      </c>
    </row>
    <row r="549" spans="1:37" x14ac:dyDescent="0.2">
      <c r="A549" s="3" t="s">
        <v>648</v>
      </c>
      <c r="E549" s="65">
        <f>E531+(E540*$C$544)</f>
        <v>6957332.6791325249</v>
      </c>
      <c r="F549" s="65">
        <f t="shared" ref="F549:R549" si="290">F531+(F540*$C$544)</f>
        <v>5932571.1745120538</v>
      </c>
      <c r="G549" s="65">
        <f t="shared" si="290"/>
        <v>435157.34224664484</v>
      </c>
      <c r="H549" s="65">
        <f t="shared" si="290"/>
        <v>162794.03865650765</v>
      </c>
      <c r="I549" s="65">
        <f t="shared" si="290"/>
        <v>37501.672296277946</v>
      </c>
      <c r="J549" s="65">
        <f t="shared" si="290"/>
        <v>8600.3514859697389</v>
      </c>
      <c r="K549" s="65">
        <f t="shared" si="290"/>
        <v>380708.09993507154</v>
      </c>
      <c r="L549" s="65">
        <f t="shared" si="290"/>
        <v>0</v>
      </c>
      <c r="M549" s="65">
        <f t="shared" si="290"/>
        <v>0</v>
      </c>
      <c r="N549" s="65">
        <f t="shared" si="290"/>
        <v>0</v>
      </c>
      <c r="O549" s="65">
        <f t="shared" si="290"/>
        <v>0</v>
      </c>
      <c r="P549" s="65">
        <f t="shared" si="290"/>
        <v>0</v>
      </c>
      <c r="Q549" s="65">
        <f t="shared" si="290"/>
        <v>0</v>
      </c>
      <c r="R549" s="65">
        <f t="shared" si="290"/>
        <v>0</v>
      </c>
      <c r="S549" s="73">
        <f>S531+(S541*$C$544)</f>
        <v>0</v>
      </c>
    </row>
    <row r="550" spans="1:37" x14ac:dyDescent="0.2">
      <c r="A550" s="3" t="s">
        <v>0</v>
      </c>
      <c r="C550" s="7"/>
      <c r="E550" s="84">
        <f>SUM(E545:E549)</f>
        <v>24490937.54427347</v>
      </c>
      <c r="F550" s="84">
        <f t="shared" ref="F550:R550" si="291">SUM(F545:F549)</f>
        <v>18898571.745857004</v>
      </c>
      <c r="G550" s="84">
        <f t="shared" si="291"/>
        <v>1133240.3476527492</v>
      </c>
      <c r="H550" s="84">
        <f t="shared" si="291"/>
        <v>2170611.5852160561</v>
      </c>
      <c r="I550" s="84">
        <f t="shared" si="291"/>
        <v>831726.30796197907</v>
      </c>
      <c r="J550" s="84">
        <f t="shared" si="291"/>
        <v>479681.25562108029</v>
      </c>
      <c r="K550" s="84">
        <f t="shared" si="291"/>
        <v>977106.30196459987</v>
      </c>
      <c r="L550" s="84">
        <f t="shared" si="291"/>
        <v>0</v>
      </c>
      <c r="M550" s="84">
        <f t="shared" si="291"/>
        <v>0</v>
      </c>
      <c r="N550" s="84">
        <f t="shared" si="291"/>
        <v>0</v>
      </c>
      <c r="O550" s="84">
        <f t="shared" si="291"/>
        <v>0</v>
      </c>
      <c r="P550" s="84">
        <f t="shared" si="291"/>
        <v>0</v>
      </c>
      <c r="Q550" s="84">
        <f t="shared" si="291"/>
        <v>0</v>
      </c>
      <c r="R550" s="84">
        <f t="shared" si="291"/>
        <v>0</v>
      </c>
      <c r="S550" s="73">
        <f>SUM(S545:S549)</f>
        <v>0</v>
      </c>
    </row>
    <row r="551" spans="1:37" ht="15" x14ac:dyDescent="0.25">
      <c r="C551" s="65">
        <v>24490937.544273466</v>
      </c>
      <c r="D551" s="1" t="s">
        <v>993</v>
      </c>
      <c r="E551" s="171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K551" s="24"/>
    </row>
    <row r="552" spans="1:37" ht="15" x14ac:dyDescent="0.25">
      <c r="C552" s="65">
        <f>C551-E550</f>
        <v>0</v>
      </c>
      <c r="D552" s="1" t="s">
        <v>994</v>
      </c>
      <c r="E552" s="65"/>
    </row>
    <row r="553" spans="1:37" x14ac:dyDescent="0.2">
      <c r="E553" s="65"/>
    </row>
    <row r="554" spans="1:37" x14ac:dyDescent="0.2">
      <c r="A554" s="2" t="s">
        <v>649</v>
      </c>
    </row>
    <row r="556" spans="1:37" x14ac:dyDescent="0.2">
      <c r="A556" s="3" t="s">
        <v>975</v>
      </c>
      <c r="F556" s="72">
        <f t="shared" ref="F556:H559" si="292">F527/F$436</f>
        <v>2.7520164818583239E-2</v>
      </c>
      <c r="G556" s="8">
        <f>G527/G$451</f>
        <v>6.4442759621921013</v>
      </c>
      <c r="H556" s="8">
        <f>H527/H$451</f>
        <v>6.4695203665122785</v>
      </c>
      <c r="I556" s="8">
        <f>I527/I$451</f>
        <v>2.06762009761179</v>
      </c>
      <c r="J556" s="8">
        <f>J527/J$451</f>
        <v>13.13422930358988</v>
      </c>
      <c r="K556" s="8">
        <f>K527/K$451</f>
        <v>0.97812721355307841</v>
      </c>
      <c r="M556" s="72" t="e">
        <f>M527/M$436</f>
        <v>#DIV/0!</v>
      </c>
      <c r="N556" s="17" t="e">
        <f>N527/N$436</f>
        <v>#DIV/0!</v>
      </c>
      <c r="O556" s="17" t="e">
        <f>O527/O$436</f>
        <v>#DIV/0!</v>
      </c>
      <c r="P556" s="17" t="e">
        <f>P527/P$436</f>
        <v>#DIV/0!</v>
      </c>
      <c r="Q556" s="17" t="e">
        <f>Q527/Q$436</f>
        <v>#DIV/0!</v>
      </c>
      <c r="R556" s="8" t="e">
        <f>R527/R$451</f>
        <v>#DIV/0!</v>
      </c>
      <c r="S556" s="106" t="e">
        <f>S527/S$436</f>
        <v>#DIV/0!</v>
      </c>
      <c r="T556" s="106">
        <f>T518/1251.6</f>
        <v>0</v>
      </c>
      <c r="U556" s="106" t="e">
        <f>U518/U439</f>
        <v>#DIV/0!</v>
      </c>
      <c r="V556" s="106" t="e">
        <f>V518/V439</f>
        <v>#DIV/0!</v>
      </c>
      <c r="W556" s="106" t="e">
        <f>W518/W439</f>
        <v>#DIV/0!</v>
      </c>
      <c r="X556" s="102" t="e">
        <f>X518/X436</f>
        <v>#DIV/0!</v>
      </c>
      <c r="Y556" s="106" t="e">
        <f>Y518/Y439</f>
        <v>#DIV/0!</v>
      </c>
      <c r="Z556" s="109">
        <f>Z518/3624.9</f>
        <v>0</v>
      </c>
      <c r="AA556" s="110">
        <f>AA518/9725.8</f>
        <v>0</v>
      </c>
      <c r="AB556" s="110">
        <f>AB518/12443</f>
        <v>0</v>
      </c>
      <c r="AC556" s="110">
        <f>AC518/9726</f>
        <v>0</v>
      </c>
      <c r="AD556" s="110">
        <f>AD518/10680</f>
        <v>0</v>
      </c>
      <c r="AE556" s="110"/>
      <c r="AF556" s="110"/>
    </row>
    <row r="557" spans="1:37" x14ac:dyDescent="0.2">
      <c r="A557" s="3" t="s">
        <v>867</v>
      </c>
      <c r="F557" s="72">
        <f t="shared" si="292"/>
        <v>4.1432004635116808E-2</v>
      </c>
      <c r="G557" s="17">
        <f t="shared" si="292"/>
        <v>3.8964773278202532E-2</v>
      </c>
      <c r="H557" s="17">
        <f t="shared" si="292"/>
        <v>4.4135399264917254E-2</v>
      </c>
      <c r="I557" s="17">
        <f t="shared" ref="I557:S557" si="293">I528/I$436</f>
        <v>4.552024097884412E-2</v>
      </c>
      <c r="J557" s="17">
        <f t="shared" ref="J557:K557" si="294">J528/J$436</f>
        <v>3.1034878431252449E-2</v>
      </c>
      <c r="K557" s="17">
        <f t="shared" si="294"/>
        <v>6.4618695626013078E-2</v>
      </c>
      <c r="M557" s="72" t="e">
        <f>M528/M$436</f>
        <v>#DIV/0!</v>
      </c>
      <c r="N557" s="17" t="e">
        <f t="shared" si="293"/>
        <v>#DIV/0!</v>
      </c>
      <c r="O557" s="17" t="e">
        <f t="shared" si="293"/>
        <v>#DIV/0!</v>
      </c>
      <c r="P557" s="17" t="e">
        <f t="shared" si="293"/>
        <v>#DIV/0!</v>
      </c>
      <c r="Q557" s="17" t="e">
        <f t="shared" si="293"/>
        <v>#DIV/0!</v>
      </c>
      <c r="R557" s="17" t="e">
        <f t="shared" si="293"/>
        <v>#DIV/0!</v>
      </c>
      <c r="S557" s="106" t="e">
        <f t="shared" si="293"/>
        <v>#DIV/0!</v>
      </c>
      <c r="T557" s="106" t="e">
        <f>T519/T$436</f>
        <v>#DIV/0!</v>
      </c>
      <c r="U557" s="106" t="e">
        <f>U519/U$439</f>
        <v>#DIV/0!</v>
      </c>
      <c r="V557" s="106" t="e">
        <f>V519/V$439</f>
        <v>#DIV/0!</v>
      </c>
      <c r="W557" s="106" t="e">
        <f>W519/W$439</f>
        <v>#DIV/0!</v>
      </c>
      <c r="X557" s="102" t="e">
        <f>X519/X$436</f>
        <v>#DIV/0!</v>
      </c>
      <c r="Y557" s="106" t="e">
        <f>Y519/Y$439</f>
        <v>#DIV/0!</v>
      </c>
      <c r="Z557" s="73" t="e">
        <f>Z519/Z$436</f>
        <v>#DIV/0!</v>
      </c>
      <c r="AA557" s="73" t="e">
        <f>AA519/AA$436</f>
        <v>#DIV/0!</v>
      </c>
      <c r="AB557" s="73" t="e">
        <f>AB519/AB$436</f>
        <v>#DIV/0!</v>
      </c>
      <c r="AC557" s="73" t="e">
        <f>AC519/AC$436</f>
        <v>#DIV/0!</v>
      </c>
      <c r="AD557" s="73" t="e">
        <f>AD519/AD$436</f>
        <v>#DIV/0!</v>
      </c>
    </row>
    <row r="558" spans="1:37" x14ac:dyDescent="0.2">
      <c r="A558" s="3" t="s">
        <v>976</v>
      </c>
      <c r="F558" s="72">
        <f t="shared" si="292"/>
        <v>0</v>
      </c>
      <c r="G558" s="22">
        <f t="shared" ref="G558:I559" si="295">G529/G$451</f>
        <v>0</v>
      </c>
      <c r="H558" s="22">
        <f t="shared" ref="H558" si="296">H529/H$451</f>
        <v>0</v>
      </c>
      <c r="I558" s="22">
        <f t="shared" si="295"/>
        <v>0</v>
      </c>
      <c r="J558" s="22">
        <f t="shared" ref="J558:K558" si="297">J529/J$451</f>
        <v>0</v>
      </c>
      <c r="K558" s="22">
        <f t="shared" si="297"/>
        <v>0</v>
      </c>
      <c r="M558" s="72" t="e">
        <f>M529/M$436</f>
        <v>#DIV/0!</v>
      </c>
      <c r="N558" s="72" t="e">
        <f t="shared" ref="N558:Q558" si="298">N529/N$436</f>
        <v>#DIV/0!</v>
      </c>
      <c r="O558" s="72" t="e">
        <f t="shared" si="298"/>
        <v>#DIV/0!</v>
      </c>
      <c r="P558" s="72" t="e">
        <f t="shared" si="298"/>
        <v>#DIV/0!</v>
      </c>
      <c r="Q558" s="72" t="e">
        <f t="shared" si="298"/>
        <v>#DIV/0!</v>
      </c>
      <c r="R558" s="22" t="e">
        <f>R529/R$451</f>
        <v>#DIV/0!</v>
      </c>
      <c r="S558" s="106"/>
      <c r="T558" s="106"/>
      <c r="U558" s="106"/>
      <c r="V558" s="106"/>
      <c r="W558" s="106"/>
      <c r="X558" s="102"/>
      <c r="Y558" s="106"/>
    </row>
    <row r="559" spans="1:37" x14ac:dyDescent="0.2">
      <c r="A559" s="3" t="s">
        <v>977</v>
      </c>
      <c r="F559" s="72">
        <f t="shared" si="292"/>
        <v>1.8726859647033266E-2</v>
      </c>
      <c r="G559" s="8">
        <f t="shared" si="295"/>
        <v>2.4677183141071866</v>
      </c>
      <c r="H559" s="8">
        <f t="shared" ref="H559" si="299">H530/H$451</f>
        <v>5.1981969172822939</v>
      </c>
      <c r="I559" s="8">
        <f t="shared" si="295"/>
        <v>5.0354178092285737</v>
      </c>
      <c r="J559" s="8">
        <f t="shared" ref="J559:K559" si="300">J530/J$451</f>
        <v>5.2115611077195352</v>
      </c>
      <c r="K559" s="8">
        <f t="shared" si="300"/>
        <v>5.13333176431669</v>
      </c>
      <c r="M559" s="72" t="e">
        <f>M530/M$436</f>
        <v>#DIV/0!</v>
      </c>
      <c r="N559" s="17" t="e">
        <f>N530/N$436</f>
        <v>#DIV/0!</v>
      </c>
      <c r="O559" s="17" t="e">
        <f>O530/O$436</f>
        <v>#DIV/0!</v>
      </c>
      <c r="P559" s="17" t="e">
        <f>P530/P$436</f>
        <v>#DIV/0!</v>
      </c>
      <c r="Q559" s="17" t="e">
        <f>Q530/Q$436</f>
        <v>#DIV/0!</v>
      </c>
      <c r="R559" s="8" t="e">
        <f>R530/R$451</f>
        <v>#DIV/0!</v>
      </c>
      <c r="S559" s="106" t="e">
        <f>S530/S$436</f>
        <v>#DIV/0!</v>
      </c>
      <c r="T559" s="106">
        <f>T521/1251.6</f>
        <v>0</v>
      </c>
      <c r="U559" s="106" t="e">
        <f>U521/U439</f>
        <v>#DIV/0!</v>
      </c>
      <c r="V559" s="106" t="e">
        <f>V521/V439</f>
        <v>#DIV/0!</v>
      </c>
      <c r="W559" s="106" t="e">
        <f>W521/W439</f>
        <v>#DIV/0!</v>
      </c>
      <c r="X559" s="102" t="e">
        <f>X521/X436</f>
        <v>#DIV/0!</v>
      </c>
      <c r="Y559" s="106" t="e">
        <f>Y521/Y439</f>
        <v>#DIV/0!</v>
      </c>
      <c r="Z559" s="109">
        <f>Z521/12877</f>
        <v>0</v>
      </c>
      <c r="AA559" s="110">
        <f>AA521/11922</f>
        <v>0</v>
      </c>
      <c r="AB559" s="110">
        <f>AB521/14745</f>
        <v>0</v>
      </c>
      <c r="AC559" s="110">
        <f>AC521/10526</f>
        <v>0</v>
      </c>
      <c r="AD559" s="110">
        <f>AD521/11459</f>
        <v>0</v>
      </c>
      <c r="AE559" s="110"/>
      <c r="AF559" s="110"/>
    </row>
    <row r="560" spans="1:37" s="8" customFormat="1" x14ac:dyDescent="0.2">
      <c r="A560" s="8" t="s">
        <v>868</v>
      </c>
      <c r="D560" s="22"/>
      <c r="F560" s="22">
        <f t="shared" ref="F560:S560" si="301">F531/F439</f>
        <v>38.372378177684674</v>
      </c>
      <c r="G560" s="8">
        <f t="shared" ref="G560:H560" si="302">G531/G439</f>
        <v>37.248429599435241</v>
      </c>
      <c r="H560" s="8">
        <f t="shared" si="302"/>
        <v>78.160977030979907</v>
      </c>
      <c r="I560" s="8">
        <f t="shared" si="301"/>
        <v>339.81547107978531</v>
      </c>
      <c r="J560" s="8">
        <f t="shared" ref="J560:K560" si="303">J531/J439</f>
        <v>712.00963253854536</v>
      </c>
      <c r="K560" s="8">
        <f t="shared" si="303"/>
        <v>717.36716944496345</v>
      </c>
      <c r="L560" s="3"/>
      <c r="M560" s="22" t="e">
        <f t="shared" ref="M560" si="304">M531/M439</f>
        <v>#DIV/0!</v>
      </c>
      <c r="N560" s="8" t="e">
        <f t="shared" si="301"/>
        <v>#DIV/0!</v>
      </c>
      <c r="O560" s="8" t="e">
        <f t="shared" si="301"/>
        <v>#DIV/0!</v>
      </c>
      <c r="P560" s="8" t="e">
        <f t="shared" si="301"/>
        <v>#DIV/0!</v>
      </c>
      <c r="Q560" s="8" t="e">
        <f t="shared" si="301"/>
        <v>#DIV/0!</v>
      </c>
      <c r="R560" s="8" t="e">
        <f t="shared" si="301"/>
        <v>#DIV/0!</v>
      </c>
      <c r="S560" s="106" t="e">
        <f t="shared" si="301"/>
        <v>#DIV/0!</v>
      </c>
      <c r="T560" s="106" t="e">
        <f t="shared" ref="T560:AD560" si="305">T522/T439</f>
        <v>#DIV/0!</v>
      </c>
      <c r="U560" s="106" t="e">
        <f t="shared" si="305"/>
        <v>#DIV/0!</v>
      </c>
      <c r="V560" s="106" t="e">
        <f t="shared" si="305"/>
        <v>#DIV/0!</v>
      </c>
      <c r="W560" s="106" t="e">
        <f t="shared" si="305"/>
        <v>#DIV/0!</v>
      </c>
      <c r="X560" s="106" t="e">
        <f t="shared" si="305"/>
        <v>#DIV/0!</v>
      </c>
      <c r="Y560" s="106" t="e">
        <f t="shared" si="305"/>
        <v>#DIV/0!</v>
      </c>
      <c r="Z560" s="106" t="e">
        <f t="shared" si="305"/>
        <v>#DIV/0!</v>
      </c>
      <c r="AA560" s="106" t="e">
        <f t="shared" si="305"/>
        <v>#DIV/0!</v>
      </c>
      <c r="AB560" s="106" t="e">
        <f t="shared" si="305"/>
        <v>#DIV/0!</v>
      </c>
      <c r="AC560" s="106" t="e">
        <f t="shared" si="305"/>
        <v>#DIV/0!</v>
      </c>
      <c r="AD560" s="106" t="e">
        <f t="shared" si="305"/>
        <v>#DIV/0!</v>
      </c>
      <c r="AE560" s="106"/>
      <c r="AF560" s="106"/>
    </row>
    <row r="563" spans="1:37" x14ac:dyDescent="0.2">
      <c r="A563" s="2" t="s">
        <v>650</v>
      </c>
    </row>
    <row r="564" spans="1:37" x14ac:dyDescent="0.2">
      <c r="A564" s="2"/>
    </row>
    <row r="565" spans="1:37" x14ac:dyDescent="0.2">
      <c r="A565" s="3" t="s">
        <v>975</v>
      </c>
      <c r="F565" s="72">
        <f t="shared" ref="F565:F568" si="306">F536/F$436</f>
        <v>0</v>
      </c>
      <c r="G565" s="22">
        <f>G536/G$451</f>
        <v>0</v>
      </c>
      <c r="H565" s="22">
        <f>H536/H$451</f>
        <v>0</v>
      </c>
      <c r="I565" s="22">
        <f>I536/I$451</f>
        <v>0</v>
      </c>
      <c r="J565" s="22">
        <f>J536/J$451</f>
        <v>0</v>
      </c>
      <c r="K565" s="22">
        <f>K536/K$451</f>
        <v>0</v>
      </c>
      <c r="M565" s="72" t="e">
        <f>M536/M$436</f>
        <v>#DIV/0!</v>
      </c>
      <c r="N565" s="72" t="e">
        <f t="shared" ref="N565:Q565" si="307">N536/N$436</f>
        <v>#DIV/0!</v>
      </c>
      <c r="O565" s="72" t="e">
        <f t="shared" si="307"/>
        <v>#DIV/0!</v>
      </c>
      <c r="P565" s="72" t="e">
        <f t="shared" si="307"/>
        <v>#DIV/0!</v>
      </c>
      <c r="Q565" s="72" t="e">
        <f t="shared" si="307"/>
        <v>#DIV/0!</v>
      </c>
      <c r="R565" s="22" t="e">
        <f>R536/R$451</f>
        <v>#DIV/0!</v>
      </c>
    </row>
    <row r="566" spans="1:37" x14ac:dyDescent="0.2">
      <c r="A566" s="3" t="s">
        <v>867</v>
      </c>
      <c r="F566" s="72">
        <f t="shared" si="306"/>
        <v>0</v>
      </c>
      <c r="G566" s="72">
        <f>G537/G$436</f>
        <v>0</v>
      </c>
      <c r="H566" s="72">
        <f>H537/H$436</f>
        <v>0</v>
      </c>
      <c r="I566" s="72">
        <f>I537/I$436</f>
        <v>0</v>
      </c>
      <c r="J566" s="72">
        <f>J537/J$436</f>
        <v>0</v>
      </c>
      <c r="K566" s="72">
        <f>K537/K$436</f>
        <v>0</v>
      </c>
      <c r="M566" s="72" t="e">
        <f>M537/M$436</f>
        <v>#DIV/0!</v>
      </c>
      <c r="N566" s="72" t="e">
        <f t="shared" ref="N566:Q566" si="308">N537/N$436</f>
        <v>#DIV/0!</v>
      </c>
      <c r="O566" s="72" t="e">
        <f t="shared" si="308"/>
        <v>#DIV/0!</v>
      </c>
      <c r="P566" s="72" t="e">
        <f t="shared" si="308"/>
        <v>#DIV/0!</v>
      </c>
      <c r="Q566" s="72" t="e">
        <f t="shared" si="308"/>
        <v>#DIV/0!</v>
      </c>
      <c r="R566" s="72" t="e">
        <f>R537/R$436</f>
        <v>#DIV/0!</v>
      </c>
    </row>
    <row r="567" spans="1:37" x14ac:dyDescent="0.2">
      <c r="A567" s="3" t="s">
        <v>976</v>
      </c>
      <c r="F567" s="72">
        <f t="shared" si="306"/>
        <v>0</v>
      </c>
      <c r="G567" s="22">
        <f t="shared" ref="G567:I568" si="309">G538/G$451</f>
        <v>0</v>
      </c>
      <c r="H567" s="22">
        <f t="shared" ref="H567" si="310">H538/H$451</f>
        <v>0</v>
      </c>
      <c r="I567" s="22">
        <f t="shared" si="309"/>
        <v>0</v>
      </c>
      <c r="J567" s="22">
        <f t="shared" ref="J567:K567" si="311">J538/J$451</f>
        <v>0</v>
      </c>
      <c r="K567" s="22">
        <f t="shared" si="311"/>
        <v>0</v>
      </c>
      <c r="M567" s="72" t="e">
        <f>M538/M$436</f>
        <v>#DIV/0!</v>
      </c>
      <c r="N567" s="72" t="e">
        <f t="shared" ref="N567:Q567" si="312">N538/N$436</f>
        <v>#DIV/0!</v>
      </c>
      <c r="O567" s="72" t="e">
        <f t="shared" si="312"/>
        <v>#DIV/0!</v>
      </c>
      <c r="P567" s="72" t="e">
        <f t="shared" si="312"/>
        <v>#DIV/0!</v>
      </c>
      <c r="Q567" s="72" t="e">
        <f t="shared" si="312"/>
        <v>#DIV/0!</v>
      </c>
      <c r="R567" s="22" t="e">
        <f>R538/R$451</f>
        <v>#DIV/0!</v>
      </c>
    </row>
    <row r="568" spans="1:37" x14ac:dyDescent="0.2">
      <c r="A568" s="3" t="s">
        <v>977</v>
      </c>
      <c r="F568" s="72">
        <f t="shared" si="306"/>
        <v>8.0272302680825525E-2</v>
      </c>
      <c r="G568" s="22">
        <f t="shared" si="309"/>
        <v>10.714264786588059</v>
      </c>
      <c r="H568" s="22">
        <f t="shared" ref="H568" si="313">H539/H$451</f>
        <v>22.17248629777141</v>
      </c>
      <c r="I568" s="22">
        <f t="shared" si="309"/>
        <v>21.33125336600359</v>
      </c>
      <c r="J568" s="22">
        <f t="shared" ref="J568:K568" si="314">J539/J$451</f>
        <v>22.27484152056282</v>
      </c>
      <c r="K568" s="22">
        <f t="shared" si="314"/>
        <v>21.837657396218393</v>
      </c>
      <c r="M568" s="72" t="e">
        <f>M539/M$436</f>
        <v>#DIV/0!</v>
      </c>
      <c r="N568" s="72" t="e">
        <f t="shared" ref="N568:Q568" si="315">N539/N$436</f>
        <v>#DIV/0!</v>
      </c>
      <c r="O568" s="72" t="e">
        <f t="shared" si="315"/>
        <v>#DIV/0!</v>
      </c>
      <c r="P568" s="72" t="e">
        <f t="shared" si="315"/>
        <v>#DIV/0!</v>
      </c>
      <c r="Q568" s="72" t="e">
        <f t="shared" si="315"/>
        <v>#DIV/0!</v>
      </c>
      <c r="R568" s="22" t="e">
        <f>R539/R$451</f>
        <v>#DIV/0!</v>
      </c>
      <c r="S568" s="106">
        <f>S539/5037.7</f>
        <v>0</v>
      </c>
      <c r="T568" s="106">
        <f>T539/1251.6</f>
        <v>0</v>
      </c>
      <c r="U568" s="106" t="e">
        <f>U539/U439</f>
        <v>#DIV/0!</v>
      </c>
      <c r="V568" s="106" t="e">
        <f>V539/V439</f>
        <v>#DIV/0!</v>
      </c>
      <c r="W568" s="106" t="e">
        <f>W539/W439</f>
        <v>#DIV/0!</v>
      </c>
      <c r="X568" s="106" t="e">
        <f>X539/X439</f>
        <v>#DIV/0!</v>
      </c>
      <c r="Y568" s="106" t="e">
        <f>Y539/Y439</f>
        <v>#DIV/0!</v>
      </c>
      <c r="Z568" s="111">
        <f>Z539/12877</f>
        <v>0</v>
      </c>
      <c r="AA568" s="110">
        <f>AA539/11922</f>
        <v>0</v>
      </c>
      <c r="AB568" s="110">
        <f>AB539/14745</f>
        <v>0</v>
      </c>
      <c r="AC568" s="110">
        <f>AC539/10526</f>
        <v>0</v>
      </c>
      <c r="AD568" s="110">
        <f>AD539/11459</f>
        <v>0</v>
      </c>
      <c r="AE568" s="110"/>
      <c r="AF568" s="110"/>
    </row>
    <row r="569" spans="1:37" x14ac:dyDescent="0.2">
      <c r="A569" s="3" t="s">
        <v>868</v>
      </c>
      <c r="F569" s="22">
        <f t="shared" ref="F569:M569" si="316">F540/F$439</f>
        <v>111.32058367369578</v>
      </c>
      <c r="G569" s="22">
        <f t="shared" ref="G569:H569" si="317">G540/G$439</f>
        <v>111.32058367369579</v>
      </c>
      <c r="H569" s="22">
        <f t="shared" si="317"/>
        <v>169.32512931858182</v>
      </c>
      <c r="I569" s="22">
        <f t="shared" si="316"/>
        <v>725.96439308895549</v>
      </c>
      <c r="J569" s="22">
        <f t="shared" si="316"/>
        <v>122.16701067463147</v>
      </c>
      <c r="K569" s="22">
        <f t="shared" si="316"/>
        <v>5925.913305716379</v>
      </c>
      <c r="M569" s="22" t="e">
        <f t="shared" si="316"/>
        <v>#DIV/0!</v>
      </c>
      <c r="N569" s="22" t="e">
        <f t="shared" ref="N569:Q569" si="318">N540/N$439</f>
        <v>#DIV/0!</v>
      </c>
      <c r="O569" s="22" t="e">
        <f t="shared" si="318"/>
        <v>#DIV/0!</v>
      </c>
      <c r="P569" s="22" t="e">
        <f t="shared" si="318"/>
        <v>#DIV/0!</v>
      </c>
      <c r="Q569" s="22" t="e">
        <f t="shared" si="318"/>
        <v>#DIV/0!</v>
      </c>
      <c r="R569" s="22" t="e">
        <f>R540/R$439</f>
        <v>#DIV/0!</v>
      </c>
      <c r="S569" s="106" t="e">
        <f t="shared" ref="S569:AD569" si="319">S540/S$439</f>
        <v>#DIV/0!</v>
      </c>
      <c r="T569" s="106" t="e">
        <f t="shared" si="319"/>
        <v>#DIV/0!</v>
      </c>
      <c r="U569" s="106" t="e">
        <f t="shared" si="319"/>
        <v>#DIV/0!</v>
      </c>
      <c r="V569" s="106" t="e">
        <f t="shared" si="319"/>
        <v>#DIV/0!</v>
      </c>
      <c r="W569" s="106" t="e">
        <f t="shared" si="319"/>
        <v>#DIV/0!</v>
      </c>
      <c r="X569" s="106" t="e">
        <f t="shared" si="319"/>
        <v>#DIV/0!</v>
      </c>
      <c r="Y569" s="106" t="e">
        <f t="shared" si="319"/>
        <v>#DIV/0!</v>
      </c>
      <c r="Z569" s="112" t="e">
        <f t="shared" si="319"/>
        <v>#DIV/0!</v>
      </c>
      <c r="AA569" s="112" t="e">
        <f t="shared" si="319"/>
        <v>#DIV/0!</v>
      </c>
      <c r="AB569" s="112" t="e">
        <f t="shared" si="319"/>
        <v>#DIV/0!</v>
      </c>
      <c r="AC569" s="112" t="e">
        <f t="shared" si="319"/>
        <v>#DIV/0!</v>
      </c>
      <c r="AD569" s="112" t="e">
        <f t="shared" si="319"/>
        <v>#DIV/0!</v>
      </c>
      <c r="AE569" s="112"/>
      <c r="AF569" s="112"/>
    </row>
    <row r="571" spans="1:37" x14ac:dyDescent="0.2"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K571" s="24"/>
    </row>
    <row r="572" spans="1:37" x14ac:dyDescent="0.2">
      <c r="A572" s="10" t="s">
        <v>667</v>
      </c>
      <c r="B572" s="113"/>
      <c r="C572" s="3" t="s">
        <v>874</v>
      </c>
      <c r="F572" s="21">
        <f t="shared" ref="F572:K572" si="320">F408</f>
        <v>-5.4263668346446352E-2</v>
      </c>
      <c r="G572" s="21">
        <f t="shared" ref="G572:H572" si="321">G408</f>
        <v>7.4907277274571304E-2</v>
      </c>
      <c r="H572" s="21">
        <f t="shared" si="321"/>
        <v>-5.848195835922522E-2</v>
      </c>
      <c r="I572" s="21">
        <f t="shared" si="320"/>
        <v>2.7539550426510576E-2</v>
      </c>
      <c r="J572" s="21">
        <f t="shared" si="320"/>
        <v>-9.8012383875504108E-2</v>
      </c>
      <c r="K572" s="21">
        <f t="shared" si="320"/>
        <v>1.3399608046579031E-2</v>
      </c>
      <c r="M572" s="21" t="e">
        <f t="shared" ref="M572:R572" si="322">M408</f>
        <v>#DIV/0!</v>
      </c>
      <c r="N572" s="21" t="e">
        <f t="shared" si="322"/>
        <v>#DIV/0!</v>
      </c>
      <c r="O572" s="21" t="e">
        <f t="shared" si="322"/>
        <v>#DIV/0!</v>
      </c>
      <c r="P572" s="21" t="e">
        <f t="shared" si="322"/>
        <v>#DIV/0!</v>
      </c>
      <c r="Q572" s="21" t="e">
        <f t="shared" si="322"/>
        <v>#DIV/0!</v>
      </c>
      <c r="R572" s="21" t="e">
        <f t="shared" si="322"/>
        <v>#DIV/0!</v>
      </c>
    </row>
    <row r="573" spans="1:37" x14ac:dyDescent="0.2">
      <c r="A573" s="2"/>
    </row>
    <row r="574" spans="1:37" x14ac:dyDescent="0.2">
      <c r="A574" s="2" t="s">
        <v>734</v>
      </c>
    </row>
    <row r="575" spans="1:37" x14ac:dyDescent="0.2">
      <c r="A575" s="3" t="s">
        <v>978</v>
      </c>
      <c r="F575" s="99">
        <f t="shared" ref="F575:M575" si="323">F556</f>
        <v>2.7520164818583239E-2</v>
      </c>
      <c r="G575" s="8">
        <f t="shared" ref="G575:H575" si="324">G556</f>
        <v>6.4442759621921013</v>
      </c>
      <c r="H575" s="8">
        <f t="shared" si="324"/>
        <v>6.4695203665122785</v>
      </c>
      <c r="I575" s="8">
        <f t="shared" si="323"/>
        <v>2.06762009761179</v>
      </c>
      <c r="J575" s="8">
        <f t="shared" si="323"/>
        <v>13.13422930358988</v>
      </c>
      <c r="K575" s="8">
        <f t="shared" si="323"/>
        <v>0.97812721355307841</v>
      </c>
      <c r="M575" s="99" t="e">
        <f t="shared" si="323"/>
        <v>#DIV/0!</v>
      </c>
      <c r="N575" s="99" t="e">
        <f t="shared" ref="N575:S575" si="325">N556</f>
        <v>#DIV/0!</v>
      </c>
      <c r="O575" s="99" t="e">
        <f t="shared" si="325"/>
        <v>#DIV/0!</v>
      </c>
      <c r="P575" s="99" t="e">
        <f t="shared" si="325"/>
        <v>#DIV/0!</v>
      </c>
      <c r="Q575" s="99" t="e">
        <f t="shared" si="325"/>
        <v>#DIV/0!</v>
      </c>
      <c r="R575" s="8" t="e">
        <f>R556</f>
        <v>#DIV/0!</v>
      </c>
      <c r="S575" s="114" t="e">
        <f t="shared" si="325"/>
        <v>#DIV/0!</v>
      </c>
      <c r="T575" s="114" t="e">
        <f>#REF!</f>
        <v>#REF!</v>
      </c>
      <c r="U575" s="114" t="e">
        <f>#REF!</f>
        <v>#REF!</v>
      </c>
      <c r="V575" s="114" t="e">
        <f>#REF!</f>
        <v>#REF!</v>
      </c>
      <c r="W575" s="114" t="e">
        <f>#REF!</f>
        <v>#REF!</v>
      </c>
      <c r="X575" s="114" t="e">
        <f>#REF!</f>
        <v>#REF!</v>
      </c>
      <c r="Y575" s="114" t="e">
        <f>#REF!</f>
        <v>#REF!</v>
      </c>
      <c r="Z575" s="114" t="e">
        <f>#REF!</f>
        <v>#REF!</v>
      </c>
      <c r="AA575" s="114" t="e">
        <f>#REF!</f>
        <v>#REF!</v>
      </c>
      <c r="AB575" s="114" t="e">
        <f>#REF!</f>
        <v>#REF!</v>
      </c>
      <c r="AC575" s="114" t="e">
        <f>#REF!</f>
        <v>#REF!</v>
      </c>
      <c r="AD575" s="114" t="e">
        <f>#REF!</f>
        <v>#REF!</v>
      </c>
      <c r="AE575" s="114" t="e">
        <f>#REF!</f>
        <v>#REF!</v>
      </c>
      <c r="AF575" s="114" t="e">
        <f>#REF!</f>
        <v>#REF!</v>
      </c>
    </row>
    <row r="576" spans="1:37" x14ac:dyDescent="0.2">
      <c r="A576" s="3" t="s">
        <v>979</v>
      </c>
      <c r="F576" s="99">
        <f>(F536*F408)/F$436</f>
        <v>0</v>
      </c>
      <c r="G576" s="22">
        <f>(G536*G408)/G$451</f>
        <v>0</v>
      </c>
      <c r="H576" s="22">
        <f>(H536*H408)/H$451</f>
        <v>0</v>
      </c>
      <c r="I576" s="22">
        <f>(I536*I408)/I$451</f>
        <v>0</v>
      </c>
      <c r="J576" s="22">
        <f>(J536*J408)/J$451</f>
        <v>0</v>
      </c>
      <c r="K576" s="22">
        <f>(K536*K408)/K$451</f>
        <v>0</v>
      </c>
      <c r="M576" s="99" t="e">
        <f>(M536*M408)/M$436</f>
        <v>#DIV/0!</v>
      </c>
      <c r="N576" s="99" t="e">
        <f>(N536*N408)/N$436</f>
        <v>#DIV/0!</v>
      </c>
      <c r="O576" s="99" t="e">
        <f>(O536*O408)/O$436</f>
        <v>#DIV/0!</v>
      </c>
      <c r="P576" s="99" t="e">
        <f>(P536*P408)/P$436</f>
        <v>#DIV/0!</v>
      </c>
      <c r="Q576" s="99" t="e">
        <f>(Q536*Q408)/Q$436</f>
        <v>#DIV/0!</v>
      </c>
      <c r="R576" s="22" t="e">
        <f>(R536*R408)/R$451</f>
        <v>#DIV/0!</v>
      </c>
      <c r="S576" s="114"/>
      <c r="T576" s="114"/>
      <c r="U576" s="114"/>
      <c r="V576" s="114"/>
      <c r="W576" s="114"/>
      <c r="X576" s="114"/>
      <c r="Y576" s="114"/>
      <c r="Z576" s="114"/>
      <c r="AA576" s="114"/>
      <c r="AB576" s="114"/>
      <c r="AC576" s="114"/>
      <c r="AD576" s="114"/>
      <c r="AE576" s="114"/>
      <c r="AF576" s="114"/>
    </row>
    <row r="577" spans="1:37" x14ac:dyDescent="0.2">
      <c r="A577" s="3" t="s">
        <v>869</v>
      </c>
      <c r="F577" s="99">
        <f t="shared" ref="F577:S577" si="326">F557</f>
        <v>4.1432004635116808E-2</v>
      </c>
      <c r="G577" s="99">
        <f t="shared" ref="G577:H577" si="327">G557</f>
        <v>3.8964773278202532E-2</v>
      </c>
      <c r="H577" s="99">
        <f t="shared" si="327"/>
        <v>4.4135399264917254E-2</v>
      </c>
      <c r="I577" s="99">
        <f t="shared" si="326"/>
        <v>4.552024097884412E-2</v>
      </c>
      <c r="J577" s="99">
        <f t="shared" ref="J577:K577" si="328">J557</f>
        <v>3.1034878431252449E-2</v>
      </c>
      <c r="K577" s="99">
        <f t="shared" si="328"/>
        <v>6.4618695626013078E-2</v>
      </c>
      <c r="M577" s="99" t="e">
        <f t="shared" ref="M577" si="329">M557</f>
        <v>#DIV/0!</v>
      </c>
      <c r="N577" s="99" t="e">
        <f t="shared" si="326"/>
        <v>#DIV/0!</v>
      </c>
      <c r="O577" s="99" t="e">
        <f t="shared" si="326"/>
        <v>#DIV/0!</v>
      </c>
      <c r="P577" s="99" t="e">
        <f t="shared" si="326"/>
        <v>#DIV/0!</v>
      </c>
      <c r="Q577" s="99" t="e">
        <f t="shared" si="326"/>
        <v>#DIV/0!</v>
      </c>
      <c r="R577" s="99" t="e">
        <f t="shared" si="326"/>
        <v>#DIV/0!</v>
      </c>
      <c r="S577" s="114" t="e">
        <f t="shared" si="326"/>
        <v>#DIV/0!</v>
      </c>
      <c r="T577" s="114" t="e">
        <f>#REF!</f>
        <v>#REF!</v>
      </c>
      <c r="U577" s="114" t="e">
        <f>#REF!</f>
        <v>#REF!</v>
      </c>
      <c r="V577" s="114" t="e">
        <f>#REF!</f>
        <v>#REF!</v>
      </c>
      <c r="W577" s="114" t="e">
        <f>#REF!</f>
        <v>#REF!</v>
      </c>
      <c r="X577" s="114" t="e">
        <f>#REF!</f>
        <v>#REF!</v>
      </c>
      <c r="Y577" s="114" t="e">
        <f>#REF!</f>
        <v>#REF!</v>
      </c>
      <c r="Z577" s="114" t="e">
        <f>#REF!</f>
        <v>#REF!</v>
      </c>
      <c r="AA577" s="114" t="e">
        <f>#REF!</f>
        <v>#REF!</v>
      </c>
      <c r="AB577" s="114" t="e">
        <f>#REF!</f>
        <v>#REF!</v>
      </c>
      <c r="AC577" s="114" t="e">
        <f>#REF!</f>
        <v>#REF!</v>
      </c>
      <c r="AD577" s="114" t="e">
        <f>#REF!</f>
        <v>#REF!</v>
      </c>
      <c r="AE577" s="114" t="e">
        <f>#REF!</f>
        <v>#REF!</v>
      </c>
      <c r="AF577" s="114" t="e">
        <f>#REF!</f>
        <v>#REF!</v>
      </c>
    </row>
    <row r="578" spans="1:37" x14ac:dyDescent="0.2">
      <c r="A578" s="3" t="s">
        <v>870</v>
      </c>
      <c r="F578" s="99">
        <f t="shared" ref="F578:K578" si="330">(F537*F408)/F$436</f>
        <v>0</v>
      </c>
      <c r="G578" s="99">
        <f t="shared" ref="G578:H578" si="331">(G537*G408)/G$436</f>
        <v>0</v>
      </c>
      <c r="H578" s="99">
        <f t="shared" si="331"/>
        <v>0</v>
      </c>
      <c r="I578" s="99">
        <f t="shared" si="330"/>
        <v>0</v>
      </c>
      <c r="J578" s="99">
        <f t="shared" si="330"/>
        <v>0</v>
      </c>
      <c r="K578" s="99">
        <f t="shared" si="330"/>
        <v>0</v>
      </c>
      <c r="M578" s="99" t="e">
        <f t="shared" ref="M578:R578" si="332">(M537*M408)/M$436</f>
        <v>#DIV/0!</v>
      </c>
      <c r="N578" s="99" t="e">
        <f t="shared" si="332"/>
        <v>#DIV/0!</v>
      </c>
      <c r="O578" s="99" t="e">
        <f t="shared" si="332"/>
        <v>#DIV/0!</v>
      </c>
      <c r="P578" s="99" t="e">
        <f t="shared" si="332"/>
        <v>#DIV/0!</v>
      </c>
      <c r="Q578" s="99" t="e">
        <f t="shared" si="332"/>
        <v>#DIV/0!</v>
      </c>
      <c r="R578" s="99" t="e">
        <f t="shared" si="332"/>
        <v>#DIV/0!</v>
      </c>
      <c r="S578" s="114"/>
      <c r="T578" s="114"/>
      <c r="U578" s="114"/>
      <c r="V578" s="114"/>
      <c r="W578" s="114"/>
      <c r="X578" s="114"/>
      <c r="Y578" s="114"/>
      <c r="Z578" s="114"/>
      <c r="AA578" s="114"/>
      <c r="AB578" s="114"/>
      <c r="AC578" s="114"/>
      <c r="AD578" s="114"/>
      <c r="AE578" s="114"/>
      <c r="AF578" s="114"/>
    </row>
    <row r="579" spans="1:37" x14ac:dyDescent="0.2">
      <c r="F579" s="99"/>
      <c r="G579" s="99"/>
      <c r="H579" s="99"/>
      <c r="I579" s="99"/>
      <c r="J579" s="99"/>
      <c r="K579" s="99"/>
      <c r="M579" s="99"/>
      <c r="N579" s="99"/>
      <c r="O579" s="99"/>
      <c r="P579" s="99"/>
      <c r="Q579" s="99"/>
      <c r="R579" s="99"/>
      <c r="S579" s="114"/>
      <c r="T579" s="114"/>
      <c r="U579" s="114"/>
      <c r="V579" s="114"/>
      <c r="W579" s="114"/>
      <c r="X579" s="114"/>
      <c r="Y579" s="114"/>
      <c r="Z579" s="114"/>
      <c r="AA579" s="114"/>
      <c r="AB579" s="114"/>
      <c r="AC579" s="114"/>
      <c r="AD579" s="114"/>
      <c r="AE579" s="114"/>
      <c r="AF579" s="114"/>
    </row>
    <row r="580" spans="1:37" x14ac:dyDescent="0.2">
      <c r="A580" s="2" t="s">
        <v>863</v>
      </c>
      <c r="F580" s="99"/>
      <c r="G580" s="99"/>
      <c r="H580" s="99"/>
      <c r="I580" s="99"/>
      <c r="J580" s="99"/>
      <c r="K580" s="99"/>
      <c r="M580" s="99"/>
      <c r="N580" s="99"/>
      <c r="O580" s="99"/>
      <c r="P580" s="99"/>
      <c r="Q580" s="99"/>
      <c r="R580" s="99"/>
      <c r="S580" s="114"/>
      <c r="T580" s="114"/>
      <c r="U580" s="114"/>
      <c r="V580" s="114"/>
      <c r="W580" s="114"/>
      <c r="X580" s="114"/>
      <c r="Y580" s="114"/>
      <c r="Z580" s="114"/>
      <c r="AA580" s="114"/>
      <c r="AB580" s="114"/>
      <c r="AC580" s="114"/>
      <c r="AD580" s="114"/>
      <c r="AE580" s="114"/>
      <c r="AF580" s="114"/>
    </row>
    <row r="581" spans="1:37" x14ac:dyDescent="0.2">
      <c r="A581" s="3" t="s">
        <v>980</v>
      </c>
      <c r="F581" s="99">
        <f t="shared" ref="F581:R581" si="333">F558</f>
        <v>0</v>
      </c>
      <c r="G581" s="22">
        <f t="shared" ref="G581:H581" si="334">G558</f>
        <v>0</v>
      </c>
      <c r="H581" s="22">
        <f t="shared" si="334"/>
        <v>0</v>
      </c>
      <c r="I581" s="22">
        <f t="shared" si="333"/>
        <v>0</v>
      </c>
      <c r="J581" s="22">
        <f t="shared" ref="J581:K581" si="335">J558</f>
        <v>0</v>
      </c>
      <c r="K581" s="22">
        <f t="shared" si="335"/>
        <v>0</v>
      </c>
      <c r="M581" s="99" t="e">
        <f t="shared" ref="M581" si="336">M558</f>
        <v>#DIV/0!</v>
      </c>
      <c r="N581" s="99" t="e">
        <f t="shared" si="333"/>
        <v>#DIV/0!</v>
      </c>
      <c r="O581" s="99" t="e">
        <f t="shared" si="333"/>
        <v>#DIV/0!</v>
      </c>
      <c r="P581" s="99" t="e">
        <f t="shared" si="333"/>
        <v>#DIV/0!</v>
      </c>
      <c r="Q581" s="99" t="e">
        <f t="shared" si="333"/>
        <v>#DIV/0!</v>
      </c>
      <c r="R581" s="22" t="e">
        <f t="shared" si="333"/>
        <v>#DIV/0!</v>
      </c>
      <c r="S581" s="114"/>
      <c r="T581" s="114"/>
      <c r="U581" s="114"/>
      <c r="V581" s="114"/>
      <c r="W581" s="114"/>
      <c r="X581" s="114"/>
      <c r="Y581" s="114"/>
      <c r="Z581" s="114"/>
      <c r="AA581" s="114"/>
      <c r="AB581" s="114"/>
      <c r="AC581" s="114"/>
      <c r="AD581" s="114"/>
      <c r="AE581" s="114"/>
      <c r="AF581" s="114"/>
    </row>
    <row r="582" spans="1:37" s="49" customFormat="1" ht="15" x14ac:dyDescent="0.2">
      <c r="A582" s="49" t="s">
        <v>981</v>
      </c>
      <c r="E582" s="115"/>
      <c r="F582" s="116">
        <f>(F538*F408)/F$436</f>
        <v>0</v>
      </c>
      <c r="G582" s="180">
        <f>(G538*G408)/G$451</f>
        <v>0</v>
      </c>
      <c r="H582" s="180">
        <f>(H538*H408)/H$451</f>
        <v>0</v>
      </c>
      <c r="I582" s="180">
        <f>(I538*I408)/I$451</f>
        <v>0</v>
      </c>
      <c r="J582" s="180">
        <f>(J538*J408)/J$451</f>
        <v>0</v>
      </c>
      <c r="K582" s="180">
        <f>(K538*K408)/K$451</f>
        <v>0</v>
      </c>
      <c r="L582" s="3"/>
      <c r="M582" s="116" t="e">
        <f>(M538*M408)/M$436</f>
        <v>#DIV/0!</v>
      </c>
      <c r="N582" s="116" t="e">
        <f>(N538*N408)/N$436</f>
        <v>#DIV/0!</v>
      </c>
      <c r="O582" s="116" t="e">
        <f>(O538*O408)/O$436</f>
        <v>#DIV/0!</v>
      </c>
      <c r="P582" s="116" t="e">
        <f>(P538*P408)/P$436</f>
        <v>#DIV/0!</v>
      </c>
      <c r="Q582" s="116" t="e">
        <f>(Q538*Q408)/Q$436</f>
        <v>#DIV/0!</v>
      </c>
      <c r="R582" s="180" t="e">
        <f>(R538*R408)/R$451</f>
        <v>#DIV/0!</v>
      </c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K582" s="118"/>
    </row>
    <row r="583" spans="1:37" x14ac:dyDescent="0.2">
      <c r="B583" s="3" t="s">
        <v>982</v>
      </c>
      <c r="F583" s="119">
        <f>F582+F581</f>
        <v>0</v>
      </c>
      <c r="G583" s="22">
        <f t="shared" ref="G583:H583" si="337">G582+G581</f>
        <v>0</v>
      </c>
      <c r="H583" s="22">
        <f t="shared" si="337"/>
        <v>0</v>
      </c>
      <c r="I583" s="22">
        <f t="shared" ref="I583:R583" si="338">I582+I581</f>
        <v>0</v>
      </c>
      <c r="J583" s="22">
        <f t="shared" ref="J583:K583" si="339">J582+J581</f>
        <v>0</v>
      </c>
      <c r="K583" s="22">
        <f t="shared" si="339"/>
        <v>0</v>
      </c>
      <c r="M583" s="119" t="e">
        <f>M582+M581</f>
        <v>#DIV/0!</v>
      </c>
      <c r="N583" s="119" t="e">
        <f t="shared" si="338"/>
        <v>#DIV/0!</v>
      </c>
      <c r="O583" s="119" t="e">
        <f t="shared" si="338"/>
        <v>#DIV/0!</v>
      </c>
      <c r="P583" s="119" t="e">
        <f t="shared" si="338"/>
        <v>#DIV/0!</v>
      </c>
      <c r="Q583" s="119" t="e">
        <f t="shared" si="338"/>
        <v>#DIV/0!</v>
      </c>
      <c r="R583" s="22" t="e">
        <f t="shared" si="338"/>
        <v>#DIV/0!</v>
      </c>
    </row>
    <row r="584" spans="1:37" x14ac:dyDescent="0.2">
      <c r="P584" s="8"/>
    </row>
    <row r="585" spans="1:37" x14ac:dyDescent="0.2">
      <c r="A585" s="2" t="s">
        <v>668</v>
      </c>
      <c r="P585" s="8"/>
    </row>
    <row r="586" spans="1:37" x14ac:dyDescent="0.2">
      <c r="A586" s="3" t="s">
        <v>983</v>
      </c>
      <c r="F586" s="99">
        <f t="shared" ref="F586:S586" si="340">F559</f>
        <v>1.8726859647033266E-2</v>
      </c>
      <c r="G586" s="8">
        <f t="shared" ref="G586:H586" si="341">G559</f>
        <v>2.4677183141071866</v>
      </c>
      <c r="H586" s="8">
        <f t="shared" si="341"/>
        <v>5.1981969172822939</v>
      </c>
      <c r="I586" s="8">
        <f t="shared" si="340"/>
        <v>5.0354178092285737</v>
      </c>
      <c r="J586" s="8">
        <f t="shared" ref="J586:K586" si="342">J559</f>
        <v>5.2115611077195352</v>
      </c>
      <c r="K586" s="8">
        <f t="shared" si="342"/>
        <v>5.13333176431669</v>
      </c>
      <c r="M586" s="99" t="e">
        <f t="shared" ref="M586" si="343">M559</f>
        <v>#DIV/0!</v>
      </c>
      <c r="N586" s="99" t="e">
        <f t="shared" si="340"/>
        <v>#DIV/0!</v>
      </c>
      <c r="O586" s="99" t="e">
        <f t="shared" si="340"/>
        <v>#DIV/0!</v>
      </c>
      <c r="P586" s="99" t="e">
        <f t="shared" si="340"/>
        <v>#DIV/0!</v>
      </c>
      <c r="Q586" s="99" t="e">
        <f t="shared" si="340"/>
        <v>#DIV/0!</v>
      </c>
      <c r="R586" s="8" t="e">
        <f t="shared" si="340"/>
        <v>#DIV/0!</v>
      </c>
      <c r="S586" s="114" t="e">
        <f t="shared" si="340"/>
        <v>#DIV/0!</v>
      </c>
      <c r="T586" s="114" t="e">
        <f>#REF!</f>
        <v>#REF!</v>
      </c>
      <c r="U586" s="114" t="e">
        <f>#REF!</f>
        <v>#REF!</v>
      </c>
      <c r="V586" s="114" t="e">
        <f>#REF!</f>
        <v>#REF!</v>
      </c>
      <c r="W586" s="114" t="e">
        <f>#REF!</f>
        <v>#REF!</v>
      </c>
      <c r="X586" s="114" t="e">
        <f>#REF!</f>
        <v>#REF!</v>
      </c>
      <c r="Y586" s="114" t="e">
        <f>#REF!</f>
        <v>#REF!</v>
      </c>
      <c r="Z586" s="114" t="e">
        <f>#REF!</f>
        <v>#REF!</v>
      </c>
      <c r="AA586" s="114" t="e">
        <f>#REF!</f>
        <v>#REF!</v>
      </c>
      <c r="AB586" s="114" t="e">
        <f>#REF!</f>
        <v>#REF!</v>
      </c>
      <c r="AC586" s="114" t="e">
        <f>#REF!</f>
        <v>#REF!</v>
      </c>
      <c r="AD586" s="114" t="e">
        <f>#REF!</f>
        <v>#REF!</v>
      </c>
      <c r="AE586" s="114" t="e">
        <f>#REF!</f>
        <v>#REF!</v>
      </c>
      <c r="AF586" s="114" t="e">
        <f>#REF!</f>
        <v>#REF!</v>
      </c>
    </row>
    <row r="587" spans="1:37" ht="15" x14ac:dyDescent="0.35">
      <c r="A587" s="49" t="s">
        <v>984</v>
      </c>
      <c r="E587" s="99"/>
      <c r="F587" s="120">
        <f>(F539*F408)/F$436</f>
        <v>-4.355869610077872E-3</v>
      </c>
      <c r="G587" s="124">
        <f>(G539*G408)/G$451</f>
        <v>0.80257640316212719</v>
      </c>
      <c r="H587" s="124">
        <f>(H539*H408)/H$451</f>
        <v>-1.2966904203867595</v>
      </c>
      <c r="I587" s="124">
        <f>(I539*I408)/I$451</f>
        <v>0.58745312773372937</v>
      </c>
      <c r="J587" s="124">
        <f>(J539*J408)/J$451</f>
        <v>-2.1832103178794204</v>
      </c>
      <c r="K587" s="124">
        <f>(K539*K408)/K$451</f>
        <v>0.29261604976480404</v>
      </c>
      <c r="M587" s="120" t="e">
        <f>(M539*M408)/M$436</f>
        <v>#DIV/0!</v>
      </c>
      <c r="N587" s="120" t="e">
        <f>(N539*N408)/N$436</f>
        <v>#DIV/0!</v>
      </c>
      <c r="O587" s="120" t="e">
        <f>(O539*O408)/O$436</f>
        <v>#DIV/0!</v>
      </c>
      <c r="P587" s="120" t="e">
        <f>(P539*P408)/P$436</f>
        <v>#DIV/0!</v>
      </c>
      <c r="Q587" s="120" t="e">
        <f>(Q539*Q408)/Q$436</f>
        <v>#DIV/0!</v>
      </c>
      <c r="R587" s="124" t="e">
        <f>(R539*R408)/R$451</f>
        <v>#DIV/0!</v>
      </c>
      <c r="S587" s="121" t="e">
        <f>(S539*S408)/S$436</f>
        <v>#DIV/0!</v>
      </c>
      <c r="T587" s="121" t="e">
        <f>(#REF!*T330)/1026.4</f>
        <v>#REF!</v>
      </c>
      <c r="U587" s="121" t="e">
        <f>(#REF!*U330)/11504</f>
        <v>#REF!</v>
      </c>
      <c r="V587" s="121" t="e">
        <f>(#REF!*V330)/7284</f>
        <v>#REF!</v>
      </c>
      <c r="W587" s="121" t="e">
        <f>(#REF!*W330)/320.47</f>
        <v>#REF!</v>
      </c>
      <c r="X587" s="121" t="e">
        <f>(#REF!*X330)/26669</f>
        <v>#REF!</v>
      </c>
      <c r="Y587" s="121" t="e">
        <f>(#REF!*Y330)/68503</f>
        <v>#REF!</v>
      </c>
      <c r="Z587" s="121" t="e">
        <f>(#REF!*Z330)/Z$436</f>
        <v>#REF!</v>
      </c>
      <c r="AA587" s="121" t="e">
        <f>(#REF!*AA330)/17492.7</f>
        <v>#REF!</v>
      </c>
      <c r="AB587" s="121" t="e">
        <f>(#REF!*AB330)/10846</f>
        <v>#REF!</v>
      </c>
      <c r="AC587" s="121" t="e">
        <f>(#REF!*AC330)/12274</f>
        <v>#REF!</v>
      </c>
      <c r="AD587" s="121" t="e">
        <f>(#REF!*AD330)/10405</f>
        <v>#REF!</v>
      </c>
      <c r="AE587" s="121" t="e">
        <f>(#REF!*AE330)/12044</f>
        <v>#REF!</v>
      </c>
      <c r="AF587" s="121" t="e">
        <f>(#REF!*#REF!)/AF$449/12</f>
        <v>#REF!</v>
      </c>
    </row>
    <row r="588" spans="1:37" x14ac:dyDescent="0.2">
      <c r="B588" s="3" t="s">
        <v>985</v>
      </c>
      <c r="F588" s="99">
        <f>F586+F587</f>
        <v>1.4370990036955394E-2</v>
      </c>
      <c r="G588" s="8">
        <f t="shared" ref="G588:H588" si="344">G586+G587</f>
        <v>3.270294717269314</v>
      </c>
      <c r="H588" s="8">
        <f t="shared" si="344"/>
        <v>3.9015064968955344</v>
      </c>
      <c r="I588" s="8">
        <f t="shared" ref="I588:AF588" si="345">I586+I587</f>
        <v>5.6228709369623031</v>
      </c>
      <c r="J588" s="8">
        <f t="shared" ref="J588:K588" si="346">J586+J587</f>
        <v>3.0283507898401147</v>
      </c>
      <c r="K588" s="8">
        <f t="shared" si="346"/>
        <v>5.4259478140814945</v>
      </c>
      <c r="M588" s="99" t="e">
        <f>M586+M587</f>
        <v>#DIV/0!</v>
      </c>
      <c r="N588" s="99" t="e">
        <f t="shared" si="345"/>
        <v>#DIV/0!</v>
      </c>
      <c r="O588" s="99" t="e">
        <f t="shared" si="345"/>
        <v>#DIV/0!</v>
      </c>
      <c r="P588" s="99" t="e">
        <f t="shared" si="345"/>
        <v>#DIV/0!</v>
      </c>
      <c r="Q588" s="99" t="e">
        <f t="shared" si="345"/>
        <v>#DIV/0!</v>
      </c>
      <c r="R588" s="8" t="e">
        <f t="shared" si="345"/>
        <v>#DIV/0!</v>
      </c>
      <c r="S588" s="114" t="e">
        <f t="shared" si="345"/>
        <v>#DIV/0!</v>
      </c>
      <c r="T588" s="114" t="e">
        <f t="shared" si="345"/>
        <v>#REF!</v>
      </c>
      <c r="U588" s="114" t="e">
        <f t="shared" si="345"/>
        <v>#REF!</v>
      </c>
      <c r="V588" s="114" t="e">
        <f t="shared" si="345"/>
        <v>#REF!</v>
      </c>
      <c r="W588" s="114" t="e">
        <f t="shared" si="345"/>
        <v>#REF!</v>
      </c>
      <c r="X588" s="114" t="e">
        <f t="shared" si="345"/>
        <v>#REF!</v>
      </c>
      <c r="Y588" s="114" t="e">
        <f t="shared" si="345"/>
        <v>#REF!</v>
      </c>
      <c r="Z588" s="114" t="e">
        <f t="shared" si="345"/>
        <v>#REF!</v>
      </c>
      <c r="AA588" s="114" t="e">
        <f t="shared" si="345"/>
        <v>#REF!</v>
      </c>
      <c r="AB588" s="114" t="e">
        <f t="shared" si="345"/>
        <v>#REF!</v>
      </c>
      <c r="AC588" s="114" t="e">
        <f t="shared" si="345"/>
        <v>#REF!</v>
      </c>
      <c r="AD588" s="114" t="e">
        <f t="shared" si="345"/>
        <v>#REF!</v>
      </c>
      <c r="AE588" s="114" t="e">
        <f t="shared" si="345"/>
        <v>#REF!</v>
      </c>
      <c r="AF588" s="114" t="e">
        <f t="shared" si="345"/>
        <v>#REF!</v>
      </c>
    </row>
    <row r="590" spans="1:37" x14ac:dyDescent="0.2">
      <c r="A590" s="2" t="s">
        <v>669</v>
      </c>
    </row>
    <row r="591" spans="1:37" x14ac:dyDescent="0.2">
      <c r="A591" s="3" t="s">
        <v>670</v>
      </c>
      <c r="F591" s="20">
        <f t="shared" ref="F591:S591" si="347">F560</f>
        <v>38.372378177684674</v>
      </c>
      <c r="G591" s="20">
        <f t="shared" ref="G591:H591" si="348">G560</f>
        <v>37.248429599435241</v>
      </c>
      <c r="H591" s="20">
        <f t="shared" si="348"/>
        <v>78.160977030979907</v>
      </c>
      <c r="I591" s="20">
        <f t="shared" si="347"/>
        <v>339.81547107978531</v>
      </c>
      <c r="J591" s="20">
        <f t="shared" ref="J591:K591" si="349">J560</f>
        <v>712.00963253854536</v>
      </c>
      <c r="K591" s="20">
        <f t="shared" si="349"/>
        <v>717.36716944496345</v>
      </c>
      <c r="M591" s="20" t="e">
        <f t="shared" ref="M591" si="350">M560</f>
        <v>#DIV/0!</v>
      </c>
      <c r="N591" s="20" t="e">
        <f t="shared" si="347"/>
        <v>#DIV/0!</v>
      </c>
      <c r="O591" s="20" t="e">
        <f t="shared" si="347"/>
        <v>#DIV/0!</v>
      </c>
      <c r="P591" s="20" t="e">
        <f t="shared" si="347"/>
        <v>#DIV/0!</v>
      </c>
      <c r="Q591" s="20" t="e">
        <f t="shared" si="347"/>
        <v>#DIV/0!</v>
      </c>
      <c r="R591" s="20" t="e">
        <f t="shared" si="347"/>
        <v>#DIV/0!</v>
      </c>
      <c r="S591" s="122" t="e">
        <f t="shared" si="347"/>
        <v>#DIV/0!</v>
      </c>
      <c r="T591" s="122" t="e">
        <f>#REF!</f>
        <v>#REF!</v>
      </c>
      <c r="U591" s="122" t="e">
        <f>#REF!</f>
        <v>#REF!</v>
      </c>
      <c r="V591" s="122" t="e">
        <f>#REF!</f>
        <v>#REF!</v>
      </c>
      <c r="W591" s="122" t="e">
        <f>#REF!</f>
        <v>#REF!</v>
      </c>
      <c r="X591" s="122" t="e">
        <f>#REF!</f>
        <v>#REF!</v>
      </c>
      <c r="Y591" s="122" t="e">
        <f>#REF!</f>
        <v>#REF!</v>
      </c>
      <c r="Z591" s="122" t="e">
        <f>#REF!</f>
        <v>#REF!</v>
      </c>
      <c r="AA591" s="122" t="e">
        <f>#REF!</f>
        <v>#REF!</v>
      </c>
      <c r="AB591" s="122" t="e">
        <f>#REF!</f>
        <v>#REF!</v>
      </c>
      <c r="AC591" s="122" t="e">
        <f>#REF!</f>
        <v>#REF!</v>
      </c>
      <c r="AD591" s="122" t="e">
        <f>#REF!</f>
        <v>#REF!</v>
      </c>
      <c r="AE591" s="122" t="e">
        <f>#REF!</f>
        <v>#REF!</v>
      </c>
      <c r="AF591" s="122" t="e">
        <f>#REF!</f>
        <v>#REF!</v>
      </c>
    </row>
    <row r="592" spans="1:37" ht="15" x14ac:dyDescent="0.35">
      <c r="A592" s="3" t="s">
        <v>671</v>
      </c>
      <c r="E592" s="20"/>
      <c r="F592" s="123">
        <f t="shared" ref="F592:K592" si="351">(F540*F408)/F439</f>
        <v>-6.0406632326022587</v>
      </c>
      <c r="G592" s="124">
        <f t="shared" ref="G592:H592" si="352">(G540*G408)/G439</f>
        <v>8.3387218276126465</v>
      </c>
      <c r="H592" s="124">
        <f t="shared" si="352"/>
        <v>-9.9024651619797268</v>
      </c>
      <c r="I592" s="124">
        <f t="shared" si="351"/>
        <v>19.992733011324436</v>
      </c>
      <c r="J592" s="124">
        <f t="shared" si="351"/>
        <v>-11.973879947164788</v>
      </c>
      <c r="K592" s="124">
        <f t="shared" si="351"/>
        <v>79.404915614606935</v>
      </c>
      <c r="M592" s="123" t="e">
        <f t="shared" ref="M592:S592" si="353">(M540*M408)/M439</f>
        <v>#DIV/0!</v>
      </c>
      <c r="N592" s="124" t="e">
        <f t="shared" si="353"/>
        <v>#DIV/0!</v>
      </c>
      <c r="O592" s="124" t="e">
        <f t="shared" si="353"/>
        <v>#DIV/0!</v>
      </c>
      <c r="P592" s="124" t="e">
        <f t="shared" si="353"/>
        <v>#DIV/0!</v>
      </c>
      <c r="Q592" s="124" t="e">
        <f t="shared" si="353"/>
        <v>#DIV/0!</v>
      </c>
      <c r="R592" s="124" t="e">
        <f t="shared" si="353"/>
        <v>#DIV/0!</v>
      </c>
      <c r="S592" s="125" t="e">
        <f t="shared" si="353"/>
        <v>#DIV/0!</v>
      </c>
      <c r="T592" s="125" t="e">
        <f>(#REF!*T330)/T439</f>
        <v>#REF!</v>
      </c>
      <c r="U592" s="125" t="e">
        <f>(#REF!*U330)/U439</f>
        <v>#REF!</v>
      </c>
      <c r="V592" s="125" t="e">
        <f>(#REF!*V330)/V439</f>
        <v>#REF!</v>
      </c>
      <c r="W592" s="125" t="e">
        <f>(#REF!*W330)/W439</f>
        <v>#REF!</v>
      </c>
      <c r="X592" s="125" t="e">
        <f>(#REF!*X330)/X439</f>
        <v>#REF!</v>
      </c>
      <c r="Y592" s="125" t="e">
        <f>(#REF!*Y330)/Y439</f>
        <v>#REF!</v>
      </c>
      <c r="Z592" s="125" t="e">
        <f>(#REF!*Z330)/Z439</f>
        <v>#REF!</v>
      </c>
      <c r="AA592" s="125" t="e">
        <f>(#REF!*AA330)/AA439</f>
        <v>#REF!</v>
      </c>
      <c r="AB592" s="125" t="e">
        <f>(#REF!*AB330)/AB439</f>
        <v>#REF!</v>
      </c>
      <c r="AC592" s="125" t="e">
        <f>(#REF!*AC330)/AC439</f>
        <v>#REF!</v>
      </c>
      <c r="AD592" s="125" t="e">
        <f>(#REF!*AD330)/AD439</f>
        <v>#REF!</v>
      </c>
      <c r="AE592" s="125" t="e">
        <f>(#REF!*AE330)/AE439</f>
        <v>#REF!</v>
      </c>
      <c r="AF592" s="125" t="e">
        <f>(#REF!*#REF!)/#REF!</f>
        <v>#REF!</v>
      </c>
    </row>
    <row r="593" spans="1:37" x14ac:dyDescent="0.2">
      <c r="B593" s="3" t="s">
        <v>672</v>
      </c>
      <c r="F593" s="20">
        <f>F591+F592</f>
        <v>32.331714945082418</v>
      </c>
      <c r="G593" s="20">
        <f t="shared" ref="G593:H593" si="354">G591+G592</f>
        <v>45.587151427047885</v>
      </c>
      <c r="H593" s="20">
        <f t="shared" si="354"/>
        <v>68.258511869000188</v>
      </c>
      <c r="I593" s="20">
        <f t="shared" ref="I593:AF593" si="355">I591+I592</f>
        <v>359.80820409110976</v>
      </c>
      <c r="J593" s="20">
        <f t="shared" ref="J593:K593" si="356">J591+J592</f>
        <v>700.03575259138063</v>
      </c>
      <c r="K593" s="20">
        <f t="shared" si="356"/>
        <v>796.77208505957037</v>
      </c>
      <c r="M593" s="20" t="e">
        <f>M591+M592</f>
        <v>#DIV/0!</v>
      </c>
      <c r="N593" s="20" t="e">
        <f t="shared" si="355"/>
        <v>#DIV/0!</v>
      </c>
      <c r="O593" s="20" t="e">
        <f t="shared" si="355"/>
        <v>#DIV/0!</v>
      </c>
      <c r="P593" s="20" t="e">
        <f t="shared" si="355"/>
        <v>#DIV/0!</v>
      </c>
      <c r="Q593" s="20" t="e">
        <f t="shared" si="355"/>
        <v>#DIV/0!</v>
      </c>
      <c r="R593" s="20" t="e">
        <f t="shared" si="355"/>
        <v>#DIV/0!</v>
      </c>
      <c r="S593" s="122" t="e">
        <f t="shared" si="355"/>
        <v>#DIV/0!</v>
      </c>
      <c r="T593" s="122" t="e">
        <f t="shared" si="355"/>
        <v>#REF!</v>
      </c>
      <c r="U593" s="122" t="e">
        <f t="shared" si="355"/>
        <v>#REF!</v>
      </c>
      <c r="V593" s="122" t="e">
        <f t="shared" si="355"/>
        <v>#REF!</v>
      </c>
      <c r="W593" s="122" t="e">
        <f t="shared" si="355"/>
        <v>#REF!</v>
      </c>
      <c r="X593" s="122" t="e">
        <f t="shared" si="355"/>
        <v>#REF!</v>
      </c>
      <c r="Y593" s="122" t="e">
        <f t="shared" si="355"/>
        <v>#REF!</v>
      </c>
      <c r="Z593" s="122" t="e">
        <f t="shared" si="355"/>
        <v>#REF!</v>
      </c>
      <c r="AA593" s="122" t="e">
        <f t="shared" si="355"/>
        <v>#REF!</v>
      </c>
      <c r="AB593" s="122" t="e">
        <f t="shared" si="355"/>
        <v>#REF!</v>
      </c>
      <c r="AC593" s="122" t="e">
        <f t="shared" si="355"/>
        <v>#REF!</v>
      </c>
      <c r="AD593" s="122" t="e">
        <f t="shared" si="355"/>
        <v>#REF!</v>
      </c>
      <c r="AE593" s="122" t="e">
        <f t="shared" si="355"/>
        <v>#REF!</v>
      </c>
      <c r="AF593" s="122" t="e">
        <f t="shared" si="355"/>
        <v>#REF!</v>
      </c>
    </row>
    <row r="597" spans="1:37" x14ac:dyDescent="0.2">
      <c r="A597" s="10" t="s">
        <v>673</v>
      </c>
      <c r="B597" s="113"/>
      <c r="C597" s="126">
        <f>E408</f>
        <v>-4.0216437994883746E-2</v>
      </c>
      <c r="F597" s="21">
        <f t="shared" ref="F597:R597" si="357">$C$597</f>
        <v>-4.0216437994883746E-2</v>
      </c>
      <c r="G597" s="21">
        <f t="shared" si="357"/>
        <v>-4.0216437994883746E-2</v>
      </c>
      <c r="H597" s="21">
        <f t="shared" si="357"/>
        <v>-4.0216437994883746E-2</v>
      </c>
      <c r="I597" s="21">
        <f t="shared" si="357"/>
        <v>-4.0216437994883746E-2</v>
      </c>
      <c r="J597" s="21">
        <f t="shared" si="357"/>
        <v>-4.0216437994883746E-2</v>
      </c>
      <c r="K597" s="21">
        <f t="shared" si="357"/>
        <v>-4.0216437994883746E-2</v>
      </c>
      <c r="M597" s="21">
        <f t="shared" si="357"/>
        <v>-4.0216437994883746E-2</v>
      </c>
      <c r="N597" s="21">
        <f t="shared" si="357"/>
        <v>-4.0216437994883746E-2</v>
      </c>
      <c r="O597" s="21">
        <f t="shared" si="357"/>
        <v>-4.0216437994883746E-2</v>
      </c>
      <c r="P597" s="21">
        <f t="shared" si="357"/>
        <v>-4.0216437994883746E-2</v>
      </c>
      <c r="Q597" s="21">
        <f t="shared" si="357"/>
        <v>-4.0216437994883746E-2</v>
      </c>
      <c r="R597" s="21">
        <f t="shared" si="357"/>
        <v>-4.0216437994883746E-2</v>
      </c>
    </row>
    <row r="598" spans="1:37" x14ac:dyDescent="0.2">
      <c r="A598" s="2"/>
    </row>
    <row r="599" spans="1:37" x14ac:dyDescent="0.2">
      <c r="A599" s="2" t="s">
        <v>734</v>
      </c>
    </row>
    <row r="600" spans="1:37" x14ac:dyDescent="0.2">
      <c r="A600" s="3" t="s">
        <v>978</v>
      </c>
      <c r="F600" s="99">
        <f t="shared" ref="F600:M600" si="358">F575</f>
        <v>2.7520164818583239E-2</v>
      </c>
      <c r="G600" s="22">
        <f t="shared" ref="G600:H600" si="359">G575</f>
        <v>6.4442759621921013</v>
      </c>
      <c r="H600" s="22">
        <f t="shared" si="359"/>
        <v>6.4695203665122785</v>
      </c>
      <c r="I600" s="22">
        <f t="shared" si="358"/>
        <v>2.06762009761179</v>
      </c>
      <c r="J600" s="22">
        <f t="shared" si="358"/>
        <v>13.13422930358988</v>
      </c>
      <c r="K600" s="22">
        <f t="shared" si="358"/>
        <v>0.97812721355307841</v>
      </c>
      <c r="M600" s="99" t="e">
        <f t="shared" si="358"/>
        <v>#DIV/0!</v>
      </c>
      <c r="N600" s="99" t="e">
        <f t="shared" ref="N600:Q600" si="360">N575</f>
        <v>#DIV/0!</v>
      </c>
      <c r="O600" s="99" t="e">
        <f t="shared" si="360"/>
        <v>#DIV/0!</v>
      </c>
      <c r="P600" s="99" t="e">
        <f t="shared" si="360"/>
        <v>#DIV/0!</v>
      </c>
      <c r="Q600" s="99" t="e">
        <f t="shared" si="360"/>
        <v>#DIV/0!</v>
      </c>
      <c r="R600" s="22" t="e">
        <f>R575</f>
        <v>#DIV/0!</v>
      </c>
      <c r="S600" s="114" t="e">
        <f t="shared" ref="S600:AE600" si="361">S556</f>
        <v>#DIV/0!</v>
      </c>
      <c r="T600" s="114">
        <f t="shared" si="361"/>
        <v>0</v>
      </c>
      <c r="U600" s="114" t="e">
        <f t="shared" si="361"/>
        <v>#DIV/0!</v>
      </c>
      <c r="V600" s="114" t="e">
        <f t="shared" si="361"/>
        <v>#DIV/0!</v>
      </c>
      <c r="W600" s="114" t="e">
        <f t="shared" si="361"/>
        <v>#DIV/0!</v>
      </c>
      <c r="X600" s="114" t="e">
        <f t="shared" si="361"/>
        <v>#DIV/0!</v>
      </c>
      <c r="Y600" s="114" t="e">
        <f t="shared" si="361"/>
        <v>#DIV/0!</v>
      </c>
      <c r="Z600" s="114">
        <f t="shared" si="361"/>
        <v>0</v>
      </c>
      <c r="AA600" s="114">
        <f t="shared" si="361"/>
        <v>0</v>
      </c>
      <c r="AB600" s="114">
        <f t="shared" si="361"/>
        <v>0</v>
      </c>
      <c r="AC600" s="114">
        <f t="shared" si="361"/>
        <v>0</v>
      </c>
      <c r="AD600" s="114">
        <f t="shared" si="361"/>
        <v>0</v>
      </c>
      <c r="AE600" s="114">
        <f t="shared" si="361"/>
        <v>0</v>
      </c>
      <c r="AF600" s="114" t="e">
        <f>#REF!</f>
        <v>#REF!</v>
      </c>
    </row>
    <row r="601" spans="1:37" x14ac:dyDescent="0.2">
      <c r="A601" s="3" t="s">
        <v>979</v>
      </c>
      <c r="E601" s="127"/>
      <c r="F601" s="99">
        <f>(F536*$E$408)/F$436</f>
        <v>0</v>
      </c>
      <c r="G601" s="22">
        <f>(G536*$E$408)/G$451</f>
        <v>0</v>
      </c>
      <c r="H601" s="22">
        <f>(H536*$E$408)/H$451</f>
        <v>0</v>
      </c>
      <c r="I601" s="22">
        <f>(I536*$E$408)/I$451</f>
        <v>0</v>
      </c>
      <c r="J601" s="22">
        <f>(J536*$E$408)/J$451</f>
        <v>0</v>
      </c>
      <c r="K601" s="22">
        <f>(K536*$E$408)/K$451</f>
        <v>0</v>
      </c>
      <c r="M601" s="99" t="e">
        <f>(M536*$E$408)/M$436</f>
        <v>#DIV/0!</v>
      </c>
      <c r="N601" s="99" t="e">
        <f>(N536*$E$408)/N$436</f>
        <v>#DIV/0!</v>
      </c>
      <c r="O601" s="99" t="e">
        <f>(O536*$E$408)/O$436</f>
        <v>#DIV/0!</v>
      </c>
      <c r="P601" s="99" t="e">
        <f>(P536*$E$408)/P$436</f>
        <v>#DIV/0!</v>
      </c>
      <c r="Q601" s="99" t="e">
        <f>(Q536*$E$408)/Q$436</f>
        <v>#DIV/0!</v>
      </c>
      <c r="R601" s="22" t="e">
        <f>(R536*$E$408)/R$451</f>
        <v>#DIV/0!</v>
      </c>
      <c r="S601" s="114" t="e">
        <f t="shared" ref="S601:AE601" si="362">S557</f>
        <v>#DIV/0!</v>
      </c>
      <c r="T601" s="114" t="e">
        <f t="shared" si="362"/>
        <v>#DIV/0!</v>
      </c>
      <c r="U601" s="114" t="e">
        <f t="shared" si="362"/>
        <v>#DIV/0!</v>
      </c>
      <c r="V601" s="114" t="e">
        <f t="shared" si="362"/>
        <v>#DIV/0!</v>
      </c>
      <c r="W601" s="114" t="e">
        <f t="shared" si="362"/>
        <v>#DIV/0!</v>
      </c>
      <c r="X601" s="114" t="e">
        <f t="shared" si="362"/>
        <v>#DIV/0!</v>
      </c>
      <c r="Y601" s="114" t="e">
        <f t="shared" si="362"/>
        <v>#DIV/0!</v>
      </c>
      <c r="Z601" s="114" t="e">
        <f t="shared" si="362"/>
        <v>#DIV/0!</v>
      </c>
      <c r="AA601" s="114" t="e">
        <f t="shared" si="362"/>
        <v>#DIV/0!</v>
      </c>
      <c r="AB601" s="114" t="e">
        <f t="shared" si="362"/>
        <v>#DIV/0!</v>
      </c>
      <c r="AC601" s="114" t="e">
        <f t="shared" si="362"/>
        <v>#DIV/0!</v>
      </c>
      <c r="AD601" s="114" t="e">
        <f t="shared" si="362"/>
        <v>#DIV/0!</v>
      </c>
      <c r="AE601" s="114">
        <f t="shared" si="362"/>
        <v>0</v>
      </c>
      <c r="AF601" s="114" t="e">
        <f>#REF!</f>
        <v>#REF!</v>
      </c>
    </row>
    <row r="602" spans="1:37" x14ac:dyDescent="0.2">
      <c r="A602" s="3" t="s">
        <v>869</v>
      </c>
      <c r="F602" s="99">
        <f t="shared" ref="F602:M602" si="363">F577</f>
        <v>4.1432004635116808E-2</v>
      </c>
      <c r="G602" s="99">
        <f t="shared" ref="G602:H602" si="364">G577</f>
        <v>3.8964773278202532E-2</v>
      </c>
      <c r="H602" s="99">
        <f t="shared" si="364"/>
        <v>4.4135399264917254E-2</v>
      </c>
      <c r="I602" s="99">
        <f t="shared" si="363"/>
        <v>4.552024097884412E-2</v>
      </c>
      <c r="J602" s="99">
        <f t="shared" si="363"/>
        <v>3.1034878431252449E-2</v>
      </c>
      <c r="K602" s="99">
        <f t="shared" si="363"/>
        <v>6.4618695626013078E-2</v>
      </c>
      <c r="M602" s="99" t="e">
        <f t="shared" si="363"/>
        <v>#DIV/0!</v>
      </c>
      <c r="N602" s="99" t="e">
        <f t="shared" ref="N602:Q602" si="365">N577</f>
        <v>#DIV/0!</v>
      </c>
      <c r="O602" s="99" t="e">
        <f t="shared" si="365"/>
        <v>#DIV/0!</v>
      </c>
      <c r="P602" s="99" t="e">
        <f t="shared" si="365"/>
        <v>#DIV/0!</v>
      </c>
      <c r="Q602" s="99" t="e">
        <f t="shared" si="365"/>
        <v>#DIV/0!</v>
      </c>
      <c r="R602" s="99" t="e">
        <f>R577</f>
        <v>#DIV/0!</v>
      </c>
      <c r="S602" s="114">
        <f>S582</f>
        <v>0</v>
      </c>
      <c r="T602" s="114" t="e">
        <f>#REF!</f>
        <v>#REF!</v>
      </c>
      <c r="U602" s="114" t="e">
        <f>#REF!</f>
        <v>#REF!</v>
      </c>
      <c r="V602" s="114" t="e">
        <f>#REF!</f>
        <v>#REF!</v>
      </c>
      <c r="W602" s="114" t="e">
        <f>#REF!</f>
        <v>#REF!</v>
      </c>
      <c r="X602" s="114" t="e">
        <f>#REF!</f>
        <v>#REF!</v>
      </c>
      <c r="Y602" s="114" t="e">
        <f>#REF!</f>
        <v>#REF!</v>
      </c>
      <c r="Z602" s="114" t="e">
        <f>#REF!</f>
        <v>#REF!</v>
      </c>
      <c r="AA602" s="114" t="e">
        <f>#REF!</f>
        <v>#REF!</v>
      </c>
      <c r="AB602" s="114" t="e">
        <f>#REF!</f>
        <v>#REF!</v>
      </c>
      <c r="AC602" s="114" t="e">
        <f>#REF!</f>
        <v>#REF!</v>
      </c>
      <c r="AD602" s="114" t="e">
        <f>#REF!</f>
        <v>#REF!</v>
      </c>
      <c r="AE602" s="114" t="e">
        <f>#REF!</f>
        <v>#REF!</v>
      </c>
      <c r="AF602" s="114" t="e">
        <f>#REF!</f>
        <v>#REF!</v>
      </c>
    </row>
    <row r="603" spans="1:37" x14ac:dyDescent="0.2">
      <c r="A603" s="3" t="s">
        <v>870</v>
      </c>
      <c r="D603" s="99"/>
      <c r="F603" s="99">
        <f t="shared" ref="F603:K603" si="366">(F537*$E$408)/F$436</f>
        <v>0</v>
      </c>
      <c r="G603" s="23">
        <f t="shared" ref="G603:H603" si="367">(G537*$E$408)/G$436</f>
        <v>0</v>
      </c>
      <c r="H603" s="23">
        <f t="shared" si="367"/>
        <v>0</v>
      </c>
      <c r="I603" s="23">
        <f t="shared" si="366"/>
        <v>0</v>
      </c>
      <c r="J603" s="23">
        <f t="shared" si="366"/>
        <v>0</v>
      </c>
      <c r="K603" s="23">
        <f t="shared" si="366"/>
        <v>0</v>
      </c>
      <c r="M603" s="99" t="e">
        <f t="shared" ref="M603:R603" si="368">(M537*$E$408)/M$436</f>
        <v>#DIV/0!</v>
      </c>
      <c r="N603" s="99" t="e">
        <f t="shared" si="368"/>
        <v>#DIV/0!</v>
      </c>
      <c r="O603" s="99" t="e">
        <f t="shared" si="368"/>
        <v>#DIV/0!</v>
      </c>
      <c r="P603" s="99" t="e">
        <f t="shared" si="368"/>
        <v>#DIV/0!</v>
      </c>
      <c r="Q603" s="99" t="e">
        <f t="shared" si="368"/>
        <v>#DIV/0!</v>
      </c>
      <c r="R603" s="23" t="e">
        <f t="shared" si="368"/>
        <v>#DIV/0!</v>
      </c>
      <c r="S603" s="114"/>
      <c r="T603" s="114"/>
      <c r="U603" s="114"/>
      <c r="V603" s="114"/>
      <c r="W603" s="114"/>
      <c r="X603" s="114"/>
      <c r="Y603" s="114"/>
      <c r="Z603" s="114"/>
      <c r="AA603" s="114"/>
      <c r="AB603" s="114"/>
      <c r="AC603" s="114"/>
      <c r="AD603" s="114"/>
      <c r="AE603" s="114"/>
      <c r="AF603" s="114"/>
    </row>
    <row r="604" spans="1:37" x14ac:dyDescent="0.2">
      <c r="F604" s="99"/>
      <c r="G604" s="99"/>
      <c r="H604" s="99"/>
      <c r="I604" s="99"/>
      <c r="J604" s="99"/>
      <c r="K604" s="99"/>
      <c r="M604" s="99"/>
      <c r="N604" s="99"/>
      <c r="O604" s="99"/>
      <c r="P604" s="99"/>
      <c r="Q604" s="99"/>
      <c r="R604" s="99"/>
      <c r="S604" s="114"/>
      <c r="T604" s="114"/>
      <c r="U604" s="114"/>
      <c r="V604" s="114"/>
      <c r="W604" s="114"/>
      <c r="X604" s="114"/>
      <c r="Y604" s="114"/>
      <c r="Z604" s="114"/>
      <c r="AA604" s="114"/>
      <c r="AB604" s="114"/>
      <c r="AC604" s="114"/>
      <c r="AD604" s="114"/>
      <c r="AE604" s="114"/>
      <c r="AF604" s="114"/>
    </row>
    <row r="605" spans="1:37" x14ac:dyDescent="0.2">
      <c r="A605" s="2" t="s">
        <v>863</v>
      </c>
      <c r="F605" s="99"/>
      <c r="G605" s="99"/>
      <c r="H605" s="99"/>
      <c r="I605" s="99"/>
      <c r="J605" s="99"/>
      <c r="K605" s="99"/>
      <c r="M605" s="99"/>
      <c r="N605" s="99"/>
      <c r="O605" s="99"/>
      <c r="P605" s="99"/>
      <c r="Q605" s="99"/>
      <c r="R605" s="99"/>
      <c r="S605" s="114"/>
      <c r="T605" s="114"/>
      <c r="U605" s="114"/>
      <c r="V605" s="114"/>
      <c r="W605" s="114"/>
      <c r="X605" s="114"/>
      <c r="Y605" s="114"/>
      <c r="Z605" s="114"/>
      <c r="AA605" s="114"/>
      <c r="AB605" s="114"/>
      <c r="AC605" s="114"/>
      <c r="AD605" s="114"/>
      <c r="AE605" s="114"/>
      <c r="AF605" s="114"/>
    </row>
    <row r="606" spans="1:37" x14ac:dyDescent="0.2">
      <c r="A606" s="3" t="s">
        <v>980</v>
      </c>
      <c r="F606" s="99">
        <f t="shared" ref="F606:M606" si="369">F581</f>
        <v>0</v>
      </c>
      <c r="G606" s="22">
        <f t="shared" ref="G606:H606" si="370">G581</f>
        <v>0</v>
      </c>
      <c r="H606" s="22">
        <f t="shared" si="370"/>
        <v>0</v>
      </c>
      <c r="I606" s="22">
        <f t="shared" si="369"/>
        <v>0</v>
      </c>
      <c r="J606" s="22">
        <f t="shared" si="369"/>
        <v>0</v>
      </c>
      <c r="K606" s="22">
        <f t="shared" si="369"/>
        <v>0</v>
      </c>
      <c r="M606" s="99" t="e">
        <f t="shared" si="369"/>
        <v>#DIV/0!</v>
      </c>
      <c r="N606" s="99" t="e">
        <f t="shared" ref="N606:Q606" si="371">N581</f>
        <v>#DIV/0!</v>
      </c>
      <c r="O606" s="99" t="e">
        <f t="shared" si="371"/>
        <v>#DIV/0!</v>
      </c>
      <c r="P606" s="99" t="e">
        <f t="shared" si="371"/>
        <v>#DIV/0!</v>
      </c>
      <c r="Q606" s="99" t="e">
        <f t="shared" si="371"/>
        <v>#DIV/0!</v>
      </c>
      <c r="R606" s="22" t="e">
        <f>R581</f>
        <v>#DIV/0!</v>
      </c>
      <c r="S606" s="114"/>
      <c r="T606" s="114"/>
      <c r="U606" s="114"/>
      <c r="V606" s="114"/>
      <c r="W606" s="114"/>
      <c r="X606" s="114"/>
      <c r="Y606" s="114"/>
      <c r="Z606" s="114"/>
      <c r="AA606" s="114"/>
      <c r="AB606" s="114"/>
      <c r="AC606" s="114"/>
      <c r="AD606" s="114"/>
      <c r="AE606" s="114"/>
      <c r="AF606" s="114"/>
    </row>
    <row r="607" spans="1:37" s="49" customFormat="1" ht="15" x14ac:dyDescent="0.35">
      <c r="A607" s="49" t="s">
        <v>981</v>
      </c>
      <c r="D607" s="115"/>
      <c r="F607" s="120">
        <f>(F538*$E$408)/F$436</f>
        <v>0</v>
      </c>
      <c r="G607" s="123">
        <f>(G538*$E$408)/G$451</f>
        <v>0</v>
      </c>
      <c r="H607" s="123">
        <f>(H538*$E$408)/H$451</f>
        <v>0</v>
      </c>
      <c r="I607" s="123">
        <f>(I538*$E$408)/I$451</f>
        <v>0</v>
      </c>
      <c r="J607" s="123">
        <f>(J538*$E$408)/J$451</f>
        <v>0</v>
      </c>
      <c r="K607" s="123">
        <f>(K538*$E$408)/K$451</f>
        <v>0</v>
      </c>
      <c r="L607" s="3"/>
      <c r="M607" s="120" t="e">
        <f>(M538*$E$408)/M$436</f>
        <v>#DIV/0!</v>
      </c>
      <c r="N607" s="120" t="e">
        <f>(N538*$E$408)/N$436</f>
        <v>#DIV/0!</v>
      </c>
      <c r="O607" s="120" t="e">
        <f>(O538*$E$408)/O$436</f>
        <v>#DIV/0!</v>
      </c>
      <c r="P607" s="120" t="e">
        <f>(P538*$E$408)/P$436</f>
        <v>#DIV/0!</v>
      </c>
      <c r="Q607" s="120" t="e">
        <f>(Q538*$E$408)/Q$436</f>
        <v>#DIV/0!</v>
      </c>
      <c r="R607" s="123" t="e">
        <f>(R538*$E$408)/R$451</f>
        <v>#DIV/0!</v>
      </c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K607" s="118"/>
    </row>
    <row r="608" spans="1:37" x14ac:dyDescent="0.2">
      <c r="B608" s="3" t="s">
        <v>982</v>
      </c>
      <c r="F608" s="99">
        <f>F606+F607</f>
        <v>0</v>
      </c>
      <c r="G608" s="22">
        <f t="shared" ref="G608:H608" si="372">G606+G607</f>
        <v>0</v>
      </c>
      <c r="H608" s="22">
        <f t="shared" si="372"/>
        <v>0</v>
      </c>
      <c r="I608" s="22">
        <f t="shared" ref="I608:R608" si="373">I606+I607</f>
        <v>0</v>
      </c>
      <c r="J608" s="22">
        <f t="shared" ref="J608:K608" si="374">J606+J607</f>
        <v>0</v>
      </c>
      <c r="K608" s="22">
        <f t="shared" si="374"/>
        <v>0</v>
      </c>
      <c r="M608" s="99" t="e">
        <f>M606+M607</f>
        <v>#DIV/0!</v>
      </c>
      <c r="N608" s="99" t="e">
        <f t="shared" si="373"/>
        <v>#DIV/0!</v>
      </c>
      <c r="O608" s="99" t="e">
        <f t="shared" si="373"/>
        <v>#DIV/0!</v>
      </c>
      <c r="P608" s="99" t="e">
        <f t="shared" si="373"/>
        <v>#DIV/0!</v>
      </c>
      <c r="Q608" s="99" t="e">
        <f t="shared" si="373"/>
        <v>#DIV/0!</v>
      </c>
      <c r="R608" s="22" t="e">
        <f t="shared" si="373"/>
        <v>#DIV/0!</v>
      </c>
    </row>
    <row r="609" spans="1:32" x14ac:dyDescent="0.2">
      <c r="P609" s="8"/>
    </row>
    <row r="610" spans="1:32" x14ac:dyDescent="0.2">
      <c r="A610" s="2" t="s">
        <v>668</v>
      </c>
      <c r="P610" s="8"/>
    </row>
    <row r="611" spans="1:32" x14ac:dyDescent="0.2">
      <c r="A611" s="3" t="s">
        <v>983</v>
      </c>
      <c r="F611" s="99">
        <f t="shared" ref="F611:S611" si="375">F559</f>
        <v>1.8726859647033266E-2</v>
      </c>
      <c r="G611" s="8">
        <f t="shared" ref="G611:H611" si="376">G559</f>
        <v>2.4677183141071866</v>
      </c>
      <c r="H611" s="8">
        <f t="shared" si="376"/>
        <v>5.1981969172822939</v>
      </c>
      <c r="I611" s="8">
        <f t="shared" si="375"/>
        <v>5.0354178092285737</v>
      </c>
      <c r="J611" s="8">
        <f t="shared" ref="J611:K611" si="377">J559</f>
        <v>5.2115611077195352</v>
      </c>
      <c r="K611" s="8">
        <f t="shared" si="377"/>
        <v>5.13333176431669</v>
      </c>
      <c r="M611" s="99" t="e">
        <f t="shared" ref="M611" si="378">M559</f>
        <v>#DIV/0!</v>
      </c>
      <c r="N611" s="99" t="e">
        <f t="shared" si="375"/>
        <v>#DIV/0!</v>
      </c>
      <c r="O611" s="99" t="e">
        <f t="shared" si="375"/>
        <v>#DIV/0!</v>
      </c>
      <c r="P611" s="99" t="e">
        <f t="shared" si="375"/>
        <v>#DIV/0!</v>
      </c>
      <c r="Q611" s="99" t="e">
        <f t="shared" si="375"/>
        <v>#DIV/0!</v>
      </c>
      <c r="R611" s="8" t="e">
        <f t="shared" si="375"/>
        <v>#DIV/0!</v>
      </c>
      <c r="S611" s="114" t="e">
        <f t="shared" si="375"/>
        <v>#DIV/0!</v>
      </c>
      <c r="T611" s="114" t="e">
        <f>#REF!</f>
        <v>#REF!</v>
      </c>
      <c r="U611" s="114" t="e">
        <f>#REF!</f>
        <v>#REF!</v>
      </c>
      <c r="V611" s="114" t="e">
        <f>#REF!</f>
        <v>#REF!</v>
      </c>
      <c r="W611" s="114" t="e">
        <f>#REF!</f>
        <v>#REF!</v>
      </c>
      <c r="X611" s="114" t="e">
        <f>#REF!</f>
        <v>#REF!</v>
      </c>
      <c r="Y611" s="114" t="e">
        <f>#REF!</f>
        <v>#REF!</v>
      </c>
      <c r="Z611" s="114" t="e">
        <f>#REF!</f>
        <v>#REF!</v>
      </c>
      <c r="AA611" s="114" t="e">
        <f>#REF!</f>
        <v>#REF!</v>
      </c>
      <c r="AB611" s="114" t="e">
        <f>#REF!</f>
        <v>#REF!</v>
      </c>
      <c r="AC611" s="114" t="e">
        <f>#REF!</f>
        <v>#REF!</v>
      </c>
      <c r="AD611" s="114" t="e">
        <f>#REF!</f>
        <v>#REF!</v>
      </c>
      <c r="AE611" s="114" t="e">
        <f>#REF!</f>
        <v>#REF!</v>
      </c>
      <c r="AF611" s="114" t="e">
        <f>#REF!</f>
        <v>#REF!</v>
      </c>
    </row>
    <row r="612" spans="1:32" ht="15" x14ac:dyDescent="0.35">
      <c r="A612" s="49" t="s">
        <v>984</v>
      </c>
      <c r="D612" s="127"/>
      <c r="F612" s="120">
        <f>(F539*$E$408)/F436</f>
        <v>-3.2282660834699597E-3</v>
      </c>
      <c r="G612" s="124">
        <f>(G539*$E$408)/G451</f>
        <v>-0.43088956545058499</v>
      </c>
      <c r="H612" s="124">
        <f>(H539*$E$408)/H451</f>
        <v>-0.89169842038673341</v>
      </c>
      <c r="I612" s="124">
        <f>(I539*$E$408)/I451</f>
        <v>-0.85786702834703865</v>
      </c>
      <c r="J612" s="124">
        <f>(J539*$E$408)/J451</f>
        <v>-0.89581478285757654</v>
      </c>
      <c r="K612" s="124">
        <f>(K539*$E$408)/K451</f>
        <v>-0.87823279462853143</v>
      </c>
      <c r="M612" s="120" t="e">
        <f>(M539*$E$408)/M436</f>
        <v>#DIV/0!</v>
      </c>
      <c r="N612" s="120" t="e">
        <f>(N539*$E$408)/N436</f>
        <v>#DIV/0!</v>
      </c>
      <c r="O612" s="120" t="e">
        <f>(O539*$E$408)/O436</f>
        <v>#DIV/0!</v>
      </c>
      <c r="P612" s="120" t="e">
        <f>(P539*$E$408)/P436</f>
        <v>#DIV/0!</v>
      </c>
      <c r="Q612" s="120" t="e">
        <f>(Q539*$E$408)/Q436</f>
        <v>#DIV/0!</v>
      </c>
      <c r="R612" s="124" t="e">
        <f>(R539*$E$408)/R451</f>
        <v>#DIV/0!</v>
      </c>
      <c r="S612" s="121" t="e">
        <f>(S539*$E$408)/S436</f>
        <v>#DIV/0!</v>
      </c>
      <c r="T612" s="121" t="e">
        <f>(#REF!*$E$330)/1026.4</f>
        <v>#REF!</v>
      </c>
      <c r="U612" s="121" t="e">
        <f>(#REF!*$E$330)/11504</f>
        <v>#REF!</v>
      </c>
      <c r="V612" s="121" t="e">
        <f>(#REF!*$E$330)/7284</f>
        <v>#REF!</v>
      </c>
      <c r="W612" s="121" t="e">
        <f>(#REF!*$E$330)/320.47</f>
        <v>#REF!</v>
      </c>
      <c r="X612" s="121" t="e">
        <f>(#REF!*$E$330)/26669</f>
        <v>#REF!</v>
      </c>
      <c r="Y612" s="121" t="e">
        <f>(#REF!*$E$330)/68503</f>
        <v>#REF!</v>
      </c>
      <c r="Z612" s="121" t="e">
        <f>(#REF!*$E$330)/Z436</f>
        <v>#REF!</v>
      </c>
      <c r="AA612" s="121" t="e">
        <f>(#REF!*$E$330)/17492.7</f>
        <v>#REF!</v>
      </c>
      <c r="AB612" s="121" t="e">
        <f>(#REF!*$E$330)/10846</f>
        <v>#REF!</v>
      </c>
      <c r="AC612" s="121" t="e">
        <f>(#REF!*$E$330)/12274</f>
        <v>#REF!</v>
      </c>
      <c r="AD612" s="121" t="e">
        <f>(#REF!*$E$330)/10405</f>
        <v>#REF!</v>
      </c>
      <c r="AE612" s="121" t="e">
        <f>(#REF!*$E$330)/120444</f>
        <v>#REF!</v>
      </c>
      <c r="AF612" s="121" t="e">
        <f>(#REF!*$E$330)/AF516/12</f>
        <v>#REF!</v>
      </c>
    </row>
    <row r="613" spans="1:32" x14ac:dyDescent="0.2">
      <c r="B613" s="3" t="s">
        <v>985</v>
      </c>
      <c r="F613" s="99">
        <f t="shared" ref="F613:AF613" si="379">F611+F612</f>
        <v>1.5498593563563305E-2</v>
      </c>
      <c r="G613" s="8">
        <f t="shared" ref="G613:H613" si="380">G611+G612</f>
        <v>2.0368287486566015</v>
      </c>
      <c r="H613" s="8">
        <f t="shared" si="380"/>
        <v>4.3064984968955606</v>
      </c>
      <c r="I613" s="8">
        <f t="shared" si="379"/>
        <v>4.1775507808815355</v>
      </c>
      <c r="J613" s="8">
        <f t="shared" ref="J613:K613" si="381">J611+J612</f>
        <v>4.3157463248619585</v>
      </c>
      <c r="K613" s="8">
        <f t="shared" si="381"/>
        <v>4.2550989696881585</v>
      </c>
      <c r="M613" s="99" t="e">
        <f t="shared" ref="M613" si="382">M611+M612</f>
        <v>#DIV/0!</v>
      </c>
      <c r="N613" s="99" t="e">
        <f t="shared" si="379"/>
        <v>#DIV/0!</v>
      </c>
      <c r="O613" s="99" t="e">
        <f t="shared" si="379"/>
        <v>#DIV/0!</v>
      </c>
      <c r="P613" s="99" t="e">
        <f t="shared" si="379"/>
        <v>#DIV/0!</v>
      </c>
      <c r="Q613" s="99" t="e">
        <f t="shared" si="379"/>
        <v>#DIV/0!</v>
      </c>
      <c r="R613" s="8" t="e">
        <f t="shared" si="379"/>
        <v>#DIV/0!</v>
      </c>
      <c r="S613" s="114" t="e">
        <f t="shared" si="379"/>
        <v>#DIV/0!</v>
      </c>
      <c r="T613" s="114" t="e">
        <f t="shared" si="379"/>
        <v>#REF!</v>
      </c>
      <c r="U613" s="114" t="e">
        <f t="shared" si="379"/>
        <v>#REF!</v>
      </c>
      <c r="V613" s="114" t="e">
        <f t="shared" si="379"/>
        <v>#REF!</v>
      </c>
      <c r="W613" s="114" t="e">
        <f t="shared" si="379"/>
        <v>#REF!</v>
      </c>
      <c r="X613" s="114" t="e">
        <f t="shared" si="379"/>
        <v>#REF!</v>
      </c>
      <c r="Y613" s="114" t="e">
        <f t="shared" si="379"/>
        <v>#REF!</v>
      </c>
      <c r="Z613" s="114" t="e">
        <f t="shared" si="379"/>
        <v>#REF!</v>
      </c>
      <c r="AA613" s="114" t="e">
        <f t="shared" si="379"/>
        <v>#REF!</v>
      </c>
      <c r="AB613" s="114" t="e">
        <f t="shared" si="379"/>
        <v>#REF!</v>
      </c>
      <c r="AC613" s="114" t="e">
        <f t="shared" si="379"/>
        <v>#REF!</v>
      </c>
      <c r="AD613" s="114" t="e">
        <f t="shared" si="379"/>
        <v>#REF!</v>
      </c>
      <c r="AE613" s="114" t="e">
        <f t="shared" si="379"/>
        <v>#REF!</v>
      </c>
      <c r="AF613" s="114" t="e">
        <f t="shared" si="379"/>
        <v>#REF!</v>
      </c>
    </row>
    <row r="615" spans="1:32" x14ac:dyDescent="0.2">
      <c r="A615" s="2" t="s">
        <v>669</v>
      </c>
    </row>
    <row r="616" spans="1:32" x14ac:dyDescent="0.2">
      <c r="A616" s="3" t="s">
        <v>670</v>
      </c>
      <c r="F616" s="20">
        <f t="shared" ref="F616:S616" si="383">F560</f>
        <v>38.372378177684674</v>
      </c>
      <c r="G616" s="20">
        <f t="shared" ref="G616:H616" si="384">G560</f>
        <v>37.248429599435241</v>
      </c>
      <c r="H616" s="20">
        <f t="shared" si="384"/>
        <v>78.160977030979907</v>
      </c>
      <c r="I616" s="20">
        <f t="shared" si="383"/>
        <v>339.81547107978531</v>
      </c>
      <c r="J616" s="20">
        <f t="shared" ref="J616:K616" si="385">J560</f>
        <v>712.00963253854536</v>
      </c>
      <c r="K616" s="20">
        <f t="shared" si="385"/>
        <v>717.36716944496345</v>
      </c>
      <c r="M616" s="20" t="e">
        <f t="shared" ref="M616" si="386">M560</f>
        <v>#DIV/0!</v>
      </c>
      <c r="N616" s="20" t="e">
        <f t="shared" si="383"/>
        <v>#DIV/0!</v>
      </c>
      <c r="O616" s="20" t="e">
        <f t="shared" si="383"/>
        <v>#DIV/0!</v>
      </c>
      <c r="P616" s="20" t="e">
        <f t="shared" si="383"/>
        <v>#DIV/0!</v>
      </c>
      <c r="Q616" s="20" t="e">
        <f t="shared" si="383"/>
        <v>#DIV/0!</v>
      </c>
      <c r="R616" s="20" t="e">
        <f t="shared" si="383"/>
        <v>#DIV/0!</v>
      </c>
      <c r="S616" s="122" t="e">
        <f t="shared" si="383"/>
        <v>#DIV/0!</v>
      </c>
      <c r="T616" s="122" t="e">
        <f>#REF!</f>
        <v>#REF!</v>
      </c>
      <c r="U616" s="122" t="e">
        <f>#REF!</f>
        <v>#REF!</v>
      </c>
      <c r="V616" s="122" t="e">
        <f>#REF!</f>
        <v>#REF!</v>
      </c>
      <c r="W616" s="122" t="e">
        <f>#REF!</f>
        <v>#REF!</v>
      </c>
      <c r="X616" s="122" t="e">
        <f>#REF!</f>
        <v>#REF!</v>
      </c>
      <c r="Y616" s="122" t="e">
        <f>#REF!</f>
        <v>#REF!</v>
      </c>
      <c r="Z616" s="122" t="e">
        <f>#REF!</f>
        <v>#REF!</v>
      </c>
      <c r="AA616" s="122" t="e">
        <f>#REF!</f>
        <v>#REF!</v>
      </c>
      <c r="AB616" s="122" t="e">
        <f>#REF!</f>
        <v>#REF!</v>
      </c>
      <c r="AC616" s="122" t="e">
        <f>#REF!</f>
        <v>#REF!</v>
      </c>
      <c r="AD616" s="122" t="e">
        <f>#REF!</f>
        <v>#REF!</v>
      </c>
      <c r="AE616" s="122" t="e">
        <f>#REF!</f>
        <v>#REF!</v>
      </c>
      <c r="AF616" s="122" t="e">
        <f>#REF!</f>
        <v>#REF!</v>
      </c>
    </row>
    <row r="617" spans="1:32" ht="15" x14ac:dyDescent="0.35">
      <c r="A617" s="3" t="s">
        <v>671</v>
      </c>
      <c r="D617" s="20"/>
      <c r="F617" s="123">
        <f t="shared" ref="F617:AF617" si="387">(F540*$E$408)/F439</f>
        <v>-4.4769173508674536</v>
      </c>
      <c r="G617" s="124">
        <f t="shared" ref="G617:H617" si="388">(G540*$E$408)/G439</f>
        <v>-4.4769173508674545</v>
      </c>
      <c r="H617" s="124">
        <f t="shared" si="388"/>
        <v>-6.8096535642164175</v>
      </c>
      <c r="I617" s="124">
        <f t="shared" si="387"/>
        <v>-29.195702001155389</v>
      </c>
      <c r="J617" s="124">
        <f t="shared" ref="J617:K617" si="389">(J540*$E$408)/J439</f>
        <v>-4.9131220098166173</v>
      </c>
      <c r="K617" s="124">
        <f t="shared" si="389"/>
        <v>-238.31912502239931</v>
      </c>
      <c r="M617" s="123" t="e">
        <f t="shared" ref="M617" si="390">(M540*$E$408)/M439</f>
        <v>#DIV/0!</v>
      </c>
      <c r="N617" s="124" t="e">
        <f t="shared" si="387"/>
        <v>#DIV/0!</v>
      </c>
      <c r="O617" s="124" t="e">
        <f t="shared" si="387"/>
        <v>#DIV/0!</v>
      </c>
      <c r="P617" s="124" t="e">
        <f t="shared" si="387"/>
        <v>#DIV/0!</v>
      </c>
      <c r="Q617" s="124" t="e">
        <f t="shared" si="387"/>
        <v>#DIV/0!</v>
      </c>
      <c r="R617" s="124" t="e">
        <f t="shared" si="387"/>
        <v>#DIV/0!</v>
      </c>
      <c r="S617" s="125" t="e">
        <f t="shared" si="387"/>
        <v>#DIV/0!</v>
      </c>
      <c r="T617" s="125" t="e">
        <f t="shared" si="387"/>
        <v>#DIV/0!</v>
      </c>
      <c r="U617" s="125" t="e">
        <f t="shared" si="387"/>
        <v>#DIV/0!</v>
      </c>
      <c r="V617" s="125" t="e">
        <f t="shared" si="387"/>
        <v>#DIV/0!</v>
      </c>
      <c r="W617" s="125" t="e">
        <f t="shared" si="387"/>
        <v>#DIV/0!</v>
      </c>
      <c r="X617" s="125" t="e">
        <f t="shared" si="387"/>
        <v>#DIV/0!</v>
      </c>
      <c r="Y617" s="125" t="e">
        <f t="shared" si="387"/>
        <v>#DIV/0!</v>
      </c>
      <c r="Z617" s="125" t="e">
        <f t="shared" si="387"/>
        <v>#DIV/0!</v>
      </c>
      <c r="AA617" s="125" t="e">
        <f t="shared" si="387"/>
        <v>#DIV/0!</v>
      </c>
      <c r="AB617" s="125" t="e">
        <f t="shared" si="387"/>
        <v>#DIV/0!</v>
      </c>
      <c r="AC617" s="125" t="e">
        <f t="shared" si="387"/>
        <v>#DIV/0!</v>
      </c>
      <c r="AD617" s="125" t="e">
        <f t="shared" si="387"/>
        <v>#DIV/0!</v>
      </c>
      <c r="AE617" s="125" t="e">
        <f t="shared" si="387"/>
        <v>#DIV/0!</v>
      </c>
      <c r="AF617" s="125" t="e">
        <f t="shared" si="387"/>
        <v>#DIV/0!</v>
      </c>
    </row>
    <row r="618" spans="1:32" x14ac:dyDescent="0.2">
      <c r="B618" s="3" t="s">
        <v>672</v>
      </c>
      <c r="F618" s="20">
        <f t="shared" ref="F618:AF618" si="391">F616+F617</f>
        <v>33.895460826817221</v>
      </c>
      <c r="G618" s="20">
        <f t="shared" ref="G618:H618" si="392">G616+G617</f>
        <v>32.771512248567788</v>
      </c>
      <c r="H618" s="20">
        <f t="shared" si="392"/>
        <v>71.351323466763489</v>
      </c>
      <c r="I618" s="20">
        <f t="shared" si="391"/>
        <v>310.61976907862993</v>
      </c>
      <c r="J618" s="20">
        <f t="shared" ref="J618:K618" si="393">J616+J617</f>
        <v>707.0965105287288</v>
      </c>
      <c r="K618" s="20">
        <f t="shared" si="393"/>
        <v>479.04804442256415</v>
      </c>
      <c r="M618" s="20" t="e">
        <f t="shared" ref="M618" si="394">M616+M617</f>
        <v>#DIV/0!</v>
      </c>
      <c r="N618" s="20" t="e">
        <f t="shared" si="391"/>
        <v>#DIV/0!</v>
      </c>
      <c r="O618" s="20" t="e">
        <f t="shared" si="391"/>
        <v>#DIV/0!</v>
      </c>
      <c r="P618" s="20" t="e">
        <f t="shared" si="391"/>
        <v>#DIV/0!</v>
      </c>
      <c r="Q618" s="20" t="e">
        <f t="shared" si="391"/>
        <v>#DIV/0!</v>
      </c>
      <c r="R618" s="20" t="e">
        <f t="shared" si="391"/>
        <v>#DIV/0!</v>
      </c>
      <c r="S618" s="122" t="e">
        <f t="shared" si="391"/>
        <v>#DIV/0!</v>
      </c>
      <c r="T618" s="122" t="e">
        <f t="shared" si="391"/>
        <v>#REF!</v>
      </c>
      <c r="U618" s="122" t="e">
        <f t="shared" si="391"/>
        <v>#REF!</v>
      </c>
      <c r="V618" s="122" t="e">
        <f t="shared" si="391"/>
        <v>#REF!</v>
      </c>
      <c r="W618" s="122" t="e">
        <f t="shared" si="391"/>
        <v>#REF!</v>
      </c>
      <c r="X618" s="122" t="e">
        <f t="shared" si="391"/>
        <v>#REF!</v>
      </c>
      <c r="Y618" s="122" t="e">
        <f t="shared" si="391"/>
        <v>#REF!</v>
      </c>
      <c r="Z618" s="122" t="e">
        <f t="shared" si="391"/>
        <v>#REF!</v>
      </c>
      <c r="AA618" s="122" t="e">
        <f t="shared" si="391"/>
        <v>#REF!</v>
      </c>
      <c r="AB618" s="122" t="e">
        <f t="shared" si="391"/>
        <v>#REF!</v>
      </c>
      <c r="AC618" s="122" t="e">
        <f t="shared" si="391"/>
        <v>#REF!</v>
      </c>
      <c r="AD618" s="122" t="e">
        <f t="shared" si="391"/>
        <v>#REF!</v>
      </c>
      <c r="AE618" s="122" t="e">
        <f t="shared" si="391"/>
        <v>#REF!</v>
      </c>
      <c r="AF618" s="122" t="e">
        <f t="shared" si="391"/>
        <v>#REF!</v>
      </c>
    </row>
    <row r="623" spans="1:32" x14ac:dyDescent="0.2">
      <c r="A623" s="10" t="s">
        <v>697</v>
      </c>
      <c r="C623" s="126">
        <f>C544</f>
        <v>3.8359984415764992E-2</v>
      </c>
      <c r="F623" s="42">
        <f>$C$544</f>
        <v>3.8359984415764992E-2</v>
      </c>
      <c r="G623" s="128">
        <f t="shared" ref="G623:S623" si="395">$C$544</f>
        <v>3.8359984415764992E-2</v>
      </c>
      <c r="H623" s="128">
        <f t="shared" si="395"/>
        <v>3.8359984415764992E-2</v>
      </c>
      <c r="I623" s="128">
        <f t="shared" si="395"/>
        <v>3.8359984415764992E-2</v>
      </c>
      <c r="J623" s="128">
        <f t="shared" si="395"/>
        <v>3.8359984415764992E-2</v>
      </c>
      <c r="K623" s="128">
        <f t="shared" si="395"/>
        <v>3.8359984415764992E-2</v>
      </c>
      <c r="M623" s="128">
        <f t="shared" si="395"/>
        <v>3.8359984415764992E-2</v>
      </c>
      <c r="N623" s="128">
        <f t="shared" si="395"/>
        <v>3.8359984415764992E-2</v>
      </c>
      <c r="O623" s="128">
        <f t="shared" si="395"/>
        <v>3.8359984415764992E-2</v>
      </c>
      <c r="P623" s="128">
        <f t="shared" si="395"/>
        <v>3.8359984415764992E-2</v>
      </c>
      <c r="Q623" s="128">
        <f t="shared" si="395"/>
        <v>3.8359984415764992E-2</v>
      </c>
      <c r="R623" s="128">
        <f t="shared" si="395"/>
        <v>3.8359984415764992E-2</v>
      </c>
      <c r="S623" s="129">
        <f t="shared" si="395"/>
        <v>3.8359984415764992E-2</v>
      </c>
      <c r="T623" s="129">
        <v>0.2</v>
      </c>
      <c r="U623" s="129">
        <v>0.2</v>
      </c>
      <c r="V623" s="129">
        <v>0.08</v>
      </c>
      <c r="W623" s="129">
        <v>0.08</v>
      </c>
      <c r="X623" s="129">
        <v>0.2</v>
      </c>
      <c r="Y623" s="129">
        <v>0.08</v>
      </c>
      <c r="Z623" s="129">
        <v>0.08</v>
      </c>
      <c r="AA623" s="129">
        <v>0.08</v>
      </c>
      <c r="AB623" s="129">
        <v>0.08</v>
      </c>
      <c r="AC623" s="129">
        <v>0.08</v>
      </c>
      <c r="AD623" s="129">
        <v>0.08</v>
      </c>
      <c r="AE623" s="129">
        <v>0.08</v>
      </c>
      <c r="AF623" s="129">
        <v>0.08</v>
      </c>
    </row>
    <row r="624" spans="1:32" x14ac:dyDescent="0.2">
      <c r="A624" s="2"/>
    </row>
    <row r="625" spans="1:37" x14ac:dyDescent="0.2">
      <c r="A625" s="2" t="s">
        <v>734</v>
      </c>
    </row>
    <row r="626" spans="1:37" x14ac:dyDescent="0.2">
      <c r="A626" s="3" t="s">
        <v>978</v>
      </c>
      <c r="F626" s="99">
        <f t="shared" ref="F626:M626" si="396">F575</f>
        <v>2.7520164818583239E-2</v>
      </c>
      <c r="G626" s="22">
        <f t="shared" ref="G626:H626" si="397">G575</f>
        <v>6.4442759621921013</v>
      </c>
      <c r="H626" s="22">
        <f t="shared" si="397"/>
        <v>6.4695203665122785</v>
      </c>
      <c r="I626" s="22">
        <f t="shared" si="396"/>
        <v>2.06762009761179</v>
      </c>
      <c r="J626" s="22">
        <f t="shared" si="396"/>
        <v>13.13422930358988</v>
      </c>
      <c r="K626" s="22">
        <f t="shared" si="396"/>
        <v>0.97812721355307841</v>
      </c>
      <c r="M626" s="99" t="e">
        <f t="shared" si="396"/>
        <v>#DIV/0!</v>
      </c>
      <c r="N626" s="99" t="e">
        <f t="shared" ref="N626:Q626" si="398">N575</f>
        <v>#DIV/0!</v>
      </c>
      <c r="O626" s="99" t="e">
        <f t="shared" si="398"/>
        <v>#DIV/0!</v>
      </c>
      <c r="P626" s="99" t="e">
        <f t="shared" si="398"/>
        <v>#DIV/0!</v>
      </c>
      <c r="Q626" s="99" t="e">
        <f t="shared" si="398"/>
        <v>#DIV/0!</v>
      </c>
      <c r="R626" s="22" t="e">
        <f>R575</f>
        <v>#DIV/0!</v>
      </c>
      <c r="S626" s="114" t="e">
        <f t="shared" ref="S626:AF626" si="399">S600</f>
        <v>#DIV/0!</v>
      </c>
      <c r="T626" s="114">
        <f t="shared" si="399"/>
        <v>0</v>
      </c>
      <c r="U626" s="114" t="e">
        <f t="shared" si="399"/>
        <v>#DIV/0!</v>
      </c>
      <c r="V626" s="114" t="e">
        <f t="shared" si="399"/>
        <v>#DIV/0!</v>
      </c>
      <c r="W626" s="114" t="e">
        <f t="shared" si="399"/>
        <v>#DIV/0!</v>
      </c>
      <c r="X626" s="114" t="e">
        <f t="shared" si="399"/>
        <v>#DIV/0!</v>
      </c>
      <c r="Y626" s="114" t="e">
        <f t="shared" si="399"/>
        <v>#DIV/0!</v>
      </c>
      <c r="Z626" s="114">
        <f t="shared" si="399"/>
        <v>0</v>
      </c>
      <c r="AA626" s="114">
        <f t="shared" si="399"/>
        <v>0</v>
      </c>
      <c r="AB626" s="114">
        <f t="shared" si="399"/>
        <v>0</v>
      </c>
      <c r="AC626" s="114">
        <f t="shared" si="399"/>
        <v>0</v>
      </c>
      <c r="AD626" s="114">
        <f t="shared" si="399"/>
        <v>0</v>
      </c>
      <c r="AE626" s="114">
        <f t="shared" si="399"/>
        <v>0</v>
      </c>
      <c r="AF626" s="114" t="e">
        <f t="shared" si="399"/>
        <v>#REF!</v>
      </c>
    </row>
    <row r="627" spans="1:37" x14ac:dyDescent="0.2">
      <c r="A627" s="3" t="s">
        <v>979</v>
      </c>
      <c r="D627" s="99"/>
      <c r="F627" s="99">
        <f>(F536*$C$544)/F$436</f>
        <v>0</v>
      </c>
      <c r="G627" s="22">
        <f>(G536*$C$544)/G$451</f>
        <v>0</v>
      </c>
      <c r="H627" s="22">
        <f>(H536*$C$544)/H$451</f>
        <v>0</v>
      </c>
      <c r="I627" s="22">
        <f>(I536*$C$544)/I$451</f>
        <v>0</v>
      </c>
      <c r="J627" s="22">
        <f>(J536*$C$544)/J$451</f>
        <v>0</v>
      </c>
      <c r="K627" s="22">
        <f>(K536*$C$544)/K$451</f>
        <v>0</v>
      </c>
      <c r="M627" s="99" t="e">
        <f>(M536*$C$544)/M$436</f>
        <v>#DIV/0!</v>
      </c>
      <c r="N627" s="99" t="e">
        <f>(N536*$C$544)/N$436</f>
        <v>#DIV/0!</v>
      </c>
      <c r="O627" s="99" t="e">
        <f>(O536*$C$544)/O$436</f>
        <v>#DIV/0!</v>
      </c>
      <c r="P627" s="99" t="e">
        <f>(P536*$C$544)/P$436</f>
        <v>#DIV/0!</v>
      </c>
      <c r="Q627" s="99" t="e">
        <f>(Q536*$C$544)/Q$436</f>
        <v>#DIV/0!</v>
      </c>
      <c r="R627" s="22" t="e">
        <f>(R536*$C$544)/R$451</f>
        <v>#DIV/0!</v>
      </c>
      <c r="S627" s="114" t="e">
        <f t="shared" ref="S627:AF627" si="400">S601</f>
        <v>#DIV/0!</v>
      </c>
      <c r="T627" s="114" t="e">
        <f t="shared" si="400"/>
        <v>#DIV/0!</v>
      </c>
      <c r="U627" s="114" t="e">
        <f t="shared" si="400"/>
        <v>#DIV/0!</v>
      </c>
      <c r="V627" s="114" t="e">
        <f t="shared" si="400"/>
        <v>#DIV/0!</v>
      </c>
      <c r="W627" s="114" t="e">
        <f t="shared" si="400"/>
        <v>#DIV/0!</v>
      </c>
      <c r="X627" s="114" t="e">
        <f t="shared" si="400"/>
        <v>#DIV/0!</v>
      </c>
      <c r="Y627" s="114" t="e">
        <f t="shared" si="400"/>
        <v>#DIV/0!</v>
      </c>
      <c r="Z627" s="114" t="e">
        <f t="shared" si="400"/>
        <v>#DIV/0!</v>
      </c>
      <c r="AA627" s="114" t="e">
        <f t="shared" si="400"/>
        <v>#DIV/0!</v>
      </c>
      <c r="AB627" s="114" t="e">
        <f t="shared" si="400"/>
        <v>#DIV/0!</v>
      </c>
      <c r="AC627" s="114" t="e">
        <f t="shared" si="400"/>
        <v>#DIV/0!</v>
      </c>
      <c r="AD627" s="114" t="e">
        <f t="shared" si="400"/>
        <v>#DIV/0!</v>
      </c>
      <c r="AE627" s="114">
        <f t="shared" si="400"/>
        <v>0</v>
      </c>
      <c r="AF627" s="114" t="e">
        <f t="shared" si="400"/>
        <v>#REF!</v>
      </c>
    </row>
    <row r="628" spans="1:37" x14ac:dyDescent="0.2">
      <c r="A628" s="3" t="s">
        <v>869</v>
      </c>
      <c r="F628" s="99">
        <f t="shared" ref="F628:M628" si="401">F577</f>
        <v>4.1432004635116808E-2</v>
      </c>
      <c r="G628" s="99">
        <f t="shared" ref="G628:H628" si="402">G577</f>
        <v>3.8964773278202532E-2</v>
      </c>
      <c r="H628" s="99">
        <f t="shared" si="402"/>
        <v>4.4135399264917254E-2</v>
      </c>
      <c r="I628" s="99">
        <f t="shared" si="401"/>
        <v>4.552024097884412E-2</v>
      </c>
      <c r="J628" s="99">
        <f t="shared" si="401"/>
        <v>3.1034878431252449E-2</v>
      </c>
      <c r="K628" s="99">
        <f t="shared" si="401"/>
        <v>6.4618695626013078E-2</v>
      </c>
      <c r="M628" s="99" t="e">
        <f t="shared" si="401"/>
        <v>#DIV/0!</v>
      </c>
      <c r="N628" s="99" t="e">
        <f t="shared" ref="N628:Q628" si="403">N577</f>
        <v>#DIV/0!</v>
      </c>
      <c r="O628" s="99" t="e">
        <f t="shared" si="403"/>
        <v>#DIV/0!</v>
      </c>
      <c r="P628" s="99" t="e">
        <f t="shared" si="403"/>
        <v>#DIV/0!</v>
      </c>
      <c r="Q628" s="99" t="e">
        <f t="shared" si="403"/>
        <v>#DIV/0!</v>
      </c>
      <c r="R628" s="99" t="e">
        <f>R577</f>
        <v>#DIV/0!</v>
      </c>
      <c r="S628" s="114">
        <f>S608</f>
        <v>0</v>
      </c>
      <c r="T628" s="114" t="e">
        <f>#REF!</f>
        <v>#REF!</v>
      </c>
      <c r="U628" s="114" t="e">
        <f>#REF!</f>
        <v>#REF!</v>
      </c>
      <c r="V628" s="114" t="e">
        <f>#REF!</f>
        <v>#REF!</v>
      </c>
      <c r="W628" s="114" t="e">
        <f>#REF!</f>
        <v>#REF!</v>
      </c>
      <c r="X628" s="114" t="e">
        <f>#REF!</f>
        <v>#REF!</v>
      </c>
      <c r="Y628" s="114" t="e">
        <f>#REF!</f>
        <v>#REF!</v>
      </c>
      <c r="Z628" s="114" t="e">
        <f>#REF!</f>
        <v>#REF!</v>
      </c>
      <c r="AA628" s="114" t="e">
        <f>#REF!</f>
        <v>#REF!</v>
      </c>
      <c r="AB628" s="114" t="e">
        <f>#REF!</f>
        <v>#REF!</v>
      </c>
      <c r="AC628" s="114" t="e">
        <f>#REF!</f>
        <v>#REF!</v>
      </c>
      <c r="AD628" s="114" t="e">
        <f>#REF!</f>
        <v>#REF!</v>
      </c>
      <c r="AE628" s="114" t="e">
        <f>#REF!</f>
        <v>#REF!</v>
      </c>
      <c r="AF628" s="114" t="e">
        <f>#REF!</f>
        <v>#REF!</v>
      </c>
    </row>
    <row r="629" spans="1:37" x14ac:dyDescent="0.2">
      <c r="A629" s="3" t="s">
        <v>870</v>
      </c>
      <c r="D629" s="99"/>
      <c r="F629" s="99">
        <f t="shared" ref="F629:R629" si="404">(F537*$C$544)/F$436</f>
        <v>0</v>
      </c>
      <c r="G629" s="99">
        <f t="shared" ref="G629:H629" si="405">(G537*$C$544)/G$436</f>
        <v>0</v>
      </c>
      <c r="H629" s="99">
        <f t="shared" si="405"/>
        <v>0</v>
      </c>
      <c r="I629" s="99">
        <f t="shared" si="404"/>
        <v>0</v>
      </c>
      <c r="J629" s="99">
        <f t="shared" ref="J629:K629" si="406">(J537*$C$544)/J$436</f>
        <v>0</v>
      </c>
      <c r="K629" s="99">
        <f t="shared" si="406"/>
        <v>0</v>
      </c>
      <c r="M629" s="99" t="e">
        <f t="shared" ref="M629" si="407">(M537*$C$544)/M$436</f>
        <v>#DIV/0!</v>
      </c>
      <c r="N629" s="99" t="e">
        <f t="shared" si="404"/>
        <v>#DIV/0!</v>
      </c>
      <c r="O629" s="99" t="e">
        <f t="shared" si="404"/>
        <v>#DIV/0!</v>
      </c>
      <c r="P629" s="99" t="e">
        <f t="shared" si="404"/>
        <v>#DIV/0!</v>
      </c>
      <c r="Q629" s="99" t="e">
        <f t="shared" si="404"/>
        <v>#DIV/0!</v>
      </c>
      <c r="R629" s="99" t="e">
        <f t="shared" si="404"/>
        <v>#DIV/0!</v>
      </c>
      <c r="S629" s="114"/>
      <c r="T629" s="114"/>
      <c r="U629" s="114"/>
      <c r="V629" s="114"/>
      <c r="W629" s="114"/>
      <c r="X629" s="114"/>
      <c r="Y629" s="114"/>
      <c r="Z629" s="114"/>
      <c r="AA629" s="114"/>
      <c r="AB629" s="114"/>
      <c r="AC629" s="114"/>
      <c r="AD629" s="114"/>
      <c r="AE629" s="114"/>
      <c r="AF629" s="114"/>
    </row>
    <row r="630" spans="1:37" x14ac:dyDescent="0.2">
      <c r="E630" s="99"/>
      <c r="F630" s="99"/>
      <c r="G630" s="99"/>
      <c r="H630" s="99"/>
      <c r="I630" s="99"/>
      <c r="J630" s="99"/>
      <c r="K630" s="99"/>
      <c r="M630" s="99"/>
      <c r="N630" s="99"/>
      <c r="O630" s="99"/>
      <c r="P630" s="99"/>
      <c r="Q630" s="99"/>
      <c r="R630" s="99"/>
      <c r="S630" s="114"/>
      <c r="T630" s="114"/>
      <c r="U630" s="114"/>
      <c r="V630" s="114"/>
      <c r="W630" s="114"/>
      <c r="X630" s="114"/>
      <c r="Y630" s="114"/>
      <c r="Z630" s="114"/>
      <c r="AA630" s="114"/>
      <c r="AB630" s="114"/>
      <c r="AC630" s="114"/>
      <c r="AD630" s="114"/>
      <c r="AE630" s="114"/>
      <c r="AF630" s="114"/>
    </row>
    <row r="631" spans="1:37" x14ac:dyDescent="0.2">
      <c r="A631" s="2" t="s">
        <v>863</v>
      </c>
      <c r="F631" s="99"/>
      <c r="G631" s="99"/>
      <c r="H631" s="99"/>
      <c r="I631" s="99"/>
      <c r="J631" s="99"/>
      <c r="K631" s="99"/>
      <c r="M631" s="99"/>
      <c r="N631" s="99"/>
      <c r="O631" s="99"/>
      <c r="P631" s="99"/>
      <c r="Q631" s="99"/>
      <c r="R631" s="99"/>
      <c r="S631" s="114"/>
      <c r="T631" s="114"/>
      <c r="U631" s="114"/>
      <c r="V631" s="114"/>
      <c r="W631" s="114"/>
      <c r="X631" s="114"/>
      <c r="Y631" s="114"/>
      <c r="Z631" s="114"/>
      <c r="AA631" s="114"/>
      <c r="AB631" s="114"/>
      <c r="AC631" s="114"/>
      <c r="AD631" s="114"/>
      <c r="AE631" s="114"/>
      <c r="AF631" s="114"/>
    </row>
    <row r="632" spans="1:37" x14ac:dyDescent="0.2">
      <c r="A632" s="3" t="s">
        <v>980</v>
      </c>
      <c r="F632" s="99">
        <f t="shared" ref="F632:M632" si="408">F581</f>
        <v>0</v>
      </c>
      <c r="G632" s="22">
        <f t="shared" ref="G632:H632" si="409">G581</f>
        <v>0</v>
      </c>
      <c r="H632" s="22">
        <f t="shared" si="409"/>
        <v>0</v>
      </c>
      <c r="I632" s="22">
        <f t="shared" si="408"/>
        <v>0</v>
      </c>
      <c r="J632" s="22">
        <f t="shared" si="408"/>
        <v>0</v>
      </c>
      <c r="K632" s="22">
        <f t="shared" si="408"/>
        <v>0</v>
      </c>
      <c r="M632" s="99" t="e">
        <f t="shared" si="408"/>
        <v>#DIV/0!</v>
      </c>
      <c r="N632" s="99" t="e">
        <f t="shared" ref="N632:Q632" si="410">N581</f>
        <v>#DIV/0!</v>
      </c>
      <c r="O632" s="99" t="e">
        <f t="shared" si="410"/>
        <v>#DIV/0!</v>
      </c>
      <c r="P632" s="99" t="e">
        <f t="shared" si="410"/>
        <v>#DIV/0!</v>
      </c>
      <c r="Q632" s="99" t="e">
        <f t="shared" si="410"/>
        <v>#DIV/0!</v>
      </c>
      <c r="R632" s="22" t="e">
        <f>R581</f>
        <v>#DIV/0!</v>
      </c>
      <c r="S632" s="114"/>
      <c r="T632" s="114"/>
      <c r="U632" s="114"/>
      <c r="V632" s="114"/>
      <c r="W632" s="114"/>
      <c r="X632" s="114"/>
      <c r="Y632" s="114"/>
      <c r="Z632" s="114"/>
      <c r="AA632" s="114"/>
      <c r="AB632" s="114"/>
      <c r="AC632" s="114"/>
      <c r="AD632" s="114"/>
      <c r="AE632" s="114"/>
      <c r="AF632" s="114"/>
    </row>
    <row r="633" spans="1:37" s="49" customFormat="1" ht="15" x14ac:dyDescent="0.35">
      <c r="A633" s="49" t="s">
        <v>981</v>
      </c>
      <c r="D633" s="99"/>
      <c r="F633" s="120">
        <f>(F538*$C$544)/F$436</f>
        <v>0</v>
      </c>
      <c r="G633" s="123">
        <f>(G538*$C$544)/G$451</f>
        <v>0</v>
      </c>
      <c r="H633" s="123">
        <f>(H538*$C$544)/H$451</f>
        <v>0</v>
      </c>
      <c r="I633" s="123">
        <f>(I538*$C$544)/I$451</f>
        <v>0</v>
      </c>
      <c r="J633" s="123">
        <f>(J538*$C$544)/J$451</f>
        <v>0</v>
      </c>
      <c r="K633" s="123">
        <f>(K538*$C$544)/K$451</f>
        <v>0</v>
      </c>
      <c r="L633" s="3"/>
      <c r="M633" s="120" t="e">
        <f>(M538*$C$544)/M$436</f>
        <v>#DIV/0!</v>
      </c>
      <c r="N633" s="120" t="e">
        <f>(N538*$C$544)/N$436</f>
        <v>#DIV/0!</v>
      </c>
      <c r="O633" s="120" t="e">
        <f>(O538*$C$544)/O$436</f>
        <v>#DIV/0!</v>
      </c>
      <c r="P633" s="120" t="e">
        <f>(P538*$C$544)/P$436</f>
        <v>#DIV/0!</v>
      </c>
      <c r="Q633" s="120" t="e">
        <f>(Q538*$C$544)/Q$436</f>
        <v>#DIV/0!</v>
      </c>
      <c r="R633" s="123" t="e">
        <f>(R538*$C$544)/R$451</f>
        <v>#DIV/0!</v>
      </c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K633" s="118"/>
    </row>
    <row r="634" spans="1:37" x14ac:dyDescent="0.2">
      <c r="B634" s="3" t="s">
        <v>982</v>
      </c>
      <c r="F634" s="99">
        <f>F632+F633</f>
        <v>0</v>
      </c>
      <c r="G634" s="22">
        <f t="shared" ref="G634:H634" si="411">G632+G633</f>
        <v>0</v>
      </c>
      <c r="H634" s="22">
        <f t="shared" si="411"/>
        <v>0</v>
      </c>
      <c r="I634" s="22">
        <f t="shared" ref="I634:R634" si="412">I632+I633</f>
        <v>0</v>
      </c>
      <c r="J634" s="22">
        <f t="shared" ref="J634:K634" si="413">J632+J633</f>
        <v>0</v>
      </c>
      <c r="K634" s="22">
        <f t="shared" si="413"/>
        <v>0</v>
      </c>
      <c r="M634" s="99" t="e">
        <f>M632+M633</f>
        <v>#DIV/0!</v>
      </c>
      <c r="N634" s="99" t="e">
        <f t="shared" si="412"/>
        <v>#DIV/0!</v>
      </c>
      <c r="O634" s="99" t="e">
        <f t="shared" si="412"/>
        <v>#DIV/0!</v>
      </c>
      <c r="P634" s="99" t="e">
        <f t="shared" si="412"/>
        <v>#DIV/0!</v>
      </c>
      <c r="Q634" s="99" t="e">
        <f t="shared" si="412"/>
        <v>#DIV/0!</v>
      </c>
      <c r="R634" s="22" t="e">
        <f t="shared" si="412"/>
        <v>#DIV/0!</v>
      </c>
    </row>
    <row r="635" spans="1:37" x14ac:dyDescent="0.2">
      <c r="F635" s="99"/>
      <c r="G635" s="130"/>
      <c r="H635" s="130"/>
      <c r="I635" s="130"/>
      <c r="J635" s="130"/>
      <c r="K635" s="130"/>
      <c r="M635" s="99"/>
      <c r="N635" s="99"/>
      <c r="O635" s="99"/>
      <c r="P635" s="99"/>
      <c r="Q635" s="99"/>
      <c r="R635" s="99"/>
    </row>
    <row r="636" spans="1:37" x14ac:dyDescent="0.2">
      <c r="A636" s="2" t="s">
        <v>668</v>
      </c>
      <c r="P636" s="8"/>
    </row>
    <row r="637" spans="1:37" x14ac:dyDescent="0.2">
      <c r="A637" s="3" t="s">
        <v>983</v>
      </c>
      <c r="F637" s="99">
        <f>F586</f>
        <v>1.8726859647033266E-2</v>
      </c>
      <c r="G637" s="8">
        <f t="shared" ref="G637:H637" si="414">G611</f>
        <v>2.4677183141071866</v>
      </c>
      <c r="H637" s="8">
        <f t="shared" si="414"/>
        <v>5.1981969172822939</v>
      </c>
      <c r="I637" s="8">
        <f t="shared" ref="I637:AE637" si="415">I611</f>
        <v>5.0354178092285737</v>
      </c>
      <c r="J637" s="8">
        <f t="shared" ref="J637:K637" si="416">J611</f>
        <v>5.2115611077195352</v>
      </c>
      <c r="K637" s="8">
        <f t="shared" si="416"/>
        <v>5.13333176431669</v>
      </c>
      <c r="M637" s="99" t="e">
        <f>M586</f>
        <v>#DIV/0!</v>
      </c>
      <c r="N637" s="99" t="e">
        <f t="shared" si="415"/>
        <v>#DIV/0!</v>
      </c>
      <c r="O637" s="99" t="e">
        <f t="shared" si="415"/>
        <v>#DIV/0!</v>
      </c>
      <c r="P637" s="99" t="e">
        <f t="shared" si="415"/>
        <v>#DIV/0!</v>
      </c>
      <c r="Q637" s="99" t="e">
        <f t="shared" si="415"/>
        <v>#DIV/0!</v>
      </c>
      <c r="R637" s="8" t="e">
        <f t="shared" si="415"/>
        <v>#DIV/0!</v>
      </c>
      <c r="S637" s="114" t="e">
        <f t="shared" si="415"/>
        <v>#DIV/0!</v>
      </c>
      <c r="T637" s="114" t="e">
        <f t="shared" si="415"/>
        <v>#REF!</v>
      </c>
      <c r="U637" s="114" t="e">
        <f t="shared" si="415"/>
        <v>#REF!</v>
      </c>
      <c r="V637" s="114" t="e">
        <f t="shared" si="415"/>
        <v>#REF!</v>
      </c>
      <c r="W637" s="114" t="e">
        <f t="shared" si="415"/>
        <v>#REF!</v>
      </c>
      <c r="X637" s="114" t="e">
        <f t="shared" si="415"/>
        <v>#REF!</v>
      </c>
      <c r="Y637" s="114" t="e">
        <f t="shared" si="415"/>
        <v>#REF!</v>
      </c>
      <c r="Z637" s="114" t="e">
        <f t="shared" si="415"/>
        <v>#REF!</v>
      </c>
      <c r="AA637" s="114" t="e">
        <f t="shared" si="415"/>
        <v>#REF!</v>
      </c>
      <c r="AB637" s="114" t="e">
        <f t="shared" si="415"/>
        <v>#REF!</v>
      </c>
      <c r="AC637" s="114" t="e">
        <f t="shared" si="415"/>
        <v>#REF!</v>
      </c>
      <c r="AD637" s="114" t="e">
        <f t="shared" si="415"/>
        <v>#REF!</v>
      </c>
      <c r="AE637" s="114" t="e">
        <f t="shared" si="415"/>
        <v>#REF!</v>
      </c>
      <c r="AF637" s="114">
        <f>AF559</f>
        <v>0</v>
      </c>
    </row>
    <row r="638" spans="1:37" ht="15" x14ac:dyDescent="0.35">
      <c r="A638" s="49" t="s">
        <v>984</v>
      </c>
      <c r="D638" s="99"/>
      <c r="F638" s="120">
        <f>(F539*F623)/F436</f>
        <v>3.0792442798540372E-3</v>
      </c>
      <c r="G638" s="124">
        <f>(G539*G623)/G451</f>
        <v>0.41099903023989753</v>
      </c>
      <c r="H638" s="124">
        <f>(H539*H623)/H451</f>
        <v>0.85053622884127422</v>
      </c>
      <c r="I638" s="124">
        <f>(I539*I623)/I451</f>
        <v>0.8182665466886323</v>
      </c>
      <c r="J638" s="124">
        <f>(J539*J623)/J451</f>
        <v>0.85446257359242472</v>
      </c>
      <c r="K638" s="124">
        <f>(K539*K623)/K451</f>
        <v>0.83769219739575251</v>
      </c>
      <c r="M638" s="120" t="e">
        <f>(M539*M623)/M436</f>
        <v>#DIV/0!</v>
      </c>
      <c r="N638" s="120" t="e">
        <f>(N539*N623)/N436</f>
        <v>#DIV/0!</v>
      </c>
      <c r="O638" s="120" t="e">
        <f>(O539*O623)/O436</f>
        <v>#DIV/0!</v>
      </c>
      <c r="P638" s="120" t="e">
        <f>(P539*P623)/P436</f>
        <v>#DIV/0!</v>
      </c>
      <c r="Q638" s="120" t="e">
        <f>(Q539*Q623)/Q436</f>
        <v>#DIV/0!</v>
      </c>
      <c r="R638" s="124" t="e">
        <f>(R539*R623)/R451</f>
        <v>#DIV/0!</v>
      </c>
      <c r="S638" s="121" t="e">
        <f t="shared" ref="S638:AF638" si="417">(S539*S623)/S436</f>
        <v>#DIV/0!</v>
      </c>
      <c r="T638" s="121" t="e">
        <f t="shared" si="417"/>
        <v>#DIV/0!</v>
      </c>
      <c r="U638" s="121" t="e">
        <f t="shared" si="417"/>
        <v>#DIV/0!</v>
      </c>
      <c r="V638" s="121" t="e">
        <f t="shared" si="417"/>
        <v>#DIV/0!</v>
      </c>
      <c r="W638" s="121" t="e">
        <f t="shared" si="417"/>
        <v>#DIV/0!</v>
      </c>
      <c r="X638" s="121" t="e">
        <f t="shared" si="417"/>
        <v>#DIV/0!</v>
      </c>
      <c r="Y638" s="121" t="e">
        <f t="shared" si="417"/>
        <v>#DIV/0!</v>
      </c>
      <c r="Z638" s="121" t="e">
        <f t="shared" si="417"/>
        <v>#DIV/0!</v>
      </c>
      <c r="AA638" s="121" t="e">
        <f t="shared" si="417"/>
        <v>#DIV/0!</v>
      </c>
      <c r="AB638" s="121" t="e">
        <f t="shared" si="417"/>
        <v>#DIV/0!</v>
      </c>
      <c r="AC638" s="121" t="e">
        <f t="shared" si="417"/>
        <v>#DIV/0!</v>
      </c>
      <c r="AD638" s="121" t="e">
        <f t="shared" si="417"/>
        <v>#DIV/0!</v>
      </c>
      <c r="AE638" s="121" t="e">
        <f t="shared" si="417"/>
        <v>#DIV/0!</v>
      </c>
      <c r="AF638" s="121" t="e">
        <f t="shared" si="417"/>
        <v>#DIV/0!</v>
      </c>
    </row>
    <row r="639" spans="1:37" x14ac:dyDescent="0.2">
      <c r="B639" s="3" t="s">
        <v>985</v>
      </c>
      <c r="F639" s="99">
        <f t="shared" ref="F639:AF639" si="418">F637+F638</f>
        <v>2.1806103926887303E-2</v>
      </c>
      <c r="G639" s="8">
        <f>G637+G638</f>
        <v>2.8787173443470842</v>
      </c>
      <c r="H639" s="8">
        <f>H637+H638</f>
        <v>6.0487331461235678</v>
      </c>
      <c r="I639" s="8">
        <f>I637+I638</f>
        <v>5.8536843559172063</v>
      </c>
      <c r="J639" s="8">
        <f>J637+J638</f>
        <v>6.0660236813119601</v>
      </c>
      <c r="K639" s="8">
        <f>K637+K638</f>
        <v>5.9710239617124428</v>
      </c>
      <c r="M639" s="99" t="e">
        <f t="shared" ref="M639" si="419">M637+M638</f>
        <v>#DIV/0!</v>
      </c>
      <c r="N639" s="99" t="e">
        <f t="shared" si="418"/>
        <v>#DIV/0!</v>
      </c>
      <c r="O639" s="99" t="e">
        <f>O637+O638</f>
        <v>#DIV/0!</v>
      </c>
      <c r="P639" s="8" t="e">
        <f t="shared" si="418"/>
        <v>#DIV/0!</v>
      </c>
      <c r="Q639" s="99" t="e">
        <f t="shared" si="418"/>
        <v>#DIV/0!</v>
      </c>
      <c r="R639" s="8" t="e">
        <f>R637+R638</f>
        <v>#DIV/0!</v>
      </c>
      <c r="S639" s="114" t="e">
        <f t="shared" si="418"/>
        <v>#DIV/0!</v>
      </c>
      <c r="T639" s="114" t="e">
        <f t="shared" si="418"/>
        <v>#REF!</v>
      </c>
      <c r="U639" s="114" t="e">
        <f t="shared" si="418"/>
        <v>#REF!</v>
      </c>
      <c r="V639" s="114" t="e">
        <f t="shared" si="418"/>
        <v>#REF!</v>
      </c>
      <c r="W639" s="114" t="e">
        <f t="shared" si="418"/>
        <v>#REF!</v>
      </c>
      <c r="X639" s="114" t="e">
        <f t="shared" si="418"/>
        <v>#REF!</v>
      </c>
      <c r="Y639" s="114" t="e">
        <f t="shared" si="418"/>
        <v>#REF!</v>
      </c>
      <c r="Z639" s="114" t="e">
        <f t="shared" si="418"/>
        <v>#REF!</v>
      </c>
      <c r="AA639" s="114" t="e">
        <f t="shared" si="418"/>
        <v>#REF!</v>
      </c>
      <c r="AB639" s="114" t="e">
        <f t="shared" si="418"/>
        <v>#REF!</v>
      </c>
      <c r="AC639" s="114" t="e">
        <f t="shared" si="418"/>
        <v>#REF!</v>
      </c>
      <c r="AD639" s="114" t="e">
        <f t="shared" si="418"/>
        <v>#REF!</v>
      </c>
      <c r="AE639" s="114" t="e">
        <f t="shared" si="418"/>
        <v>#REF!</v>
      </c>
      <c r="AF639" s="114" t="e">
        <f t="shared" si="418"/>
        <v>#DIV/0!</v>
      </c>
    </row>
    <row r="641" spans="1:37" x14ac:dyDescent="0.2">
      <c r="A641" s="2" t="s">
        <v>669</v>
      </c>
    </row>
    <row r="642" spans="1:37" x14ac:dyDescent="0.2">
      <c r="A642" s="3" t="s">
        <v>670</v>
      </c>
      <c r="F642" s="20">
        <f t="shared" ref="F642:AE642" si="420">F616</f>
        <v>38.372378177684674</v>
      </c>
      <c r="G642" s="20">
        <f t="shared" ref="G642:H642" si="421">G616</f>
        <v>37.248429599435241</v>
      </c>
      <c r="H642" s="20">
        <f t="shared" si="421"/>
        <v>78.160977030979907</v>
      </c>
      <c r="I642" s="20">
        <f t="shared" si="420"/>
        <v>339.81547107978531</v>
      </c>
      <c r="J642" s="20">
        <f t="shared" ref="J642:K642" si="422">J616</f>
        <v>712.00963253854536</v>
      </c>
      <c r="K642" s="20">
        <f t="shared" si="422"/>
        <v>717.36716944496345</v>
      </c>
      <c r="M642" s="20" t="e">
        <f t="shared" ref="M642" si="423">M616</f>
        <v>#DIV/0!</v>
      </c>
      <c r="N642" s="20" t="e">
        <f t="shared" si="420"/>
        <v>#DIV/0!</v>
      </c>
      <c r="O642" s="20" t="e">
        <f t="shared" si="420"/>
        <v>#DIV/0!</v>
      </c>
      <c r="P642" s="20" t="e">
        <f t="shared" si="420"/>
        <v>#DIV/0!</v>
      </c>
      <c r="Q642" s="20" t="e">
        <f t="shared" si="420"/>
        <v>#DIV/0!</v>
      </c>
      <c r="R642" s="20" t="e">
        <f t="shared" si="420"/>
        <v>#DIV/0!</v>
      </c>
      <c r="S642" s="122" t="e">
        <f t="shared" si="420"/>
        <v>#DIV/0!</v>
      </c>
      <c r="T642" s="122" t="e">
        <f t="shared" si="420"/>
        <v>#REF!</v>
      </c>
      <c r="U642" s="122" t="e">
        <f t="shared" si="420"/>
        <v>#REF!</v>
      </c>
      <c r="V642" s="122" t="e">
        <f t="shared" si="420"/>
        <v>#REF!</v>
      </c>
      <c r="W642" s="122" t="e">
        <f t="shared" si="420"/>
        <v>#REF!</v>
      </c>
      <c r="X642" s="122" t="e">
        <f t="shared" si="420"/>
        <v>#REF!</v>
      </c>
      <c r="Y642" s="122" t="e">
        <f t="shared" si="420"/>
        <v>#REF!</v>
      </c>
      <c r="Z642" s="122" t="e">
        <f t="shared" si="420"/>
        <v>#REF!</v>
      </c>
      <c r="AA642" s="122" t="e">
        <f t="shared" si="420"/>
        <v>#REF!</v>
      </c>
      <c r="AB642" s="122" t="e">
        <f t="shared" si="420"/>
        <v>#REF!</v>
      </c>
      <c r="AC642" s="122" t="e">
        <f t="shared" si="420"/>
        <v>#REF!</v>
      </c>
      <c r="AD642" s="122" t="e">
        <f t="shared" si="420"/>
        <v>#REF!</v>
      </c>
      <c r="AE642" s="122" t="e">
        <f t="shared" si="420"/>
        <v>#REF!</v>
      </c>
      <c r="AF642" s="122">
        <f>AF560</f>
        <v>0</v>
      </c>
    </row>
    <row r="643" spans="1:37" ht="15" x14ac:dyDescent="0.35">
      <c r="A643" s="3" t="s">
        <v>671</v>
      </c>
      <c r="D643" s="22"/>
      <c r="F643" s="123">
        <f t="shared" ref="F643:AF643" si="424">(F540*F$623)/F439</f>
        <v>4.270255854876833</v>
      </c>
      <c r="G643" s="124">
        <f t="shared" ref="G643:H643" si="425">(G540*G$623)/G439</f>
        <v>4.270255854876833</v>
      </c>
      <c r="H643" s="124">
        <f t="shared" si="425"/>
        <v>6.4953093218581905</v>
      </c>
      <c r="I643" s="124">
        <f t="shared" si="424"/>
        <v>27.84798280529262</v>
      </c>
      <c r="J643" s="124">
        <f t="shared" ref="J643:K643" si="426">(J540*J$623)/J439</f>
        <v>4.6863246255994584</v>
      </c>
      <c r="K643" s="124">
        <f t="shared" si="426"/>
        <v>227.31794205645471</v>
      </c>
      <c r="M643" s="123" t="e">
        <f t="shared" ref="M643" si="427">(M540*M$623)/M439</f>
        <v>#DIV/0!</v>
      </c>
      <c r="N643" s="124" t="e">
        <f t="shared" si="424"/>
        <v>#DIV/0!</v>
      </c>
      <c r="O643" s="124" t="e">
        <f t="shared" si="424"/>
        <v>#DIV/0!</v>
      </c>
      <c r="P643" s="124" t="e">
        <f t="shared" si="424"/>
        <v>#DIV/0!</v>
      </c>
      <c r="Q643" s="124" t="e">
        <f t="shared" si="424"/>
        <v>#DIV/0!</v>
      </c>
      <c r="R643" s="124" t="e">
        <f t="shared" si="424"/>
        <v>#DIV/0!</v>
      </c>
      <c r="S643" s="125" t="e">
        <f t="shared" si="424"/>
        <v>#DIV/0!</v>
      </c>
      <c r="T643" s="125" t="e">
        <f t="shared" si="424"/>
        <v>#DIV/0!</v>
      </c>
      <c r="U643" s="125" t="e">
        <f t="shared" si="424"/>
        <v>#DIV/0!</v>
      </c>
      <c r="V643" s="125" t="e">
        <f t="shared" si="424"/>
        <v>#DIV/0!</v>
      </c>
      <c r="W643" s="125" t="e">
        <f t="shared" si="424"/>
        <v>#DIV/0!</v>
      </c>
      <c r="X643" s="125" t="e">
        <f t="shared" si="424"/>
        <v>#DIV/0!</v>
      </c>
      <c r="Y643" s="125" t="e">
        <f t="shared" si="424"/>
        <v>#DIV/0!</v>
      </c>
      <c r="Z643" s="125" t="e">
        <f t="shared" si="424"/>
        <v>#DIV/0!</v>
      </c>
      <c r="AA643" s="125" t="e">
        <f t="shared" si="424"/>
        <v>#DIV/0!</v>
      </c>
      <c r="AB643" s="125" t="e">
        <f t="shared" si="424"/>
        <v>#DIV/0!</v>
      </c>
      <c r="AC643" s="125" t="e">
        <f t="shared" si="424"/>
        <v>#DIV/0!</v>
      </c>
      <c r="AD643" s="125" t="e">
        <f t="shared" si="424"/>
        <v>#DIV/0!</v>
      </c>
      <c r="AE643" s="125" t="e">
        <f t="shared" si="424"/>
        <v>#DIV/0!</v>
      </c>
      <c r="AF643" s="125" t="e">
        <f t="shared" si="424"/>
        <v>#DIV/0!</v>
      </c>
    </row>
    <row r="644" spans="1:37" x14ac:dyDescent="0.2">
      <c r="B644" s="3" t="s">
        <v>672</v>
      </c>
      <c r="F644" s="20">
        <f t="shared" ref="F644:AF644" si="428">F642+F643</f>
        <v>42.642634032561503</v>
      </c>
      <c r="G644" s="20">
        <f t="shared" ref="G644:H644" si="429">G642+G643</f>
        <v>41.518685454312077</v>
      </c>
      <c r="H644" s="20">
        <f t="shared" si="429"/>
        <v>84.656286352838094</v>
      </c>
      <c r="I644" s="20">
        <f t="shared" si="428"/>
        <v>367.66345388507796</v>
      </c>
      <c r="J644" s="20">
        <f t="shared" ref="J644:K644" si="430">J642+J643</f>
        <v>716.69595716414483</v>
      </c>
      <c r="K644" s="20">
        <f t="shared" si="430"/>
        <v>944.68511150141819</v>
      </c>
      <c r="M644" s="20" t="e">
        <f t="shared" ref="M644" si="431">M642+M643</f>
        <v>#DIV/0!</v>
      </c>
      <c r="N644" s="20" t="e">
        <f t="shared" si="428"/>
        <v>#DIV/0!</v>
      </c>
      <c r="O644" s="20" t="e">
        <f>O642+O643</f>
        <v>#DIV/0!</v>
      </c>
      <c r="P644" s="20" t="e">
        <f t="shared" si="428"/>
        <v>#DIV/0!</v>
      </c>
      <c r="Q644" s="20" t="e">
        <f t="shared" si="428"/>
        <v>#DIV/0!</v>
      </c>
      <c r="R644" s="20" t="e">
        <f t="shared" si="428"/>
        <v>#DIV/0!</v>
      </c>
      <c r="S644" s="122" t="e">
        <f t="shared" si="428"/>
        <v>#DIV/0!</v>
      </c>
      <c r="T644" s="122" t="e">
        <f t="shared" si="428"/>
        <v>#REF!</v>
      </c>
      <c r="U644" s="122" t="e">
        <f t="shared" si="428"/>
        <v>#REF!</v>
      </c>
      <c r="V644" s="122" t="e">
        <f t="shared" si="428"/>
        <v>#REF!</v>
      </c>
      <c r="W644" s="122" t="e">
        <f t="shared" si="428"/>
        <v>#REF!</v>
      </c>
      <c r="X644" s="122" t="e">
        <f t="shared" si="428"/>
        <v>#REF!</v>
      </c>
      <c r="Y644" s="122" t="e">
        <f t="shared" si="428"/>
        <v>#REF!</v>
      </c>
      <c r="Z644" s="122" t="e">
        <f t="shared" si="428"/>
        <v>#REF!</v>
      </c>
      <c r="AA644" s="122" t="e">
        <f t="shared" si="428"/>
        <v>#REF!</v>
      </c>
      <c r="AB644" s="122" t="e">
        <f t="shared" si="428"/>
        <v>#REF!</v>
      </c>
      <c r="AC644" s="122" t="e">
        <f t="shared" si="428"/>
        <v>#REF!</v>
      </c>
      <c r="AD644" s="122" t="e">
        <f t="shared" si="428"/>
        <v>#REF!</v>
      </c>
      <c r="AE644" s="122" t="e">
        <f t="shared" si="428"/>
        <v>#REF!</v>
      </c>
      <c r="AF644" s="122" t="e">
        <f t="shared" si="428"/>
        <v>#DIV/0!</v>
      </c>
    </row>
    <row r="645" spans="1:37" x14ac:dyDescent="0.2">
      <c r="F645" s="20"/>
      <c r="G645" s="20"/>
      <c r="H645" s="20"/>
      <c r="I645" s="20"/>
      <c r="J645" s="20"/>
      <c r="K645" s="20"/>
      <c r="M645" s="20"/>
      <c r="N645" s="20"/>
      <c r="O645" s="20"/>
      <c r="P645" s="20"/>
      <c r="Q645" s="20"/>
      <c r="R645" s="20"/>
      <c r="S645" s="122"/>
      <c r="T645" s="122"/>
      <c r="U645" s="122"/>
      <c r="V645" s="122"/>
      <c r="W645" s="122"/>
      <c r="X645" s="122"/>
      <c r="Y645" s="122"/>
      <c r="Z645" s="122"/>
      <c r="AA645" s="122"/>
      <c r="AB645" s="122"/>
      <c r="AC645" s="122"/>
      <c r="AD645" s="122"/>
      <c r="AE645" s="122"/>
      <c r="AF645" s="122"/>
    </row>
    <row r="647" spans="1:37" x14ac:dyDescent="0.2"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K647" s="24"/>
    </row>
    <row r="648" spans="1:37" x14ac:dyDescent="0.2">
      <c r="A648" s="10" t="s">
        <v>847</v>
      </c>
      <c r="F648" s="130"/>
      <c r="K648" s="130"/>
      <c r="Q648" s="20"/>
      <c r="R648" s="20"/>
      <c r="S648" s="65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K648" s="24"/>
    </row>
    <row r="649" spans="1:37" x14ac:dyDescent="0.2"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K649" s="24"/>
    </row>
    <row r="650" spans="1:37" x14ac:dyDescent="0.2">
      <c r="A650" s="2" t="s">
        <v>848</v>
      </c>
      <c r="E650" s="21">
        <f>E330</f>
        <v>-1.6031219995968158E-2</v>
      </c>
      <c r="F650" s="131">
        <f t="shared" ref="F650:K650" si="432">F408</f>
        <v>-5.4263668346446352E-2</v>
      </c>
      <c r="G650" s="131">
        <f t="shared" ref="G650:H650" si="433">G408</f>
        <v>7.4907277274571304E-2</v>
      </c>
      <c r="H650" s="131">
        <f t="shared" si="433"/>
        <v>-5.848195835922522E-2</v>
      </c>
      <c r="I650" s="131">
        <f t="shared" si="432"/>
        <v>2.7539550426510576E-2</v>
      </c>
      <c r="J650" s="131">
        <f t="shared" si="432"/>
        <v>-9.8012383875504108E-2</v>
      </c>
      <c r="K650" s="131">
        <f t="shared" si="432"/>
        <v>1.3399608046579031E-2</v>
      </c>
      <c r="M650" s="131" t="e">
        <f t="shared" ref="M650:R650" si="434">M408</f>
        <v>#DIV/0!</v>
      </c>
      <c r="N650" s="131" t="e">
        <f t="shared" si="434"/>
        <v>#DIV/0!</v>
      </c>
      <c r="O650" s="131" t="e">
        <f t="shared" si="434"/>
        <v>#DIV/0!</v>
      </c>
      <c r="P650" s="131" t="e">
        <f t="shared" si="434"/>
        <v>#DIV/0!</v>
      </c>
      <c r="Q650" s="131" t="e">
        <f t="shared" si="434"/>
        <v>#DIV/0!</v>
      </c>
      <c r="R650" s="131" t="e">
        <f t="shared" si="434"/>
        <v>#DIV/0!</v>
      </c>
      <c r="S650" s="131">
        <f>S315</f>
        <v>0</v>
      </c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K650" s="24"/>
    </row>
    <row r="651" spans="1:37" x14ac:dyDescent="0.2">
      <c r="F651" s="131"/>
      <c r="G651" s="131"/>
      <c r="H651" s="131"/>
      <c r="I651" s="131"/>
      <c r="J651" s="131"/>
      <c r="K651" s="131"/>
      <c r="M651" s="131"/>
      <c r="S651" s="50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K651" s="24"/>
    </row>
    <row r="652" spans="1:37" x14ac:dyDescent="0.2">
      <c r="B652" s="3" t="s">
        <v>849</v>
      </c>
      <c r="F652" s="132">
        <f t="shared" ref="F652:R652" si="435">F593</f>
        <v>32.331714945082418</v>
      </c>
      <c r="G652" s="132">
        <f t="shared" ref="G652:H652" si="436">G593</f>
        <v>45.587151427047885</v>
      </c>
      <c r="H652" s="132">
        <f t="shared" si="436"/>
        <v>68.258511869000188</v>
      </c>
      <c r="I652" s="132">
        <f t="shared" si="435"/>
        <v>359.80820409110976</v>
      </c>
      <c r="J652" s="132">
        <f t="shared" ref="J652:K652" si="437">J593</f>
        <v>700.03575259138063</v>
      </c>
      <c r="K652" s="132">
        <f t="shared" si="437"/>
        <v>796.77208505957037</v>
      </c>
      <c r="M652" s="132" t="e">
        <f t="shared" ref="M652" si="438">M593</f>
        <v>#DIV/0!</v>
      </c>
      <c r="N652" s="132" t="e">
        <f t="shared" si="435"/>
        <v>#DIV/0!</v>
      </c>
      <c r="O652" s="132" t="e">
        <f t="shared" si="435"/>
        <v>#DIV/0!</v>
      </c>
      <c r="P652" s="132" t="e">
        <f t="shared" si="435"/>
        <v>#DIV/0!</v>
      </c>
      <c r="Q652" s="132" t="e">
        <f t="shared" si="435"/>
        <v>#DIV/0!</v>
      </c>
      <c r="R652" s="132" t="e">
        <f t="shared" si="435"/>
        <v>#DIV/0!</v>
      </c>
      <c r="S652" s="132">
        <f>S594</f>
        <v>0</v>
      </c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K652" s="24"/>
    </row>
    <row r="653" spans="1:37" x14ac:dyDescent="0.2">
      <c r="B653" s="3" t="s">
        <v>733</v>
      </c>
      <c r="F653" s="133">
        <f>F575+F576+F577+F578+F583+F588</f>
        <v>8.3323159490655441E-2</v>
      </c>
      <c r="G653" s="133">
        <f>G577+G578</f>
        <v>3.8964773278202532E-2</v>
      </c>
      <c r="H653" s="133">
        <f>H577+H578</f>
        <v>4.4135399264917254E-2</v>
      </c>
      <c r="I653" s="133">
        <f>I577+I578</f>
        <v>4.552024097884412E-2</v>
      </c>
      <c r="J653" s="133">
        <f>J577+J578</f>
        <v>3.1034878431252449E-2</v>
      </c>
      <c r="K653" s="133">
        <f>K577+K578</f>
        <v>6.4618695626013078E-2</v>
      </c>
      <c r="M653" s="133" t="e">
        <f>M575+M576+M577+M578+M583+M588</f>
        <v>#DIV/0!</v>
      </c>
      <c r="N653" s="133" t="e">
        <f>N575+N576+N577+N578+N583+N588</f>
        <v>#DIV/0!</v>
      </c>
      <c r="O653" s="133" t="e">
        <f>O575+O576+O577+O578+O583+O588</f>
        <v>#DIV/0!</v>
      </c>
      <c r="P653" s="133" t="e">
        <f>P575+P576+P577+P578+P583+P588</f>
        <v>#DIV/0!</v>
      </c>
      <c r="Q653" s="133" t="e">
        <f>Q575+Q576+Q577+Q578+Q583+Q588</f>
        <v>#DIV/0!</v>
      </c>
      <c r="R653" s="133" t="e">
        <f>R577+R578</f>
        <v>#DIV/0!</v>
      </c>
      <c r="S653" s="133" t="e">
        <f>S577+S582+S587+S588</f>
        <v>#DIV/0!</v>
      </c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K653" s="24"/>
    </row>
    <row r="654" spans="1:37" x14ac:dyDescent="0.2">
      <c r="B654" s="3" t="s">
        <v>850</v>
      </c>
      <c r="F654" s="132">
        <v>0</v>
      </c>
      <c r="G654" s="132">
        <f>G575+G576+G583+G588</f>
        <v>9.7145706794614153</v>
      </c>
      <c r="H654" s="132">
        <f>H575+H576+H583+H588</f>
        <v>10.371026863407813</v>
      </c>
      <c r="I654" s="132">
        <f>I575+I576+I583+I588</f>
        <v>7.6904910345740927</v>
      </c>
      <c r="J654" s="132">
        <f>J575+J576+J583+J588</f>
        <v>16.162580093429995</v>
      </c>
      <c r="K654" s="132">
        <f>K575+K576+K583+K588</f>
        <v>6.4040750276345726</v>
      </c>
      <c r="M654" s="132">
        <v>0</v>
      </c>
      <c r="N654" s="132">
        <v>0</v>
      </c>
      <c r="O654" s="132">
        <v>0</v>
      </c>
      <c r="P654" s="132">
        <v>0</v>
      </c>
      <c r="Q654" s="132">
        <v>0</v>
      </c>
      <c r="R654" s="132" t="e">
        <f>R575+R576+R583+R588</f>
        <v>#DIV/0!</v>
      </c>
      <c r="S654" s="132">
        <v>0</v>
      </c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K654" s="24"/>
    </row>
    <row r="655" spans="1:37" x14ac:dyDescent="0.2">
      <c r="F655" s="11"/>
      <c r="G655" s="11"/>
      <c r="H655" s="11"/>
      <c r="I655" s="11"/>
      <c r="J655" s="11"/>
      <c r="K655" s="11"/>
      <c r="M655" s="11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K655" s="24"/>
    </row>
    <row r="656" spans="1:37" x14ac:dyDescent="0.2">
      <c r="A656" s="2" t="s">
        <v>851</v>
      </c>
      <c r="E656" s="21">
        <f>E408</f>
        <v>-4.0216437994883746E-2</v>
      </c>
      <c r="F656" s="131">
        <f>E656</f>
        <v>-4.0216437994883746E-2</v>
      </c>
      <c r="G656" s="131">
        <f t="shared" ref="G656:M656" si="439">F656</f>
        <v>-4.0216437994883746E-2</v>
      </c>
      <c r="H656" s="131">
        <f t="shared" si="439"/>
        <v>-4.0216437994883746E-2</v>
      </c>
      <c r="I656" s="131">
        <f t="shared" si="439"/>
        <v>-4.0216437994883746E-2</v>
      </c>
      <c r="J656" s="131">
        <f t="shared" si="439"/>
        <v>-4.0216437994883746E-2</v>
      </c>
      <c r="K656" s="131">
        <f t="shared" si="439"/>
        <v>-4.0216437994883746E-2</v>
      </c>
      <c r="M656" s="131">
        <f t="shared" si="439"/>
        <v>0</v>
      </c>
      <c r="N656" s="131">
        <f t="shared" ref="N656:R656" si="440">M656</f>
        <v>0</v>
      </c>
      <c r="O656" s="131">
        <f t="shared" si="440"/>
        <v>0</v>
      </c>
      <c r="P656" s="131">
        <f t="shared" si="440"/>
        <v>0</v>
      </c>
      <c r="Q656" s="131">
        <f t="shared" si="440"/>
        <v>0</v>
      </c>
      <c r="R656" s="131">
        <f t="shared" si="440"/>
        <v>0</v>
      </c>
      <c r="S656" s="131">
        <f>$E$406</f>
        <v>35397246.132403851</v>
      </c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K656" s="24"/>
    </row>
    <row r="657" spans="1:37" x14ac:dyDescent="0.2">
      <c r="F657" s="131"/>
      <c r="G657" s="131"/>
      <c r="H657" s="131"/>
      <c r="I657" s="131"/>
      <c r="J657" s="131"/>
      <c r="K657" s="131"/>
      <c r="M657" s="131"/>
      <c r="N657" s="131"/>
      <c r="O657" s="131"/>
      <c r="P657" s="131"/>
      <c r="Q657" s="131"/>
      <c r="R657" s="131"/>
      <c r="S657" s="131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K657" s="24"/>
    </row>
    <row r="658" spans="1:37" x14ac:dyDescent="0.2">
      <c r="B658" s="3" t="s">
        <v>849</v>
      </c>
      <c r="F658" s="132">
        <f t="shared" ref="F658:M658" si="441">F618</f>
        <v>33.895460826817221</v>
      </c>
      <c r="G658" s="132">
        <f t="shared" ref="G658:H658" si="442">G618</f>
        <v>32.771512248567788</v>
      </c>
      <c r="H658" s="132">
        <f t="shared" si="442"/>
        <v>71.351323466763489</v>
      </c>
      <c r="I658" s="132">
        <f t="shared" si="441"/>
        <v>310.61976907862993</v>
      </c>
      <c r="J658" s="132">
        <f t="shared" si="441"/>
        <v>707.0965105287288</v>
      </c>
      <c r="K658" s="132">
        <f t="shared" si="441"/>
        <v>479.04804442256415</v>
      </c>
      <c r="M658" s="132" t="e">
        <f t="shared" si="441"/>
        <v>#DIV/0!</v>
      </c>
      <c r="N658" s="132" t="e">
        <f t="shared" ref="N658:S658" si="443">N618</f>
        <v>#DIV/0!</v>
      </c>
      <c r="O658" s="132" t="e">
        <f t="shared" si="443"/>
        <v>#DIV/0!</v>
      </c>
      <c r="P658" s="132" t="e">
        <f t="shared" si="443"/>
        <v>#DIV/0!</v>
      </c>
      <c r="Q658" s="132" t="e">
        <f t="shared" si="443"/>
        <v>#DIV/0!</v>
      </c>
      <c r="R658" s="132" t="e">
        <f t="shared" si="443"/>
        <v>#DIV/0!</v>
      </c>
      <c r="S658" s="132" t="e">
        <f t="shared" si="443"/>
        <v>#DIV/0!</v>
      </c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K658" s="24"/>
    </row>
    <row r="659" spans="1:37" x14ac:dyDescent="0.2">
      <c r="B659" s="3" t="s">
        <v>733</v>
      </c>
      <c r="F659" s="133">
        <f>F600+F601+F602+F603+F608+F613</f>
        <v>8.4450763017263342E-2</v>
      </c>
      <c r="G659" s="133">
        <f>G602+G603</f>
        <v>3.8964773278202532E-2</v>
      </c>
      <c r="H659" s="133">
        <f>H602+H603</f>
        <v>4.4135399264917254E-2</v>
      </c>
      <c r="I659" s="133">
        <f>I602+I603</f>
        <v>4.552024097884412E-2</v>
      </c>
      <c r="J659" s="133">
        <f>J602+J603</f>
        <v>3.1034878431252449E-2</v>
      </c>
      <c r="K659" s="133">
        <f>K602+K603</f>
        <v>6.4618695626013078E-2</v>
      </c>
      <c r="M659" s="133" t="e">
        <f>M600+M601+M602+M603+M608+M613</f>
        <v>#DIV/0!</v>
      </c>
      <c r="N659" s="133" t="e">
        <f>N600+N601+N602+N603+N608+N613</f>
        <v>#DIV/0!</v>
      </c>
      <c r="O659" s="133" t="e">
        <f>O600+O601+O602+O603+O608+O613</f>
        <v>#DIV/0!</v>
      </c>
      <c r="P659" s="133" t="e">
        <f>P600+P601+P602+P603+P608+P613</f>
        <v>#DIV/0!</v>
      </c>
      <c r="Q659" s="133" t="e">
        <f>Q600+Q601+Q602+Q603+Q608+Q613</f>
        <v>#DIV/0!</v>
      </c>
      <c r="R659" s="133" t="e">
        <f>R602+R603</f>
        <v>#DIV/0!</v>
      </c>
      <c r="S659" s="133" t="e">
        <f>S600+S601+S611+S612</f>
        <v>#DIV/0!</v>
      </c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K659" s="24"/>
    </row>
    <row r="660" spans="1:37" x14ac:dyDescent="0.2">
      <c r="B660" s="3" t="s">
        <v>850</v>
      </c>
      <c r="F660" s="132">
        <v>0</v>
      </c>
      <c r="G660" s="132">
        <f>G600+G601+G608+G613</f>
        <v>8.4811047108487028</v>
      </c>
      <c r="H660" s="132">
        <f>H600+H601+H608+H613</f>
        <v>10.776018863407838</v>
      </c>
      <c r="I660" s="132">
        <f>I600+I601+I608+I613</f>
        <v>6.245170878493326</v>
      </c>
      <c r="J660" s="132">
        <f>J600+J601+J608+J613</f>
        <v>17.449975628451838</v>
      </c>
      <c r="K660" s="132">
        <f>K600+K601+K608+K613</f>
        <v>5.2332261832412366</v>
      </c>
      <c r="M660" s="132">
        <v>0</v>
      </c>
      <c r="N660" s="132">
        <v>0</v>
      </c>
      <c r="O660" s="132">
        <v>0</v>
      </c>
      <c r="P660" s="132">
        <v>0</v>
      </c>
      <c r="Q660" s="132">
        <v>0</v>
      </c>
      <c r="R660" s="132" t="e">
        <f>R600+R601+R608+R613</f>
        <v>#DIV/0!</v>
      </c>
      <c r="S660" s="132">
        <v>0</v>
      </c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 t="s">
        <v>917</v>
      </c>
      <c r="AK660" s="24"/>
    </row>
    <row r="661" spans="1:37" x14ac:dyDescent="0.2">
      <c r="F661" s="11"/>
      <c r="G661" s="11"/>
      <c r="H661" s="11"/>
      <c r="I661" s="11"/>
      <c r="J661" s="11"/>
      <c r="K661" s="11"/>
      <c r="M661" s="11"/>
      <c r="N661" s="11"/>
      <c r="O661" s="11"/>
      <c r="P661" s="11"/>
      <c r="Q661" s="11"/>
      <c r="R661" s="11"/>
      <c r="S661" s="11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K661" s="24"/>
    </row>
    <row r="662" spans="1:37" x14ac:dyDescent="0.2">
      <c r="A662" s="2" t="s">
        <v>852</v>
      </c>
      <c r="E662" s="21">
        <f>C544</f>
        <v>3.8359984415764992E-2</v>
      </c>
      <c r="F662" s="131">
        <f>E662</f>
        <v>3.8359984415764992E-2</v>
      </c>
      <c r="G662" s="131">
        <f t="shared" ref="G662:M662" si="444">F662</f>
        <v>3.8359984415764992E-2</v>
      </c>
      <c r="H662" s="131">
        <f t="shared" si="444"/>
        <v>3.8359984415764992E-2</v>
      </c>
      <c r="I662" s="131">
        <f t="shared" si="444"/>
        <v>3.8359984415764992E-2</v>
      </c>
      <c r="J662" s="131">
        <f t="shared" si="444"/>
        <v>3.8359984415764992E-2</v>
      </c>
      <c r="K662" s="131">
        <f t="shared" si="444"/>
        <v>3.8359984415764992E-2</v>
      </c>
      <c r="M662" s="131">
        <f t="shared" si="444"/>
        <v>0</v>
      </c>
      <c r="N662" s="131">
        <f t="shared" ref="N662:R662" si="445">M662</f>
        <v>0</v>
      </c>
      <c r="O662" s="131">
        <f t="shared" si="445"/>
        <v>0</v>
      </c>
      <c r="P662" s="131">
        <f t="shared" si="445"/>
        <v>0</v>
      </c>
      <c r="Q662" s="131">
        <f t="shared" si="445"/>
        <v>0</v>
      </c>
      <c r="R662" s="131">
        <f t="shared" si="445"/>
        <v>0</v>
      </c>
      <c r="S662" s="131">
        <f>$C$593</f>
        <v>0</v>
      </c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K662" s="24"/>
    </row>
    <row r="663" spans="1:37" x14ac:dyDescent="0.2">
      <c r="A663" s="2"/>
      <c r="F663" s="131"/>
      <c r="G663" s="131"/>
      <c r="H663" s="131"/>
      <c r="I663" s="131"/>
      <c r="J663" s="131"/>
      <c r="K663" s="131"/>
      <c r="M663" s="131"/>
      <c r="N663" s="131"/>
      <c r="O663" s="131"/>
      <c r="P663" s="131"/>
      <c r="Q663" s="131"/>
      <c r="R663" s="131"/>
      <c r="S663" s="131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K663" s="24"/>
    </row>
    <row r="664" spans="1:37" x14ac:dyDescent="0.2">
      <c r="B664" s="3" t="s">
        <v>849</v>
      </c>
      <c r="F664" s="132">
        <f>F644</f>
        <v>42.642634032561503</v>
      </c>
      <c r="G664" s="132">
        <f t="shared" ref="G664:H664" si="446">G644</f>
        <v>41.518685454312077</v>
      </c>
      <c r="H664" s="132">
        <f t="shared" si="446"/>
        <v>84.656286352838094</v>
      </c>
      <c r="I664" s="132">
        <f t="shared" ref="I664:R664" si="447">I644</f>
        <v>367.66345388507796</v>
      </c>
      <c r="J664" s="132">
        <f t="shared" ref="J664:K664" si="448">J644</f>
        <v>716.69595716414483</v>
      </c>
      <c r="K664" s="132">
        <f t="shared" si="448"/>
        <v>944.68511150141819</v>
      </c>
      <c r="M664" s="132" t="e">
        <f>M644</f>
        <v>#DIV/0!</v>
      </c>
      <c r="N664" s="132" t="e">
        <f t="shared" si="447"/>
        <v>#DIV/0!</v>
      </c>
      <c r="O664" s="132" t="e">
        <f t="shared" si="447"/>
        <v>#DIV/0!</v>
      </c>
      <c r="P664" s="132" t="e">
        <f t="shared" si="447"/>
        <v>#DIV/0!</v>
      </c>
      <c r="Q664" s="132" t="e">
        <f t="shared" si="447"/>
        <v>#DIV/0!</v>
      </c>
      <c r="R664" s="132" t="e">
        <f t="shared" si="447"/>
        <v>#DIV/0!</v>
      </c>
      <c r="S664" s="132" t="e">
        <f>S644</f>
        <v>#DIV/0!</v>
      </c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K664" s="24"/>
    </row>
    <row r="665" spans="1:37" x14ac:dyDescent="0.2">
      <c r="B665" s="3" t="s">
        <v>733</v>
      </c>
      <c r="F665" s="133">
        <f>F626+F627+F628+F629+F634+F639</f>
        <v>9.075827338058734E-2</v>
      </c>
      <c r="G665" s="133">
        <f>G628+G629</f>
        <v>3.8964773278202532E-2</v>
      </c>
      <c r="H665" s="133">
        <f>H628+H629</f>
        <v>4.4135399264917254E-2</v>
      </c>
      <c r="I665" s="133">
        <f>I628+I629</f>
        <v>4.552024097884412E-2</v>
      </c>
      <c r="J665" s="133">
        <f>J628+J629</f>
        <v>3.1034878431252449E-2</v>
      </c>
      <c r="K665" s="133">
        <f>K628+K629</f>
        <v>6.4618695626013078E-2</v>
      </c>
      <c r="M665" s="133" t="e">
        <f>M626+M627+M628+M629+M634+M639</f>
        <v>#DIV/0!</v>
      </c>
      <c r="N665" s="133" t="e">
        <f t="shared" ref="N665:Q665" si="449">N626+N627+N628+N629+N634+N639</f>
        <v>#DIV/0!</v>
      </c>
      <c r="O665" s="133" t="e">
        <f t="shared" si="449"/>
        <v>#DIV/0!</v>
      </c>
      <c r="P665" s="133" t="e">
        <f t="shared" si="449"/>
        <v>#DIV/0!</v>
      </c>
      <c r="Q665" s="133" t="e">
        <f t="shared" si="449"/>
        <v>#DIV/0!</v>
      </c>
      <c r="R665" s="133" t="e">
        <f>R628+R629</f>
        <v>#DIV/0!</v>
      </c>
      <c r="S665" s="133" t="e">
        <f>S626+S627+S637+S638</f>
        <v>#DIV/0!</v>
      </c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K665" s="24"/>
    </row>
    <row r="666" spans="1:37" x14ac:dyDescent="0.2">
      <c r="B666" s="3" t="s">
        <v>850</v>
      </c>
      <c r="F666" s="132">
        <v>0</v>
      </c>
      <c r="G666" s="132">
        <f>G626+G627+G634+G639</f>
        <v>9.3229933065391855</v>
      </c>
      <c r="H666" s="132">
        <f>H626+H627+H634+H639</f>
        <v>12.518253512635846</v>
      </c>
      <c r="I666" s="132">
        <f>I626+I627+I634+I639</f>
        <v>7.9213044535289967</v>
      </c>
      <c r="J666" s="132">
        <f>J626+J627+J634+J639</f>
        <v>19.200252984901841</v>
      </c>
      <c r="K666" s="132">
        <f>K626+K627+K634+K639</f>
        <v>6.9491511752655208</v>
      </c>
      <c r="M666" s="132">
        <v>0</v>
      </c>
      <c r="N666" s="132">
        <v>0</v>
      </c>
      <c r="O666" s="132">
        <v>0</v>
      </c>
      <c r="P666" s="132">
        <v>0</v>
      </c>
      <c r="Q666" s="132">
        <v>0</v>
      </c>
      <c r="R666" s="132" t="e">
        <f>R626+R627+R634+R639</f>
        <v>#DIV/0!</v>
      </c>
      <c r="S666" s="132">
        <v>0</v>
      </c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K666" s="24"/>
    </row>
    <row r="667" spans="1:37" x14ac:dyDescent="0.2">
      <c r="B667" s="11"/>
      <c r="G667" s="11"/>
      <c r="H667" s="11"/>
      <c r="I667" s="133"/>
      <c r="J667" s="11"/>
      <c r="K667" s="11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</row>
  </sheetData>
  <phoneticPr fontId="0" type="noConversion"/>
  <conditionalFormatting sqref="AH1">
    <cfRule type="cellIs" dxfId="4" priority="55" operator="equal">
      <formula>"err"</formula>
    </cfRule>
  </conditionalFormatting>
  <conditionalFormatting sqref="AH4:AH645">
    <cfRule type="containsText" dxfId="3" priority="1" operator="containsText" text="err">
      <formula>NOT(ISERROR(SEARCH("err",AH4)))</formula>
    </cfRule>
    <cfRule type="cellIs" dxfId="2" priority="2" operator="equal">
      <formula>"""err"""</formula>
    </cfRule>
  </conditionalFormatting>
  <printOptions horizontalCentered="1"/>
  <pageMargins left="0.25" right="0.25" top="1.25" bottom="0.5" header="0.5" footer="0.2"/>
  <pageSetup scale="65" pageOrder="overThenDown" orientation="landscape" r:id="rId1"/>
  <headerFooter alignWithMargins="0">
    <oddHeader>&amp;C&amp;"Times New Roman,Bold"BIG SANDY RECC
Cost of Service Study
Class Allocation
12 Months Ended December 31, 2023</oddHeader>
    <oddFooter>&amp;RExhibit JW-5
Page &amp;P of &amp;N</oddFooter>
  </headerFooter>
  <rowBreaks count="18" manualBreakCount="18">
    <brk id="42" max="10" man="1"/>
    <brk id="80" max="10" man="1"/>
    <brk id="118" max="10" man="1"/>
    <brk id="156" max="10" man="1"/>
    <brk id="194" max="10" man="1"/>
    <brk id="232" max="10" man="1"/>
    <brk id="270" max="10" man="1"/>
    <brk id="308" max="10" man="1"/>
    <brk id="332" max="10" man="1"/>
    <brk id="409" max="10" man="1"/>
    <brk id="451" max="10" man="1"/>
    <brk id="495" max="10" man="1"/>
    <brk id="514" max="10" man="1"/>
    <brk id="552" max="10" man="1"/>
    <brk id="570" max="10" man="1"/>
    <brk id="595" max="10" man="1"/>
    <brk id="621" max="10" man="1"/>
    <brk id="646" max="10" man="1"/>
  </rowBreaks>
  <colBreaks count="3" manualBreakCount="3">
    <brk id="15" max="651" man="1"/>
    <brk id="19" max="568" man="1"/>
    <brk id="25" max="568" man="1"/>
  </colBreaks>
  <ignoredErrors>
    <ignoredError sqref="F459:M459 F480:M480 F466:M466 F487:M487 I557:K557 I566:K566 F601 F627 M637 M528 F513:K513 F506:J506 E473:M473 M442 M506 L513:M513 L506 F494:K494 M601 M627 I469 L469 L528 I429:J429 F429:H429 I601:K601 I627:K627 G557:H557 G566:H566 G601:H601 G627:H627 F362:I362 F343:K343 E528:K52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207"/>
  <sheetViews>
    <sheetView view="pageBreakPreview" zoomScale="75" zoomScaleNormal="75" zoomScaleSheetLayoutView="75" workbookViewId="0">
      <selection activeCell="L26" sqref="L26:N26"/>
    </sheetView>
  </sheetViews>
  <sheetFormatPr defaultColWidth="9.140625" defaultRowHeight="12.75" x14ac:dyDescent="0.2"/>
  <cols>
    <col min="1" max="1" width="43.140625" style="3" customWidth="1"/>
    <col min="2" max="2" width="10.28515625" style="12" customWidth="1"/>
    <col min="3" max="3" width="12.5703125" style="3" bestFit="1" customWidth="1"/>
    <col min="4" max="5" width="14.42578125" style="3" customWidth="1"/>
    <col min="6" max="6" width="12.5703125" style="3" bestFit="1" customWidth="1"/>
    <col min="7" max="7" width="13.140625" style="3" bestFit="1" customWidth="1"/>
    <col min="8" max="8" width="14.5703125" style="3" bestFit="1" customWidth="1"/>
    <col min="9" max="11" width="12.5703125" style="3" bestFit="1" customWidth="1"/>
    <col min="12" max="12" width="20.140625" style="3" customWidth="1"/>
    <col min="13" max="13" width="12.5703125" style="3" bestFit="1" customWidth="1"/>
    <col min="14" max="14" width="14.42578125" style="3" customWidth="1"/>
    <col min="15" max="15" width="14.28515625" style="3" bestFit="1" customWidth="1"/>
    <col min="16" max="16" width="17.85546875" style="3" customWidth="1"/>
    <col min="17" max="17" width="17.28515625" style="3" customWidth="1"/>
    <col min="18" max="20" width="15" style="3" bestFit="1" customWidth="1"/>
    <col min="21" max="21" width="9.140625" style="3"/>
    <col min="22" max="22" width="11.85546875" style="3" bestFit="1" customWidth="1"/>
    <col min="23" max="25" width="9.140625" style="3"/>
    <col min="26" max="26" width="15.28515625" style="3" bestFit="1" customWidth="1"/>
    <col min="27" max="16384" width="9.140625" style="3"/>
  </cols>
  <sheetData>
    <row r="1" spans="1:27" x14ac:dyDescent="0.2">
      <c r="A1" s="2" t="s">
        <v>1082</v>
      </c>
    </row>
    <row r="2" spans="1:27" x14ac:dyDescent="0.2">
      <c r="A2" s="3" t="s">
        <v>677</v>
      </c>
    </row>
    <row r="3" spans="1:27" x14ac:dyDescent="0.2">
      <c r="C3" s="134"/>
      <c r="D3" s="11"/>
      <c r="E3" s="11"/>
      <c r="F3" s="6" t="s">
        <v>713</v>
      </c>
      <c r="G3" s="6" t="s">
        <v>684</v>
      </c>
      <c r="H3" s="11"/>
      <c r="I3" s="11"/>
      <c r="J3" s="11"/>
      <c r="K3" s="11"/>
      <c r="M3" s="134"/>
      <c r="N3" s="11"/>
      <c r="O3" s="11"/>
      <c r="Q3" s="6"/>
      <c r="R3" s="6"/>
    </row>
    <row r="4" spans="1:27" x14ac:dyDescent="0.2">
      <c r="A4" s="12"/>
      <c r="C4" s="11"/>
      <c r="D4" s="11"/>
      <c r="E4" s="11"/>
      <c r="F4" s="6" t="s">
        <v>683</v>
      </c>
      <c r="G4" s="6" t="s">
        <v>683</v>
      </c>
      <c r="H4" s="6" t="s">
        <v>693</v>
      </c>
      <c r="I4" s="6" t="s">
        <v>684</v>
      </c>
      <c r="J4" s="6" t="s">
        <v>686</v>
      </c>
      <c r="K4" s="6" t="s">
        <v>687</v>
      </c>
      <c r="M4" s="11"/>
      <c r="N4" s="11"/>
      <c r="O4" s="11"/>
      <c r="P4" s="12"/>
      <c r="Q4" s="6"/>
      <c r="R4" s="6"/>
      <c r="T4" s="12"/>
    </row>
    <row r="5" spans="1:27" s="6" customFormat="1" x14ac:dyDescent="0.2">
      <c r="B5" s="32"/>
      <c r="C5" s="6" t="s">
        <v>581</v>
      </c>
      <c r="F5" s="6" t="s">
        <v>714</v>
      </c>
      <c r="G5" s="6" t="s">
        <v>12</v>
      </c>
      <c r="H5" s="6" t="s">
        <v>694</v>
      </c>
      <c r="I5" s="6" t="s">
        <v>644</v>
      </c>
      <c r="J5" s="6" t="s">
        <v>644</v>
      </c>
      <c r="K5" s="6" t="s">
        <v>644</v>
      </c>
      <c r="L5" s="3"/>
      <c r="M5" s="6" t="str">
        <f>C5</f>
        <v>Average</v>
      </c>
      <c r="P5" s="11" t="s">
        <v>875</v>
      </c>
      <c r="Q5" s="6" t="s">
        <v>875</v>
      </c>
    </row>
    <row r="6" spans="1:27" s="6" customFormat="1" x14ac:dyDescent="0.2">
      <c r="A6" s="135" t="s">
        <v>832</v>
      </c>
      <c r="B6" s="136" t="s">
        <v>840</v>
      </c>
      <c r="C6" s="5" t="s">
        <v>583</v>
      </c>
      <c r="D6" s="5" t="s">
        <v>915</v>
      </c>
      <c r="E6" s="5" t="s">
        <v>347</v>
      </c>
      <c r="F6" s="5" t="s">
        <v>10</v>
      </c>
      <c r="G6" s="5" t="s">
        <v>682</v>
      </c>
      <c r="H6" s="5" t="s">
        <v>695</v>
      </c>
      <c r="I6" s="5" t="s">
        <v>685</v>
      </c>
      <c r="J6" s="5" t="s">
        <v>685</v>
      </c>
      <c r="K6" s="5" t="s">
        <v>685</v>
      </c>
      <c r="L6" s="135" t="s">
        <v>832</v>
      </c>
      <c r="M6" s="5" t="str">
        <f t="shared" ref="M6:M25" si="0">C6</f>
        <v>Customers</v>
      </c>
      <c r="N6" s="5" t="str">
        <f t="shared" ref="N6:O14" si="1">D6</f>
        <v>kWh</v>
      </c>
      <c r="O6" s="5" t="str">
        <f t="shared" si="1"/>
        <v>Revenue</v>
      </c>
      <c r="P6" s="5" t="s">
        <v>835</v>
      </c>
      <c r="Q6" s="5" t="s">
        <v>876</v>
      </c>
    </row>
    <row r="7" spans="1:27" x14ac:dyDescent="0.2">
      <c r="A7" s="12"/>
      <c r="C7" s="24"/>
      <c r="D7" s="24"/>
      <c r="E7" s="24"/>
      <c r="G7" s="24"/>
      <c r="H7" s="24"/>
      <c r="I7" s="24"/>
      <c r="J7" s="24"/>
      <c r="K7" s="24"/>
      <c r="L7" s="12"/>
      <c r="M7" s="24"/>
      <c r="N7" s="24"/>
      <c r="O7" s="24"/>
      <c r="P7" s="24"/>
      <c r="Q7" s="24"/>
    </row>
    <row r="8" spans="1:27" x14ac:dyDescent="0.2">
      <c r="A8" s="105" t="str">
        <f>'Summary of Returns'!B10</f>
        <v>A1 - Farm &amp; Home</v>
      </c>
      <c r="B8" s="137" t="str">
        <f>'Summary of Returns'!C10</f>
        <v>A1</v>
      </c>
      <c r="C8" s="138">
        <f>O39/12</f>
        <v>11593.583333333334</v>
      </c>
      <c r="D8" s="138">
        <f>O40</f>
        <v>142863015</v>
      </c>
      <c r="E8" s="140">
        <v>19440092.170000002</v>
      </c>
      <c r="F8" s="15">
        <f>O47</f>
        <v>1087864.9823277579</v>
      </c>
      <c r="G8" s="15">
        <f>P47</f>
        <v>121889.84468339308</v>
      </c>
      <c r="H8" s="139">
        <f>Q43</f>
        <v>57862.682820888382</v>
      </c>
      <c r="I8" s="138">
        <f>R45</f>
        <v>386010.19981960894</v>
      </c>
      <c r="J8" s="138">
        <f>S45</f>
        <v>89199.945203566371</v>
      </c>
      <c r="K8" s="138">
        <f>T45</f>
        <v>296810.2546160426</v>
      </c>
      <c r="L8" s="105" t="str">
        <f>A8</f>
        <v>A1 - Farm &amp; Home</v>
      </c>
      <c r="M8" s="138">
        <f t="shared" si="0"/>
        <v>11593.583333333334</v>
      </c>
      <c r="N8" s="138">
        <f>D8</f>
        <v>142863015</v>
      </c>
      <c r="O8" s="140">
        <f t="shared" si="1"/>
        <v>19440092.170000002</v>
      </c>
      <c r="P8" s="42">
        <f t="shared" ref="P8:P23" si="2">D8/$D$25</f>
        <v>0.73231296599483775</v>
      </c>
      <c r="Q8" s="42">
        <f t="shared" ref="Q8:Q23" si="3">E8/$E$25</f>
        <v>0.75104856700373301</v>
      </c>
      <c r="R8" s="141"/>
      <c r="W8" s="6"/>
      <c r="X8" s="6"/>
      <c r="Y8" s="6"/>
      <c r="Z8" s="6"/>
      <c r="AA8" s="6"/>
    </row>
    <row r="9" spans="1:27" x14ac:dyDescent="0.2">
      <c r="A9" s="105" t="str">
        <f>'Summary of Returns'!B11</f>
        <v>A2 - Commercial &amp; Small Power</v>
      </c>
      <c r="B9" s="137" t="str">
        <f>'Summary of Returns'!C11</f>
        <v>A2</v>
      </c>
      <c r="C9" s="138">
        <f>O49/12</f>
        <v>873.41666666666663</v>
      </c>
      <c r="D9" s="138">
        <f>O50</f>
        <v>8504773</v>
      </c>
      <c r="E9" s="140">
        <v>1385991.1199999999</v>
      </c>
      <c r="F9" s="15">
        <f>O57</f>
        <v>39332.480633802814</v>
      </c>
      <c r="G9" s="15">
        <f>P57</f>
        <v>4019.9559859154929</v>
      </c>
      <c r="H9" s="139">
        <f>Q53</f>
        <v>2926.390243853969</v>
      </c>
      <c r="I9" s="138">
        <f>R55</f>
        <v>24885.903114521429</v>
      </c>
      <c r="J9" s="138">
        <f>S55</f>
        <v>5707.7954580478954</v>
      </c>
      <c r="K9" s="138">
        <f>T55</f>
        <v>19178.107656473534</v>
      </c>
      <c r="L9" s="105" t="str">
        <f t="shared" ref="L9:L15" si="4">A9</f>
        <v>A2 - Commercial &amp; Small Power</v>
      </c>
      <c r="M9" s="138">
        <f t="shared" si="0"/>
        <v>873.41666666666663</v>
      </c>
      <c r="N9" s="138">
        <f t="shared" ref="N9:N25" si="5">D9</f>
        <v>8504773</v>
      </c>
      <c r="O9" s="140">
        <f t="shared" si="1"/>
        <v>1385991.1199999999</v>
      </c>
      <c r="P9" s="42">
        <f t="shared" si="2"/>
        <v>4.3595296800524715E-2</v>
      </c>
      <c r="Q9" s="42">
        <f t="shared" si="3"/>
        <v>5.3546384217369625E-2</v>
      </c>
      <c r="R9" s="141"/>
      <c r="W9" s="6"/>
      <c r="X9" s="6"/>
      <c r="Y9" s="6"/>
      <c r="Z9" s="6"/>
      <c r="AA9" s="6"/>
    </row>
    <row r="10" spans="1:27" x14ac:dyDescent="0.2">
      <c r="A10" s="105" t="str">
        <f>'Summary of Returns'!B12</f>
        <v xml:space="preserve">LP - Large Power </v>
      </c>
      <c r="B10" s="137" t="str">
        <f>'Summary of Returns'!C12</f>
        <v>LP</v>
      </c>
      <c r="C10" s="138">
        <f>O59/12</f>
        <v>160.25</v>
      </c>
      <c r="D10" s="138">
        <f>O60</f>
        <v>22805417</v>
      </c>
      <c r="E10" s="140">
        <v>2519950.3499999996</v>
      </c>
      <c r="F10" s="15">
        <f>O67</f>
        <v>79986.506172839494</v>
      </c>
      <c r="G10" s="15">
        <f>P67</f>
        <v>8446.8981481481478</v>
      </c>
      <c r="H10" s="139">
        <f>Q63</f>
        <v>6416.7940508567444</v>
      </c>
      <c r="I10" s="138">
        <f>R65</f>
        <v>50806.204288990819</v>
      </c>
      <c r="J10" s="138">
        <f>S65</f>
        <v>12825.638327293545</v>
      </c>
      <c r="K10" s="138">
        <f>T65</f>
        <v>37980.56596169727</v>
      </c>
      <c r="L10" s="105" t="str">
        <f t="shared" si="4"/>
        <v xml:space="preserve">LP - Large Power </v>
      </c>
      <c r="M10" s="138">
        <f t="shared" si="0"/>
        <v>160.25</v>
      </c>
      <c r="N10" s="138">
        <f t="shared" si="5"/>
        <v>22805417</v>
      </c>
      <c r="O10" s="140">
        <f t="shared" si="1"/>
        <v>2519950.3499999996</v>
      </c>
      <c r="P10" s="42">
        <f t="shared" si="2"/>
        <v>0.1169001127689983</v>
      </c>
      <c r="Q10" s="42">
        <f t="shared" si="3"/>
        <v>9.7355767798710746E-2</v>
      </c>
      <c r="R10" s="141"/>
      <c r="W10" s="6"/>
      <c r="X10" s="6"/>
      <c r="Y10" s="6"/>
      <c r="Z10" s="6"/>
      <c r="AA10" s="6"/>
    </row>
    <row r="11" spans="1:27" x14ac:dyDescent="0.2">
      <c r="A11" s="105" t="str">
        <f>'Summary of Returns'!B13</f>
        <v>LPR - Large Power</v>
      </c>
      <c r="B11" s="137" t="str">
        <f>'Summary of Returns'!C13</f>
        <v>LPR</v>
      </c>
      <c r="C11" s="138">
        <f>O69/12</f>
        <v>8.5</v>
      </c>
      <c r="D11" s="138">
        <f>O70</f>
        <v>10505980</v>
      </c>
      <c r="E11" s="140">
        <v>1060512.9200000002</v>
      </c>
      <c r="F11" s="15">
        <f>O77</f>
        <v>39891.143712574856</v>
      </c>
      <c r="G11" s="15">
        <f>P77</f>
        <v>3937.0404191616767</v>
      </c>
      <c r="H11" s="139">
        <f>Q73</f>
        <v>1755.1478494623655</v>
      </c>
      <c r="I11" s="138">
        <f>R75</f>
        <v>8097.951504896314</v>
      </c>
      <c r="J11" s="138">
        <f>S75</f>
        <v>1913.6122983870969</v>
      </c>
      <c r="K11" s="138">
        <f>T75</f>
        <v>6184.3392065092175</v>
      </c>
      <c r="L11" s="105" t="str">
        <f t="shared" si="4"/>
        <v>LPR - Large Power</v>
      </c>
      <c r="M11" s="138">
        <f t="shared" si="0"/>
        <v>8.5</v>
      </c>
      <c r="N11" s="138">
        <f t="shared" si="5"/>
        <v>10505980</v>
      </c>
      <c r="O11" s="140">
        <f t="shared" si="1"/>
        <v>1060512.9200000002</v>
      </c>
      <c r="P11" s="42">
        <f t="shared" si="2"/>
        <v>5.3853443975562507E-2</v>
      </c>
      <c r="Q11" s="42">
        <f t="shared" si="3"/>
        <v>4.0971858666601406E-2</v>
      </c>
      <c r="R11" s="141"/>
      <c r="W11" s="6"/>
      <c r="X11" s="6"/>
      <c r="Y11" s="6"/>
      <c r="Z11" s="6"/>
      <c r="AA11" s="6"/>
    </row>
    <row r="12" spans="1:27" x14ac:dyDescent="0.2">
      <c r="A12" s="105" t="str">
        <f>'Summary of Returns'!B14</f>
        <v>IND 1-B - Industrial</v>
      </c>
      <c r="B12" s="137" t="str">
        <f>'Summary of Returns'!C14</f>
        <v>IND-1B</v>
      </c>
      <c r="C12" s="138">
        <f>O79/12</f>
        <v>1</v>
      </c>
      <c r="D12" s="138">
        <f>O80</f>
        <v>6778800</v>
      </c>
      <c r="E12" s="140">
        <v>580947.92000000004</v>
      </c>
      <c r="F12" s="15">
        <f>O87</f>
        <v>13578.033082706765</v>
      </c>
      <c r="G12" s="15">
        <f>P87</f>
        <v>1258.9398496240601</v>
      </c>
      <c r="H12" s="139">
        <f>Q83</f>
        <v>1258.9398496240601</v>
      </c>
      <c r="I12" s="138">
        <f>R85</f>
        <v>10862.426466165412</v>
      </c>
      <c r="J12" s="138">
        <f>S85</f>
        <v>2910.0090225563908</v>
      </c>
      <c r="K12" s="138">
        <f>T85</f>
        <v>7952.4174436090216</v>
      </c>
      <c r="L12" s="105" t="str">
        <f t="shared" si="4"/>
        <v>IND 1-B - Industrial</v>
      </c>
      <c r="M12" s="138">
        <f t="shared" si="0"/>
        <v>1</v>
      </c>
      <c r="N12" s="138">
        <f t="shared" si="5"/>
        <v>6778800</v>
      </c>
      <c r="O12" s="140">
        <f t="shared" si="1"/>
        <v>580947.92000000004</v>
      </c>
      <c r="P12" s="42">
        <f t="shared" si="2"/>
        <v>3.474799362092286E-2</v>
      </c>
      <c r="Q12" s="42">
        <f t="shared" si="3"/>
        <v>2.2444343319170553E-2</v>
      </c>
      <c r="R12" s="141"/>
      <c r="W12" s="6"/>
      <c r="X12" s="6"/>
      <c r="Y12" s="6"/>
      <c r="Z12" s="6"/>
      <c r="AA12" s="6"/>
    </row>
    <row r="13" spans="1:27" x14ac:dyDescent="0.2">
      <c r="A13" s="105" t="str">
        <f>'Summary of Returns'!B15</f>
        <v>Lighting</v>
      </c>
      <c r="B13" s="137" t="str">
        <f>'Summary of Returns'!C15</f>
        <v>YL</v>
      </c>
      <c r="C13" s="138">
        <f>O89/12</f>
        <v>33.583333333333336</v>
      </c>
      <c r="D13" s="138">
        <f>O90</f>
        <v>3626660</v>
      </c>
      <c r="E13" s="140">
        <v>896440.36</v>
      </c>
      <c r="F13" s="15">
        <f>O97</f>
        <v>52099.623999999996</v>
      </c>
      <c r="G13" s="15">
        <f>P97</f>
        <v>5064</v>
      </c>
      <c r="H13" s="139">
        <f>Q93</f>
        <v>907.29761904761904</v>
      </c>
      <c r="I13" s="138">
        <f>R95</f>
        <v>5003.3152713773679</v>
      </c>
      <c r="J13" s="138">
        <f>S95</f>
        <v>0</v>
      </c>
      <c r="K13" s="138">
        <f>T95</f>
        <v>5003.3152713773679</v>
      </c>
      <c r="L13" s="105" t="str">
        <f t="shared" si="4"/>
        <v>Lighting</v>
      </c>
      <c r="M13" s="138">
        <f t="shared" si="0"/>
        <v>33.583333333333336</v>
      </c>
      <c r="N13" s="138">
        <f t="shared" si="5"/>
        <v>3626660</v>
      </c>
      <c r="O13" s="140">
        <f t="shared" si="1"/>
        <v>896440.36</v>
      </c>
      <c r="P13" s="42">
        <f t="shared" si="2"/>
        <v>1.8590186839153845E-2</v>
      </c>
      <c r="Q13" s="42">
        <f t="shared" si="3"/>
        <v>3.4633078994414583E-2</v>
      </c>
      <c r="R13" s="141"/>
      <c r="W13" s="6"/>
      <c r="X13" s="6"/>
      <c r="Y13" s="6"/>
      <c r="Z13" s="6"/>
      <c r="AA13" s="6"/>
    </row>
    <row r="14" spans="1:27" hidden="1" x14ac:dyDescent="0.2">
      <c r="A14" s="105"/>
      <c r="B14" s="137"/>
      <c r="C14" s="138">
        <f>O99/12</f>
        <v>0</v>
      </c>
      <c r="D14" s="138">
        <f>O100</f>
        <v>0</v>
      </c>
      <c r="E14" s="140">
        <v>0</v>
      </c>
      <c r="F14" s="15">
        <f>O107</f>
        <v>0</v>
      </c>
      <c r="G14" s="15">
        <f>P107</f>
        <v>0</v>
      </c>
      <c r="H14" s="139">
        <f>Q103</f>
        <v>0</v>
      </c>
      <c r="I14" s="138">
        <f>R105</f>
        <v>0</v>
      </c>
      <c r="J14" s="138">
        <f>S105</f>
        <v>0</v>
      </c>
      <c r="K14" s="138">
        <f>T105</f>
        <v>0</v>
      </c>
      <c r="L14" s="105">
        <f t="shared" si="4"/>
        <v>0</v>
      </c>
      <c r="M14" s="138">
        <f t="shared" si="0"/>
        <v>0</v>
      </c>
      <c r="N14" s="138">
        <f t="shared" si="5"/>
        <v>0</v>
      </c>
      <c r="O14" s="140">
        <f t="shared" si="1"/>
        <v>0</v>
      </c>
      <c r="P14" s="42">
        <f t="shared" si="2"/>
        <v>0</v>
      </c>
      <c r="Q14" s="42">
        <f t="shared" si="3"/>
        <v>0</v>
      </c>
      <c r="R14" s="141"/>
      <c r="W14" s="6"/>
      <c r="X14" s="6"/>
      <c r="Y14" s="6"/>
      <c r="Z14" s="6"/>
      <c r="AA14" s="6"/>
    </row>
    <row r="15" spans="1:27" hidden="1" x14ac:dyDescent="0.2">
      <c r="A15" s="105">
        <f>'Summary of Returns'!B17</f>
        <v>0</v>
      </c>
      <c r="B15" s="137">
        <f>'Summary of Returns'!C17</f>
        <v>0</v>
      </c>
      <c r="C15" s="138">
        <f>O109/12</f>
        <v>0</v>
      </c>
      <c r="D15" s="138">
        <f>O110</f>
        <v>0</v>
      </c>
      <c r="E15" s="140">
        <v>0</v>
      </c>
      <c r="F15" s="15">
        <f>O117</f>
        <v>0</v>
      </c>
      <c r="G15" s="15">
        <f>P117</f>
        <v>0</v>
      </c>
      <c r="H15" s="139">
        <f>Q113</f>
        <v>0</v>
      </c>
      <c r="I15" s="138">
        <f>R115</f>
        <v>0</v>
      </c>
      <c r="J15" s="138">
        <f>S115</f>
        <v>0</v>
      </c>
      <c r="K15" s="138">
        <f>T115</f>
        <v>0</v>
      </c>
      <c r="L15" s="105">
        <f t="shared" si="4"/>
        <v>0</v>
      </c>
      <c r="M15" s="138">
        <f t="shared" si="0"/>
        <v>0</v>
      </c>
      <c r="N15" s="138">
        <f t="shared" si="5"/>
        <v>0</v>
      </c>
      <c r="O15" s="140">
        <f t="shared" ref="O15:O25" si="6">E15</f>
        <v>0</v>
      </c>
      <c r="P15" s="42">
        <f t="shared" si="2"/>
        <v>0</v>
      </c>
      <c r="Q15" s="42">
        <f t="shared" si="3"/>
        <v>0</v>
      </c>
      <c r="R15" s="141"/>
      <c r="W15" s="6"/>
      <c r="X15" s="6"/>
      <c r="Y15" s="6"/>
      <c r="Z15" s="6"/>
      <c r="AA15" s="6"/>
    </row>
    <row r="16" spans="1:27" hidden="1" x14ac:dyDescent="0.2">
      <c r="A16" s="105">
        <f>'Summary of Returns'!B18</f>
        <v>0</v>
      </c>
      <c r="B16" s="137">
        <f>'Summary of Returns'!C18</f>
        <v>0</v>
      </c>
      <c r="C16" s="138">
        <v>0</v>
      </c>
      <c r="D16" s="138">
        <f>O120</f>
        <v>0</v>
      </c>
      <c r="E16" s="138">
        <v>0</v>
      </c>
      <c r="F16" s="15">
        <f>O127</f>
        <v>0</v>
      </c>
      <c r="G16" s="15">
        <f>P127</f>
        <v>0</v>
      </c>
      <c r="H16" s="139">
        <f>Q123</f>
        <v>0</v>
      </c>
      <c r="I16" s="138">
        <f>R125</f>
        <v>0</v>
      </c>
      <c r="J16" s="138">
        <f>S125</f>
        <v>0</v>
      </c>
      <c r="K16" s="138">
        <f>T125</f>
        <v>0</v>
      </c>
      <c r="L16" s="105">
        <f>'Summary of Returns'!M18</f>
        <v>0</v>
      </c>
      <c r="M16" s="138">
        <f t="shared" si="0"/>
        <v>0</v>
      </c>
      <c r="N16" s="138">
        <f t="shared" si="5"/>
        <v>0</v>
      </c>
      <c r="O16" s="140">
        <f t="shared" si="6"/>
        <v>0</v>
      </c>
      <c r="P16" s="138">
        <f t="shared" si="2"/>
        <v>0</v>
      </c>
      <c r="Q16" s="138">
        <f t="shared" si="3"/>
        <v>0</v>
      </c>
      <c r="R16" s="141"/>
      <c r="W16" s="6"/>
      <c r="X16" s="6"/>
      <c r="Y16" s="6"/>
      <c r="Z16" s="6"/>
      <c r="AA16" s="6"/>
    </row>
    <row r="17" spans="1:27" hidden="1" x14ac:dyDescent="0.2">
      <c r="A17" s="105">
        <f>'Summary of Returns'!B19</f>
        <v>0</v>
      </c>
      <c r="B17" s="137">
        <f>'Summary of Returns'!C19</f>
        <v>0</v>
      </c>
      <c r="C17" s="138">
        <v>0</v>
      </c>
      <c r="D17" s="138">
        <f>O130</f>
        <v>0</v>
      </c>
      <c r="E17" s="138">
        <v>0</v>
      </c>
      <c r="F17" s="15">
        <f>O137</f>
        <v>0</v>
      </c>
      <c r="G17" s="15">
        <f>P137</f>
        <v>0</v>
      </c>
      <c r="H17" s="139">
        <f>Q133</f>
        <v>0</v>
      </c>
      <c r="I17" s="138">
        <f>R135</f>
        <v>0</v>
      </c>
      <c r="J17" s="138">
        <f>S135</f>
        <v>0</v>
      </c>
      <c r="K17" s="138">
        <f>T135</f>
        <v>0</v>
      </c>
      <c r="L17" s="105">
        <f>'Summary of Returns'!M19</f>
        <v>0</v>
      </c>
      <c r="M17" s="138">
        <f t="shared" si="0"/>
        <v>0</v>
      </c>
      <c r="N17" s="138">
        <f t="shared" si="5"/>
        <v>0</v>
      </c>
      <c r="O17" s="140">
        <f t="shared" si="6"/>
        <v>0</v>
      </c>
      <c r="P17" s="138">
        <f t="shared" si="2"/>
        <v>0</v>
      </c>
      <c r="Q17" s="138">
        <f t="shared" si="3"/>
        <v>0</v>
      </c>
      <c r="R17" s="141"/>
      <c r="W17" s="6"/>
      <c r="X17" s="6"/>
      <c r="Y17" s="6"/>
      <c r="Z17" s="6"/>
      <c r="AA17" s="6"/>
    </row>
    <row r="18" spans="1:27" hidden="1" x14ac:dyDescent="0.2">
      <c r="A18" s="105">
        <f>'Summary of Returns'!B20</f>
        <v>0</v>
      </c>
      <c r="B18" s="137">
        <f>'Summary of Returns'!C20</f>
        <v>0</v>
      </c>
      <c r="C18" s="138">
        <v>0</v>
      </c>
      <c r="D18" s="138">
        <f>O140</f>
        <v>0</v>
      </c>
      <c r="E18" s="138">
        <v>0</v>
      </c>
      <c r="F18" s="15">
        <f>O147</f>
        <v>0</v>
      </c>
      <c r="G18" s="15">
        <f>P147</f>
        <v>0</v>
      </c>
      <c r="H18" s="138">
        <f>Q143</f>
        <v>0</v>
      </c>
      <c r="I18" s="138">
        <f>R145</f>
        <v>0</v>
      </c>
      <c r="J18" s="138">
        <f>S145</f>
        <v>0</v>
      </c>
      <c r="K18" s="138">
        <f>T145</f>
        <v>0</v>
      </c>
      <c r="L18" s="105">
        <f>'Summary of Returns'!M20</f>
        <v>0</v>
      </c>
      <c r="M18" s="138">
        <f t="shared" si="0"/>
        <v>0</v>
      </c>
      <c r="N18" s="138">
        <f t="shared" si="5"/>
        <v>0</v>
      </c>
      <c r="O18" s="140">
        <f t="shared" si="6"/>
        <v>0</v>
      </c>
      <c r="P18" s="138">
        <f t="shared" si="2"/>
        <v>0</v>
      </c>
      <c r="Q18" s="138">
        <f t="shared" si="3"/>
        <v>0</v>
      </c>
      <c r="R18" s="141"/>
      <c r="W18" s="6"/>
      <c r="X18" s="6"/>
      <c r="Y18" s="6"/>
      <c r="Z18" s="6"/>
      <c r="AA18" s="6"/>
    </row>
    <row r="19" spans="1:27" hidden="1" x14ac:dyDescent="0.2">
      <c r="A19" s="105">
        <f>'Summary of Returns'!B21</f>
        <v>0</v>
      </c>
      <c r="B19" s="137">
        <f>'Summary of Returns'!C21</f>
        <v>0</v>
      </c>
      <c r="C19" s="138">
        <v>0</v>
      </c>
      <c r="D19" s="138">
        <f>O150</f>
        <v>0</v>
      </c>
      <c r="E19" s="138">
        <v>0</v>
      </c>
      <c r="F19" s="15">
        <f>O157</f>
        <v>0</v>
      </c>
      <c r="G19" s="15">
        <f>P157</f>
        <v>0</v>
      </c>
      <c r="H19" s="15">
        <f>Q153</f>
        <v>0</v>
      </c>
      <c r="I19" s="138">
        <f>R155</f>
        <v>0</v>
      </c>
      <c r="J19" s="138">
        <f>S155</f>
        <v>0</v>
      </c>
      <c r="K19" s="138">
        <f>T155</f>
        <v>0</v>
      </c>
      <c r="L19" s="105">
        <f>'Summary of Returns'!M21</f>
        <v>0</v>
      </c>
      <c r="M19" s="138">
        <f t="shared" si="0"/>
        <v>0</v>
      </c>
      <c r="N19" s="138">
        <f t="shared" si="5"/>
        <v>0</v>
      </c>
      <c r="O19" s="140">
        <f t="shared" si="6"/>
        <v>0</v>
      </c>
      <c r="P19" s="138">
        <f t="shared" si="2"/>
        <v>0</v>
      </c>
      <c r="Q19" s="138">
        <f t="shared" si="3"/>
        <v>0</v>
      </c>
      <c r="R19" s="141"/>
      <c r="W19" s="6"/>
      <c r="X19" s="6"/>
      <c r="Y19" s="6"/>
      <c r="Z19" s="6"/>
      <c r="AA19" s="6"/>
    </row>
    <row r="20" spans="1:27" hidden="1" x14ac:dyDescent="0.2">
      <c r="A20" s="105">
        <f>'Summary of Returns'!B22</f>
        <v>0</v>
      </c>
      <c r="B20" s="137">
        <f>'Summary of Returns'!C22</f>
        <v>0</v>
      </c>
      <c r="C20" s="138">
        <v>0</v>
      </c>
      <c r="D20" s="138">
        <f>O160</f>
        <v>0</v>
      </c>
      <c r="E20" s="138">
        <v>0</v>
      </c>
      <c r="F20" s="15">
        <f>O167</f>
        <v>0</v>
      </c>
      <c r="G20" s="15">
        <f>P167</f>
        <v>0</v>
      </c>
      <c r="H20" s="139">
        <f>Q163</f>
        <v>0</v>
      </c>
      <c r="I20" s="138">
        <f>R165</f>
        <v>0</v>
      </c>
      <c r="J20" s="138">
        <f>S165</f>
        <v>0</v>
      </c>
      <c r="K20" s="138">
        <f>T165</f>
        <v>0</v>
      </c>
      <c r="L20" s="105">
        <f>'Summary of Returns'!M22</f>
        <v>0</v>
      </c>
      <c r="M20" s="138">
        <f t="shared" si="0"/>
        <v>0</v>
      </c>
      <c r="N20" s="138">
        <f t="shared" si="5"/>
        <v>0</v>
      </c>
      <c r="O20" s="140">
        <f t="shared" si="6"/>
        <v>0</v>
      </c>
      <c r="P20" s="138">
        <f t="shared" si="2"/>
        <v>0</v>
      </c>
      <c r="Q20" s="138">
        <f t="shared" si="3"/>
        <v>0</v>
      </c>
      <c r="R20" s="141"/>
      <c r="W20" s="6"/>
      <c r="X20" s="6"/>
      <c r="Y20" s="6"/>
      <c r="Z20" s="6"/>
      <c r="AA20" s="6"/>
    </row>
    <row r="21" spans="1:27" hidden="1" x14ac:dyDescent="0.2">
      <c r="A21" s="105">
        <f>'Summary of Returns'!B23</f>
        <v>0</v>
      </c>
      <c r="B21" s="137">
        <f>'Summary of Returns'!C23</f>
        <v>0</v>
      </c>
      <c r="C21" s="138">
        <v>0</v>
      </c>
      <c r="D21" s="138">
        <f>O170</f>
        <v>0</v>
      </c>
      <c r="E21" s="138"/>
      <c r="F21" s="15">
        <f>O177</f>
        <v>0</v>
      </c>
      <c r="G21" s="15">
        <f>P177</f>
        <v>0</v>
      </c>
      <c r="H21" s="139">
        <f>Q173</f>
        <v>0</v>
      </c>
      <c r="I21" s="138">
        <f>R175</f>
        <v>0</v>
      </c>
      <c r="J21" s="138">
        <f>S175</f>
        <v>0</v>
      </c>
      <c r="K21" s="138">
        <f>T175</f>
        <v>0</v>
      </c>
      <c r="L21" s="105">
        <f>'Summary of Returns'!M23</f>
        <v>0</v>
      </c>
      <c r="M21" s="138">
        <f t="shared" si="0"/>
        <v>0</v>
      </c>
      <c r="N21" s="138">
        <f t="shared" si="5"/>
        <v>0</v>
      </c>
      <c r="O21" s="138">
        <f t="shared" si="6"/>
        <v>0</v>
      </c>
      <c r="P21" s="138">
        <f t="shared" si="2"/>
        <v>0</v>
      </c>
      <c r="Q21" s="138">
        <f t="shared" si="3"/>
        <v>0</v>
      </c>
      <c r="R21" s="141"/>
      <c r="W21" s="6"/>
      <c r="X21" s="6"/>
      <c r="Y21" s="6"/>
      <c r="Z21" s="6"/>
      <c r="AA21" s="6"/>
    </row>
    <row r="22" spans="1:27" hidden="1" x14ac:dyDescent="0.2">
      <c r="A22" s="105">
        <f>'Summary of Returns'!B24</f>
        <v>0</v>
      </c>
      <c r="B22" s="137">
        <f>'Summary of Returns'!C24</f>
        <v>0</v>
      </c>
      <c r="C22" s="138">
        <v>0</v>
      </c>
      <c r="D22" s="138">
        <f>O180</f>
        <v>0</v>
      </c>
      <c r="E22" s="138"/>
      <c r="F22" s="15">
        <f>O187</f>
        <v>0</v>
      </c>
      <c r="G22" s="15">
        <f>P187</f>
        <v>0</v>
      </c>
      <c r="H22" s="139">
        <f>Q183</f>
        <v>0</v>
      </c>
      <c r="I22" s="138">
        <f>R185</f>
        <v>0</v>
      </c>
      <c r="J22" s="138">
        <f>S185</f>
        <v>0</v>
      </c>
      <c r="K22" s="138">
        <f>T185</f>
        <v>0</v>
      </c>
      <c r="L22" s="105">
        <f>'Summary of Returns'!M24</f>
        <v>0</v>
      </c>
      <c r="M22" s="138">
        <f t="shared" si="0"/>
        <v>0</v>
      </c>
      <c r="N22" s="138">
        <f t="shared" si="5"/>
        <v>0</v>
      </c>
      <c r="O22" s="138">
        <f t="shared" si="6"/>
        <v>0</v>
      </c>
      <c r="P22" s="138">
        <f t="shared" si="2"/>
        <v>0</v>
      </c>
      <c r="Q22" s="138">
        <f t="shared" si="3"/>
        <v>0</v>
      </c>
      <c r="R22" s="141"/>
      <c r="W22" s="6"/>
      <c r="X22" s="6"/>
      <c r="Y22" s="6"/>
      <c r="Z22" s="6"/>
      <c r="AA22" s="6"/>
    </row>
    <row r="23" spans="1:27" hidden="1" x14ac:dyDescent="0.2">
      <c r="A23" s="105">
        <f>'Summary of Returns'!B25</f>
        <v>0</v>
      </c>
      <c r="B23" s="137">
        <f>'Summary of Returns'!C25</f>
        <v>0</v>
      </c>
      <c r="C23" s="138">
        <v>0</v>
      </c>
      <c r="D23" s="138">
        <f>O190</f>
        <v>0</v>
      </c>
      <c r="E23" s="138"/>
      <c r="F23" s="15">
        <f>O197</f>
        <v>0</v>
      </c>
      <c r="G23" s="15">
        <f>P197</f>
        <v>0</v>
      </c>
      <c r="H23" s="139">
        <f>Q193</f>
        <v>0</v>
      </c>
      <c r="I23" s="138">
        <f>R195</f>
        <v>0</v>
      </c>
      <c r="J23" s="138">
        <f>S195</f>
        <v>0</v>
      </c>
      <c r="K23" s="138">
        <f>T195</f>
        <v>0</v>
      </c>
      <c r="L23" s="105">
        <f>'Summary of Returns'!M25</f>
        <v>0</v>
      </c>
      <c r="M23" s="138">
        <f t="shared" si="0"/>
        <v>0</v>
      </c>
      <c r="N23" s="138">
        <f t="shared" si="5"/>
        <v>0</v>
      </c>
      <c r="O23" s="138">
        <f t="shared" si="6"/>
        <v>0</v>
      </c>
      <c r="P23" s="138">
        <f t="shared" si="2"/>
        <v>0</v>
      </c>
      <c r="Q23" s="138">
        <f t="shared" si="3"/>
        <v>0</v>
      </c>
      <c r="R23" s="141"/>
      <c r="W23" s="6"/>
      <c r="X23" s="6"/>
      <c r="Y23" s="6"/>
      <c r="Z23" s="6"/>
      <c r="AA23" s="6"/>
    </row>
    <row r="24" spans="1:27" x14ac:dyDescent="0.2">
      <c r="A24" s="13"/>
      <c r="C24" s="138"/>
      <c r="D24" s="138"/>
      <c r="E24" s="138"/>
      <c r="F24" s="15"/>
      <c r="G24" s="15"/>
      <c r="H24" s="15"/>
      <c r="I24" s="15"/>
      <c r="J24" s="15"/>
      <c r="K24" s="15"/>
      <c r="L24" s="13"/>
      <c r="M24" s="138"/>
      <c r="N24" s="138">
        <f t="shared" si="5"/>
        <v>0</v>
      </c>
      <c r="O24" s="138"/>
      <c r="P24" s="138"/>
      <c r="Q24" s="42"/>
      <c r="R24" s="141"/>
    </row>
    <row r="25" spans="1:27" x14ac:dyDescent="0.2">
      <c r="A25" s="9" t="s">
        <v>0</v>
      </c>
      <c r="B25" s="142"/>
      <c r="C25" s="143">
        <f t="shared" ref="C25:K25" si="7">SUM(C8:C24)</f>
        <v>12670.333333333334</v>
      </c>
      <c r="D25" s="143">
        <f t="shared" si="7"/>
        <v>195084645</v>
      </c>
      <c r="E25" s="144">
        <f t="shared" si="7"/>
        <v>25883934.840000004</v>
      </c>
      <c r="F25" s="145">
        <f t="shared" si="7"/>
        <v>1312752.7699296819</v>
      </c>
      <c r="G25" s="145">
        <f t="shared" si="7"/>
        <v>144616.67908624245</v>
      </c>
      <c r="H25" s="145">
        <f t="shared" si="7"/>
        <v>71127.252433733127</v>
      </c>
      <c r="I25" s="145">
        <f t="shared" si="7"/>
        <v>485666.0004655603</v>
      </c>
      <c r="J25" s="145">
        <f t="shared" si="7"/>
        <v>112557.00030985131</v>
      </c>
      <c r="K25" s="145">
        <f t="shared" si="7"/>
        <v>373109.00015570904</v>
      </c>
      <c r="L25" s="9" t="s">
        <v>0</v>
      </c>
      <c r="M25" s="143">
        <f t="shared" si="0"/>
        <v>12670.333333333334</v>
      </c>
      <c r="N25" s="143">
        <f t="shared" si="5"/>
        <v>195084645</v>
      </c>
      <c r="O25" s="144">
        <f t="shared" si="6"/>
        <v>25883934.840000004</v>
      </c>
      <c r="P25" s="146">
        <f>D25/$D$25</f>
        <v>1</v>
      </c>
      <c r="Q25" s="146">
        <f>E25/$E$25</f>
        <v>1</v>
      </c>
      <c r="R25" s="141"/>
      <c r="W25" s="6"/>
      <c r="X25" s="6"/>
      <c r="Y25" s="6"/>
      <c r="Z25" s="6"/>
      <c r="AA25" s="6"/>
    </row>
    <row r="26" spans="1:27" x14ac:dyDescent="0.2">
      <c r="A26" s="13"/>
      <c r="C26" s="182"/>
      <c r="D26" s="182"/>
      <c r="E26" s="183"/>
      <c r="F26" s="15"/>
      <c r="G26" s="15"/>
      <c r="H26" s="15"/>
      <c r="I26" s="15"/>
      <c r="J26" s="15"/>
      <c r="K26" s="15"/>
      <c r="L26" s="13"/>
      <c r="M26" s="182"/>
      <c r="N26" s="182"/>
      <c r="O26" s="183"/>
      <c r="P26" s="51"/>
      <c r="Q26" s="51"/>
      <c r="R26" s="141"/>
      <c r="W26" s="6"/>
      <c r="X26" s="6"/>
      <c r="Y26" s="6"/>
      <c r="Z26" s="6"/>
      <c r="AA26" s="6"/>
    </row>
    <row r="27" spans="1:27" x14ac:dyDescent="0.2">
      <c r="A27" s="13"/>
      <c r="B27" s="11"/>
      <c r="C27" s="24">
        <v>12636</v>
      </c>
      <c r="D27" s="138">
        <v>195084645</v>
      </c>
      <c r="E27" s="140">
        <v>25671961</v>
      </c>
      <c r="F27" s="195" t="s">
        <v>1084</v>
      </c>
      <c r="G27" s="15"/>
      <c r="H27" s="15"/>
      <c r="I27" s="15"/>
      <c r="J27" s="15"/>
      <c r="K27" s="15"/>
      <c r="L27" s="24"/>
      <c r="M27" s="138"/>
      <c r="N27" s="138"/>
      <c r="O27" s="140"/>
      <c r="P27" s="24"/>
      <c r="Q27" s="141"/>
      <c r="R27" s="141"/>
    </row>
    <row r="28" spans="1:27" x14ac:dyDescent="0.2">
      <c r="C28" s="138">
        <f>C25-C27</f>
        <v>34.33333333333394</v>
      </c>
      <c r="D28" s="138">
        <f>D25-D27</f>
        <v>0</v>
      </c>
      <c r="E28" s="140">
        <f>E25-E27</f>
        <v>211973.84000000358</v>
      </c>
      <c r="F28" s="186" t="s">
        <v>934</v>
      </c>
      <c r="G28" s="15"/>
      <c r="H28" s="15"/>
      <c r="I28" s="15"/>
      <c r="J28" s="15"/>
      <c r="K28" s="15"/>
      <c r="L28" s="24"/>
      <c r="M28" s="138"/>
      <c r="N28" s="138"/>
      <c r="O28" s="140"/>
      <c r="Q28" s="15"/>
    </row>
    <row r="29" spans="1:27" x14ac:dyDescent="0.2">
      <c r="C29" s="181">
        <f>C28/C27</f>
        <v>2.7171045689564689E-3</v>
      </c>
      <c r="D29" s="181">
        <f>D28/D27</f>
        <v>0</v>
      </c>
      <c r="E29" s="181">
        <f>E28/E27</f>
        <v>8.2570178413718994E-3</v>
      </c>
      <c r="F29" s="186" t="s">
        <v>934</v>
      </c>
      <c r="G29" s="15"/>
      <c r="H29" s="15"/>
      <c r="I29" s="15"/>
      <c r="J29" s="15"/>
      <c r="K29" s="15"/>
      <c r="L29" s="24"/>
      <c r="M29" s="138"/>
      <c r="N29" s="138"/>
      <c r="O29" s="138"/>
      <c r="Q29" s="15"/>
    </row>
    <row r="30" spans="1:27" x14ac:dyDescent="0.2">
      <c r="C30" s="181"/>
      <c r="D30" s="181"/>
      <c r="E30" s="181"/>
      <c r="F30" s="15"/>
      <c r="G30" s="15"/>
      <c r="H30" s="15"/>
      <c r="I30" s="15"/>
      <c r="J30" s="15"/>
      <c r="K30" s="15"/>
      <c r="L30" s="24"/>
      <c r="M30" s="138"/>
      <c r="N30" s="138"/>
      <c r="O30" s="138"/>
      <c r="Q30" s="15"/>
    </row>
    <row r="31" spans="1:27" x14ac:dyDescent="0.2">
      <c r="C31" s="138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15"/>
    </row>
    <row r="32" spans="1:27" x14ac:dyDescent="0.2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U32" s="105"/>
      <c r="W32" s="105"/>
    </row>
    <row r="33" spans="1:23" x14ac:dyDescent="0.2">
      <c r="A33" s="2" t="str">
        <f>A1</f>
        <v>BIG SANDY RECC</v>
      </c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147"/>
      <c r="P33" s="147"/>
      <c r="Q33" s="147"/>
      <c r="U33" s="105"/>
      <c r="W33" s="105"/>
    </row>
    <row r="34" spans="1:23" x14ac:dyDescent="0.2">
      <c r="A34" s="3" t="s">
        <v>677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147"/>
      <c r="P34" s="147"/>
      <c r="Q34" s="147"/>
      <c r="U34" s="105"/>
      <c r="W34" s="105"/>
    </row>
    <row r="35" spans="1:23" ht="30.75" customHeight="1" x14ac:dyDescent="0.2">
      <c r="C35" s="211">
        <f>24*31</f>
        <v>744</v>
      </c>
      <c r="D35" s="211">
        <f>24*28</f>
        <v>672</v>
      </c>
      <c r="E35" s="211">
        <f t="shared" ref="E35:N35" si="8">24*31</f>
        <v>744</v>
      </c>
      <c r="F35" s="211">
        <f>24*30</f>
        <v>720</v>
      </c>
      <c r="G35" s="211">
        <f t="shared" si="8"/>
        <v>744</v>
      </c>
      <c r="H35" s="211">
        <f>24*30</f>
        <v>720</v>
      </c>
      <c r="I35" s="211">
        <f t="shared" si="8"/>
        <v>744</v>
      </c>
      <c r="J35" s="211">
        <f t="shared" si="8"/>
        <v>744</v>
      </c>
      <c r="K35" s="211">
        <f>24*30</f>
        <v>720</v>
      </c>
      <c r="L35" s="211">
        <f t="shared" si="8"/>
        <v>744</v>
      </c>
      <c r="M35" s="211">
        <f>24*30</f>
        <v>720</v>
      </c>
      <c r="N35" s="211">
        <f t="shared" si="8"/>
        <v>744</v>
      </c>
      <c r="O35" s="24"/>
      <c r="P35" s="24"/>
      <c r="Q35" s="148" t="s">
        <v>693</v>
      </c>
    </row>
    <row r="36" spans="1:23" x14ac:dyDescent="0.2">
      <c r="C36" s="211">
        <f>C201</f>
        <v>-1.28108513308689E-6</v>
      </c>
      <c r="D36" s="211">
        <f t="shared" ref="D36:N36" si="9">D201</f>
        <v>1.8810533219948411E-6</v>
      </c>
      <c r="E36" s="211">
        <f t="shared" si="9"/>
        <v>-1.7414080502931029E-5</v>
      </c>
      <c r="F36" s="211">
        <f t="shared" si="9"/>
        <v>4.4670741772279143E-8</v>
      </c>
      <c r="G36" s="211">
        <f t="shared" si="9"/>
        <v>-1.0488065527169965E-4</v>
      </c>
      <c r="H36" s="211">
        <f t="shared" si="9"/>
        <v>-2.0033577311551198E-4</v>
      </c>
      <c r="I36" s="211">
        <f t="shared" si="9"/>
        <v>-1.0724426829256117E-4</v>
      </c>
      <c r="J36" s="211">
        <f t="shared" si="9"/>
        <v>-2.2712483769282699E-6</v>
      </c>
      <c r="K36" s="211">
        <f t="shared" si="9"/>
        <v>-5.0712988013401628E-6</v>
      </c>
      <c r="L36" s="211">
        <f t="shared" si="9"/>
        <v>-2.9049191653029993E-5</v>
      </c>
      <c r="M36" s="211">
        <f t="shared" si="9"/>
        <v>1.4040415408089757E-7</v>
      </c>
      <c r="N36" s="211">
        <f t="shared" si="9"/>
        <v>-7.8842276707291603E-8</v>
      </c>
      <c r="O36" s="24"/>
      <c r="P36" s="6" t="s">
        <v>688</v>
      </c>
      <c r="Q36" s="149" t="s">
        <v>694</v>
      </c>
      <c r="R36" s="6" t="s">
        <v>684</v>
      </c>
      <c r="S36" s="6" t="s">
        <v>686</v>
      </c>
      <c r="T36" s="6" t="s">
        <v>687</v>
      </c>
    </row>
    <row r="37" spans="1:23" s="154" customFormat="1" ht="15" x14ac:dyDescent="0.35">
      <c r="A37" s="150" t="s">
        <v>839</v>
      </c>
      <c r="B37" s="151" t="s">
        <v>840</v>
      </c>
      <c r="C37" s="152" t="s">
        <v>1085</v>
      </c>
      <c r="D37" s="152" t="s">
        <v>1086</v>
      </c>
      <c r="E37" s="152" t="s">
        <v>1087</v>
      </c>
      <c r="F37" s="152" t="s">
        <v>1088</v>
      </c>
      <c r="G37" s="152" t="s">
        <v>1089</v>
      </c>
      <c r="H37" s="152" t="s">
        <v>1090</v>
      </c>
      <c r="I37" s="152" t="s">
        <v>1091</v>
      </c>
      <c r="J37" s="152" t="s">
        <v>1092</v>
      </c>
      <c r="K37" s="152" t="s">
        <v>1093</v>
      </c>
      <c r="L37" s="152" t="s">
        <v>1094</v>
      </c>
      <c r="M37" s="152" t="s">
        <v>1095</v>
      </c>
      <c r="N37" s="152" t="s">
        <v>1096</v>
      </c>
      <c r="O37" s="153" t="s">
        <v>0</v>
      </c>
      <c r="P37" s="153" t="s">
        <v>682</v>
      </c>
      <c r="Q37" s="153" t="s">
        <v>695</v>
      </c>
      <c r="R37" s="153" t="s">
        <v>689</v>
      </c>
      <c r="S37" s="153" t="s">
        <v>689</v>
      </c>
      <c r="T37" s="153" t="s">
        <v>689</v>
      </c>
    </row>
    <row r="38" spans="1:23" x14ac:dyDescent="0.2"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15"/>
    </row>
    <row r="39" spans="1:23" x14ac:dyDescent="0.2">
      <c r="A39" s="4" t="str">
        <f>A8</f>
        <v>A1 - Farm &amp; Home</v>
      </c>
      <c r="B39" s="32" t="str">
        <f>B8</f>
        <v>A1</v>
      </c>
      <c r="C39" s="212">
        <v>11584</v>
      </c>
      <c r="D39" s="212">
        <v>11556</v>
      </c>
      <c r="E39" s="212">
        <v>11572</v>
      </c>
      <c r="F39" s="212">
        <v>11654</v>
      </c>
      <c r="G39" s="212">
        <v>11664</v>
      </c>
      <c r="H39" s="212">
        <v>11547</v>
      </c>
      <c r="I39" s="212">
        <v>11556</v>
      </c>
      <c r="J39" s="212">
        <v>11564</v>
      </c>
      <c r="K39" s="212">
        <v>11686</v>
      </c>
      <c r="L39" s="212">
        <v>11561</v>
      </c>
      <c r="M39" s="212">
        <v>11584</v>
      </c>
      <c r="N39" s="212">
        <v>11595</v>
      </c>
      <c r="O39" s="212">
        <f>SUM(C39:N39)</f>
        <v>139123</v>
      </c>
      <c r="P39" s="24"/>
      <c r="Q39" s="15"/>
    </row>
    <row r="40" spans="1:23" x14ac:dyDescent="0.2">
      <c r="A40" s="3" t="s">
        <v>915</v>
      </c>
      <c r="C40" s="212">
        <v>15581988</v>
      </c>
      <c r="D40" s="212">
        <v>13292230</v>
      </c>
      <c r="E40" s="212">
        <v>13358730</v>
      </c>
      <c r="F40" s="212">
        <v>8919917</v>
      </c>
      <c r="G40" s="212">
        <v>8842021</v>
      </c>
      <c r="H40" s="212">
        <v>9967036</v>
      </c>
      <c r="I40" s="212">
        <v>13068934</v>
      </c>
      <c r="J40" s="212">
        <v>11855404</v>
      </c>
      <c r="K40" s="212">
        <v>9268130</v>
      </c>
      <c r="L40" s="212">
        <v>8549342</v>
      </c>
      <c r="M40" s="212">
        <v>13835795</v>
      </c>
      <c r="N40" s="212">
        <v>16323488</v>
      </c>
      <c r="O40" s="212">
        <f>SUM(C40:N40)</f>
        <v>142863015</v>
      </c>
      <c r="P40" s="147"/>
      <c r="Q40" s="147"/>
      <c r="U40" s="105"/>
      <c r="W40" s="105"/>
    </row>
    <row r="41" spans="1:23" x14ac:dyDescent="0.2">
      <c r="A41" s="3" t="s">
        <v>679</v>
      </c>
      <c r="C41" s="212">
        <f>C40/C$35</f>
        <v>20943.532258064515</v>
      </c>
      <c r="D41" s="212">
        <f t="shared" ref="D41:N41" si="10">D40/D$35</f>
        <v>19780.104166666668</v>
      </c>
      <c r="E41" s="212">
        <f t="shared" si="10"/>
        <v>17955.282258064515</v>
      </c>
      <c r="F41" s="212">
        <f t="shared" si="10"/>
        <v>12388.773611111112</v>
      </c>
      <c r="G41" s="212">
        <f t="shared" si="10"/>
        <v>11884.43682795699</v>
      </c>
      <c r="H41" s="212">
        <f t="shared" si="10"/>
        <v>13843.105555555556</v>
      </c>
      <c r="I41" s="212">
        <f t="shared" si="10"/>
        <v>17565.771505376346</v>
      </c>
      <c r="J41" s="212">
        <f t="shared" si="10"/>
        <v>15934.682795698925</v>
      </c>
      <c r="K41" s="212">
        <f t="shared" si="10"/>
        <v>12872.402777777777</v>
      </c>
      <c r="L41" s="212">
        <f t="shared" si="10"/>
        <v>11491.051075268817</v>
      </c>
      <c r="M41" s="212">
        <f t="shared" si="10"/>
        <v>19216.381944444445</v>
      </c>
      <c r="N41" s="212">
        <f t="shared" si="10"/>
        <v>21940.172043010753</v>
      </c>
      <c r="O41" s="212">
        <f>O40/8760</f>
        <v>16308.563356164384</v>
      </c>
      <c r="P41" s="24"/>
      <c r="Q41" s="24"/>
    </row>
    <row r="42" spans="1:23" x14ac:dyDescent="0.2">
      <c r="A42" s="3" t="s">
        <v>727</v>
      </c>
      <c r="B42" s="12" t="s">
        <v>989</v>
      </c>
      <c r="C42" s="213">
        <v>0.52048084547752904</v>
      </c>
      <c r="D42" s="213">
        <v>0.39178608744915178</v>
      </c>
      <c r="E42" s="213">
        <v>0.34258141902610695</v>
      </c>
      <c r="F42" s="213">
        <v>0.44143966894206127</v>
      </c>
      <c r="G42" s="213">
        <v>0.44269886725007401</v>
      </c>
      <c r="H42" s="213">
        <v>0.49285129809585976</v>
      </c>
      <c r="I42" s="213">
        <v>0.51141300768429876</v>
      </c>
      <c r="J42" s="213">
        <v>0.4837830183880123</v>
      </c>
      <c r="K42" s="213">
        <v>0.37705337785026116</v>
      </c>
      <c r="L42" s="213">
        <v>0.58756098800109557</v>
      </c>
      <c r="M42" s="213">
        <v>0.33210319687263701</v>
      </c>
      <c r="N42" s="213">
        <v>0.58834616712460175</v>
      </c>
      <c r="O42" s="213"/>
      <c r="Q42" s="15"/>
    </row>
    <row r="43" spans="1:23" x14ac:dyDescent="0.2">
      <c r="A43" s="3" t="s">
        <v>728</v>
      </c>
      <c r="C43" s="212">
        <f>C41/C42</f>
        <v>40238.814626980777</v>
      </c>
      <c r="D43" s="212">
        <f t="shared" ref="D43:N43" si="11">D41/D42</f>
        <v>50486.999922461109</v>
      </c>
      <c r="E43" s="212">
        <f t="shared" si="11"/>
        <v>52411.722472012429</v>
      </c>
      <c r="F43" s="212">
        <f t="shared" si="11"/>
        <v>28064.477396881004</v>
      </c>
      <c r="G43" s="212">
        <f t="shared" si="11"/>
        <v>26845.419555238321</v>
      </c>
      <c r="H43" s="212">
        <f t="shared" si="11"/>
        <v>28087.793638849394</v>
      </c>
      <c r="I43" s="212">
        <f t="shared" si="11"/>
        <v>34347.52585765261</v>
      </c>
      <c r="J43" s="212">
        <f t="shared" si="11"/>
        <v>32937.664593507303</v>
      </c>
      <c r="K43" s="212">
        <f t="shared" si="11"/>
        <v>34139.470785724618</v>
      </c>
      <c r="L43" s="212">
        <f t="shared" si="11"/>
        <v>19557.205651726134</v>
      </c>
      <c r="M43" s="212">
        <f t="shared" si="11"/>
        <v>57862.682820888382</v>
      </c>
      <c r="N43" s="212">
        <f t="shared" si="11"/>
        <v>37291.263662408113</v>
      </c>
      <c r="O43" s="212">
        <f>SUM(C43:N43)</f>
        <v>442271.04098433023</v>
      </c>
      <c r="Q43" s="15">
        <f>MAX(C43:N43)</f>
        <v>57862.682820888382</v>
      </c>
    </row>
    <row r="44" spans="1:23" x14ac:dyDescent="0.2">
      <c r="A44" s="3" t="s">
        <v>680</v>
      </c>
      <c r="C44" s="213">
        <v>0.9</v>
      </c>
      <c r="D44" s="213">
        <v>0.9</v>
      </c>
      <c r="E44" s="213">
        <v>0.85</v>
      </c>
      <c r="F44" s="213">
        <v>0.8</v>
      </c>
      <c r="G44" s="213">
        <v>0.85</v>
      </c>
      <c r="H44" s="213">
        <v>0.9</v>
      </c>
      <c r="I44" s="213">
        <v>0.95</v>
      </c>
      <c r="J44" s="213">
        <v>0.95</v>
      </c>
      <c r="K44" s="213">
        <v>0.9</v>
      </c>
      <c r="L44" s="213">
        <v>0.85</v>
      </c>
      <c r="M44" s="213">
        <v>0.8</v>
      </c>
      <c r="N44" s="213">
        <v>0.85</v>
      </c>
      <c r="O44" s="213"/>
      <c r="P44" s="24"/>
      <c r="Q44" s="15"/>
    </row>
    <row r="45" spans="1:23" x14ac:dyDescent="0.2">
      <c r="A45" s="3" t="s">
        <v>681</v>
      </c>
      <c r="C45" s="212">
        <f>C43*C44</f>
        <v>36214.933164282702</v>
      </c>
      <c r="D45" s="212">
        <f t="shared" ref="D45:N45" si="12">D43*D44</f>
        <v>45438.299930214998</v>
      </c>
      <c r="E45" s="212">
        <f t="shared" si="12"/>
        <v>44549.964101210564</v>
      </c>
      <c r="F45" s="212">
        <f t="shared" si="12"/>
        <v>22451.581917504805</v>
      </c>
      <c r="G45" s="212">
        <f t="shared" si="12"/>
        <v>22818.606621952571</v>
      </c>
      <c r="H45" s="212">
        <f t="shared" si="12"/>
        <v>25279.014274964455</v>
      </c>
      <c r="I45" s="212">
        <f t="shared" si="12"/>
        <v>32630.149564769978</v>
      </c>
      <c r="J45" s="212">
        <f t="shared" si="12"/>
        <v>31290.781363831935</v>
      </c>
      <c r="K45" s="212">
        <f t="shared" si="12"/>
        <v>30725.523707152155</v>
      </c>
      <c r="L45" s="212">
        <f t="shared" si="12"/>
        <v>16623.624803967214</v>
      </c>
      <c r="M45" s="212">
        <f t="shared" si="12"/>
        <v>46290.146256710708</v>
      </c>
      <c r="N45" s="212">
        <f t="shared" si="12"/>
        <v>31697.574113046896</v>
      </c>
      <c r="O45" s="212">
        <f>SUM(C45:N45)</f>
        <v>386010.19981960894</v>
      </c>
      <c r="P45" s="24"/>
      <c r="Q45" s="15"/>
      <c r="R45" s="15">
        <f>O45</f>
        <v>386010.19981960894</v>
      </c>
      <c r="S45" s="15">
        <f>H45+I45+J45</f>
        <v>89199.945203566371</v>
      </c>
      <c r="T45" s="15">
        <f>R45-S45</f>
        <v>296810.2546160426</v>
      </c>
    </row>
    <row r="46" spans="1:23" x14ac:dyDescent="0.2">
      <c r="A46" s="3" t="s">
        <v>729</v>
      </c>
      <c r="C46" s="213">
        <v>0.18</v>
      </c>
      <c r="D46" s="213">
        <v>0.18</v>
      </c>
      <c r="E46" s="213">
        <v>0.18</v>
      </c>
      <c r="F46" s="213">
        <v>0.18</v>
      </c>
      <c r="G46" s="213">
        <v>0.18</v>
      </c>
      <c r="H46" s="213">
        <v>0.18</v>
      </c>
      <c r="I46" s="213">
        <v>0.18</v>
      </c>
      <c r="J46" s="213">
        <v>0.18</v>
      </c>
      <c r="K46" s="213">
        <v>0.18</v>
      </c>
      <c r="L46" s="213">
        <v>0.18</v>
      </c>
      <c r="M46" s="213">
        <v>0.18</v>
      </c>
      <c r="N46" s="213">
        <v>0.18</v>
      </c>
      <c r="O46" s="213"/>
      <c r="P46" s="147"/>
      <c r="Q46" s="147"/>
      <c r="U46" s="105"/>
      <c r="W46" s="105"/>
    </row>
    <row r="47" spans="1:23" x14ac:dyDescent="0.2">
      <c r="A47" s="3" t="s">
        <v>730</v>
      </c>
      <c r="C47" s="212">
        <f>C41/C46</f>
        <v>116352.95698924731</v>
      </c>
      <c r="D47" s="212">
        <f t="shared" ref="D47:N47" si="13">D41/D46</f>
        <v>109889.4675925926</v>
      </c>
      <c r="E47" s="212">
        <f t="shared" si="13"/>
        <v>99751.568100358418</v>
      </c>
      <c r="F47" s="212">
        <f t="shared" si="13"/>
        <v>68826.520061728399</v>
      </c>
      <c r="G47" s="212">
        <f t="shared" si="13"/>
        <v>66024.649044205507</v>
      </c>
      <c r="H47" s="212">
        <f t="shared" si="13"/>
        <v>76906.141975308652</v>
      </c>
      <c r="I47" s="212">
        <f t="shared" si="13"/>
        <v>97587.619474313033</v>
      </c>
      <c r="J47" s="212">
        <f t="shared" si="13"/>
        <v>88526.015531660698</v>
      </c>
      <c r="K47" s="212">
        <f t="shared" si="13"/>
        <v>71513.348765432092</v>
      </c>
      <c r="L47" s="212">
        <f t="shared" si="13"/>
        <v>63839.17264038232</v>
      </c>
      <c r="M47" s="212">
        <f t="shared" si="13"/>
        <v>106757.67746913582</v>
      </c>
      <c r="N47" s="212">
        <f t="shared" si="13"/>
        <v>121889.84468339308</v>
      </c>
      <c r="O47" s="212">
        <f>SUM(C47:N47)</f>
        <v>1087864.9823277579</v>
      </c>
      <c r="P47" s="24">
        <f>MAX(C47:N47)</f>
        <v>121889.84468339308</v>
      </c>
      <c r="Q47" s="24"/>
    </row>
    <row r="48" spans="1:23" x14ac:dyDescent="0.2">
      <c r="C48" s="212"/>
      <c r="D48" s="212"/>
      <c r="E48" s="212"/>
      <c r="F48" s="212"/>
      <c r="G48" s="212"/>
      <c r="H48" s="212"/>
      <c r="I48" s="212"/>
      <c r="J48" s="212"/>
      <c r="K48" s="212"/>
      <c r="L48" s="212"/>
      <c r="M48" s="212"/>
      <c r="N48" s="212"/>
      <c r="O48" s="212"/>
      <c r="P48" s="24"/>
      <c r="Q48" s="24"/>
    </row>
    <row r="49" spans="1:23" x14ac:dyDescent="0.2">
      <c r="A49" s="4" t="str">
        <f>A9</f>
        <v>A2 - Commercial &amp; Small Power</v>
      </c>
      <c r="B49" s="32" t="str">
        <f>B9</f>
        <v>A2</v>
      </c>
      <c r="C49" s="212">
        <v>875</v>
      </c>
      <c r="D49" s="212">
        <v>875</v>
      </c>
      <c r="E49" s="212">
        <v>872</v>
      </c>
      <c r="F49" s="212">
        <v>874</v>
      </c>
      <c r="G49" s="212">
        <v>878</v>
      </c>
      <c r="H49" s="212">
        <v>870</v>
      </c>
      <c r="I49" s="212">
        <v>872</v>
      </c>
      <c r="J49" s="212">
        <v>872</v>
      </c>
      <c r="K49" s="212">
        <v>877</v>
      </c>
      <c r="L49" s="212">
        <v>873</v>
      </c>
      <c r="M49" s="212">
        <v>872</v>
      </c>
      <c r="N49" s="212">
        <v>871</v>
      </c>
      <c r="O49" s="212">
        <f>SUM(C49:N49)</f>
        <v>10481</v>
      </c>
      <c r="P49" s="24"/>
      <c r="Q49" s="15"/>
    </row>
    <row r="50" spans="1:23" x14ac:dyDescent="0.2">
      <c r="A50" s="3" t="s">
        <v>915</v>
      </c>
      <c r="C50" s="212">
        <v>800353</v>
      </c>
      <c r="D50" s="212">
        <v>804777</v>
      </c>
      <c r="E50" s="212">
        <v>685020</v>
      </c>
      <c r="F50" s="212">
        <v>619747</v>
      </c>
      <c r="G50" s="212">
        <v>630863</v>
      </c>
      <c r="H50" s="212">
        <v>686611</v>
      </c>
      <c r="I50" s="212">
        <v>779524</v>
      </c>
      <c r="J50" s="212">
        <v>753151</v>
      </c>
      <c r="K50" s="212">
        <v>655127</v>
      </c>
      <c r="L50" s="212">
        <v>594297</v>
      </c>
      <c r="M50" s="212">
        <v>707220</v>
      </c>
      <c r="N50" s="212">
        <v>788083</v>
      </c>
      <c r="O50" s="212">
        <f>SUM(C50:N50)</f>
        <v>8504773</v>
      </c>
      <c r="P50" s="147"/>
      <c r="Q50" s="147"/>
      <c r="U50" s="105"/>
      <c r="W50" s="105"/>
    </row>
    <row r="51" spans="1:23" x14ac:dyDescent="0.2">
      <c r="A51" s="3" t="s">
        <v>679</v>
      </c>
      <c r="C51" s="212">
        <f>C50/C$35</f>
        <v>1075.7432795698924</v>
      </c>
      <c r="D51" s="212">
        <f t="shared" ref="D51:N51" si="14">D50/D$35</f>
        <v>1197.5848214285713</v>
      </c>
      <c r="E51" s="212">
        <f t="shared" si="14"/>
        <v>920.72580645161293</v>
      </c>
      <c r="F51" s="212">
        <f t="shared" si="14"/>
        <v>860.75972222222219</v>
      </c>
      <c r="G51" s="212">
        <f t="shared" si="14"/>
        <v>847.93413978494618</v>
      </c>
      <c r="H51" s="212">
        <f t="shared" si="14"/>
        <v>953.62638888888887</v>
      </c>
      <c r="I51" s="212">
        <f t="shared" si="14"/>
        <v>1047.747311827957</v>
      </c>
      <c r="J51" s="212">
        <f t="shared" si="14"/>
        <v>1012.2997311827957</v>
      </c>
      <c r="K51" s="212">
        <f t="shared" si="14"/>
        <v>909.89861111111111</v>
      </c>
      <c r="L51" s="212">
        <f t="shared" si="14"/>
        <v>798.78629032258061</v>
      </c>
      <c r="M51" s="212">
        <f t="shared" si="14"/>
        <v>982.25</v>
      </c>
      <c r="N51" s="212">
        <f t="shared" si="14"/>
        <v>1059.2513440860216</v>
      </c>
      <c r="O51" s="212">
        <f>O50/8760</f>
        <v>970.86449771689502</v>
      </c>
      <c r="P51" s="24"/>
      <c r="Q51" s="24"/>
    </row>
    <row r="52" spans="1:23" x14ac:dyDescent="0.2">
      <c r="A52" s="3" t="s">
        <v>727</v>
      </c>
      <c r="C52" s="213">
        <f>C56+0.1</f>
        <v>0.36760076063989688</v>
      </c>
      <c r="D52" s="213">
        <f t="shared" ref="D52:N52" si="15">D56+0.1</f>
        <v>0.43887144768704589</v>
      </c>
      <c r="E52" s="213">
        <f t="shared" si="15"/>
        <v>0.34682031286229342</v>
      </c>
      <c r="F52" s="213">
        <f t="shared" si="15"/>
        <v>0.31767838152534328</v>
      </c>
      <c r="G52" s="213">
        <f t="shared" si="15"/>
        <v>0.3729569829705156</v>
      </c>
      <c r="H52" s="213">
        <f t="shared" si="15"/>
        <v>0.43051837261399151</v>
      </c>
      <c r="I52" s="213">
        <f t="shared" si="15"/>
        <v>0.4576569815043311</v>
      </c>
      <c r="J52" s="213">
        <f t="shared" si="15"/>
        <v>0.45792664464182076</v>
      </c>
      <c r="K52" s="213">
        <f t="shared" si="15"/>
        <v>0.43913121808388089</v>
      </c>
      <c r="L52" s="213">
        <f t="shared" si="15"/>
        <v>0.36022798403637357</v>
      </c>
      <c r="M52" s="213">
        <f t="shared" si="15"/>
        <v>0.39255306318711569</v>
      </c>
      <c r="N52" s="213">
        <f t="shared" si="15"/>
        <v>0.4275021002866799</v>
      </c>
      <c r="O52" s="213"/>
      <c r="Q52" s="15"/>
    </row>
    <row r="53" spans="1:23" x14ac:dyDescent="0.2">
      <c r="A53" s="3" t="s">
        <v>728</v>
      </c>
      <c r="C53" s="212">
        <f>C51/C52</f>
        <v>2926.390243853969</v>
      </c>
      <c r="D53" s="212">
        <f t="shared" ref="D53:N53" si="16">D51/D52</f>
        <v>2728.7827169894977</v>
      </c>
      <c r="E53" s="212">
        <f t="shared" si="16"/>
        <v>2654.7632082241712</v>
      </c>
      <c r="F53" s="212">
        <f t="shared" si="16"/>
        <v>2709.5319426183673</v>
      </c>
      <c r="G53" s="212">
        <f t="shared" si="16"/>
        <v>2273.5440774733538</v>
      </c>
      <c r="H53" s="212">
        <f t="shared" si="16"/>
        <v>2215.065487446509</v>
      </c>
      <c r="I53" s="212">
        <f t="shared" si="16"/>
        <v>2289.3725086067357</v>
      </c>
      <c r="J53" s="212">
        <f t="shared" si="16"/>
        <v>2210.6154840031031</v>
      </c>
      <c r="K53" s="212">
        <f t="shared" si="16"/>
        <v>2072.0426461170118</v>
      </c>
      <c r="L53" s="212">
        <f t="shared" si="16"/>
        <v>2217.4465219834897</v>
      </c>
      <c r="M53" s="212">
        <f t="shared" si="16"/>
        <v>2502.2094899098961</v>
      </c>
      <c r="N53" s="212">
        <f t="shared" si="16"/>
        <v>2477.7687486814571</v>
      </c>
      <c r="O53" s="212">
        <f>SUM(C53:N53)</f>
        <v>29277.533075907562</v>
      </c>
      <c r="Q53" s="15">
        <f>MAX(C53:N53)</f>
        <v>2926.390243853969</v>
      </c>
    </row>
    <row r="54" spans="1:23" x14ac:dyDescent="0.2">
      <c r="A54" s="3" t="s">
        <v>680</v>
      </c>
      <c r="C54" s="213">
        <v>0.85</v>
      </c>
      <c r="D54" s="213">
        <f>C54</f>
        <v>0.85</v>
      </c>
      <c r="E54" s="213">
        <f t="shared" ref="E54:N54" si="17">D54</f>
        <v>0.85</v>
      </c>
      <c r="F54" s="213">
        <f t="shared" si="17"/>
        <v>0.85</v>
      </c>
      <c r="G54" s="213">
        <f t="shared" si="17"/>
        <v>0.85</v>
      </c>
      <c r="H54" s="213">
        <f t="shared" si="17"/>
        <v>0.85</v>
      </c>
      <c r="I54" s="213">
        <f t="shared" si="17"/>
        <v>0.85</v>
      </c>
      <c r="J54" s="213">
        <f t="shared" si="17"/>
        <v>0.85</v>
      </c>
      <c r="K54" s="213">
        <f t="shared" si="17"/>
        <v>0.85</v>
      </c>
      <c r="L54" s="213">
        <f t="shared" si="17"/>
        <v>0.85</v>
      </c>
      <c r="M54" s="213">
        <f t="shared" si="17"/>
        <v>0.85</v>
      </c>
      <c r="N54" s="213">
        <f t="shared" si="17"/>
        <v>0.85</v>
      </c>
      <c r="O54" s="213"/>
      <c r="P54" s="24"/>
      <c r="Q54" s="15"/>
    </row>
    <row r="55" spans="1:23" x14ac:dyDescent="0.2">
      <c r="A55" s="3" t="s">
        <v>681</v>
      </c>
      <c r="C55" s="212">
        <f>C53*C54</f>
        <v>2487.4317072758736</v>
      </c>
      <c r="D55" s="212">
        <f t="shared" ref="D55:N55" si="18">D53*D54</f>
        <v>2319.4653094410728</v>
      </c>
      <c r="E55" s="212">
        <f t="shared" si="18"/>
        <v>2256.5487269905457</v>
      </c>
      <c r="F55" s="212">
        <f t="shared" si="18"/>
        <v>2303.102151225612</v>
      </c>
      <c r="G55" s="212">
        <f t="shared" si="18"/>
        <v>1932.5124658523507</v>
      </c>
      <c r="H55" s="212">
        <f t="shared" si="18"/>
        <v>1882.8056643295326</v>
      </c>
      <c r="I55" s="212">
        <f t="shared" si="18"/>
        <v>1945.9666323157253</v>
      </c>
      <c r="J55" s="212">
        <f t="shared" si="18"/>
        <v>1879.0231614026377</v>
      </c>
      <c r="K55" s="212">
        <f t="shared" si="18"/>
        <v>1761.23624919946</v>
      </c>
      <c r="L55" s="212">
        <f t="shared" si="18"/>
        <v>1884.8295436859662</v>
      </c>
      <c r="M55" s="212">
        <f t="shared" si="18"/>
        <v>2126.8780664234118</v>
      </c>
      <c r="N55" s="212">
        <f t="shared" si="18"/>
        <v>2106.1034363792382</v>
      </c>
      <c r="O55" s="212">
        <f>SUM(C55:N55)</f>
        <v>24885.903114521429</v>
      </c>
      <c r="P55" s="24"/>
      <c r="Q55" s="15"/>
      <c r="R55" s="15">
        <f>O55</f>
        <v>24885.903114521429</v>
      </c>
      <c r="S55" s="15">
        <f>H55+I55+J55</f>
        <v>5707.7954580478954</v>
      </c>
      <c r="T55" s="15">
        <f>R55-S55</f>
        <v>19178.107656473534</v>
      </c>
    </row>
    <row r="56" spans="1:23" x14ac:dyDescent="0.2">
      <c r="A56" s="3" t="s">
        <v>729</v>
      </c>
      <c r="C56" s="213">
        <f>C51/C57</f>
        <v>0.26760076063989685</v>
      </c>
      <c r="D56" s="213">
        <f t="shared" ref="D56:N56" si="19">D51/D57</f>
        <v>0.33887144768704586</v>
      </c>
      <c r="E56" s="213">
        <f t="shared" si="19"/>
        <v>0.24682031286229345</v>
      </c>
      <c r="F56" s="213">
        <f t="shared" si="19"/>
        <v>0.21767838152534327</v>
      </c>
      <c r="G56" s="213">
        <f t="shared" si="19"/>
        <v>0.27295698297051563</v>
      </c>
      <c r="H56" s="213">
        <f t="shared" si="19"/>
        <v>0.33051837261399147</v>
      </c>
      <c r="I56" s="213">
        <f t="shared" si="19"/>
        <v>0.35765698150433106</v>
      </c>
      <c r="J56" s="213">
        <f t="shared" si="19"/>
        <v>0.35792664464182072</v>
      </c>
      <c r="K56" s="213">
        <f t="shared" si="19"/>
        <v>0.33913121808388086</v>
      </c>
      <c r="L56" s="213">
        <f t="shared" si="19"/>
        <v>0.26022798403637359</v>
      </c>
      <c r="M56" s="213">
        <f t="shared" si="19"/>
        <v>0.29255306318711571</v>
      </c>
      <c r="N56" s="213">
        <f t="shared" si="19"/>
        <v>0.32750210028667992</v>
      </c>
      <c r="O56" s="213"/>
      <c r="P56" s="147"/>
      <c r="Q56" s="147"/>
      <c r="U56" s="105"/>
      <c r="W56" s="105"/>
    </row>
    <row r="57" spans="1:23" x14ac:dyDescent="0.2">
      <c r="A57" s="3" t="s">
        <v>730</v>
      </c>
      <c r="C57" s="212">
        <v>4019.9559859154929</v>
      </c>
      <c r="D57" s="212">
        <v>3534.0387323943664</v>
      </c>
      <c r="E57" s="212">
        <v>3730.3485915492961</v>
      </c>
      <c r="F57" s="212">
        <v>3954.2728873239439</v>
      </c>
      <c r="G57" s="212">
        <v>3106.4753521126759</v>
      </c>
      <c r="H57" s="212">
        <v>2885.2447183098589</v>
      </c>
      <c r="I57" s="212">
        <v>2929.4753521126759</v>
      </c>
      <c r="J57" s="212">
        <v>2828.2323943661972</v>
      </c>
      <c r="K57" s="212">
        <v>2683.0281690140846</v>
      </c>
      <c r="L57" s="212">
        <v>3069.5633802816901</v>
      </c>
      <c r="M57" s="212">
        <v>3357.5105633802818</v>
      </c>
      <c r="N57" s="212">
        <v>3234.3345070422538</v>
      </c>
      <c r="O57" s="212">
        <f>SUM(C57:N57)</f>
        <v>39332.480633802814</v>
      </c>
      <c r="P57" s="24">
        <f>MAX(C57:N57)</f>
        <v>4019.9559859154929</v>
      </c>
      <c r="Q57" s="24"/>
    </row>
    <row r="58" spans="1:23" x14ac:dyDescent="0.2">
      <c r="C58" s="214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147"/>
      <c r="Q58" s="147"/>
      <c r="U58" s="105"/>
      <c r="W58" s="105"/>
    </row>
    <row r="59" spans="1:23" x14ac:dyDescent="0.2">
      <c r="A59" s="4" t="str">
        <f>A10</f>
        <v xml:space="preserve">LP - Large Power </v>
      </c>
      <c r="B59" s="32" t="str">
        <f>B10</f>
        <v>LP</v>
      </c>
      <c r="C59" s="212">
        <v>160</v>
      </c>
      <c r="D59" s="212">
        <v>160</v>
      </c>
      <c r="E59" s="212">
        <v>159</v>
      </c>
      <c r="F59" s="212">
        <v>159</v>
      </c>
      <c r="G59" s="212">
        <v>160</v>
      </c>
      <c r="H59" s="212">
        <v>159</v>
      </c>
      <c r="I59" s="212">
        <v>161</v>
      </c>
      <c r="J59" s="212">
        <v>161</v>
      </c>
      <c r="K59" s="212">
        <v>161</v>
      </c>
      <c r="L59" s="212">
        <v>161</v>
      </c>
      <c r="M59" s="212">
        <v>161</v>
      </c>
      <c r="N59" s="212">
        <v>161</v>
      </c>
      <c r="O59" s="212">
        <f>SUM(C59:N59)</f>
        <v>1923</v>
      </c>
      <c r="P59" s="24"/>
      <c r="Q59" s="15"/>
    </row>
    <row r="60" spans="1:23" x14ac:dyDescent="0.2">
      <c r="A60" s="3" t="s">
        <v>915</v>
      </c>
      <c r="C60" s="212">
        <v>1986415</v>
      </c>
      <c r="D60" s="212">
        <v>1325775</v>
      </c>
      <c r="E60" s="212">
        <v>1948525</v>
      </c>
      <c r="F60" s="212">
        <v>1711899</v>
      </c>
      <c r="G60" s="212">
        <v>1921989</v>
      </c>
      <c r="H60" s="212">
        <v>2000707</v>
      </c>
      <c r="I60" s="212">
        <v>2246365</v>
      </c>
      <c r="J60" s="212">
        <v>2213239</v>
      </c>
      <c r="K60" s="212">
        <v>1921682</v>
      </c>
      <c r="L60" s="212">
        <v>1768533</v>
      </c>
      <c r="M60" s="212">
        <v>1873608</v>
      </c>
      <c r="N60" s="212">
        <v>1886680</v>
      </c>
      <c r="O60" s="212">
        <f>SUM(C60:N60)</f>
        <v>22805417</v>
      </c>
      <c r="P60" s="147"/>
      <c r="Q60" s="147"/>
      <c r="U60" s="105"/>
      <c r="W60" s="105"/>
    </row>
    <row r="61" spans="1:23" x14ac:dyDescent="0.2">
      <c r="A61" s="3" t="s">
        <v>679</v>
      </c>
      <c r="C61" s="212">
        <f>C60/C$35</f>
        <v>2669.9126344086021</v>
      </c>
      <c r="D61" s="212">
        <f t="shared" ref="D61:N61" si="20">D60/D$35</f>
        <v>1972.8794642857142</v>
      </c>
      <c r="E61" s="212">
        <f t="shared" si="20"/>
        <v>2618.9852150537636</v>
      </c>
      <c r="F61" s="212">
        <f t="shared" si="20"/>
        <v>2377.6374999999998</v>
      </c>
      <c r="G61" s="212">
        <f t="shared" si="20"/>
        <v>2583.3185483870966</v>
      </c>
      <c r="H61" s="212">
        <f t="shared" si="20"/>
        <v>2778.7597222222221</v>
      </c>
      <c r="I61" s="212">
        <f t="shared" si="20"/>
        <v>3019.3077956989246</v>
      </c>
      <c r="J61" s="212">
        <f t="shared" si="20"/>
        <v>2974.7836021505377</v>
      </c>
      <c r="K61" s="212">
        <f t="shared" si="20"/>
        <v>2669.0027777777777</v>
      </c>
      <c r="L61" s="212">
        <f t="shared" si="20"/>
        <v>2377.0604838709678</v>
      </c>
      <c r="M61" s="212">
        <f t="shared" si="20"/>
        <v>2602.2333333333331</v>
      </c>
      <c r="N61" s="212">
        <f t="shared" si="20"/>
        <v>2535.8602150537636</v>
      </c>
      <c r="O61" s="212">
        <f>O60/8760</f>
        <v>2603.3581050228308</v>
      </c>
      <c r="P61" s="24"/>
      <c r="Q61" s="24"/>
    </row>
    <row r="62" spans="1:23" x14ac:dyDescent="0.2">
      <c r="A62" s="3" t="s">
        <v>727</v>
      </c>
      <c r="C62" s="213">
        <f>C66+0.1</f>
        <v>0.41608202059284205</v>
      </c>
      <c r="D62" s="213">
        <f t="shared" ref="D62:N62" si="21">D66+0.1</f>
        <v>0.46559273864055761</v>
      </c>
      <c r="E62" s="213">
        <f t="shared" si="21"/>
        <v>0.47572565122694332</v>
      </c>
      <c r="F62" s="213">
        <f t="shared" si="21"/>
        <v>0.41963997303812195</v>
      </c>
      <c r="G62" s="213">
        <f t="shared" si="21"/>
        <v>0.49262204525706543</v>
      </c>
      <c r="H62" s="213">
        <f t="shared" si="21"/>
        <v>0.5540619646168643</v>
      </c>
      <c r="I62" s="213">
        <f t="shared" si="21"/>
        <v>0.54707467751237893</v>
      </c>
      <c r="J62" s="213">
        <f t="shared" si="21"/>
        <v>0.54108694360288134</v>
      </c>
      <c r="K62" s="213">
        <f t="shared" si="21"/>
        <v>0.51407578280527821</v>
      </c>
      <c r="L62" s="213">
        <f t="shared" si="21"/>
        <v>0.4644678563278406</v>
      </c>
      <c r="M62" s="213">
        <f t="shared" si="21"/>
        <v>0.4943813342308131</v>
      </c>
      <c r="N62" s="213">
        <f t="shared" si="21"/>
        <v>0.5246831151872029</v>
      </c>
      <c r="O62" s="213"/>
      <c r="Q62" s="15"/>
    </row>
    <row r="63" spans="1:23" x14ac:dyDescent="0.2">
      <c r="A63" s="3" t="s">
        <v>728</v>
      </c>
      <c r="C63" s="212">
        <f>C61/C62</f>
        <v>6416.7940508567444</v>
      </c>
      <c r="D63" s="212">
        <f t="shared" ref="D63:N63" si="22">D61/D62</f>
        <v>4237.3501572342984</v>
      </c>
      <c r="E63" s="212">
        <f t="shared" si="22"/>
        <v>5505.2427976064409</v>
      </c>
      <c r="F63" s="212">
        <f t="shared" si="22"/>
        <v>5665.898514830008</v>
      </c>
      <c r="G63" s="212">
        <f t="shared" si="22"/>
        <v>5244.0173420152987</v>
      </c>
      <c r="H63" s="212">
        <f t="shared" si="22"/>
        <v>5015.2508197232846</v>
      </c>
      <c r="I63" s="212">
        <f t="shared" si="22"/>
        <v>5519.0048448744101</v>
      </c>
      <c r="J63" s="212">
        <f t="shared" si="22"/>
        <v>5497.7922445192353</v>
      </c>
      <c r="K63" s="212">
        <f t="shared" si="22"/>
        <v>5191.8469358996108</v>
      </c>
      <c r="L63" s="212">
        <f t="shared" si="22"/>
        <v>5117.814831502872</v>
      </c>
      <c r="M63" s="212">
        <f t="shared" si="22"/>
        <v>5263.6156609392165</v>
      </c>
      <c r="N63" s="212">
        <f t="shared" si="22"/>
        <v>4833.1271612370983</v>
      </c>
      <c r="O63" s="212">
        <f>SUM(C63:N63)</f>
        <v>63507.755361238516</v>
      </c>
      <c r="Q63" s="15">
        <f>MAX(C63:N63)</f>
        <v>6416.7940508567444</v>
      </c>
    </row>
    <row r="64" spans="1:23" x14ac:dyDescent="0.2">
      <c r="A64" s="3" t="s">
        <v>680</v>
      </c>
      <c r="C64" s="213">
        <v>0.8</v>
      </c>
      <c r="D64" s="213">
        <f>C64</f>
        <v>0.8</v>
      </c>
      <c r="E64" s="213">
        <f t="shared" ref="E64:N64" si="23">D64</f>
        <v>0.8</v>
      </c>
      <c r="F64" s="213">
        <f t="shared" si="23"/>
        <v>0.8</v>
      </c>
      <c r="G64" s="213">
        <f t="shared" si="23"/>
        <v>0.8</v>
      </c>
      <c r="H64" s="213">
        <f t="shared" si="23"/>
        <v>0.8</v>
      </c>
      <c r="I64" s="213">
        <f t="shared" si="23"/>
        <v>0.8</v>
      </c>
      <c r="J64" s="213">
        <f t="shared" si="23"/>
        <v>0.8</v>
      </c>
      <c r="K64" s="213">
        <f t="shared" si="23"/>
        <v>0.8</v>
      </c>
      <c r="L64" s="213">
        <f t="shared" si="23"/>
        <v>0.8</v>
      </c>
      <c r="M64" s="213">
        <f t="shared" si="23"/>
        <v>0.8</v>
      </c>
      <c r="N64" s="213">
        <f t="shared" si="23"/>
        <v>0.8</v>
      </c>
      <c r="O64" s="213"/>
      <c r="P64" s="24"/>
      <c r="Q64" s="15"/>
    </row>
    <row r="65" spans="1:23" x14ac:dyDescent="0.2">
      <c r="A65" s="3" t="s">
        <v>681</v>
      </c>
      <c r="C65" s="212">
        <f>C63*C64</f>
        <v>5133.4352406853959</v>
      </c>
      <c r="D65" s="212">
        <f t="shared" ref="D65:N65" si="24">D63*D64</f>
        <v>3389.8801257874388</v>
      </c>
      <c r="E65" s="212">
        <f t="shared" si="24"/>
        <v>4404.1942380851533</v>
      </c>
      <c r="F65" s="212">
        <f t="shared" si="24"/>
        <v>4532.718811864007</v>
      </c>
      <c r="G65" s="212">
        <f t="shared" si="24"/>
        <v>4195.2138736122388</v>
      </c>
      <c r="H65" s="212">
        <f t="shared" si="24"/>
        <v>4012.2006557786281</v>
      </c>
      <c r="I65" s="212">
        <f t="shared" si="24"/>
        <v>4415.2038758995286</v>
      </c>
      <c r="J65" s="212">
        <f t="shared" si="24"/>
        <v>4398.2337956153888</v>
      </c>
      <c r="K65" s="212">
        <f t="shared" si="24"/>
        <v>4153.4775487196885</v>
      </c>
      <c r="L65" s="212">
        <f t="shared" si="24"/>
        <v>4094.2518652022977</v>
      </c>
      <c r="M65" s="212">
        <f t="shared" si="24"/>
        <v>4210.892528751373</v>
      </c>
      <c r="N65" s="212">
        <f t="shared" si="24"/>
        <v>3866.5017289896787</v>
      </c>
      <c r="O65" s="212">
        <f>SUM(C65:N65)</f>
        <v>50806.204288990819</v>
      </c>
      <c r="P65" s="24"/>
      <c r="Q65" s="15"/>
      <c r="R65" s="15">
        <f>O65</f>
        <v>50806.204288990819</v>
      </c>
      <c r="S65" s="15">
        <f>H65+I65+J65</f>
        <v>12825.638327293545</v>
      </c>
      <c r="T65" s="15">
        <f>R65-S65</f>
        <v>37980.56596169727</v>
      </c>
    </row>
    <row r="66" spans="1:23" x14ac:dyDescent="0.2">
      <c r="A66" s="3" t="s">
        <v>729</v>
      </c>
      <c r="C66" s="213">
        <f>C61/C67</f>
        <v>0.31608202059284202</v>
      </c>
      <c r="D66" s="213">
        <f t="shared" ref="D66:N66" si="25">D61/D67</f>
        <v>0.36559273864055758</v>
      </c>
      <c r="E66" s="213">
        <f t="shared" si="25"/>
        <v>0.37572565122694335</v>
      </c>
      <c r="F66" s="213">
        <f t="shared" si="25"/>
        <v>0.31963997303812192</v>
      </c>
      <c r="G66" s="213">
        <f t="shared" si="25"/>
        <v>0.3926220452570654</v>
      </c>
      <c r="H66" s="213">
        <f t="shared" si="25"/>
        <v>0.45406196461686427</v>
      </c>
      <c r="I66" s="213">
        <f t="shared" si="25"/>
        <v>0.44707467751237895</v>
      </c>
      <c r="J66" s="213">
        <f t="shared" si="25"/>
        <v>0.44108694360288137</v>
      </c>
      <c r="K66" s="213">
        <f t="shared" si="25"/>
        <v>0.41407578280527824</v>
      </c>
      <c r="L66" s="213">
        <f t="shared" si="25"/>
        <v>0.36446785632784062</v>
      </c>
      <c r="M66" s="213">
        <f t="shared" si="25"/>
        <v>0.39438133423081306</v>
      </c>
      <c r="N66" s="213">
        <f t="shared" si="25"/>
        <v>0.42468311518720286</v>
      </c>
      <c r="O66" s="213"/>
      <c r="P66" s="147"/>
      <c r="Q66" s="147"/>
      <c r="U66" s="105"/>
      <c r="W66" s="105"/>
    </row>
    <row r="67" spans="1:23" x14ac:dyDescent="0.2">
      <c r="A67" s="3" t="s">
        <v>730</v>
      </c>
      <c r="C67" s="212">
        <v>8446.8981481481478</v>
      </c>
      <c r="D67" s="212">
        <v>5396.3858024691353</v>
      </c>
      <c r="E67" s="212">
        <v>6970.4722222222226</v>
      </c>
      <c r="F67" s="212">
        <v>7438.4861111111104</v>
      </c>
      <c r="G67" s="212">
        <v>6579.6574074074069</v>
      </c>
      <c r="H67" s="212">
        <v>6119.7808641975307</v>
      </c>
      <c r="I67" s="212">
        <v>6753.4753086419742</v>
      </c>
      <c r="J67" s="212">
        <v>6744.2114197530855</v>
      </c>
      <c r="K67" s="212">
        <v>6445.6867283950614</v>
      </c>
      <c r="L67" s="212">
        <v>6522.0030864197533</v>
      </c>
      <c r="M67" s="212">
        <v>6598.2669753086411</v>
      </c>
      <c r="N67" s="212">
        <v>5971.1820987654319</v>
      </c>
      <c r="O67" s="212">
        <f>SUM(C67:N67)</f>
        <v>79986.506172839494</v>
      </c>
      <c r="P67" s="24">
        <f>MAX(C67:N67)</f>
        <v>8446.8981481481478</v>
      </c>
      <c r="Q67" s="24"/>
    </row>
    <row r="68" spans="1:23" x14ac:dyDescent="0.2">
      <c r="C68" s="212"/>
      <c r="D68" s="212"/>
      <c r="E68" s="212"/>
      <c r="F68" s="212"/>
      <c r="G68" s="212"/>
      <c r="H68" s="212"/>
      <c r="I68" s="212"/>
      <c r="J68" s="212"/>
      <c r="K68" s="212"/>
      <c r="L68" s="212"/>
      <c r="M68" s="212"/>
      <c r="N68" s="212"/>
      <c r="O68" s="212"/>
      <c r="P68" s="24"/>
      <c r="Q68" s="15"/>
    </row>
    <row r="69" spans="1:23" x14ac:dyDescent="0.2">
      <c r="A69" s="4" t="str">
        <f>A11</f>
        <v>LPR - Large Power</v>
      </c>
      <c r="B69" s="32" t="str">
        <f>B11</f>
        <v>LPR</v>
      </c>
      <c r="C69" s="212">
        <v>9</v>
      </c>
      <c r="D69" s="212">
        <v>9</v>
      </c>
      <c r="E69" s="212">
        <v>9</v>
      </c>
      <c r="F69" s="212">
        <v>9</v>
      </c>
      <c r="G69" s="212">
        <v>9</v>
      </c>
      <c r="H69" s="212">
        <v>9</v>
      </c>
      <c r="I69" s="212">
        <v>8</v>
      </c>
      <c r="J69" s="212">
        <v>8</v>
      </c>
      <c r="K69" s="212">
        <v>8</v>
      </c>
      <c r="L69" s="212">
        <v>8</v>
      </c>
      <c r="M69" s="212">
        <v>8</v>
      </c>
      <c r="N69" s="212">
        <v>8</v>
      </c>
      <c r="O69" s="212">
        <f>SUM(C69:N69)</f>
        <v>102</v>
      </c>
      <c r="P69" s="24"/>
      <c r="Q69" s="15"/>
    </row>
    <row r="70" spans="1:23" x14ac:dyDescent="0.2">
      <c r="A70" s="3" t="s">
        <v>915</v>
      </c>
      <c r="C70" s="212">
        <v>1044664</v>
      </c>
      <c r="D70" s="212">
        <v>891108</v>
      </c>
      <c r="E70" s="212">
        <v>977128</v>
      </c>
      <c r="F70" s="212">
        <v>765772</v>
      </c>
      <c r="G70" s="212">
        <v>832216</v>
      </c>
      <c r="H70" s="212">
        <v>805296</v>
      </c>
      <c r="I70" s="212">
        <v>811356</v>
      </c>
      <c r="J70" s="212">
        <v>887576</v>
      </c>
      <c r="K70" s="212">
        <v>825296</v>
      </c>
      <c r="L70" s="212">
        <v>836776</v>
      </c>
      <c r="M70" s="212">
        <v>886676</v>
      </c>
      <c r="N70" s="212">
        <v>942116</v>
      </c>
      <c r="O70" s="212">
        <f>SUM(C70:N70)</f>
        <v>10505980</v>
      </c>
      <c r="P70" s="147"/>
      <c r="Q70" s="147"/>
      <c r="U70" s="105"/>
      <c r="W70" s="105"/>
    </row>
    <row r="71" spans="1:23" x14ac:dyDescent="0.2">
      <c r="A71" s="3" t="s">
        <v>679</v>
      </c>
      <c r="C71" s="212">
        <f>C70/C$35</f>
        <v>1404.1182795698924</v>
      </c>
      <c r="D71" s="212">
        <f t="shared" ref="D71" si="26">D70/D$35</f>
        <v>1326.0535714285713</v>
      </c>
      <c r="E71" s="212">
        <f t="shared" ref="E71" si="27">E70/E$35</f>
        <v>1313.3440860215053</v>
      </c>
      <c r="F71" s="212">
        <f t="shared" ref="F71" si="28">F70/F$35</f>
        <v>1063.5722222222223</v>
      </c>
      <c r="G71" s="212">
        <f t="shared" ref="G71" si="29">G70/G$35</f>
        <v>1118.5698924731182</v>
      </c>
      <c r="H71" s="212">
        <f t="shared" ref="H71" si="30">H70/H$35</f>
        <v>1118.4666666666667</v>
      </c>
      <c r="I71" s="212">
        <f t="shared" ref="I71" si="31">I70/I$35</f>
        <v>1090.5322580645161</v>
      </c>
      <c r="J71" s="212">
        <f t="shared" ref="J71" si="32">J70/J$35</f>
        <v>1192.9784946236559</v>
      </c>
      <c r="K71" s="212">
        <f t="shared" ref="K71" si="33">K70/K$35</f>
        <v>1146.2444444444445</v>
      </c>
      <c r="L71" s="212">
        <f t="shared" ref="L71" si="34">L70/L$35</f>
        <v>1124.6989247311828</v>
      </c>
      <c r="M71" s="212">
        <f t="shared" ref="M71" si="35">M70/M$35</f>
        <v>1231.4944444444445</v>
      </c>
      <c r="N71" s="212">
        <f t="shared" ref="N71" si="36">N70/N$35</f>
        <v>1266.2849462365591</v>
      </c>
      <c r="O71" s="212">
        <f>O70/8760</f>
        <v>1199.3127853881278</v>
      </c>
      <c r="P71" s="24"/>
      <c r="Q71" s="24"/>
    </row>
    <row r="72" spans="1:23" x14ac:dyDescent="0.2">
      <c r="A72" s="3" t="s">
        <v>727</v>
      </c>
      <c r="C72" s="213">
        <v>0.8</v>
      </c>
      <c r="D72" s="213">
        <f>C72</f>
        <v>0.8</v>
      </c>
      <c r="E72" s="213">
        <f t="shared" ref="E72:N72" si="37">D72</f>
        <v>0.8</v>
      </c>
      <c r="F72" s="213">
        <f t="shared" si="37"/>
        <v>0.8</v>
      </c>
      <c r="G72" s="213">
        <f t="shared" si="37"/>
        <v>0.8</v>
      </c>
      <c r="H72" s="213">
        <f t="shared" si="37"/>
        <v>0.8</v>
      </c>
      <c r="I72" s="213">
        <f t="shared" si="37"/>
        <v>0.8</v>
      </c>
      <c r="J72" s="213">
        <f t="shared" si="37"/>
        <v>0.8</v>
      </c>
      <c r="K72" s="213">
        <f t="shared" si="37"/>
        <v>0.8</v>
      </c>
      <c r="L72" s="213">
        <f t="shared" si="37"/>
        <v>0.8</v>
      </c>
      <c r="M72" s="213">
        <f t="shared" si="37"/>
        <v>0.8</v>
      </c>
      <c r="N72" s="213">
        <f t="shared" si="37"/>
        <v>0.8</v>
      </c>
      <c r="O72" s="213"/>
      <c r="Q72" s="15"/>
    </row>
    <row r="73" spans="1:23" x14ac:dyDescent="0.2">
      <c r="A73" s="3" t="s">
        <v>728</v>
      </c>
      <c r="C73" s="212">
        <f>C71/C72</f>
        <v>1755.1478494623655</v>
      </c>
      <c r="D73" s="212">
        <f t="shared" ref="D73:N73" si="38">D71/D72</f>
        <v>1657.566964285714</v>
      </c>
      <c r="E73" s="212">
        <f t="shared" si="38"/>
        <v>1641.6801075268816</v>
      </c>
      <c r="F73" s="212">
        <f t="shared" si="38"/>
        <v>1329.4652777777778</v>
      </c>
      <c r="G73" s="212">
        <f t="shared" si="38"/>
        <v>1398.2123655913977</v>
      </c>
      <c r="H73" s="212">
        <f t="shared" si="38"/>
        <v>1398.0833333333333</v>
      </c>
      <c r="I73" s="212">
        <f t="shared" si="38"/>
        <v>1363.1653225806451</v>
      </c>
      <c r="J73" s="212">
        <f t="shared" si="38"/>
        <v>1491.2231182795699</v>
      </c>
      <c r="K73" s="212">
        <f t="shared" si="38"/>
        <v>1432.8055555555557</v>
      </c>
      <c r="L73" s="212">
        <f t="shared" si="38"/>
        <v>1405.8736559139784</v>
      </c>
      <c r="M73" s="212">
        <f t="shared" si="38"/>
        <v>1539.3680555555557</v>
      </c>
      <c r="N73" s="212">
        <f t="shared" si="38"/>
        <v>1582.8561827956987</v>
      </c>
      <c r="O73" s="212">
        <f>SUM(C73:N73)</f>
        <v>17995.447788658472</v>
      </c>
      <c r="Q73" s="15">
        <f>MAX(C73:N73)</f>
        <v>1755.1478494623655</v>
      </c>
    </row>
    <row r="74" spans="1:23" x14ac:dyDescent="0.2">
      <c r="A74" s="3" t="s">
        <v>680</v>
      </c>
      <c r="C74" s="213">
        <v>0.45</v>
      </c>
      <c r="D74" s="213">
        <f>C74</f>
        <v>0.45</v>
      </c>
      <c r="E74" s="213">
        <f t="shared" ref="E74:N74" si="39">D74</f>
        <v>0.45</v>
      </c>
      <c r="F74" s="213">
        <f t="shared" si="39"/>
        <v>0.45</v>
      </c>
      <c r="G74" s="213">
        <f t="shared" si="39"/>
        <v>0.45</v>
      </c>
      <c r="H74" s="213">
        <f t="shared" si="39"/>
        <v>0.45</v>
      </c>
      <c r="I74" s="213">
        <f t="shared" si="39"/>
        <v>0.45</v>
      </c>
      <c r="J74" s="213">
        <f t="shared" si="39"/>
        <v>0.45</v>
      </c>
      <c r="K74" s="213">
        <f t="shared" si="39"/>
        <v>0.45</v>
      </c>
      <c r="L74" s="213">
        <f t="shared" si="39"/>
        <v>0.45</v>
      </c>
      <c r="M74" s="213">
        <f t="shared" si="39"/>
        <v>0.45</v>
      </c>
      <c r="N74" s="213">
        <f t="shared" si="39"/>
        <v>0.45</v>
      </c>
      <c r="O74" s="213"/>
      <c r="P74" s="24"/>
      <c r="Q74" s="15"/>
    </row>
    <row r="75" spans="1:23" x14ac:dyDescent="0.2">
      <c r="A75" s="3" t="s">
        <v>681</v>
      </c>
      <c r="C75" s="212">
        <f>C73*C74</f>
        <v>789.81653225806451</v>
      </c>
      <c r="D75" s="212">
        <f t="shared" ref="D75:N75" si="40">D73*D74</f>
        <v>745.90513392857133</v>
      </c>
      <c r="E75" s="212">
        <f t="shared" si="40"/>
        <v>738.75604838709671</v>
      </c>
      <c r="F75" s="212">
        <f t="shared" si="40"/>
        <v>598.25937500000009</v>
      </c>
      <c r="G75" s="212">
        <f t="shared" si="40"/>
        <v>629.19556451612891</v>
      </c>
      <c r="H75" s="212">
        <f t="shared" si="40"/>
        <v>629.13749999999993</v>
      </c>
      <c r="I75" s="212">
        <f t="shared" si="40"/>
        <v>613.42439516129036</v>
      </c>
      <c r="J75" s="212">
        <f t="shared" si="40"/>
        <v>671.05040322580646</v>
      </c>
      <c r="K75" s="212">
        <f t="shared" si="40"/>
        <v>644.76250000000005</v>
      </c>
      <c r="L75" s="212">
        <f t="shared" si="40"/>
        <v>632.64314516129025</v>
      </c>
      <c r="M75" s="212">
        <f t="shared" si="40"/>
        <v>692.71562500000005</v>
      </c>
      <c r="N75" s="212">
        <f t="shared" si="40"/>
        <v>712.2852822580644</v>
      </c>
      <c r="O75" s="212">
        <f>SUM(C75:N75)</f>
        <v>8097.951504896314</v>
      </c>
      <c r="P75" s="24"/>
      <c r="Q75" s="15"/>
      <c r="R75" s="15">
        <f>O75</f>
        <v>8097.951504896314</v>
      </c>
      <c r="S75" s="15">
        <f>H75+I75+J75</f>
        <v>1913.6122983870969</v>
      </c>
      <c r="T75" s="15">
        <f>R75-S75</f>
        <v>6184.3392065092175</v>
      </c>
    </row>
    <row r="76" spans="1:23" x14ac:dyDescent="0.2">
      <c r="A76" s="3" t="s">
        <v>729</v>
      </c>
      <c r="C76" s="213">
        <f>C71/C77</f>
        <v>0.42093144282132505</v>
      </c>
      <c r="D76" s="213">
        <f t="shared" ref="D76:N76" si="41">D71/D77</f>
        <v>0.40831307942908585</v>
      </c>
      <c r="E76" s="213">
        <f t="shared" si="41"/>
        <v>0.33358664026648699</v>
      </c>
      <c r="F76" s="213">
        <f t="shared" si="41"/>
        <v>0.30344078670470903</v>
      </c>
      <c r="G76" s="213">
        <f t="shared" si="41"/>
        <v>0.32100020155697995</v>
      </c>
      <c r="H76" s="213">
        <f t="shared" si="41"/>
        <v>0.3808869910874022</v>
      </c>
      <c r="I76" s="213">
        <f t="shared" si="41"/>
        <v>0.3629395394608968</v>
      </c>
      <c r="J76" s="213">
        <f t="shared" si="41"/>
        <v>0.38496078674647682</v>
      </c>
      <c r="K76" s="213">
        <f t="shared" si="41"/>
        <v>0.3659270091752278</v>
      </c>
      <c r="L76" s="213">
        <f t="shared" si="41"/>
        <v>0.35495570097143109</v>
      </c>
      <c r="M76" s="213">
        <f t="shared" si="41"/>
        <v>0.35869750331336692</v>
      </c>
      <c r="N76" s="213">
        <f t="shared" si="41"/>
        <v>0.35109816725552062</v>
      </c>
      <c r="O76" s="213"/>
      <c r="P76" s="147"/>
      <c r="Q76" s="147"/>
      <c r="U76" s="105"/>
      <c r="W76" s="105"/>
    </row>
    <row r="77" spans="1:23" x14ac:dyDescent="0.2">
      <c r="A77" s="3" t="s">
        <v>730</v>
      </c>
      <c r="C77" s="212">
        <v>3335.7410179640719</v>
      </c>
      <c r="D77" s="212">
        <v>3247.6392215568862</v>
      </c>
      <c r="E77" s="212">
        <v>3937.0404191616767</v>
      </c>
      <c r="F77" s="212">
        <v>3505.0404191616767</v>
      </c>
      <c r="G77" s="212">
        <v>3484.6392215568862</v>
      </c>
      <c r="H77" s="212">
        <v>2936.4790419161677</v>
      </c>
      <c r="I77" s="212">
        <v>3004.7215568862271</v>
      </c>
      <c r="J77" s="212">
        <v>3098.9610778443116</v>
      </c>
      <c r="K77" s="212">
        <v>3132.4401197604793</v>
      </c>
      <c r="L77" s="212">
        <v>3168.5613772455094</v>
      </c>
      <c r="M77" s="212">
        <v>3433.2395209580841</v>
      </c>
      <c r="N77" s="212">
        <v>3606.6407185628746</v>
      </c>
      <c r="O77" s="212">
        <f>SUM(C77:N77)</f>
        <v>39891.143712574856</v>
      </c>
      <c r="P77" s="24">
        <f>MAX(C77:N77)</f>
        <v>3937.0404191616767</v>
      </c>
      <c r="Q77" s="24"/>
    </row>
    <row r="78" spans="1:23" x14ac:dyDescent="0.2">
      <c r="C78" s="208"/>
      <c r="D78" s="208"/>
      <c r="E78" s="208"/>
      <c r="F78" s="208"/>
      <c r="G78" s="208"/>
      <c r="H78" s="215"/>
      <c r="I78" s="208"/>
      <c r="J78" s="208"/>
      <c r="K78" s="208"/>
      <c r="L78" s="208"/>
      <c r="M78" s="208"/>
      <c r="N78" s="208"/>
      <c r="O78" s="208"/>
    </row>
    <row r="79" spans="1:23" x14ac:dyDescent="0.2">
      <c r="A79" s="4" t="str">
        <f>A12</f>
        <v>IND 1-B - Industrial</v>
      </c>
      <c r="B79" s="32" t="str">
        <f>B12</f>
        <v>IND-1B</v>
      </c>
      <c r="C79" s="212">
        <v>1</v>
      </c>
      <c r="D79" s="212">
        <f>C79</f>
        <v>1</v>
      </c>
      <c r="E79" s="212">
        <f t="shared" ref="E79:N79" si="42">D79</f>
        <v>1</v>
      </c>
      <c r="F79" s="212">
        <f t="shared" si="42"/>
        <v>1</v>
      </c>
      <c r="G79" s="212">
        <f t="shared" si="42"/>
        <v>1</v>
      </c>
      <c r="H79" s="212">
        <f t="shared" si="42"/>
        <v>1</v>
      </c>
      <c r="I79" s="212">
        <f t="shared" si="42"/>
        <v>1</v>
      </c>
      <c r="J79" s="212">
        <f t="shared" si="42"/>
        <v>1</v>
      </c>
      <c r="K79" s="212">
        <f t="shared" si="42"/>
        <v>1</v>
      </c>
      <c r="L79" s="212">
        <f t="shared" si="42"/>
        <v>1</v>
      </c>
      <c r="M79" s="212">
        <f t="shared" si="42"/>
        <v>1</v>
      </c>
      <c r="N79" s="212">
        <f t="shared" si="42"/>
        <v>1</v>
      </c>
      <c r="O79" s="212">
        <f>SUM(C79:N79)</f>
        <v>12</v>
      </c>
      <c r="P79" s="24"/>
      <c r="Q79" s="15"/>
    </row>
    <row r="80" spans="1:23" x14ac:dyDescent="0.2">
      <c r="A80" s="3" t="s">
        <v>915</v>
      </c>
      <c r="C80" s="212">
        <v>580800</v>
      </c>
      <c r="D80" s="212">
        <v>536100</v>
      </c>
      <c r="E80" s="212">
        <v>605100</v>
      </c>
      <c r="F80" s="212">
        <v>439500</v>
      </c>
      <c r="G80" s="212">
        <v>658800</v>
      </c>
      <c r="H80" s="212">
        <v>544800</v>
      </c>
      <c r="I80" s="212">
        <v>635400</v>
      </c>
      <c r="J80" s="212">
        <v>613200</v>
      </c>
      <c r="K80" s="212">
        <v>531300</v>
      </c>
      <c r="L80" s="212">
        <v>572700</v>
      </c>
      <c r="M80" s="212">
        <v>552000</v>
      </c>
      <c r="N80" s="212">
        <v>509100</v>
      </c>
      <c r="O80" s="212">
        <f>SUM(C80:N80)</f>
        <v>6778800</v>
      </c>
      <c r="P80" s="147"/>
      <c r="Q80" s="147"/>
      <c r="U80" s="105"/>
      <c r="W80" s="105"/>
    </row>
    <row r="81" spans="1:23" x14ac:dyDescent="0.2">
      <c r="A81" s="3" t="s">
        <v>679</v>
      </c>
      <c r="C81" s="212">
        <f>C80/C$35</f>
        <v>780.64516129032256</v>
      </c>
      <c r="D81" s="212">
        <f t="shared" ref="D81" si="43">D80/D$35</f>
        <v>797.76785714285711</v>
      </c>
      <c r="E81" s="212">
        <f t="shared" ref="E81" si="44">E80/E$35</f>
        <v>813.30645161290317</v>
      </c>
      <c r="F81" s="212">
        <f t="shared" ref="F81" si="45">F80/F$35</f>
        <v>610.41666666666663</v>
      </c>
      <c r="G81" s="212">
        <f t="shared" ref="G81" si="46">G80/G$35</f>
        <v>885.48387096774195</v>
      </c>
      <c r="H81" s="212">
        <f t="shared" ref="H81" si="47">H80/H$35</f>
        <v>756.66666666666663</v>
      </c>
      <c r="I81" s="212">
        <f t="shared" ref="I81" si="48">I80/I$35</f>
        <v>854.0322580645161</v>
      </c>
      <c r="J81" s="212">
        <f t="shared" ref="J81" si="49">J80/J$35</f>
        <v>824.19354838709683</v>
      </c>
      <c r="K81" s="212">
        <f t="shared" ref="K81" si="50">K80/K$35</f>
        <v>737.91666666666663</v>
      </c>
      <c r="L81" s="212">
        <f t="shared" ref="L81" si="51">L80/L$35</f>
        <v>769.75806451612902</v>
      </c>
      <c r="M81" s="212">
        <f t="shared" ref="M81" si="52">M80/M$35</f>
        <v>766.66666666666663</v>
      </c>
      <c r="N81" s="212">
        <f t="shared" ref="N81" si="53">N80/N$35</f>
        <v>684.27419354838707</v>
      </c>
      <c r="O81" s="212">
        <f>O80/8760</f>
        <v>773.83561643835617</v>
      </c>
      <c r="P81" s="24"/>
      <c r="Q81" s="24"/>
    </row>
    <row r="82" spans="1:23" x14ac:dyDescent="0.2">
      <c r="A82" s="3" t="s">
        <v>727</v>
      </c>
      <c r="C82" s="213">
        <f>C86</f>
        <v>0.69065444497698991</v>
      </c>
      <c r="D82" s="213">
        <f t="shared" ref="D82:N82" si="54">D86+0</f>
        <v>0.5723581760829991</v>
      </c>
      <c r="E82" s="213">
        <f t="shared" si="54"/>
        <v>0.69145449356624444</v>
      </c>
      <c r="F82" s="213">
        <f t="shared" si="54"/>
        <v>0.47194929764972765</v>
      </c>
      <c r="G82" s="213">
        <f t="shared" si="54"/>
        <v>0.70523358910417833</v>
      </c>
      <c r="H82" s="213">
        <f t="shared" si="54"/>
        <v>0.60464594636273161</v>
      </c>
      <c r="I82" s="213">
        <f t="shared" si="54"/>
        <v>0.69274717361986182</v>
      </c>
      <c r="J82" s="213">
        <f t="shared" si="54"/>
        <v>0.69048806288650277</v>
      </c>
      <c r="K82" s="213">
        <f t="shared" si="54"/>
        <v>0.71411290322580645</v>
      </c>
      <c r="L82" s="213">
        <f t="shared" si="54"/>
        <v>0.81891775917198728</v>
      </c>
      <c r="M82" s="213">
        <f t="shared" si="54"/>
        <v>0.75773395190581605</v>
      </c>
      <c r="N82" s="213">
        <f t="shared" si="54"/>
        <v>0.72129335474769363</v>
      </c>
      <c r="O82" s="213"/>
      <c r="Q82" s="15"/>
    </row>
    <row r="83" spans="1:23" x14ac:dyDescent="0.2">
      <c r="A83" s="3" t="s">
        <v>728</v>
      </c>
      <c r="C83" s="212">
        <f>C81/C82</f>
        <v>1130.2977443609022</v>
      </c>
      <c r="D83" s="212">
        <f t="shared" ref="D83:N83" si="55">D87</f>
        <v>1258.9398496240601</v>
      </c>
      <c r="E83" s="212">
        <f t="shared" si="55"/>
        <v>1176.2255639097743</v>
      </c>
      <c r="F83" s="212">
        <f t="shared" si="55"/>
        <v>1251.6721804511278</v>
      </c>
      <c r="G83" s="212">
        <f t="shared" si="55"/>
        <v>1255.5894736842104</v>
      </c>
      <c r="H83" s="212">
        <f t="shared" si="55"/>
        <v>1211.0526315789473</v>
      </c>
      <c r="I83" s="212">
        <f t="shared" si="55"/>
        <v>1232.8195488721803</v>
      </c>
      <c r="J83" s="212">
        <f t="shared" si="55"/>
        <v>1193.6390977443609</v>
      </c>
      <c r="K83" s="212">
        <f t="shared" si="55"/>
        <v>1000</v>
      </c>
      <c r="L83" s="212">
        <f t="shared" si="55"/>
        <v>939.96992481203006</v>
      </c>
      <c r="M83" s="212">
        <f t="shared" si="55"/>
        <v>979.1503759398496</v>
      </c>
      <c r="N83" s="212">
        <f t="shared" si="55"/>
        <v>948.67669172932324</v>
      </c>
      <c r="O83" s="212">
        <f>SUM(C83:N83)</f>
        <v>13578.033082706765</v>
      </c>
      <c r="Q83" s="15">
        <f>MAX(C83:N83)</f>
        <v>1258.9398496240601</v>
      </c>
    </row>
    <row r="84" spans="1:23" x14ac:dyDescent="0.2">
      <c r="A84" s="3" t="s">
        <v>680</v>
      </c>
      <c r="C84" s="213">
        <v>0.8</v>
      </c>
      <c r="D84" s="213">
        <f>C84</f>
        <v>0.8</v>
      </c>
      <c r="E84" s="213">
        <f t="shared" ref="E84:L84" si="56">D84</f>
        <v>0.8</v>
      </c>
      <c r="F84" s="213">
        <f t="shared" si="56"/>
        <v>0.8</v>
      </c>
      <c r="G84" s="213">
        <f t="shared" si="56"/>
        <v>0.8</v>
      </c>
      <c r="H84" s="213">
        <f t="shared" si="56"/>
        <v>0.8</v>
      </c>
      <c r="I84" s="213">
        <f t="shared" si="56"/>
        <v>0.8</v>
      </c>
      <c r="J84" s="213">
        <f t="shared" si="56"/>
        <v>0.8</v>
      </c>
      <c r="K84" s="213">
        <f t="shared" si="56"/>
        <v>0.8</v>
      </c>
      <c r="L84" s="213">
        <f t="shared" si="56"/>
        <v>0.8</v>
      </c>
      <c r="M84" s="213">
        <f>L84</f>
        <v>0.8</v>
      </c>
      <c r="N84" s="213">
        <f>M84</f>
        <v>0.8</v>
      </c>
      <c r="O84" s="213"/>
      <c r="P84" s="24"/>
      <c r="Q84" s="15"/>
    </row>
    <row r="85" spans="1:23" x14ac:dyDescent="0.2">
      <c r="A85" s="3" t="s">
        <v>681</v>
      </c>
      <c r="C85" s="212">
        <f>C83*C84</f>
        <v>904.23819548872189</v>
      </c>
      <c r="D85" s="212">
        <f t="shared" ref="D85:N85" si="57">D83*D84</f>
        <v>1007.1518796992482</v>
      </c>
      <c r="E85" s="212">
        <f t="shared" si="57"/>
        <v>940.98045112781949</v>
      </c>
      <c r="F85" s="212">
        <f t="shared" si="57"/>
        <v>1001.3377443609023</v>
      </c>
      <c r="G85" s="212">
        <f t="shared" si="57"/>
        <v>1004.4715789473684</v>
      </c>
      <c r="H85" s="212">
        <f t="shared" si="57"/>
        <v>968.84210526315792</v>
      </c>
      <c r="I85" s="212">
        <f t="shared" si="57"/>
        <v>986.25563909774428</v>
      </c>
      <c r="J85" s="212">
        <f t="shared" si="57"/>
        <v>954.91127819548876</v>
      </c>
      <c r="K85" s="212">
        <f t="shared" si="57"/>
        <v>800</v>
      </c>
      <c r="L85" s="212">
        <f t="shared" si="57"/>
        <v>751.97593984962407</v>
      </c>
      <c r="M85" s="212">
        <f t="shared" si="57"/>
        <v>783.3203007518797</v>
      </c>
      <c r="N85" s="212">
        <f t="shared" si="57"/>
        <v>758.94135338345859</v>
      </c>
      <c r="O85" s="212">
        <f>SUM(C85:N85)</f>
        <v>10862.426466165412</v>
      </c>
      <c r="P85" s="24"/>
      <c r="Q85" s="15"/>
      <c r="R85" s="15">
        <f>O85</f>
        <v>10862.426466165412</v>
      </c>
      <c r="S85" s="15">
        <f>H85+I85+J85</f>
        <v>2910.0090225563908</v>
      </c>
      <c r="T85" s="15">
        <f>R85-S85</f>
        <v>7952.4174436090216</v>
      </c>
    </row>
    <row r="86" spans="1:23" x14ac:dyDescent="0.2">
      <c r="A86" s="3" t="s">
        <v>729</v>
      </c>
      <c r="C86" s="213">
        <f>C81/C87</f>
        <v>0.69065444497698991</v>
      </c>
      <c r="D86" s="216">
        <f t="shared" ref="D86:N86" si="58">D80/(744*D87)</f>
        <v>0.5723581760829991</v>
      </c>
      <c r="E86" s="216">
        <f t="shared" si="58"/>
        <v>0.69145449356624444</v>
      </c>
      <c r="F86" s="216">
        <f t="shared" si="58"/>
        <v>0.47194929764972765</v>
      </c>
      <c r="G86" s="216">
        <f t="shared" si="58"/>
        <v>0.70523358910417833</v>
      </c>
      <c r="H86" s="216">
        <f t="shared" si="58"/>
        <v>0.60464594636273161</v>
      </c>
      <c r="I86" s="216">
        <f t="shared" si="58"/>
        <v>0.69274717361986182</v>
      </c>
      <c r="J86" s="216">
        <f t="shared" si="58"/>
        <v>0.69048806288650277</v>
      </c>
      <c r="K86" s="216">
        <f t="shared" si="58"/>
        <v>0.71411290322580645</v>
      </c>
      <c r="L86" s="216">
        <f t="shared" si="58"/>
        <v>0.81891775917198728</v>
      </c>
      <c r="M86" s="216">
        <f t="shared" si="58"/>
        <v>0.75773395190581605</v>
      </c>
      <c r="N86" s="216">
        <f t="shared" si="58"/>
        <v>0.72129335474769363</v>
      </c>
      <c r="O86" s="213"/>
      <c r="P86" s="147"/>
      <c r="Q86" s="147"/>
      <c r="U86" s="105"/>
      <c r="W86" s="105"/>
    </row>
    <row r="87" spans="1:23" x14ac:dyDescent="0.2">
      <c r="A87" s="3" t="s">
        <v>730</v>
      </c>
      <c r="C87" s="212">
        <v>1130.2977443609022</v>
      </c>
      <c r="D87" s="212">
        <v>1258.9398496240601</v>
      </c>
      <c r="E87" s="212">
        <v>1176.2255639097743</v>
      </c>
      <c r="F87" s="212">
        <v>1251.6721804511278</v>
      </c>
      <c r="G87" s="212">
        <v>1255.5894736842104</v>
      </c>
      <c r="H87" s="212">
        <v>1211.0526315789473</v>
      </c>
      <c r="I87" s="212">
        <v>1232.8195488721803</v>
      </c>
      <c r="J87" s="212">
        <v>1193.6390977443609</v>
      </c>
      <c r="K87" s="212">
        <v>1000</v>
      </c>
      <c r="L87" s="212">
        <v>939.96992481203006</v>
      </c>
      <c r="M87" s="212">
        <v>979.1503759398496</v>
      </c>
      <c r="N87" s="212">
        <v>948.67669172932324</v>
      </c>
      <c r="O87" s="212">
        <f>SUM(C87:N87)</f>
        <v>13578.033082706765</v>
      </c>
      <c r="P87" s="24">
        <f>MAX(C87:N87)</f>
        <v>1258.9398496240601</v>
      </c>
      <c r="Q87" s="24"/>
    </row>
    <row r="88" spans="1:23" x14ac:dyDescent="0.2">
      <c r="C88" s="208"/>
      <c r="D88" s="208"/>
      <c r="E88" s="208"/>
      <c r="F88" s="208"/>
      <c r="G88" s="208"/>
      <c r="H88" s="215"/>
      <c r="I88" s="208"/>
      <c r="J88" s="208"/>
      <c r="K88" s="208"/>
      <c r="L88" s="208"/>
      <c r="M88" s="208"/>
      <c r="N88" s="208"/>
      <c r="O88" s="208"/>
    </row>
    <row r="89" spans="1:23" x14ac:dyDescent="0.2">
      <c r="A89" s="4" t="str">
        <f>A13</f>
        <v>Lighting</v>
      </c>
      <c r="B89" s="32" t="str">
        <f>B13</f>
        <v>YL</v>
      </c>
      <c r="C89" s="212">
        <v>35</v>
      </c>
      <c r="D89" s="212">
        <v>35</v>
      </c>
      <c r="E89" s="212">
        <v>34</v>
      </c>
      <c r="F89" s="212">
        <v>34</v>
      </c>
      <c r="G89" s="212">
        <v>34</v>
      </c>
      <c r="H89" s="212">
        <v>34</v>
      </c>
      <c r="I89" s="212">
        <v>33</v>
      </c>
      <c r="J89" s="212">
        <v>33</v>
      </c>
      <c r="K89" s="212">
        <v>33</v>
      </c>
      <c r="L89" s="212">
        <v>33</v>
      </c>
      <c r="M89" s="212">
        <v>33</v>
      </c>
      <c r="N89" s="212">
        <v>32</v>
      </c>
      <c r="O89" s="212">
        <f>SUM(C89:N89)</f>
        <v>403</v>
      </c>
      <c r="P89" s="24"/>
      <c r="Q89" s="15"/>
    </row>
    <row r="90" spans="1:23" x14ac:dyDescent="0.2">
      <c r="A90" s="3" t="s">
        <v>915</v>
      </c>
      <c r="C90" s="212">
        <v>306210</v>
      </c>
      <c r="D90" s="212">
        <v>304852</v>
      </c>
      <c r="E90" s="212">
        <v>304875</v>
      </c>
      <c r="F90" s="212">
        <v>303966</v>
      </c>
      <c r="G90" s="212">
        <v>302904</v>
      </c>
      <c r="H90" s="212">
        <v>301543</v>
      </c>
      <c r="I90" s="212">
        <v>300385</v>
      </c>
      <c r="J90" s="212">
        <v>299934</v>
      </c>
      <c r="K90" s="212">
        <v>299390</v>
      </c>
      <c r="L90" s="212">
        <v>301199</v>
      </c>
      <c r="M90" s="212">
        <v>300977</v>
      </c>
      <c r="N90" s="212">
        <v>300425</v>
      </c>
      <c r="O90" s="212">
        <f>SUM(C90:N90)</f>
        <v>3626660</v>
      </c>
      <c r="P90" s="147"/>
      <c r="Q90" s="147"/>
      <c r="U90" s="105"/>
      <c r="W90" s="105"/>
    </row>
    <row r="91" spans="1:23" x14ac:dyDescent="0.2">
      <c r="A91" s="3" t="s">
        <v>679</v>
      </c>
      <c r="C91" s="212">
        <f>C90/C$35</f>
        <v>411.57258064516128</v>
      </c>
      <c r="D91" s="212">
        <f t="shared" ref="D91" si="59">D90/D$35</f>
        <v>453.64880952380952</v>
      </c>
      <c r="E91" s="212">
        <f t="shared" ref="E91" si="60">E90/E$35</f>
        <v>409.77822580645159</v>
      </c>
      <c r="F91" s="212">
        <f t="shared" ref="F91" si="61">F90/F$35</f>
        <v>422.17500000000001</v>
      </c>
      <c r="G91" s="212">
        <f t="shared" ref="G91" si="62">G90/G$35</f>
        <v>407.12903225806451</v>
      </c>
      <c r="H91" s="212">
        <f t="shared" ref="H91" si="63">H90/H$35</f>
        <v>418.80972222222221</v>
      </c>
      <c r="I91" s="212">
        <f t="shared" ref="I91" si="64">I90/I$35</f>
        <v>403.74327956989248</v>
      </c>
      <c r="J91" s="212">
        <f t="shared" ref="J91" si="65">J90/J$35</f>
        <v>403.13709677419354</v>
      </c>
      <c r="K91" s="212">
        <f t="shared" ref="K91" si="66">K90/K$35</f>
        <v>415.81944444444446</v>
      </c>
      <c r="L91" s="212">
        <f t="shared" ref="L91" si="67">L90/L$35</f>
        <v>404.83736559139783</v>
      </c>
      <c r="M91" s="212">
        <f t="shared" ref="M91" si="68">M90/M$35</f>
        <v>418.02361111111111</v>
      </c>
      <c r="N91" s="212">
        <f t="shared" ref="N91" si="69">N90/N$35</f>
        <v>403.7970430107527</v>
      </c>
      <c r="O91" s="212">
        <f>O90/8760</f>
        <v>414.00228310502285</v>
      </c>
      <c r="P91" s="24"/>
      <c r="Q91" s="24"/>
    </row>
    <row r="92" spans="1:23" x14ac:dyDescent="0.2">
      <c r="A92" s="3" t="s">
        <v>727</v>
      </c>
      <c r="C92" s="213">
        <v>0.5</v>
      </c>
      <c r="D92" s="213">
        <f>C92</f>
        <v>0.5</v>
      </c>
      <c r="E92" s="213">
        <f t="shared" ref="E92:N92" si="70">D92</f>
        <v>0.5</v>
      </c>
      <c r="F92" s="213">
        <f t="shared" si="70"/>
        <v>0.5</v>
      </c>
      <c r="G92" s="213">
        <f t="shared" si="70"/>
        <v>0.5</v>
      </c>
      <c r="H92" s="213">
        <f t="shared" si="70"/>
        <v>0.5</v>
      </c>
      <c r="I92" s="213">
        <f t="shared" si="70"/>
        <v>0.5</v>
      </c>
      <c r="J92" s="213">
        <f t="shared" si="70"/>
        <v>0.5</v>
      </c>
      <c r="K92" s="213">
        <f t="shared" si="70"/>
        <v>0.5</v>
      </c>
      <c r="L92" s="213">
        <f t="shared" si="70"/>
        <v>0.5</v>
      </c>
      <c r="M92" s="213">
        <f t="shared" si="70"/>
        <v>0.5</v>
      </c>
      <c r="N92" s="213">
        <f t="shared" si="70"/>
        <v>0.5</v>
      </c>
      <c r="O92" s="213"/>
      <c r="Q92" s="15"/>
    </row>
    <row r="93" spans="1:23" x14ac:dyDescent="0.2">
      <c r="A93" s="3" t="s">
        <v>728</v>
      </c>
      <c r="C93" s="212">
        <f>C91/C92</f>
        <v>823.14516129032256</v>
      </c>
      <c r="D93" s="212">
        <f t="shared" ref="D93:N93" si="71">D91/D92</f>
        <v>907.29761904761904</v>
      </c>
      <c r="E93" s="212">
        <f t="shared" si="71"/>
        <v>819.55645161290317</v>
      </c>
      <c r="F93" s="212">
        <f t="shared" si="71"/>
        <v>844.35</v>
      </c>
      <c r="G93" s="212">
        <f t="shared" si="71"/>
        <v>814.25806451612902</v>
      </c>
      <c r="H93" s="212">
        <f t="shared" si="71"/>
        <v>837.61944444444441</v>
      </c>
      <c r="I93" s="212">
        <f t="shared" si="71"/>
        <v>807.48655913978496</v>
      </c>
      <c r="J93" s="212">
        <f t="shared" si="71"/>
        <v>806.27419354838707</v>
      </c>
      <c r="K93" s="212">
        <f t="shared" si="71"/>
        <v>831.63888888888891</v>
      </c>
      <c r="L93" s="212">
        <f t="shared" si="71"/>
        <v>809.67473118279565</v>
      </c>
      <c r="M93" s="212">
        <f t="shared" si="71"/>
        <v>836.04722222222222</v>
      </c>
      <c r="N93" s="212">
        <f t="shared" si="71"/>
        <v>807.5940860215054</v>
      </c>
      <c r="O93" s="212">
        <f>SUM(C93:N93)</f>
        <v>9944.9424219150005</v>
      </c>
      <c r="Q93" s="15">
        <f>MAX(C93:N93)</f>
        <v>907.29761904761904</v>
      </c>
    </row>
    <row r="94" spans="1:23" x14ac:dyDescent="0.2">
      <c r="A94" s="3" t="s">
        <v>680</v>
      </c>
      <c r="C94" s="213">
        <v>1</v>
      </c>
      <c r="D94" s="213">
        <v>1</v>
      </c>
      <c r="E94" s="213">
        <v>1</v>
      </c>
      <c r="F94" s="213">
        <v>0</v>
      </c>
      <c r="G94" s="213">
        <v>0</v>
      </c>
      <c r="H94" s="213">
        <v>0</v>
      </c>
      <c r="I94" s="213">
        <v>0</v>
      </c>
      <c r="J94" s="213">
        <v>0</v>
      </c>
      <c r="K94" s="213">
        <v>0</v>
      </c>
      <c r="L94" s="213">
        <v>1</v>
      </c>
      <c r="M94" s="213">
        <v>1</v>
      </c>
      <c r="N94" s="213">
        <v>1</v>
      </c>
      <c r="O94" s="213"/>
      <c r="P94" s="24"/>
      <c r="Q94" s="15"/>
    </row>
    <row r="95" spans="1:23" x14ac:dyDescent="0.2">
      <c r="A95" s="3" t="s">
        <v>681</v>
      </c>
      <c r="C95" s="212">
        <f>C93*C94</f>
        <v>823.14516129032256</v>
      </c>
      <c r="D95" s="212">
        <f t="shared" ref="D95:N95" si="72">D93*D94</f>
        <v>907.29761904761904</v>
      </c>
      <c r="E95" s="212">
        <f t="shared" si="72"/>
        <v>819.55645161290317</v>
      </c>
      <c r="F95" s="212">
        <f t="shared" si="72"/>
        <v>0</v>
      </c>
      <c r="G95" s="212">
        <f t="shared" si="72"/>
        <v>0</v>
      </c>
      <c r="H95" s="212">
        <f t="shared" si="72"/>
        <v>0</v>
      </c>
      <c r="I95" s="212">
        <f t="shared" si="72"/>
        <v>0</v>
      </c>
      <c r="J95" s="212">
        <f t="shared" si="72"/>
        <v>0</v>
      </c>
      <c r="K95" s="212">
        <f t="shared" si="72"/>
        <v>0</v>
      </c>
      <c r="L95" s="212">
        <f t="shared" si="72"/>
        <v>809.67473118279565</v>
      </c>
      <c r="M95" s="212">
        <f t="shared" si="72"/>
        <v>836.04722222222222</v>
      </c>
      <c r="N95" s="212">
        <f t="shared" si="72"/>
        <v>807.5940860215054</v>
      </c>
      <c r="O95" s="212">
        <f>SUM(C95:N95)</f>
        <v>5003.3152713773679</v>
      </c>
      <c r="P95" s="24"/>
      <c r="Q95" s="15"/>
      <c r="R95" s="15">
        <f>O95</f>
        <v>5003.3152713773679</v>
      </c>
      <c r="S95" s="15">
        <f>H95+I95+J95</f>
        <v>0</v>
      </c>
      <c r="T95" s="15">
        <f>R95-S95</f>
        <v>5003.3152713773679</v>
      </c>
    </row>
    <row r="96" spans="1:23" x14ac:dyDescent="0.2">
      <c r="A96" s="3" t="s">
        <v>729</v>
      </c>
      <c r="C96" s="213">
        <f>C91/C97</f>
        <v>0.1982274800531923</v>
      </c>
      <c r="D96" s="213">
        <f t="shared" ref="D96:N96" si="73">D91/D97</f>
        <v>9.0009684429327289E-2</v>
      </c>
      <c r="E96" s="213">
        <f t="shared" si="73"/>
        <v>8.5455919629306723E-2</v>
      </c>
      <c r="F96" s="213">
        <f t="shared" si="73"/>
        <v>8.3367890995260666E-2</v>
      </c>
      <c r="G96" s="213">
        <f t="shared" si="73"/>
        <v>9.3064020613448289E-2</v>
      </c>
      <c r="H96" s="213">
        <f t="shared" si="73"/>
        <v>9.7662889481713644E-2</v>
      </c>
      <c r="I96" s="213">
        <f t="shared" si="73"/>
        <v>9.4466737695111852E-2</v>
      </c>
      <c r="J96" s="213">
        <f t="shared" si="73"/>
        <v>9.0512873328257692E-2</v>
      </c>
      <c r="K96" s="213">
        <f t="shared" si="73"/>
        <v>9.4247380880427126E-2</v>
      </c>
      <c r="L96" s="213">
        <f t="shared" si="73"/>
        <v>9.028487189817079E-2</v>
      </c>
      <c r="M96" s="213">
        <f t="shared" si="73"/>
        <v>9.7218410710889491E-2</v>
      </c>
      <c r="N96" s="213">
        <f t="shared" si="73"/>
        <v>8.8992260616284236E-2</v>
      </c>
      <c r="O96" s="213"/>
      <c r="P96" s="147"/>
      <c r="Q96" s="147"/>
      <c r="U96" s="105"/>
      <c r="W96" s="105"/>
    </row>
    <row r="97" spans="1:23" x14ac:dyDescent="0.2">
      <c r="A97" s="3" t="s">
        <v>730</v>
      </c>
      <c r="C97" s="212">
        <v>2076.2640000000001</v>
      </c>
      <c r="D97" s="212">
        <v>5040</v>
      </c>
      <c r="E97" s="212">
        <v>4795.2</v>
      </c>
      <c r="F97" s="212">
        <v>5064</v>
      </c>
      <c r="G97" s="212">
        <v>4374.72</v>
      </c>
      <c r="H97" s="212">
        <v>4288.32</v>
      </c>
      <c r="I97" s="212">
        <v>4273.92</v>
      </c>
      <c r="J97" s="212">
        <v>4453.92</v>
      </c>
      <c r="K97" s="212">
        <v>4412</v>
      </c>
      <c r="L97" s="212">
        <v>4484</v>
      </c>
      <c r="M97" s="212">
        <v>4299.84</v>
      </c>
      <c r="N97" s="212">
        <v>4537.4399999999996</v>
      </c>
      <c r="O97" s="212">
        <f>SUM(C97:N97)</f>
        <v>52099.623999999996</v>
      </c>
      <c r="P97" s="24">
        <f>MAX(C97:N97)</f>
        <v>5064</v>
      </c>
      <c r="Q97" s="24"/>
    </row>
    <row r="98" spans="1:23" ht="16.5" customHeight="1" x14ac:dyDescent="0.2">
      <c r="C98" s="212"/>
      <c r="D98" s="208"/>
      <c r="E98" s="208"/>
      <c r="F98" s="208"/>
      <c r="G98" s="208"/>
      <c r="H98" s="215"/>
      <c r="I98" s="208"/>
      <c r="J98" s="208"/>
      <c r="K98" s="208"/>
      <c r="L98" s="208"/>
      <c r="M98" s="212"/>
      <c r="N98" s="208"/>
      <c r="O98" s="208"/>
    </row>
    <row r="99" spans="1:23" ht="14.25" hidden="1" customHeight="1" x14ac:dyDescent="0.2">
      <c r="A99" s="4">
        <f>A14</f>
        <v>0</v>
      </c>
      <c r="B99" s="155">
        <f>B14</f>
        <v>0</v>
      </c>
      <c r="C99" s="212"/>
      <c r="D99" s="212"/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>
        <f>SUM(C99:N99)</f>
        <v>0</v>
      </c>
      <c r="P99" s="24"/>
      <c r="Q99" s="15"/>
    </row>
    <row r="100" spans="1:23" hidden="1" x14ac:dyDescent="0.2">
      <c r="A100" s="3" t="s">
        <v>915</v>
      </c>
      <c r="C100" s="212">
        <v>0</v>
      </c>
      <c r="D100" s="212">
        <v>0</v>
      </c>
      <c r="E100" s="212">
        <v>0</v>
      </c>
      <c r="F100" s="212">
        <v>0</v>
      </c>
      <c r="G100" s="212">
        <v>0</v>
      </c>
      <c r="H100" s="212">
        <v>0</v>
      </c>
      <c r="I100" s="212">
        <v>0</v>
      </c>
      <c r="J100" s="212">
        <v>0</v>
      </c>
      <c r="K100" s="212">
        <v>0</v>
      </c>
      <c r="L100" s="212">
        <v>0</v>
      </c>
      <c r="M100" s="212">
        <v>0</v>
      </c>
      <c r="N100" s="212">
        <v>0</v>
      </c>
      <c r="O100" s="212">
        <f>O99/8760</f>
        <v>0</v>
      </c>
      <c r="P100" s="147"/>
      <c r="Q100" s="147"/>
      <c r="U100" s="105"/>
      <c r="W100" s="105"/>
    </row>
    <row r="101" spans="1:23" hidden="1" x14ac:dyDescent="0.2">
      <c r="A101" s="3" t="s">
        <v>679</v>
      </c>
      <c r="C101" s="212">
        <f>C100/C$35</f>
        <v>0</v>
      </c>
      <c r="D101" s="212">
        <f t="shared" ref="D101" si="74">D100/D$35</f>
        <v>0</v>
      </c>
      <c r="E101" s="212">
        <f t="shared" ref="E101" si="75">E100/E$35</f>
        <v>0</v>
      </c>
      <c r="F101" s="212">
        <f t="shared" ref="F101" si="76">F100/F$35</f>
        <v>0</v>
      </c>
      <c r="G101" s="212">
        <f t="shared" ref="G101" si="77">G100/G$35</f>
        <v>0</v>
      </c>
      <c r="H101" s="212">
        <f t="shared" ref="H101" si="78">H100/H$35</f>
        <v>0</v>
      </c>
      <c r="I101" s="212">
        <f t="shared" ref="I101" si="79">I100/I$35</f>
        <v>0</v>
      </c>
      <c r="J101" s="212">
        <f t="shared" ref="J101" si="80">J100/J$35</f>
        <v>0</v>
      </c>
      <c r="K101" s="212">
        <f t="shared" ref="K101" si="81">K100/K$35</f>
        <v>0</v>
      </c>
      <c r="L101" s="212">
        <f t="shared" ref="L101" si="82">L100/L$35</f>
        <v>0</v>
      </c>
      <c r="M101" s="212">
        <f t="shared" ref="M101" si="83">M100/M$35</f>
        <v>0</v>
      </c>
      <c r="N101" s="212">
        <f t="shared" ref="N101" si="84">N100/N$35</f>
        <v>0</v>
      </c>
      <c r="O101" s="213"/>
      <c r="P101" s="24"/>
      <c r="Q101" s="24"/>
    </row>
    <row r="102" spans="1:23" hidden="1" x14ac:dyDescent="0.2">
      <c r="A102" s="3" t="s">
        <v>727</v>
      </c>
      <c r="C102" s="213">
        <v>0</v>
      </c>
      <c r="D102" s="213">
        <v>0</v>
      </c>
      <c r="E102" s="213">
        <v>0</v>
      </c>
      <c r="F102" s="213">
        <v>0.25</v>
      </c>
      <c r="G102" s="213">
        <v>0.25</v>
      </c>
      <c r="H102" s="213">
        <v>0.25</v>
      </c>
      <c r="I102" s="213">
        <v>0.25</v>
      </c>
      <c r="J102" s="213">
        <v>0</v>
      </c>
      <c r="K102" s="213">
        <v>0</v>
      </c>
      <c r="L102" s="213">
        <v>0</v>
      </c>
      <c r="M102" s="213">
        <v>0</v>
      </c>
      <c r="N102" s="213">
        <v>0</v>
      </c>
      <c r="O102" s="212">
        <f>SUM(C102:N102)</f>
        <v>1</v>
      </c>
      <c r="Q102" s="15"/>
    </row>
    <row r="103" spans="1:23" hidden="1" x14ac:dyDescent="0.2">
      <c r="A103" s="3" t="s">
        <v>728</v>
      </c>
      <c r="C103" s="212">
        <v>0</v>
      </c>
      <c r="D103" s="212">
        <v>0</v>
      </c>
      <c r="E103" s="212">
        <v>0</v>
      </c>
      <c r="F103" s="212">
        <v>0</v>
      </c>
      <c r="G103" s="212">
        <v>0</v>
      </c>
      <c r="H103" s="212">
        <v>0</v>
      </c>
      <c r="I103" s="212">
        <v>0</v>
      </c>
      <c r="J103" s="212">
        <v>0</v>
      </c>
      <c r="K103" s="212">
        <v>0</v>
      </c>
      <c r="L103" s="212">
        <v>0</v>
      </c>
      <c r="M103" s="212">
        <v>0</v>
      </c>
      <c r="N103" s="212">
        <v>0</v>
      </c>
      <c r="O103" s="213"/>
      <c r="P103" s="24"/>
      <c r="Q103" s="24">
        <f>MAX(C103:N103)</f>
        <v>0</v>
      </c>
    </row>
    <row r="104" spans="1:23" hidden="1" x14ac:dyDescent="0.2">
      <c r="A104" s="3" t="s">
        <v>680</v>
      </c>
      <c r="C104" s="213">
        <v>1</v>
      </c>
      <c r="D104" s="213">
        <v>1</v>
      </c>
      <c r="E104" s="213">
        <v>1</v>
      </c>
      <c r="F104" s="213">
        <v>0</v>
      </c>
      <c r="G104" s="213">
        <v>0</v>
      </c>
      <c r="H104" s="213">
        <v>0</v>
      </c>
      <c r="I104" s="213">
        <v>0</v>
      </c>
      <c r="J104" s="213">
        <v>0</v>
      </c>
      <c r="K104" s="213">
        <v>0</v>
      </c>
      <c r="L104" s="213">
        <v>1</v>
      </c>
      <c r="M104" s="213">
        <v>1</v>
      </c>
      <c r="N104" s="213">
        <v>1</v>
      </c>
      <c r="O104" s="212">
        <f>SUM(C104:N104)</f>
        <v>6</v>
      </c>
      <c r="P104" s="24"/>
      <c r="Q104" s="15"/>
    </row>
    <row r="105" spans="1:23" hidden="1" x14ac:dyDescent="0.2">
      <c r="A105" s="3" t="s">
        <v>681</v>
      </c>
      <c r="C105" s="212">
        <f t="shared" ref="C105:N105" si="85">C103*C104</f>
        <v>0</v>
      </c>
      <c r="D105" s="212">
        <f t="shared" si="85"/>
        <v>0</v>
      </c>
      <c r="E105" s="212">
        <f t="shared" si="85"/>
        <v>0</v>
      </c>
      <c r="F105" s="212">
        <f t="shared" si="85"/>
        <v>0</v>
      </c>
      <c r="G105" s="212">
        <f t="shared" si="85"/>
        <v>0</v>
      </c>
      <c r="H105" s="212">
        <f t="shared" si="85"/>
        <v>0</v>
      </c>
      <c r="I105" s="212">
        <f t="shared" si="85"/>
        <v>0</v>
      </c>
      <c r="J105" s="212">
        <f t="shared" si="85"/>
        <v>0</v>
      </c>
      <c r="K105" s="212">
        <f t="shared" si="85"/>
        <v>0</v>
      </c>
      <c r="L105" s="212">
        <f t="shared" si="85"/>
        <v>0</v>
      </c>
      <c r="M105" s="212">
        <f t="shared" si="85"/>
        <v>0</v>
      </c>
      <c r="N105" s="212">
        <f t="shared" si="85"/>
        <v>0</v>
      </c>
      <c r="O105" s="213"/>
      <c r="P105" s="24"/>
      <c r="Q105" s="15"/>
      <c r="R105" s="15">
        <f>O105</f>
        <v>0</v>
      </c>
      <c r="S105" s="15">
        <f>H105+I105+J105</f>
        <v>0</v>
      </c>
      <c r="T105" s="15">
        <f>R105-S105</f>
        <v>0</v>
      </c>
    </row>
    <row r="106" spans="1:23" hidden="1" x14ac:dyDescent="0.2">
      <c r="A106" s="3" t="s">
        <v>729</v>
      </c>
      <c r="C106" s="213">
        <v>0.65</v>
      </c>
      <c r="D106" s="213">
        <v>0.65</v>
      </c>
      <c r="E106" s="213">
        <v>0.65</v>
      </c>
      <c r="F106" s="213">
        <v>0.65</v>
      </c>
      <c r="G106" s="213">
        <v>0.65</v>
      </c>
      <c r="H106" s="213">
        <v>0.65</v>
      </c>
      <c r="I106" s="213">
        <v>0.65</v>
      </c>
      <c r="J106" s="213">
        <v>0.65</v>
      </c>
      <c r="K106" s="213">
        <v>0.65</v>
      </c>
      <c r="L106" s="213">
        <v>0.65</v>
      </c>
      <c r="M106" s="213">
        <v>0.65</v>
      </c>
      <c r="N106" s="213">
        <v>0.65</v>
      </c>
      <c r="O106" s="212">
        <f>SUM(C106:N106)</f>
        <v>7.8000000000000016</v>
      </c>
      <c r="P106" s="147"/>
      <c r="Q106" s="147"/>
      <c r="U106" s="105"/>
      <c r="W106" s="105"/>
    </row>
    <row r="107" spans="1:23" hidden="1" x14ac:dyDescent="0.2">
      <c r="A107" s="3" t="s">
        <v>730</v>
      </c>
      <c r="C107" s="212">
        <f>C101/C106</f>
        <v>0</v>
      </c>
      <c r="D107" s="212">
        <f t="shared" ref="D107:N107" si="86">D101/D106</f>
        <v>0</v>
      </c>
      <c r="E107" s="212">
        <f t="shared" si="86"/>
        <v>0</v>
      </c>
      <c r="F107" s="212">
        <f t="shared" si="86"/>
        <v>0</v>
      </c>
      <c r="G107" s="212">
        <f t="shared" si="86"/>
        <v>0</v>
      </c>
      <c r="H107" s="212">
        <f t="shared" si="86"/>
        <v>0</v>
      </c>
      <c r="I107" s="212">
        <f t="shared" si="86"/>
        <v>0</v>
      </c>
      <c r="J107" s="212">
        <f t="shared" si="86"/>
        <v>0</v>
      </c>
      <c r="K107" s="212">
        <f t="shared" si="86"/>
        <v>0</v>
      </c>
      <c r="L107" s="212">
        <f t="shared" si="86"/>
        <v>0</v>
      </c>
      <c r="M107" s="212">
        <f t="shared" si="86"/>
        <v>0</v>
      </c>
      <c r="N107" s="212">
        <f t="shared" si="86"/>
        <v>0</v>
      </c>
      <c r="O107" s="212">
        <f>SUM(C107:N107)</f>
        <v>0</v>
      </c>
      <c r="P107" s="24">
        <f>MAX(C107:N107)</f>
        <v>0</v>
      </c>
      <c r="Q107" s="24"/>
    </row>
    <row r="108" spans="1:23" hidden="1" x14ac:dyDescent="0.2">
      <c r="C108" s="208"/>
      <c r="D108" s="208"/>
      <c r="E108" s="208"/>
      <c r="F108" s="208"/>
      <c r="G108" s="208"/>
      <c r="H108" s="208"/>
      <c r="I108" s="208"/>
      <c r="J108" s="208"/>
      <c r="K108" s="208"/>
      <c r="L108" s="208"/>
      <c r="M108" s="208"/>
      <c r="N108" s="208"/>
      <c r="O108" s="208"/>
    </row>
    <row r="109" spans="1:23" hidden="1" x14ac:dyDescent="0.2">
      <c r="A109" s="196">
        <f>A15</f>
        <v>0</v>
      </c>
      <c r="B109" s="155">
        <f>B16</f>
        <v>0</v>
      </c>
      <c r="C109" s="212"/>
      <c r="D109" s="212"/>
      <c r="E109" s="212"/>
      <c r="F109" s="212"/>
      <c r="G109" s="212"/>
      <c r="H109" s="212"/>
      <c r="I109" s="212"/>
      <c r="J109" s="212"/>
      <c r="K109" s="212"/>
      <c r="L109" s="212"/>
      <c r="M109" s="212"/>
      <c r="N109" s="212"/>
      <c r="O109" s="212">
        <f>SUM(C109:N109)</f>
        <v>0</v>
      </c>
      <c r="P109" s="24"/>
      <c r="Q109" s="15"/>
    </row>
    <row r="110" spans="1:23" hidden="1" x14ac:dyDescent="0.2">
      <c r="A110" s="3" t="s">
        <v>915</v>
      </c>
      <c r="C110" s="212">
        <v>0</v>
      </c>
      <c r="D110" s="212">
        <v>0</v>
      </c>
      <c r="E110" s="212">
        <v>0</v>
      </c>
      <c r="F110" s="212">
        <v>0</v>
      </c>
      <c r="G110" s="212">
        <v>0</v>
      </c>
      <c r="H110" s="212">
        <v>0</v>
      </c>
      <c r="I110" s="212">
        <v>0</v>
      </c>
      <c r="J110" s="212">
        <v>0</v>
      </c>
      <c r="K110" s="212">
        <v>0</v>
      </c>
      <c r="L110" s="212">
        <v>0</v>
      </c>
      <c r="M110" s="212">
        <v>0</v>
      </c>
      <c r="N110" s="212">
        <v>0</v>
      </c>
      <c r="O110" s="212">
        <f>SUM(C110:N110)</f>
        <v>0</v>
      </c>
      <c r="P110" s="147"/>
      <c r="Q110" s="147"/>
      <c r="U110" s="105"/>
      <c r="W110" s="105"/>
    </row>
    <row r="111" spans="1:23" hidden="1" x14ac:dyDescent="0.2">
      <c r="A111" s="3" t="s">
        <v>679</v>
      </c>
      <c r="C111" s="212">
        <f>C110/C$35</f>
        <v>0</v>
      </c>
      <c r="D111" s="212">
        <f t="shared" ref="D111" si="87">D110/D$35</f>
        <v>0</v>
      </c>
      <c r="E111" s="212">
        <f t="shared" ref="E111" si="88">E110/E$35</f>
        <v>0</v>
      </c>
      <c r="F111" s="212">
        <f t="shared" ref="F111" si="89">F110/F$35</f>
        <v>0</v>
      </c>
      <c r="G111" s="212">
        <f t="shared" ref="G111" si="90">G110/G$35</f>
        <v>0</v>
      </c>
      <c r="H111" s="212">
        <f t="shared" ref="H111" si="91">H110/H$35</f>
        <v>0</v>
      </c>
      <c r="I111" s="212">
        <f t="shared" ref="I111" si="92">I110/I$35</f>
        <v>0</v>
      </c>
      <c r="J111" s="212">
        <f t="shared" ref="J111" si="93">J110/J$35</f>
        <v>0</v>
      </c>
      <c r="K111" s="212">
        <f t="shared" ref="K111" si="94">K110/K$35</f>
        <v>0</v>
      </c>
      <c r="L111" s="212">
        <f t="shared" ref="L111" si="95">L110/L$35</f>
        <v>0</v>
      </c>
      <c r="M111" s="212">
        <f t="shared" ref="M111" si="96">M110/M$35</f>
        <v>0</v>
      </c>
      <c r="N111" s="212">
        <f t="shared" ref="N111" si="97">N110/N$35</f>
        <v>0</v>
      </c>
      <c r="O111" s="212">
        <f>O110/8760</f>
        <v>0</v>
      </c>
      <c r="P111" s="24"/>
      <c r="Q111" s="24"/>
    </row>
    <row r="112" spans="1:23" hidden="1" x14ac:dyDescent="0.2">
      <c r="A112" s="3" t="s">
        <v>727</v>
      </c>
      <c r="C112" s="213">
        <v>0</v>
      </c>
      <c r="D112" s="213">
        <v>0</v>
      </c>
      <c r="E112" s="213">
        <v>0</v>
      </c>
      <c r="F112" s="213">
        <v>0.25</v>
      </c>
      <c r="G112" s="213">
        <v>0.25</v>
      </c>
      <c r="H112" s="213">
        <v>0.25</v>
      </c>
      <c r="I112" s="213">
        <v>0.25</v>
      </c>
      <c r="J112" s="213">
        <v>0</v>
      </c>
      <c r="K112" s="213">
        <v>0</v>
      </c>
      <c r="L112" s="213">
        <v>0</v>
      </c>
      <c r="M112" s="213">
        <v>0</v>
      </c>
      <c r="N112" s="213">
        <v>0</v>
      </c>
      <c r="O112" s="213"/>
      <c r="Q112" s="15"/>
    </row>
    <row r="113" spans="1:23" hidden="1" x14ac:dyDescent="0.2">
      <c r="A113" s="3" t="s">
        <v>728</v>
      </c>
      <c r="C113" s="212">
        <v>0</v>
      </c>
      <c r="D113" s="212">
        <v>0</v>
      </c>
      <c r="E113" s="212">
        <v>0</v>
      </c>
      <c r="F113" s="212">
        <v>0</v>
      </c>
      <c r="G113" s="212">
        <v>0</v>
      </c>
      <c r="H113" s="212">
        <v>0</v>
      </c>
      <c r="I113" s="212">
        <v>0</v>
      </c>
      <c r="J113" s="212">
        <v>0</v>
      </c>
      <c r="K113" s="212">
        <v>0</v>
      </c>
      <c r="L113" s="212">
        <v>0</v>
      </c>
      <c r="M113" s="212">
        <v>0</v>
      </c>
      <c r="N113" s="212">
        <v>0</v>
      </c>
      <c r="O113" s="212">
        <f>SUM(C113:N113)</f>
        <v>0</v>
      </c>
      <c r="Q113" s="15">
        <f>MAX(C113:N113)</f>
        <v>0</v>
      </c>
    </row>
    <row r="114" spans="1:23" hidden="1" x14ac:dyDescent="0.2">
      <c r="A114" s="3" t="s">
        <v>680</v>
      </c>
      <c r="C114" s="213">
        <v>1</v>
      </c>
      <c r="D114" s="213">
        <v>1</v>
      </c>
      <c r="E114" s="213">
        <v>1</v>
      </c>
      <c r="F114" s="213">
        <v>0</v>
      </c>
      <c r="G114" s="213">
        <v>0</v>
      </c>
      <c r="H114" s="213">
        <v>0</v>
      </c>
      <c r="I114" s="213">
        <v>0</v>
      </c>
      <c r="J114" s="213">
        <v>0</v>
      </c>
      <c r="K114" s="213">
        <v>0</v>
      </c>
      <c r="L114" s="213">
        <v>1</v>
      </c>
      <c r="M114" s="213">
        <v>1</v>
      </c>
      <c r="N114" s="213">
        <v>1</v>
      </c>
      <c r="O114" s="213"/>
      <c r="P114" s="24"/>
      <c r="Q114" s="15"/>
    </row>
    <row r="115" spans="1:23" hidden="1" x14ac:dyDescent="0.2">
      <c r="A115" s="3" t="s">
        <v>681</v>
      </c>
      <c r="C115" s="212">
        <f t="shared" ref="C115:N115" si="98">C113*C114</f>
        <v>0</v>
      </c>
      <c r="D115" s="212">
        <f t="shared" si="98"/>
        <v>0</v>
      </c>
      <c r="E115" s="212">
        <f t="shared" si="98"/>
        <v>0</v>
      </c>
      <c r="F115" s="212">
        <f t="shared" si="98"/>
        <v>0</v>
      </c>
      <c r="G115" s="212">
        <f t="shared" si="98"/>
        <v>0</v>
      </c>
      <c r="H115" s="212">
        <f t="shared" si="98"/>
        <v>0</v>
      </c>
      <c r="I115" s="212">
        <f t="shared" si="98"/>
        <v>0</v>
      </c>
      <c r="J115" s="212">
        <f t="shared" si="98"/>
        <v>0</v>
      </c>
      <c r="K115" s="212">
        <f t="shared" si="98"/>
        <v>0</v>
      </c>
      <c r="L115" s="212">
        <f t="shared" si="98"/>
        <v>0</v>
      </c>
      <c r="M115" s="212">
        <f t="shared" si="98"/>
        <v>0</v>
      </c>
      <c r="N115" s="212">
        <f t="shared" si="98"/>
        <v>0</v>
      </c>
      <c r="O115" s="212">
        <f>SUM(C115:N115)</f>
        <v>0</v>
      </c>
      <c r="P115" s="24"/>
      <c r="Q115" s="15"/>
      <c r="R115" s="15">
        <f>O115</f>
        <v>0</v>
      </c>
      <c r="S115" s="15">
        <f>H115+I115+J115</f>
        <v>0</v>
      </c>
      <c r="T115" s="15">
        <f>R115-S115</f>
        <v>0</v>
      </c>
    </row>
    <row r="116" spans="1:23" hidden="1" x14ac:dyDescent="0.2">
      <c r="A116" s="3" t="s">
        <v>729</v>
      </c>
      <c r="C116" s="213">
        <v>0.65</v>
      </c>
      <c r="D116" s="213">
        <v>0.65</v>
      </c>
      <c r="E116" s="213">
        <v>0.65</v>
      </c>
      <c r="F116" s="213">
        <v>0.65</v>
      </c>
      <c r="G116" s="213">
        <v>0.65</v>
      </c>
      <c r="H116" s="213">
        <v>0.65</v>
      </c>
      <c r="I116" s="213">
        <v>0.65</v>
      </c>
      <c r="J116" s="213">
        <v>0.65</v>
      </c>
      <c r="K116" s="213">
        <v>0.65</v>
      </c>
      <c r="L116" s="213">
        <v>0.65</v>
      </c>
      <c r="M116" s="213">
        <v>0.65</v>
      </c>
      <c r="N116" s="213">
        <v>0.65</v>
      </c>
      <c r="O116" s="213"/>
      <c r="P116" s="147"/>
      <c r="Q116" s="147"/>
      <c r="U116" s="105"/>
      <c r="W116" s="105"/>
    </row>
    <row r="117" spans="1:23" hidden="1" x14ac:dyDescent="0.2">
      <c r="A117" s="3" t="s">
        <v>730</v>
      </c>
      <c r="C117" s="212">
        <f>C111/C116</f>
        <v>0</v>
      </c>
      <c r="D117" s="212">
        <f t="shared" ref="D117:N117" si="99">D111/D116</f>
        <v>0</v>
      </c>
      <c r="E117" s="212">
        <f t="shared" si="99"/>
        <v>0</v>
      </c>
      <c r="F117" s="212">
        <f t="shared" si="99"/>
        <v>0</v>
      </c>
      <c r="G117" s="212">
        <f t="shared" si="99"/>
        <v>0</v>
      </c>
      <c r="H117" s="212">
        <f t="shared" si="99"/>
        <v>0</v>
      </c>
      <c r="I117" s="212">
        <f t="shared" si="99"/>
        <v>0</v>
      </c>
      <c r="J117" s="212">
        <f t="shared" si="99"/>
        <v>0</v>
      </c>
      <c r="K117" s="212">
        <f t="shared" si="99"/>
        <v>0</v>
      </c>
      <c r="L117" s="212">
        <f t="shared" si="99"/>
        <v>0</v>
      </c>
      <c r="M117" s="212">
        <f t="shared" si="99"/>
        <v>0</v>
      </c>
      <c r="N117" s="212">
        <f t="shared" si="99"/>
        <v>0</v>
      </c>
      <c r="O117" s="212">
        <f>SUM(C117:N117)</f>
        <v>0</v>
      </c>
      <c r="P117" s="24">
        <f>MAX(C117:N117)</f>
        <v>0</v>
      </c>
      <c r="Q117" s="24"/>
    </row>
    <row r="118" spans="1:23" ht="14.25" hidden="1" customHeight="1" x14ac:dyDescent="0.2">
      <c r="C118" s="208"/>
      <c r="D118" s="208"/>
      <c r="E118" s="208"/>
      <c r="F118" s="208"/>
      <c r="G118" s="208"/>
      <c r="H118" s="208"/>
      <c r="I118" s="208"/>
      <c r="J118" s="208"/>
      <c r="K118" s="208"/>
      <c r="L118" s="208"/>
      <c r="M118" s="208"/>
      <c r="N118" s="208"/>
      <c r="O118" s="208"/>
    </row>
    <row r="119" spans="1:23" hidden="1" x14ac:dyDescent="0.2">
      <c r="A119" s="4">
        <f>A16</f>
        <v>0</v>
      </c>
      <c r="B119" s="32">
        <f>B16</f>
        <v>0</v>
      </c>
      <c r="C119" s="212"/>
      <c r="D119" s="212"/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4"/>
      <c r="Q119" s="15"/>
    </row>
    <row r="120" spans="1:23" hidden="1" x14ac:dyDescent="0.2">
      <c r="A120" s="3" t="s">
        <v>915</v>
      </c>
      <c r="C120" s="212">
        <v>0</v>
      </c>
      <c r="D120" s="212">
        <v>0</v>
      </c>
      <c r="E120" s="212">
        <v>0</v>
      </c>
      <c r="F120" s="212">
        <v>0</v>
      </c>
      <c r="G120" s="212">
        <v>0</v>
      </c>
      <c r="H120" s="212">
        <v>0</v>
      </c>
      <c r="I120" s="212">
        <v>0</v>
      </c>
      <c r="J120" s="212">
        <v>0</v>
      </c>
      <c r="K120" s="212">
        <v>0</v>
      </c>
      <c r="L120" s="212">
        <v>0</v>
      </c>
      <c r="M120" s="212">
        <v>0</v>
      </c>
      <c r="N120" s="212">
        <v>0</v>
      </c>
      <c r="O120" s="212">
        <f>SUM(C120:N120)</f>
        <v>0</v>
      </c>
      <c r="P120" s="147"/>
      <c r="Q120" s="147"/>
      <c r="U120" s="105"/>
      <c r="W120" s="105"/>
    </row>
    <row r="121" spans="1:23" hidden="1" x14ac:dyDescent="0.2">
      <c r="A121" s="3" t="s">
        <v>679</v>
      </c>
      <c r="C121" s="212">
        <f>C120/C$35</f>
        <v>0</v>
      </c>
      <c r="D121" s="212">
        <f t="shared" ref="D121" si="100">D120/D$35</f>
        <v>0</v>
      </c>
      <c r="E121" s="212">
        <f t="shared" ref="E121" si="101">E120/E$35</f>
        <v>0</v>
      </c>
      <c r="F121" s="212">
        <f t="shared" ref="F121" si="102">F120/F$35</f>
        <v>0</v>
      </c>
      <c r="G121" s="212">
        <f t="shared" ref="G121" si="103">G120/G$35</f>
        <v>0</v>
      </c>
      <c r="H121" s="212">
        <f t="shared" ref="H121" si="104">H120/H$35</f>
        <v>0</v>
      </c>
      <c r="I121" s="212">
        <f t="shared" ref="I121" si="105">I120/I$35</f>
        <v>0</v>
      </c>
      <c r="J121" s="212">
        <f t="shared" ref="J121" si="106">J120/J$35</f>
        <v>0</v>
      </c>
      <c r="K121" s="212">
        <f t="shared" ref="K121" si="107">K120/K$35</f>
        <v>0</v>
      </c>
      <c r="L121" s="212">
        <f t="shared" ref="L121" si="108">L120/L$35</f>
        <v>0</v>
      </c>
      <c r="M121" s="212">
        <f t="shared" ref="M121" si="109">M120/M$35</f>
        <v>0</v>
      </c>
      <c r="N121" s="212">
        <f t="shared" ref="N121" si="110">N120/N$35</f>
        <v>0</v>
      </c>
      <c r="O121" s="212">
        <f>O120/8760</f>
        <v>0</v>
      </c>
      <c r="P121" s="24"/>
      <c r="Q121" s="24"/>
    </row>
    <row r="122" spans="1:23" hidden="1" x14ac:dyDescent="0.2">
      <c r="A122" s="3" t="s">
        <v>727</v>
      </c>
      <c r="C122" s="213">
        <v>0</v>
      </c>
      <c r="D122" s="213">
        <v>0</v>
      </c>
      <c r="E122" s="213">
        <v>0</v>
      </c>
      <c r="F122" s="213">
        <v>0.25</v>
      </c>
      <c r="G122" s="213">
        <v>0.25</v>
      </c>
      <c r="H122" s="213">
        <v>0.25</v>
      </c>
      <c r="I122" s="213">
        <v>0.25</v>
      </c>
      <c r="J122" s="213">
        <v>0</v>
      </c>
      <c r="K122" s="213">
        <v>0</v>
      </c>
      <c r="L122" s="213">
        <v>0</v>
      </c>
      <c r="M122" s="213">
        <v>0</v>
      </c>
      <c r="N122" s="213">
        <v>0</v>
      </c>
      <c r="O122" s="213"/>
      <c r="Q122" s="15"/>
    </row>
    <row r="123" spans="1:23" hidden="1" x14ac:dyDescent="0.2">
      <c r="A123" s="3" t="s">
        <v>728</v>
      </c>
      <c r="C123" s="212">
        <v>0</v>
      </c>
      <c r="D123" s="212">
        <v>0</v>
      </c>
      <c r="E123" s="212">
        <v>0</v>
      </c>
      <c r="F123" s="212">
        <v>0</v>
      </c>
      <c r="G123" s="212">
        <v>0</v>
      </c>
      <c r="H123" s="212">
        <v>0</v>
      </c>
      <c r="I123" s="212">
        <v>0</v>
      </c>
      <c r="J123" s="212">
        <v>0</v>
      </c>
      <c r="K123" s="212">
        <v>0</v>
      </c>
      <c r="L123" s="212">
        <v>0</v>
      </c>
      <c r="M123" s="212">
        <v>0</v>
      </c>
      <c r="N123" s="212">
        <v>0</v>
      </c>
      <c r="O123" s="212">
        <f>SUM(C123:N123)</f>
        <v>0</v>
      </c>
      <c r="Q123" s="15">
        <f>MAX(C123:N123)</f>
        <v>0</v>
      </c>
    </row>
    <row r="124" spans="1:23" hidden="1" x14ac:dyDescent="0.2">
      <c r="A124" s="3" t="s">
        <v>680</v>
      </c>
      <c r="C124" s="213">
        <v>1</v>
      </c>
      <c r="D124" s="213">
        <v>1</v>
      </c>
      <c r="E124" s="213">
        <v>1</v>
      </c>
      <c r="F124" s="213">
        <v>0</v>
      </c>
      <c r="G124" s="213">
        <v>0</v>
      </c>
      <c r="H124" s="213">
        <v>0</v>
      </c>
      <c r="I124" s="213">
        <v>0</v>
      </c>
      <c r="J124" s="213">
        <v>0</v>
      </c>
      <c r="K124" s="213">
        <v>0</v>
      </c>
      <c r="L124" s="213">
        <v>1</v>
      </c>
      <c r="M124" s="213">
        <v>1</v>
      </c>
      <c r="N124" s="213">
        <v>1</v>
      </c>
      <c r="O124" s="213"/>
      <c r="P124" s="24"/>
      <c r="Q124" s="15"/>
    </row>
    <row r="125" spans="1:23" hidden="1" x14ac:dyDescent="0.2">
      <c r="A125" s="3" t="s">
        <v>681</v>
      </c>
      <c r="C125" s="212">
        <f t="shared" ref="C125:N125" si="111">C123*C124</f>
        <v>0</v>
      </c>
      <c r="D125" s="212">
        <f t="shared" si="111"/>
        <v>0</v>
      </c>
      <c r="E125" s="212">
        <f t="shared" si="111"/>
        <v>0</v>
      </c>
      <c r="F125" s="212">
        <f t="shared" si="111"/>
        <v>0</v>
      </c>
      <c r="G125" s="212">
        <f t="shared" si="111"/>
        <v>0</v>
      </c>
      <c r="H125" s="212">
        <f t="shared" si="111"/>
        <v>0</v>
      </c>
      <c r="I125" s="212">
        <f t="shared" si="111"/>
        <v>0</v>
      </c>
      <c r="J125" s="212">
        <f t="shared" si="111"/>
        <v>0</v>
      </c>
      <c r="K125" s="212">
        <f t="shared" si="111"/>
        <v>0</v>
      </c>
      <c r="L125" s="212">
        <f t="shared" si="111"/>
        <v>0</v>
      </c>
      <c r="M125" s="212">
        <f t="shared" si="111"/>
        <v>0</v>
      </c>
      <c r="N125" s="212">
        <f t="shared" si="111"/>
        <v>0</v>
      </c>
      <c r="O125" s="212">
        <f>SUM(C125:N125)</f>
        <v>0</v>
      </c>
      <c r="P125" s="24"/>
      <c r="Q125" s="15"/>
      <c r="R125" s="15">
        <f>O125</f>
        <v>0</v>
      </c>
      <c r="S125" s="15">
        <f>H125+I125+J125</f>
        <v>0</v>
      </c>
      <c r="T125" s="15">
        <f>R125-S125</f>
        <v>0</v>
      </c>
    </row>
    <row r="126" spans="1:23" hidden="1" x14ac:dyDescent="0.2">
      <c r="A126" s="3" t="s">
        <v>729</v>
      </c>
      <c r="C126" s="213">
        <v>0.65</v>
      </c>
      <c r="D126" s="213">
        <v>0.65</v>
      </c>
      <c r="E126" s="213">
        <v>0.65</v>
      </c>
      <c r="F126" s="213">
        <v>0.65</v>
      </c>
      <c r="G126" s="213">
        <v>0.65</v>
      </c>
      <c r="H126" s="213">
        <v>0.65</v>
      </c>
      <c r="I126" s="213">
        <v>0.65</v>
      </c>
      <c r="J126" s="213">
        <v>0.65</v>
      </c>
      <c r="K126" s="213">
        <v>0.65</v>
      </c>
      <c r="L126" s="213">
        <v>0.65</v>
      </c>
      <c r="M126" s="213">
        <v>0.65</v>
      </c>
      <c r="N126" s="213">
        <v>0.65</v>
      </c>
      <c r="O126" s="213"/>
      <c r="P126" s="147"/>
      <c r="Q126" s="147"/>
      <c r="U126" s="105"/>
      <c r="W126" s="105"/>
    </row>
    <row r="127" spans="1:23" hidden="1" x14ac:dyDescent="0.2">
      <c r="A127" s="3" t="s">
        <v>730</v>
      </c>
      <c r="C127" s="212">
        <f>C121/C126</f>
        <v>0</v>
      </c>
      <c r="D127" s="212">
        <f t="shared" ref="D127:N127" si="112">D121/D126</f>
        <v>0</v>
      </c>
      <c r="E127" s="212">
        <f t="shared" si="112"/>
        <v>0</v>
      </c>
      <c r="F127" s="212">
        <f t="shared" si="112"/>
        <v>0</v>
      </c>
      <c r="G127" s="212">
        <f t="shared" si="112"/>
        <v>0</v>
      </c>
      <c r="H127" s="212">
        <f t="shared" si="112"/>
        <v>0</v>
      </c>
      <c r="I127" s="212">
        <f t="shared" si="112"/>
        <v>0</v>
      </c>
      <c r="J127" s="212">
        <f t="shared" si="112"/>
        <v>0</v>
      </c>
      <c r="K127" s="212">
        <f t="shared" si="112"/>
        <v>0</v>
      </c>
      <c r="L127" s="212">
        <f t="shared" si="112"/>
        <v>0</v>
      </c>
      <c r="M127" s="212">
        <f t="shared" si="112"/>
        <v>0</v>
      </c>
      <c r="N127" s="212">
        <f t="shared" si="112"/>
        <v>0</v>
      </c>
      <c r="O127" s="212">
        <f>SUM(C127:N127)</f>
        <v>0</v>
      </c>
      <c r="P127" s="24">
        <f>MAX(C127:N127)</f>
        <v>0</v>
      </c>
      <c r="Q127" s="24"/>
    </row>
    <row r="128" spans="1:23" hidden="1" x14ac:dyDescent="0.2">
      <c r="C128" s="208"/>
      <c r="D128" s="208"/>
      <c r="E128" s="208"/>
      <c r="F128" s="208"/>
      <c r="G128" s="208"/>
      <c r="H128" s="208"/>
      <c r="I128" s="208"/>
      <c r="J128" s="208"/>
      <c r="K128" s="208"/>
      <c r="L128" s="208"/>
      <c r="M128" s="208"/>
      <c r="N128" s="208"/>
      <c r="O128" s="208"/>
    </row>
    <row r="129" spans="1:23" hidden="1" x14ac:dyDescent="0.2">
      <c r="A129" s="4">
        <f>A17</f>
        <v>0</v>
      </c>
      <c r="B129" s="32">
        <f>B17</f>
        <v>0</v>
      </c>
      <c r="C129" s="212"/>
      <c r="D129" s="212"/>
      <c r="E129" s="212"/>
      <c r="F129" s="212"/>
      <c r="G129" s="212"/>
      <c r="H129" s="212"/>
      <c r="I129" s="212"/>
      <c r="J129" s="212"/>
      <c r="K129" s="212"/>
      <c r="L129" s="212"/>
      <c r="M129" s="212"/>
      <c r="N129" s="212"/>
      <c r="O129" s="212"/>
      <c r="P129" s="24"/>
      <c r="Q129" s="15"/>
    </row>
    <row r="130" spans="1:23" hidden="1" x14ac:dyDescent="0.2">
      <c r="A130" s="3" t="s">
        <v>915</v>
      </c>
      <c r="C130" s="212">
        <v>0</v>
      </c>
      <c r="D130" s="212">
        <v>0</v>
      </c>
      <c r="E130" s="212">
        <v>0</v>
      </c>
      <c r="F130" s="212">
        <v>0</v>
      </c>
      <c r="G130" s="212">
        <v>0</v>
      </c>
      <c r="H130" s="212">
        <v>0</v>
      </c>
      <c r="I130" s="212">
        <v>0</v>
      </c>
      <c r="J130" s="212">
        <v>0</v>
      </c>
      <c r="K130" s="212">
        <v>0</v>
      </c>
      <c r="L130" s="212">
        <v>0</v>
      </c>
      <c r="M130" s="212">
        <v>0</v>
      </c>
      <c r="N130" s="212">
        <v>0</v>
      </c>
      <c r="O130" s="212">
        <f>SUM(C130:N130)</f>
        <v>0</v>
      </c>
      <c r="P130" s="147"/>
      <c r="Q130" s="147"/>
      <c r="U130" s="105"/>
      <c r="W130" s="105"/>
    </row>
    <row r="131" spans="1:23" hidden="1" x14ac:dyDescent="0.2">
      <c r="A131" s="3" t="s">
        <v>679</v>
      </c>
      <c r="C131" s="212">
        <f>C130/C$35</f>
        <v>0</v>
      </c>
      <c r="D131" s="212">
        <f t="shared" ref="D131" si="113">D130/D$35</f>
        <v>0</v>
      </c>
      <c r="E131" s="212">
        <f t="shared" ref="E131" si="114">E130/E$35</f>
        <v>0</v>
      </c>
      <c r="F131" s="212">
        <f t="shared" ref="F131" si="115">F130/F$35</f>
        <v>0</v>
      </c>
      <c r="G131" s="212">
        <f t="shared" ref="G131" si="116">G130/G$35</f>
        <v>0</v>
      </c>
      <c r="H131" s="212">
        <f t="shared" ref="H131" si="117">H130/H$35</f>
        <v>0</v>
      </c>
      <c r="I131" s="212">
        <f t="shared" ref="I131" si="118">I130/I$35</f>
        <v>0</v>
      </c>
      <c r="J131" s="212">
        <f t="shared" ref="J131" si="119">J130/J$35</f>
        <v>0</v>
      </c>
      <c r="K131" s="212">
        <f t="shared" ref="K131" si="120">K130/K$35</f>
        <v>0</v>
      </c>
      <c r="L131" s="212">
        <f t="shared" ref="L131" si="121">L130/L$35</f>
        <v>0</v>
      </c>
      <c r="M131" s="212">
        <f t="shared" ref="M131" si="122">M130/M$35</f>
        <v>0</v>
      </c>
      <c r="N131" s="212">
        <f t="shared" ref="N131" si="123">N130/N$35</f>
        <v>0</v>
      </c>
      <c r="O131" s="212">
        <f>O130/8760</f>
        <v>0</v>
      </c>
      <c r="P131" s="24"/>
      <c r="Q131" s="24"/>
    </row>
    <row r="132" spans="1:23" hidden="1" x14ac:dyDescent="0.2">
      <c r="A132" s="3" t="s">
        <v>727</v>
      </c>
      <c r="C132" s="213">
        <v>0</v>
      </c>
      <c r="D132" s="213">
        <v>0</v>
      </c>
      <c r="E132" s="213">
        <v>0</v>
      </c>
      <c r="F132" s="213">
        <v>0.25</v>
      </c>
      <c r="G132" s="213">
        <v>0.25</v>
      </c>
      <c r="H132" s="213">
        <v>0.25</v>
      </c>
      <c r="I132" s="213">
        <v>0.25</v>
      </c>
      <c r="J132" s="213">
        <v>0</v>
      </c>
      <c r="K132" s="213">
        <v>0</v>
      </c>
      <c r="L132" s="213">
        <v>0</v>
      </c>
      <c r="M132" s="213">
        <v>0</v>
      </c>
      <c r="N132" s="213">
        <v>0</v>
      </c>
      <c r="O132" s="213"/>
      <c r="Q132" s="15"/>
    </row>
    <row r="133" spans="1:23" hidden="1" x14ac:dyDescent="0.2">
      <c r="A133" s="3" t="s">
        <v>728</v>
      </c>
      <c r="C133" s="212"/>
      <c r="D133" s="212"/>
      <c r="E133" s="212"/>
      <c r="F133" s="212">
        <v>0</v>
      </c>
      <c r="G133" s="212">
        <v>0</v>
      </c>
      <c r="H133" s="212">
        <v>0</v>
      </c>
      <c r="I133" s="212">
        <v>0</v>
      </c>
      <c r="J133" s="212">
        <v>0</v>
      </c>
      <c r="K133" s="212"/>
      <c r="L133" s="212"/>
      <c r="M133" s="212"/>
      <c r="N133" s="212"/>
      <c r="O133" s="212">
        <f>SUM(C133:N133)</f>
        <v>0</v>
      </c>
      <c r="Q133" s="15">
        <f>MAX(C133:N133)</f>
        <v>0</v>
      </c>
    </row>
    <row r="134" spans="1:23" hidden="1" x14ac:dyDescent="0.2">
      <c r="A134" s="3" t="s">
        <v>680</v>
      </c>
      <c r="C134" s="213">
        <v>1</v>
      </c>
      <c r="D134" s="213">
        <v>1</v>
      </c>
      <c r="E134" s="213">
        <v>1</v>
      </c>
      <c r="F134" s="213">
        <v>0</v>
      </c>
      <c r="G134" s="213">
        <v>0</v>
      </c>
      <c r="H134" s="213">
        <v>0</v>
      </c>
      <c r="I134" s="213">
        <v>0</v>
      </c>
      <c r="J134" s="213">
        <v>0</v>
      </c>
      <c r="K134" s="213">
        <v>0</v>
      </c>
      <c r="L134" s="213">
        <v>1</v>
      </c>
      <c r="M134" s="213">
        <v>1</v>
      </c>
      <c r="N134" s="213">
        <v>1</v>
      </c>
      <c r="O134" s="213"/>
      <c r="P134" s="24"/>
      <c r="Q134" s="15"/>
    </row>
    <row r="135" spans="1:23" hidden="1" x14ac:dyDescent="0.2">
      <c r="A135" s="3" t="s">
        <v>681</v>
      </c>
      <c r="C135" s="212">
        <f t="shared" ref="C135:N135" si="124">C133*C134</f>
        <v>0</v>
      </c>
      <c r="D135" s="212">
        <f t="shared" si="124"/>
        <v>0</v>
      </c>
      <c r="E135" s="212">
        <f t="shared" si="124"/>
        <v>0</v>
      </c>
      <c r="F135" s="212">
        <f t="shared" si="124"/>
        <v>0</v>
      </c>
      <c r="G135" s="212">
        <f t="shared" si="124"/>
        <v>0</v>
      </c>
      <c r="H135" s="212">
        <f t="shared" si="124"/>
        <v>0</v>
      </c>
      <c r="I135" s="212">
        <f t="shared" si="124"/>
        <v>0</v>
      </c>
      <c r="J135" s="212">
        <f t="shared" si="124"/>
        <v>0</v>
      </c>
      <c r="K135" s="212">
        <f t="shared" si="124"/>
        <v>0</v>
      </c>
      <c r="L135" s="212">
        <f t="shared" si="124"/>
        <v>0</v>
      </c>
      <c r="M135" s="212">
        <f t="shared" si="124"/>
        <v>0</v>
      </c>
      <c r="N135" s="212">
        <f t="shared" si="124"/>
        <v>0</v>
      </c>
      <c r="O135" s="212">
        <f>SUM(C135:N135)</f>
        <v>0</v>
      </c>
      <c r="P135" s="24"/>
      <c r="Q135" s="15"/>
      <c r="R135" s="15">
        <f>O135</f>
        <v>0</v>
      </c>
      <c r="S135" s="15">
        <f>H135+I135+J135</f>
        <v>0</v>
      </c>
      <c r="T135" s="15">
        <f>R135-S135</f>
        <v>0</v>
      </c>
    </row>
    <row r="136" spans="1:23" hidden="1" x14ac:dyDescent="0.2">
      <c r="A136" s="3" t="s">
        <v>729</v>
      </c>
      <c r="C136" s="213">
        <v>0.65</v>
      </c>
      <c r="D136" s="213">
        <v>0.65</v>
      </c>
      <c r="E136" s="213">
        <v>0.65</v>
      </c>
      <c r="F136" s="213">
        <v>0.65</v>
      </c>
      <c r="G136" s="213">
        <v>0.65</v>
      </c>
      <c r="H136" s="213">
        <v>0.65</v>
      </c>
      <c r="I136" s="213">
        <v>0.65</v>
      </c>
      <c r="J136" s="213">
        <v>0.65</v>
      </c>
      <c r="K136" s="213">
        <v>0.65</v>
      </c>
      <c r="L136" s="213">
        <v>0.65</v>
      </c>
      <c r="M136" s="213">
        <v>0.65</v>
      </c>
      <c r="N136" s="213">
        <v>0.65</v>
      </c>
      <c r="O136" s="213"/>
      <c r="P136" s="147"/>
      <c r="Q136" s="147"/>
      <c r="U136" s="105"/>
      <c r="W136" s="105"/>
    </row>
    <row r="137" spans="1:23" hidden="1" x14ac:dyDescent="0.2">
      <c r="A137" s="3" t="s">
        <v>730</v>
      </c>
      <c r="C137" s="212">
        <f>C131/C136</f>
        <v>0</v>
      </c>
      <c r="D137" s="212">
        <f t="shared" ref="D137:N137" si="125">D131/D136</f>
        <v>0</v>
      </c>
      <c r="E137" s="212">
        <f t="shared" si="125"/>
        <v>0</v>
      </c>
      <c r="F137" s="212">
        <f t="shared" si="125"/>
        <v>0</v>
      </c>
      <c r="G137" s="212">
        <f t="shared" si="125"/>
        <v>0</v>
      </c>
      <c r="H137" s="212">
        <f t="shared" si="125"/>
        <v>0</v>
      </c>
      <c r="I137" s="212">
        <f t="shared" si="125"/>
        <v>0</v>
      </c>
      <c r="J137" s="212">
        <f t="shared" si="125"/>
        <v>0</v>
      </c>
      <c r="K137" s="212">
        <f t="shared" si="125"/>
        <v>0</v>
      </c>
      <c r="L137" s="212">
        <f t="shared" si="125"/>
        <v>0</v>
      </c>
      <c r="M137" s="212">
        <f t="shared" si="125"/>
        <v>0</v>
      </c>
      <c r="N137" s="212">
        <f t="shared" si="125"/>
        <v>0</v>
      </c>
      <c r="O137" s="212">
        <f>SUM(C137:N137)</f>
        <v>0</v>
      </c>
      <c r="P137" s="24">
        <f>MAX(C137:N137)</f>
        <v>0</v>
      </c>
      <c r="Q137" s="24"/>
    </row>
    <row r="138" spans="1:23" hidden="1" x14ac:dyDescent="0.2">
      <c r="C138" s="208"/>
      <c r="D138" s="208"/>
      <c r="E138" s="208"/>
      <c r="F138" s="208"/>
      <c r="G138" s="208"/>
      <c r="H138" s="208"/>
      <c r="I138" s="208"/>
      <c r="J138" s="208"/>
      <c r="K138" s="208"/>
      <c r="L138" s="212"/>
      <c r="M138" s="208"/>
      <c r="N138" s="208"/>
      <c r="O138" s="208"/>
    </row>
    <row r="139" spans="1:23" hidden="1" x14ac:dyDescent="0.2">
      <c r="A139" s="4">
        <f>A18</f>
        <v>0</v>
      </c>
      <c r="B139" s="32">
        <f>B18</f>
        <v>0</v>
      </c>
      <c r="C139" s="212"/>
      <c r="D139" s="212"/>
      <c r="E139" s="212"/>
      <c r="F139" s="212"/>
      <c r="G139" s="212"/>
      <c r="H139" s="212"/>
      <c r="I139" s="212"/>
      <c r="J139" s="212"/>
      <c r="K139" s="212"/>
      <c r="L139" s="212"/>
      <c r="M139" s="212"/>
      <c r="N139" s="212"/>
      <c r="O139" s="212"/>
      <c r="P139" s="24"/>
      <c r="Q139" s="15"/>
    </row>
    <row r="140" spans="1:23" hidden="1" x14ac:dyDescent="0.2">
      <c r="A140" s="3" t="s">
        <v>915</v>
      </c>
      <c r="C140" s="212">
        <v>0</v>
      </c>
      <c r="D140" s="212">
        <v>0</v>
      </c>
      <c r="E140" s="212">
        <v>0</v>
      </c>
      <c r="F140" s="212">
        <v>0</v>
      </c>
      <c r="G140" s="212">
        <v>0</v>
      </c>
      <c r="H140" s="212">
        <v>0</v>
      </c>
      <c r="I140" s="212">
        <v>0</v>
      </c>
      <c r="J140" s="212">
        <v>0</v>
      </c>
      <c r="K140" s="212">
        <v>0</v>
      </c>
      <c r="L140" s="212">
        <v>0</v>
      </c>
      <c r="M140" s="212">
        <v>0</v>
      </c>
      <c r="N140" s="212">
        <v>0</v>
      </c>
      <c r="O140" s="212">
        <f>SUM(C140:N140)</f>
        <v>0</v>
      </c>
      <c r="P140" s="147"/>
      <c r="Q140" s="147"/>
      <c r="U140" s="105"/>
      <c r="W140" s="105"/>
    </row>
    <row r="141" spans="1:23" hidden="1" x14ac:dyDescent="0.2">
      <c r="A141" s="3" t="s">
        <v>679</v>
      </c>
      <c r="C141" s="212">
        <f>C140/C$35</f>
        <v>0</v>
      </c>
      <c r="D141" s="212">
        <f t="shared" ref="D141" si="126">D140/D$35</f>
        <v>0</v>
      </c>
      <c r="E141" s="212">
        <f t="shared" ref="E141" si="127">E140/E$35</f>
        <v>0</v>
      </c>
      <c r="F141" s="212">
        <f t="shared" ref="F141" si="128">F140/F$35</f>
        <v>0</v>
      </c>
      <c r="G141" s="212">
        <f t="shared" ref="G141" si="129">G140/G$35</f>
        <v>0</v>
      </c>
      <c r="H141" s="212">
        <f t="shared" ref="H141" si="130">H140/H$35</f>
        <v>0</v>
      </c>
      <c r="I141" s="212">
        <f t="shared" ref="I141" si="131">I140/I$35</f>
        <v>0</v>
      </c>
      <c r="J141" s="212">
        <f t="shared" ref="J141" si="132">J140/J$35</f>
        <v>0</v>
      </c>
      <c r="K141" s="212">
        <f t="shared" ref="K141" si="133">K140/K$35</f>
        <v>0</v>
      </c>
      <c r="L141" s="212">
        <f t="shared" ref="L141" si="134">L140/L$35</f>
        <v>0</v>
      </c>
      <c r="M141" s="212">
        <f t="shared" ref="M141" si="135">M140/M$35</f>
        <v>0</v>
      </c>
      <c r="N141" s="212">
        <f t="shared" ref="N141" si="136">N140/N$35</f>
        <v>0</v>
      </c>
      <c r="O141" s="212">
        <f>O140/8760</f>
        <v>0</v>
      </c>
      <c r="P141" s="24"/>
      <c r="Q141" s="24"/>
    </row>
    <row r="142" spans="1:23" hidden="1" x14ac:dyDescent="0.2">
      <c r="A142" s="3" t="s">
        <v>727</v>
      </c>
      <c r="C142" s="213">
        <v>0</v>
      </c>
      <c r="D142" s="213">
        <v>0</v>
      </c>
      <c r="E142" s="213">
        <v>0</v>
      </c>
      <c r="F142" s="213">
        <v>0.25</v>
      </c>
      <c r="G142" s="213">
        <v>0.25</v>
      </c>
      <c r="H142" s="213">
        <v>0.25</v>
      </c>
      <c r="I142" s="213">
        <v>0.25</v>
      </c>
      <c r="J142" s="213">
        <v>0</v>
      </c>
      <c r="K142" s="213">
        <v>0</v>
      </c>
      <c r="L142" s="213">
        <v>0</v>
      </c>
      <c r="M142" s="213">
        <v>0</v>
      </c>
      <c r="N142" s="213">
        <v>0</v>
      </c>
      <c r="O142" s="213"/>
      <c r="Q142" s="15"/>
    </row>
    <row r="143" spans="1:23" hidden="1" x14ac:dyDescent="0.2">
      <c r="A143" s="3" t="s">
        <v>728</v>
      </c>
      <c r="C143" s="212"/>
      <c r="D143" s="212"/>
      <c r="E143" s="212"/>
      <c r="F143" s="212">
        <v>0</v>
      </c>
      <c r="G143" s="212">
        <v>0</v>
      </c>
      <c r="H143" s="212">
        <v>0</v>
      </c>
      <c r="I143" s="212">
        <v>0</v>
      </c>
      <c r="J143" s="212">
        <v>0</v>
      </c>
      <c r="K143" s="212"/>
      <c r="L143" s="212"/>
      <c r="M143" s="212"/>
      <c r="N143" s="212"/>
      <c r="O143" s="212">
        <f>SUM(C143:N143)</f>
        <v>0</v>
      </c>
      <c r="Q143" s="15">
        <f>MAX(C143:N143)</f>
        <v>0</v>
      </c>
    </row>
    <row r="144" spans="1:23" hidden="1" x14ac:dyDescent="0.2">
      <c r="A144" s="3" t="s">
        <v>680</v>
      </c>
      <c r="C144" s="213">
        <v>1</v>
      </c>
      <c r="D144" s="213">
        <v>1</v>
      </c>
      <c r="E144" s="213">
        <v>1</v>
      </c>
      <c r="F144" s="213">
        <v>0</v>
      </c>
      <c r="G144" s="213">
        <v>0</v>
      </c>
      <c r="H144" s="213">
        <v>0</v>
      </c>
      <c r="I144" s="213">
        <v>0</v>
      </c>
      <c r="J144" s="213">
        <v>0</v>
      </c>
      <c r="K144" s="213">
        <v>0</v>
      </c>
      <c r="L144" s="213">
        <v>1</v>
      </c>
      <c r="M144" s="213">
        <v>1</v>
      </c>
      <c r="N144" s="213">
        <v>1</v>
      </c>
      <c r="O144" s="213"/>
      <c r="P144" s="24"/>
      <c r="Q144" s="15"/>
    </row>
    <row r="145" spans="1:23" hidden="1" x14ac:dyDescent="0.2">
      <c r="A145" s="3" t="s">
        <v>681</v>
      </c>
      <c r="C145" s="212">
        <f t="shared" ref="C145:N145" si="137">C143*C144</f>
        <v>0</v>
      </c>
      <c r="D145" s="212">
        <f t="shared" si="137"/>
        <v>0</v>
      </c>
      <c r="E145" s="212">
        <f t="shared" si="137"/>
        <v>0</v>
      </c>
      <c r="F145" s="212">
        <f t="shared" si="137"/>
        <v>0</v>
      </c>
      <c r="G145" s="212">
        <f t="shared" si="137"/>
        <v>0</v>
      </c>
      <c r="H145" s="212">
        <f t="shared" si="137"/>
        <v>0</v>
      </c>
      <c r="I145" s="212">
        <f t="shared" si="137"/>
        <v>0</v>
      </c>
      <c r="J145" s="212">
        <f t="shared" si="137"/>
        <v>0</v>
      </c>
      <c r="K145" s="212">
        <f t="shared" si="137"/>
        <v>0</v>
      </c>
      <c r="L145" s="212">
        <f t="shared" si="137"/>
        <v>0</v>
      </c>
      <c r="M145" s="212">
        <f t="shared" si="137"/>
        <v>0</v>
      </c>
      <c r="N145" s="212">
        <f t="shared" si="137"/>
        <v>0</v>
      </c>
      <c r="O145" s="212">
        <f>SUM(C145:N145)</f>
        <v>0</v>
      </c>
      <c r="P145" s="24"/>
      <c r="Q145" s="15"/>
      <c r="R145" s="15">
        <f>O145</f>
        <v>0</v>
      </c>
      <c r="S145" s="15">
        <f>H145+I145+J145</f>
        <v>0</v>
      </c>
      <c r="T145" s="15">
        <f>R145-S145</f>
        <v>0</v>
      </c>
    </row>
    <row r="146" spans="1:23" hidden="1" x14ac:dyDescent="0.2">
      <c r="A146" s="3" t="s">
        <v>729</v>
      </c>
      <c r="C146" s="213">
        <v>0.65</v>
      </c>
      <c r="D146" s="213">
        <v>0.65</v>
      </c>
      <c r="E146" s="213">
        <v>0.65</v>
      </c>
      <c r="F146" s="213">
        <v>0.65</v>
      </c>
      <c r="G146" s="213">
        <v>0.65</v>
      </c>
      <c r="H146" s="213">
        <v>0.65</v>
      </c>
      <c r="I146" s="213">
        <v>0.65</v>
      </c>
      <c r="J146" s="213">
        <v>0.65</v>
      </c>
      <c r="K146" s="213">
        <v>0.65</v>
      </c>
      <c r="L146" s="213">
        <v>0.65</v>
      </c>
      <c r="M146" s="213">
        <v>0.65</v>
      </c>
      <c r="N146" s="213">
        <v>0.65</v>
      </c>
      <c r="O146" s="213"/>
      <c r="P146" s="147"/>
      <c r="Q146" s="147"/>
      <c r="U146" s="105"/>
      <c r="W146" s="105"/>
    </row>
    <row r="147" spans="1:23" hidden="1" x14ac:dyDescent="0.2">
      <c r="A147" s="3" t="s">
        <v>730</v>
      </c>
      <c r="C147" s="212">
        <f>C141/C146</f>
        <v>0</v>
      </c>
      <c r="D147" s="212">
        <f t="shared" ref="D147:N147" si="138">D141/D146</f>
        <v>0</v>
      </c>
      <c r="E147" s="212">
        <f t="shared" si="138"/>
        <v>0</v>
      </c>
      <c r="F147" s="212">
        <f t="shared" si="138"/>
        <v>0</v>
      </c>
      <c r="G147" s="212">
        <f t="shared" si="138"/>
        <v>0</v>
      </c>
      <c r="H147" s="212">
        <f t="shared" si="138"/>
        <v>0</v>
      </c>
      <c r="I147" s="212">
        <f t="shared" si="138"/>
        <v>0</v>
      </c>
      <c r="J147" s="212">
        <f t="shared" si="138"/>
        <v>0</v>
      </c>
      <c r="K147" s="212">
        <f t="shared" si="138"/>
        <v>0</v>
      </c>
      <c r="L147" s="212">
        <f t="shared" si="138"/>
        <v>0</v>
      </c>
      <c r="M147" s="212">
        <f t="shared" si="138"/>
        <v>0</v>
      </c>
      <c r="N147" s="212">
        <f t="shared" si="138"/>
        <v>0</v>
      </c>
      <c r="O147" s="212">
        <f>SUM(C147:N147)</f>
        <v>0</v>
      </c>
      <c r="P147" s="24">
        <f>MAX(C147:N147)</f>
        <v>0</v>
      </c>
      <c r="Q147" s="24"/>
    </row>
    <row r="148" spans="1:23" hidden="1" x14ac:dyDescent="0.2">
      <c r="C148" s="208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</row>
    <row r="149" spans="1:23" hidden="1" x14ac:dyDescent="0.2">
      <c r="A149" s="4">
        <f>A19</f>
        <v>0</v>
      </c>
      <c r="B149" s="32">
        <f>B19</f>
        <v>0</v>
      </c>
      <c r="C149" s="212"/>
      <c r="D149" s="212"/>
      <c r="E149" s="212"/>
      <c r="F149" s="212"/>
      <c r="G149" s="212"/>
      <c r="H149" s="212"/>
      <c r="I149" s="212"/>
      <c r="J149" s="212"/>
      <c r="K149" s="212"/>
      <c r="L149" s="212"/>
      <c r="M149" s="212"/>
      <c r="N149" s="212"/>
      <c r="O149" s="212"/>
      <c r="P149" s="24"/>
      <c r="Q149" s="15"/>
    </row>
    <row r="150" spans="1:23" hidden="1" x14ac:dyDescent="0.2">
      <c r="A150" s="3" t="s">
        <v>915</v>
      </c>
      <c r="C150" s="212">
        <v>0</v>
      </c>
      <c r="D150" s="212">
        <v>0</v>
      </c>
      <c r="E150" s="212">
        <v>0</v>
      </c>
      <c r="F150" s="212">
        <v>0</v>
      </c>
      <c r="G150" s="212">
        <v>0</v>
      </c>
      <c r="H150" s="212">
        <v>0</v>
      </c>
      <c r="I150" s="212">
        <v>0</v>
      </c>
      <c r="J150" s="212">
        <v>0</v>
      </c>
      <c r="K150" s="212">
        <v>0</v>
      </c>
      <c r="L150" s="212">
        <v>0</v>
      </c>
      <c r="M150" s="212">
        <v>0</v>
      </c>
      <c r="N150" s="212">
        <v>0</v>
      </c>
      <c r="O150" s="212">
        <f>SUM(C150:N150)</f>
        <v>0</v>
      </c>
      <c r="P150" s="147"/>
      <c r="Q150" s="147"/>
      <c r="U150" s="105"/>
      <c r="W150" s="105"/>
    </row>
    <row r="151" spans="1:23" hidden="1" x14ac:dyDescent="0.2">
      <c r="A151" s="3" t="s">
        <v>679</v>
      </c>
      <c r="C151" s="212">
        <f>C150/C$35</f>
        <v>0</v>
      </c>
      <c r="D151" s="212">
        <f t="shared" ref="D151" si="139">D150/D$35</f>
        <v>0</v>
      </c>
      <c r="E151" s="212">
        <f t="shared" ref="E151" si="140">E150/E$35</f>
        <v>0</v>
      </c>
      <c r="F151" s="212">
        <f t="shared" ref="F151" si="141">F150/F$35</f>
        <v>0</v>
      </c>
      <c r="G151" s="212">
        <f t="shared" ref="G151" si="142">G150/G$35</f>
        <v>0</v>
      </c>
      <c r="H151" s="212">
        <f t="shared" ref="H151" si="143">H150/H$35</f>
        <v>0</v>
      </c>
      <c r="I151" s="212">
        <f t="shared" ref="I151" si="144">I150/I$35</f>
        <v>0</v>
      </c>
      <c r="J151" s="212">
        <f t="shared" ref="J151" si="145">J150/J$35</f>
        <v>0</v>
      </c>
      <c r="K151" s="212">
        <f t="shared" ref="K151" si="146">K150/K$35</f>
        <v>0</v>
      </c>
      <c r="L151" s="212">
        <f t="shared" ref="L151" si="147">L150/L$35</f>
        <v>0</v>
      </c>
      <c r="M151" s="212">
        <f t="shared" ref="M151" si="148">M150/M$35</f>
        <v>0</v>
      </c>
      <c r="N151" s="212">
        <f t="shared" ref="N151" si="149">N150/N$35</f>
        <v>0</v>
      </c>
      <c r="O151" s="212">
        <f>O150/8760</f>
        <v>0</v>
      </c>
      <c r="P151" s="24"/>
      <c r="Q151" s="24"/>
    </row>
    <row r="152" spans="1:23" hidden="1" x14ac:dyDescent="0.2">
      <c r="A152" s="3" t="s">
        <v>727</v>
      </c>
      <c r="C152" s="213">
        <v>0</v>
      </c>
      <c r="D152" s="213">
        <v>0</v>
      </c>
      <c r="E152" s="213">
        <v>0</v>
      </c>
      <c r="F152" s="213">
        <v>0.25</v>
      </c>
      <c r="G152" s="213">
        <v>0.25</v>
      </c>
      <c r="H152" s="213">
        <v>0.25</v>
      </c>
      <c r="I152" s="213">
        <v>0.25</v>
      </c>
      <c r="J152" s="213">
        <v>0</v>
      </c>
      <c r="K152" s="213">
        <v>0</v>
      </c>
      <c r="L152" s="213">
        <v>0</v>
      </c>
      <c r="M152" s="213">
        <v>0</v>
      </c>
      <c r="N152" s="213">
        <v>0</v>
      </c>
      <c r="O152" s="213"/>
      <c r="Q152" s="15"/>
    </row>
    <row r="153" spans="1:23" hidden="1" x14ac:dyDescent="0.2">
      <c r="A153" s="3" t="s">
        <v>728</v>
      </c>
      <c r="C153" s="212"/>
      <c r="D153" s="212"/>
      <c r="E153" s="212"/>
      <c r="F153" s="212">
        <v>0</v>
      </c>
      <c r="G153" s="212">
        <v>0</v>
      </c>
      <c r="H153" s="212">
        <v>0</v>
      </c>
      <c r="I153" s="212">
        <v>0</v>
      </c>
      <c r="J153" s="212">
        <v>0</v>
      </c>
      <c r="K153" s="212"/>
      <c r="L153" s="212"/>
      <c r="M153" s="212"/>
      <c r="N153" s="212"/>
      <c r="O153" s="212">
        <f>SUM(C153:N153)</f>
        <v>0</v>
      </c>
      <c r="Q153" s="15">
        <f>MAX(C153:N153)</f>
        <v>0</v>
      </c>
    </row>
    <row r="154" spans="1:23" hidden="1" x14ac:dyDescent="0.2">
      <c r="A154" s="3" t="s">
        <v>680</v>
      </c>
      <c r="C154" s="213">
        <v>1</v>
      </c>
      <c r="D154" s="213">
        <v>1</v>
      </c>
      <c r="E154" s="213">
        <v>1</v>
      </c>
      <c r="F154" s="213">
        <v>0</v>
      </c>
      <c r="G154" s="213">
        <v>0</v>
      </c>
      <c r="H154" s="213">
        <v>0</v>
      </c>
      <c r="I154" s="213">
        <v>0</v>
      </c>
      <c r="J154" s="213">
        <v>0</v>
      </c>
      <c r="K154" s="213">
        <v>0</v>
      </c>
      <c r="L154" s="213">
        <v>1</v>
      </c>
      <c r="M154" s="213">
        <v>1</v>
      </c>
      <c r="N154" s="213">
        <v>1</v>
      </c>
      <c r="O154" s="213"/>
      <c r="P154" s="24"/>
      <c r="Q154" s="15"/>
    </row>
    <row r="155" spans="1:23" hidden="1" x14ac:dyDescent="0.2">
      <c r="A155" s="3" t="s">
        <v>681</v>
      </c>
      <c r="C155" s="212">
        <f t="shared" ref="C155:N155" si="150">C153*C154</f>
        <v>0</v>
      </c>
      <c r="D155" s="212">
        <f t="shared" si="150"/>
        <v>0</v>
      </c>
      <c r="E155" s="212">
        <f t="shared" si="150"/>
        <v>0</v>
      </c>
      <c r="F155" s="212">
        <f t="shared" si="150"/>
        <v>0</v>
      </c>
      <c r="G155" s="212">
        <f t="shared" si="150"/>
        <v>0</v>
      </c>
      <c r="H155" s="212">
        <f t="shared" si="150"/>
        <v>0</v>
      </c>
      <c r="I155" s="212">
        <f t="shared" si="150"/>
        <v>0</v>
      </c>
      <c r="J155" s="212">
        <f t="shared" si="150"/>
        <v>0</v>
      </c>
      <c r="K155" s="212">
        <f t="shared" si="150"/>
        <v>0</v>
      </c>
      <c r="L155" s="212">
        <f t="shared" si="150"/>
        <v>0</v>
      </c>
      <c r="M155" s="212">
        <f t="shared" si="150"/>
        <v>0</v>
      </c>
      <c r="N155" s="212">
        <f t="shared" si="150"/>
        <v>0</v>
      </c>
      <c r="O155" s="212">
        <f>SUM(C155:N155)</f>
        <v>0</v>
      </c>
      <c r="P155" s="24"/>
      <c r="Q155" s="15"/>
      <c r="R155" s="15">
        <f>O155</f>
        <v>0</v>
      </c>
      <c r="S155" s="15">
        <f>H155+I155+J155</f>
        <v>0</v>
      </c>
      <c r="T155" s="15">
        <f>R155-S155</f>
        <v>0</v>
      </c>
    </row>
    <row r="156" spans="1:23" hidden="1" x14ac:dyDescent="0.2">
      <c r="A156" s="3" t="s">
        <v>729</v>
      </c>
      <c r="C156" s="213">
        <v>0.65</v>
      </c>
      <c r="D156" s="213">
        <v>0.65</v>
      </c>
      <c r="E156" s="213">
        <v>0.65</v>
      </c>
      <c r="F156" s="213">
        <v>0.65</v>
      </c>
      <c r="G156" s="213">
        <v>0.65</v>
      </c>
      <c r="H156" s="213">
        <v>0.65</v>
      </c>
      <c r="I156" s="213">
        <v>0.65</v>
      </c>
      <c r="J156" s="213">
        <v>0.65</v>
      </c>
      <c r="K156" s="213">
        <v>0.65</v>
      </c>
      <c r="L156" s="213">
        <v>0.65</v>
      </c>
      <c r="M156" s="213">
        <v>0.65</v>
      </c>
      <c r="N156" s="213">
        <v>0.65</v>
      </c>
      <c r="O156" s="213"/>
      <c r="P156" s="147"/>
      <c r="Q156" s="147"/>
      <c r="U156" s="105"/>
      <c r="W156" s="105"/>
    </row>
    <row r="157" spans="1:23" hidden="1" x14ac:dyDescent="0.2">
      <c r="A157" s="3" t="s">
        <v>730</v>
      </c>
      <c r="C157" s="212">
        <f>C151/C156</f>
        <v>0</v>
      </c>
      <c r="D157" s="212">
        <f t="shared" ref="D157:N157" si="151">D151/D156</f>
        <v>0</v>
      </c>
      <c r="E157" s="212">
        <f t="shared" si="151"/>
        <v>0</v>
      </c>
      <c r="F157" s="212">
        <f t="shared" si="151"/>
        <v>0</v>
      </c>
      <c r="G157" s="212">
        <f t="shared" si="151"/>
        <v>0</v>
      </c>
      <c r="H157" s="212">
        <f t="shared" si="151"/>
        <v>0</v>
      </c>
      <c r="I157" s="212">
        <f t="shared" si="151"/>
        <v>0</v>
      </c>
      <c r="J157" s="212">
        <f t="shared" si="151"/>
        <v>0</v>
      </c>
      <c r="K157" s="212">
        <f t="shared" si="151"/>
        <v>0</v>
      </c>
      <c r="L157" s="212">
        <f t="shared" si="151"/>
        <v>0</v>
      </c>
      <c r="M157" s="212">
        <f t="shared" si="151"/>
        <v>0</v>
      </c>
      <c r="N157" s="212">
        <f t="shared" si="151"/>
        <v>0</v>
      </c>
      <c r="O157" s="212">
        <f>SUM(C157:N157)</f>
        <v>0</v>
      </c>
      <c r="P157" s="24">
        <f>MAX(C157:N157)</f>
        <v>0</v>
      </c>
      <c r="Q157" s="24"/>
    </row>
    <row r="158" spans="1:23" hidden="1" x14ac:dyDescent="0.2">
      <c r="C158" s="208"/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</row>
    <row r="159" spans="1:23" hidden="1" x14ac:dyDescent="0.2">
      <c r="A159" s="4">
        <f>A20</f>
        <v>0</v>
      </c>
      <c r="B159" s="32">
        <f>B20</f>
        <v>0</v>
      </c>
      <c r="C159" s="212"/>
      <c r="D159" s="212"/>
      <c r="E159" s="212"/>
      <c r="F159" s="212"/>
      <c r="G159" s="212"/>
      <c r="H159" s="212"/>
      <c r="I159" s="212"/>
      <c r="J159" s="212"/>
      <c r="K159" s="212"/>
      <c r="L159" s="212"/>
      <c r="M159" s="212"/>
      <c r="N159" s="212"/>
      <c r="O159" s="212"/>
      <c r="P159" s="24"/>
      <c r="Q159" s="15"/>
    </row>
    <row r="160" spans="1:23" hidden="1" x14ac:dyDescent="0.2">
      <c r="A160" s="3" t="s">
        <v>915</v>
      </c>
      <c r="C160" s="212">
        <v>0</v>
      </c>
      <c r="D160" s="212">
        <v>0</v>
      </c>
      <c r="E160" s="212">
        <v>0</v>
      </c>
      <c r="F160" s="212">
        <v>0</v>
      </c>
      <c r="G160" s="212">
        <v>0</v>
      </c>
      <c r="H160" s="212">
        <v>0</v>
      </c>
      <c r="I160" s="212">
        <v>0</v>
      </c>
      <c r="J160" s="212">
        <v>0</v>
      </c>
      <c r="K160" s="212">
        <v>0</v>
      </c>
      <c r="L160" s="212">
        <v>0</v>
      </c>
      <c r="M160" s="212">
        <v>0</v>
      </c>
      <c r="N160" s="212">
        <v>0</v>
      </c>
      <c r="O160" s="212">
        <f>SUM(C160:N160)</f>
        <v>0</v>
      </c>
      <c r="P160" s="147"/>
      <c r="Q160" s="147"/>
      <c r="U160" s="105"/>
      <c r="W160" s="105"/>
    </row>
    <row r="161" spans="1:23" hidden="1" x14ac:dyDescent="0.2">
      <c r="A161" s="3" t="s">
        <v>679</v>
      </c>
      <c r="C161" s="212">
        <f>C160/C$35</f>
        <v>0</v>
      </c>
      <c r="D161" s="212">
        <f t="shared" ref="D161" si="152">D160/D$35</f>
        <v>0</v>
      </c>
      <c r="E161" s="212">
        <f t="shared" ref="E161" si="153">E160/E$35</f>
        <v>0</v>
      </c>
      <c r="F161" s="212">
        <f t="shared" ref="F161" si="154">F160/F$35</f>
        <v>0</v>
      </c>
      <c r="G161" s="212">
        <f t="shared" ref="G161" si="155">G160/G$35</f>
        <v>0</v>
      </c>
      <c r="H161" s="212">
        <f t="shared" ref="H161" si="156">H160/H$35</f>
        <v>0</v>
      </c>
      <c r="I161" s="212">
        <f t="shared" ref="I161" si="157">I160/I$35</f>
        <v>0</v>
      </c>
      <c r="J161" s="212">
        <f t="shared" ref="J161" si="158">J160/J$35</f>
        <v>0</v>
      </c>
      <c r="K161" s="212">
        <f t="shared" ref="K161" si="159">K160/K$35</f>
        <v>0</v>
      </c>
      <c r="L161" s="212">
        <f t="shared" ref="L161" si="160">L160/L$35</f>
        <v>0</v>
      </c>
      <c r="M161" s="212">
        <f t="shared" ref="M161" si="161">M160/M$35</f>
        <v>0</v>
      </c>
      <c r="N161" s="212">
        <f t="shared" ref="N161" si="162">N160/N$35</f>
        <v>0</v>
      </c>
      <c r="O161" s="212">
        <f>O160/8760</f>
        <v>0</v>
      </c>
      <c r="P161" s="24"/>
      <c r="Q161" s="24"/>
    </row>
    <row r="162" spans="1:23" hidden="1" x14ac:dyDescent="0.2">
      <c r="A162" s="3" t="s">
        <v>727</v>
      </c>
      <c r="C162" s="213">
        <v>0</v>
      </c>
      <c r="D162" s="213">
        <v>0</v>
      </c>
      <c r="E162" s="213">
        <v>0</v>
      </c>
      <c r="F162" s="213">
        <v>0.25</v>
      </c>
      <c r="G162" s="213">
        <v>0.25</v>
      </c>
      <c r="H162" s="213">
        <v>0.25</v>
      </c>
      <c r="I162" s="213">
        <v>0.25</v>
      </c>
      <c r="J162" s="213">
        <v>0</v>
      </c>
      <c r="K162" s="213">
        <v>0</v>
      </c>
      <c r="L162" s="213">
        <v>0</v>
      </c>
      <c r="M162" s="213">
        <v>0</v>
      </c>
      <c r="N162" s="213">
        <v>0</v>
      </c>
      <c r="O162" s="213"/>
      <c r="Q162" s="15"/>
    </row>
    <row r="163" spans="1:23" hidden="1" x14ac:dyDescent="0.2">
      <c r="A163" s="3" t="s">
        <v>728</v>
      </c>
      <c r="C163" s="212"/>
      <c r="D163" s="212"/>
      <c r="E163" s="212"/>
      <c r="F163" s="212">
        <v>0</v>
      </c>
      <c r="G163" s="212">
        <v>0</v>
      </c>
      <c r="H163" s="212">
        <v>0</v>
      </c>
      <c r="I163" s="212">
        <v>0</v>
      </c>
      <c r="J163" s="212">
        <v>0</v>
      </c>
      <c r="K163" s="212"/>
      <c r="L163" s="212"/>
      <c r="M163" s="212"/>
      <c r="N163" s="212"/>
      <c r="O163" s="212">
        <f>SUM(C163:N163)</f>
        <v>0</v>
      </c>
      <c r="Q163" s="15">
        <f>MAX(C163:N163)</f>
        <v>0</v>
      </c>
    </row>
    <row r="164" spans="1:23" hidden="1" x14ac:dyDescent="0.2">
      <c r="A164" s="3" t="s">
        <v>680</v>
      </c>
      <c r="C164" s="213">
        <v>1</v>
      </c>
      <c r="D164" s="213">
        <v>1</v>
      </c>
      <c r="E164" s="213">
        <v>1</v>
      </c>
      <c r="F164" s="213">
        <v>0</v>
      </c>
      <c r="G164" s="213">
        <v>0</v>
      </c>
      <c r="H164" s="213">
        <v>0</v>
      </c>
      <c r="I164" s="213">
        <v>0</v>
      </c>
      <c r="J164" s="213">
        <v>0</v>
      </c>
      <c r="K164" s="213">
        <v>0</v>
      </c>
      <c r="L164" s="213">
        <v>1</v>
      </c>
      <c r="M164" s="213">
        <v>1</v>
      </c>
      <c r="N164" s="213">
        <v>1</v>
      </c>
      <c r="O164" s="213"/>
      <c r="P164" s="24"/>
      <c r="Q164" s="15"/>
    </row>
    <row r="165" spans="1:23" hidden="1" x14ac:dyDescent="0.2">
      <c r="A165" s="3" t="s">
        <v>681</v>
      </c>
      <c r="C165" s="212">
        <f t="shared" ref="C165:N165" si="163">C163*C164</f>
        <v>0</v>
      </c>
      <c r="D165" s="212">
        <f t="shared" si="163"/>
        <v>0</v>
      </c>
      <c r="E165" s="212">
        <f t="shared" si="163"/>
        <v>0</v>
      </c>
      <c r="F165" s="212">
        <f t="shared" si="163"/>
        <v>0</v>
      </c>
      <c r="G165" s="212">
        <f t="shared" si="163"/>
        <v>0</v>
      </c>
      <c r="H165" s="212">
        <f t="shared" si="163"/>
        <v>0</v>
      </c>
      <c r="I165" s="212">
        <f t="shared" si="163"/>
        <v>0</v>
      </c>
      <c r="J165" s="212">
        <f t="shared" si="163"/>
        <v>0</v>
      </c>
      <c r="K165" s="212">
        <f t="shared" si="163"/>
        <v>0</v>
      </c>
      <c r="L165" s="212">
        <f t="shared" si="163"/>
        <v>0</v>
      </c>
      <c r="M165" s="212">
        <f t="shared" si="163"/>
        <v>0</v>
      </c>
      <c r="N165" s="212">
        <f t="shared" si="163"/>
        <v>0</v>
      </c>
      <c r="O165" s="212">
        <f>SUM(C165:N165)</f>
        <v>0</v>
      </c>
      <c r="P165" s="24"/>
      <c r="Q165" s="15"/>
      <c r="R165" s="15">
        <f>O165</f>
        <v>0</v>
      </c>
      <c r="S165" s="15">
        <f>H165+I165+J165</f>
        <v>0</v>
      </c>
      <c r="T165" s="15">
        <f>R165-S165</f>
        <v>0</v>
      </c>
    </row>
    <row r="166" spans="1:23" hidden="1" x14ac:dyDescent="0.2">
      <c r="A166" s="3" t="s">
        <v>729</v>
      </c>
      <c r="C166" s="213">
        <v>0.65</v>
      </c>
      <c r="D166" s="213">
        <v>0.65</v>
      </c>
      <c r="E166" s="213">
        <v>0.65</v>
      </c>
      <c r="F166" s="213">
        <v>0.65</v>
      </c>
      <c r="G166" s="213">
        <v>0.65</v>
      </c>
      <c r="H166" s="213">
        <v>0.65</v>
      </c>
      <c r="I166" s="213">
        <v>0.65</v>
      </c>
      <c r="J166" s="213">
        <v>0.65</v>
      </c>
      <c r="K166" s="213">
        <v>0.65</v>
      </c>
      <c r="L166" s="213">
        <v>0.65</v>
      </c>
      <c r="M166" s="213">
        <v>0.65</v>
      </c>
      <c r="N166" s="213">
        <v>0.65</v>
      </c>
      <c r="O166" s="213"/>
      <c r="P166" s="147"/>
      <c r="Q166" s="147"/>
      <c r="U166" s="105"/>
      <c r="W166" s="105"/>
    </row>
    <row r="167" spans="1:23" hidden="1" x14ac:dyDescent="0.2">
      <c r="A167" s="3" t="s">
        <v>730</v>
      </c>
      <c r="C167" s="212">
        <f>C161/C166</f>
        <v>0</v>
      </c>
      <c r="D167" s="212">
        <f t="shared" ref="D167:N167" si="164">D161/D166</f>
        <v>0</v>
      </c>
      <c r="E167" s="212">
        <f t="shared" si="164"/>
        <v>0</v>
      </c>
      <c r="F167" s="212">
        <f t="shared" si="164"/>
        <v>0</v>
      </c>
      <c r="G167" s="212">
        <f t="shared" si="164"/>
        <v>0</v>
      </c>
      <c r="H167" s="212">
        <f t="shared" si="164"/>
        <v>0</v>
      </c>
      <c r="I167" s="212">
        <f t="shared" si="164"/>
        <v>0</v>
      </c>
      <c r="J167" s="212">
        <f t="shared" si="164"/>
        <v>0</v>
      </c>
      <c r="K167" s="212">
        <f t="shared" si="164"/>
        <v>0</v>
      </c>
      <c r="L167" s="212">
        <f t="shared" si="164"/>
        <v>0</v>
      </c>
      <c r="M167" s="212">
        <f t="shared" si="164"/>
        <v>0</v>
      </c>
      <c r="N167" s="212">
        <f t="shared" si="164"/>
        <v>0</v>
      </c>
      <c r="O167" s="212">
        <f>SUM(C167:N167)</f>
        <v>0</v>
      </c>
      <c r="P167" s="24">
        <f>MAX(C167:N167)</f>
        <v>0</v>
      </c>
      <c r="Q167" s="24"/>
    </row>
    <row r="168" spans="1:23" ht="15.75" hidden="1" customHeight="1" x14ac:dyDescent="0.2">
      <c r="C168" s="208"/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</row>
    <row r="169" spans="1:23" hidden="1" x14ac:dyDescent="0.2">
      <c r="A169" s="4">
        <f>A21</f>
        <v>0</v>
      </c>
      <c r="B169" s="32">
        <f>B21</f>
        <v>0</v>
      </c>
      <c r="C169" s="212"/>
      <c r="D169" s="212"/>
      <c r="E169" s="212"/>
      <c r="F169" s="212"/>
      <c r="G169" s="212"/>
      <c r="H169" s="212"/>
      <c r="I169" s="212"/>
      <c r="J169" s="212"/>
      <c r="K169" s="212"/>
      <c r="L169" s="212"/>
      <c r="M169" s="212"/>
      <c r="N169" s="212"/>
      <c r="O169" s="212"/>
      <c r="P169" s="24"/>
      <c r="Q169" s="15"/>
    </row>
    <row r="170" spans="1:23" hidden="1" x14ac:dyDescent="0.2">
      <c r="A170" s="3" t="s">
        <v>915</v>
      </c>
      <c r="C170" s="212">
        <v>0</v>
      </c>
      <c r="D170" s="212">
        <v>0</v>
      </c>
      <c r="E170" s="212">
        <v>0</v>
      </c>
      <c r="F170" s="212">
        <v>0</v>
      </c>
      <c r="G170" s="212">
        <v>0</v>
      </c>
      <c r="H170" s="212">
        <v>0</v>
      </c>
      <c r="I170" s="212">
        <v>0</v>
      </c>
      <c r="J170" s="212">
        <v>0</v>
      </c>
      <c r="K170" s="212">
        <v>0</v>
      </c>
      <c r="L170" s="212">
        <v>0</v>
      </c>
      <c r="M170" s="212">
        <v>0</v>
      </c>
      <c r="N170" s="212">
        <v>0</v>
      </c>
      <c r="O170" s="212">
        <f>SUM(C170:N170)</f>
        <v>0</v>
      </c>
      <c r="P170" s="147"/>
      <c r="Q170" s="147"/>
      <c r="U170" s="105"/>
      <c r="W170" s="105"/>
    </row>
    <row r="171" spans="1:23" hidden="1" x14ac:dyDescent="0.2">
      <c r="A171" s="3" t="s">
        <v>679</v>
      </c>
      <c r="C171" s="212">
        <f>C170/C$35</f>
        <v>0</v>
      </c>
      <c r="D171" s="212">
        <f t="shared" ref="D171" si="165">D170/D$35</f>
        <v>0</v>
      </c>
      <c r="E171" s="212">
        <f t="shared" ref="E171" si="166">E170/E$35</f>
        <v>0</v>
      </c>
      <c r="F171" s="212">
        <f t="shared" ref="F171" si="167">F170/F$35</f>
        <v>0</v>
      </c>
      <c r="G171" s="212">
        <f t="shared" ref="G171" si="168">G170/G$35</f>
        <v>0</v>
      </c>
      <c r="H171" s="212">
        <f t="shared" ref="H171" si="169">H170/H$35</f>
        <v>0</v>
      </c>
      <c r="I171" s="212">
        <f t="shared" ref="I171" si="170">I170/I$35</f>
        <v>0</v>
      </c>
      <c r="J171" s="212">
        <f t="shared" ref="J171" si="171">J170/J$35</f>
        <v>0</v>
      </c>
      <c r="K171" s="212">
        <f t="shared" ref="K171" si="172">K170/K$35</f>
        <v>0</v>
      </c>
      <c r="L171" s="212">
        <f t="shared" ref="L171" si="173">L170/L$35</f>
        <v>0</v>
      </c>
      <c r="M171" s="212">
        <f t="shared" ref="M171" si="174">M170/M$35</f>
        <v>0</v>
      </c>
      <c r="N171" s="212">
        <f t="shared" ref="N171" si="175">N170/N$35</f>
        <v>0</v>
      </c>
      <c r="O171" s="212">
        <f>O170/8760</f>
        <v>0</v>
      </c>
      <c r="P171" s="24"/>
      <c r="Q171" s="24"/>
    </row>
    <row r="172" spans="1:23" hidden="1" x14ac:dyDescent="0.2">
      <c r="A172" s="3" t="s">
        <v>727</v>
      </c>
      <c r="C172" s="213">
        <v>0</v>
      </c>
      <c r="D172" s="213">
        <v>0</v>
      </c>
      <c r="E172" s="213">
        <v>0</v>
      </c>
      <c r="F172" s="213">
        <v>0.25</v>
      </c>
      <c r="G172" s="213">
        <v>0.25</v>
      </c>
      <c r="H172" s="213">
        <v>0.25</v>
      </c>
      <c r="I172" s="213">
        <v>0.25</v>
      </c>
      <c r="J172" s="213">
        <v>0</v>
      </c>
      <c r="K172" s="213">
        <v>0</v>
      </c>
      <c r="L172" s="213">
        <v>0</v>
      </c>
      <c r="M172" s="213">
        <v>0</v>
      </c>
      <c r="N172" s="213">
        <v>0</v>
      </c>
      <c r="O172" s="213"/>
      <c r="Q172" s="15"/>
    </row>
    <row r="173" spans="1:23" hidden="1" x14ac:dyDescent="0.2">
      <c r="A173" s="3" t="s">
        <v>728</v>
      </c>
      <c r="C173" s="212"/>
      <c r="D173" s="212"/>
      <c r="E173" s="212"/>
      <c r="F173" s="212">
        <v>0</v>
      </c>
      <c r="G173" s="212">
        <v>0</v>
      </c>
      <c r="H173" s="212">
        <v>0</v>
      </c>
      <c r="I173" s="212">
        <v>0</v>
      </c>
      <c r="J173" s="212">
        <v>0</v>
      </c>
      <c r="K173" s="212"/>
      <c r="L173" s="212"/>
      <c r="M173" s="212"/>
      <c r="N173" s="212"/>
      <c r="O173" s="212">
        <f>SUM(C173:N173)</f>
        <v>0</v>
      </c>
      <c r="Q173" s="15">
        <f>MAX(C173:N173)</f>
        <v>0</v>
      </c>
    </row>
    <row r="174" spans="1:23" hidden="1" x14ac:dyDescent="0.2">
      <c r="A174" s="3" t="s">
        <v>680</v>
      </c>
      <c r="C174" s="213">
        <v>1</v>
      </c>
      <c r="D174" s="213">
        <v>1</v>
      </c>
      <c r="E174" s="213">
        <v>1</v>
      </c>
      <c r="F174" s="213">
        <v>0</v>
      </c>
      <c r="G174" s="213">
        <v>0</v>
      </c>
      <c r="H174" s="213">
        <v>0</v>
      </c>
      <c r="I174" s="213">
        <v>0</v>
      </c>
      <c r="J174" s="213">
        <v>0</v>
      </c>
      <c r="K174" s="213">
        <v>0</v>
      </c>
      <c r="L174" s="213">
        <v>1</v>
      </c>
      <c r="M174" s="213">
        <v>1</v>
      </c>
      <c r="N174" s="213">
        <v>1</v>
      </c>
      <c r="O174" s="213"/>
      <c r="P174" s="24"/>
      <c r="Q174" s="15"/>
    </row>
    <row r="175" spans="1:23" hidden="1" x14ac:dyDescent="0.2">
      <c r="A175" s="3" t="s">
        <v>681</v>
      </c>
      <c r="C175" s="212">
        <f t="shared" ref="C175:N175" si="176">C173*C174</f>
        <v>0</v>
      </c>
      <c r="D175" s="212">
        <f t="shared" si="176"/>
        <v>0</v>
      </c>
      <c r="E175" s="212">
        <f t="shared" si="176"/>
        <v>0</v>
      </c>
      <c r="F175" s="212">
        <f t="shared" si="176"/>
        <v>0</v>
      </c>
      <c r="G175" s="212">
        <f t="shared" si="176"/>
        <v>0</v>
      </c>
      <c r="H175" s="212">
        <f t="shared" si="176"/>
        <v>0</v>
      </c>
      <c r="I175" s="212">
        <f t="shared" si="176"/>
        <v>0</v>
      </c>
      <c r="J175" s="212">
        <f t="shared" si="176"/>
        <v>0</v>
      </c>
      <c r="K175" s="212">
        <f t="shared" si="176"/>
        <v>0</v>
      </c>
      <c r="L175" s="212">
        <f t="shared" si="176"/>
        <v>0</v>
      </c>
      <c r="M175" s="212">
        <f t="shared" si="176"/>
        <v>0</v>
      </c>
      <c r="N175" s="212">
        <f t="shared" si="176"/>
        <v>0</v>
      </c>
      <c r="O175" s="212">
        <f>SUM(C175:N175)</f>
        <v>0</v>
      </c>
      <c r="P175" s="24"/>
      <c r="Q175" s="15"/>
      <c r="R175" s="15">
        <f>O175</f>
        <v>0</v>
      </c>
      <c r="S175" s="15">
        <f>H175+I175+J175</f>
        <v>0</v>
      </c>
      <c r="T175" s="15">
        <f>R175-S175</f>
        <v>0</v>
      </c>
    </row>
    <row r="176" spans="1:23" hidden="1" x14ac:dyDescent="0.2">
      <c r="A176" s="3" t="s">
        <v>729</v>
      </c>
      <c r="C176" s="213">
        <v>0.65</v>
      </c>
      <c r="D176" s="213">
        <v>0.65</v>
      </c>
      <c r="E176" s="213">
        <v>0.65</v>
      </c>
      <c r="F176" s="213">
        <v>0.65</v>
      </c>
      <c r="G176" s="213">
        <v>0.65</v>
      </c>
      <c r="H176" s="213">
        <v>0.65</v>
      </c>
      <c r="I176" s="213">
        <v>0.65</v>
      </c>
      <c r="J176" s="213">
        <v>0.65</v>
      </c>
      <c r="K176" s="213">
        <v>0.65</v>
      </c>
      <c r="L176" s="213">
        <v>0.65</v>
      </c>
      <c r="M176" s="213">
        <v>0.65</v>
      </c>
      <c r="N176" s="213">
        <v>0.65</v>
      </c>
      <c r="O176" s="213"/>
      <c r="P176" s="147"/>
      <c r="Q176" s="147"/>
      <c r="U176" s="105"/>
      <c r="W176" s="105"/>
    </row>
    <row r="177" spans="1:23" hidden="1" x14ac:dyDescent="0.2">
      <c r="A177" s="3" t="s">
        <v>730</v>
      </c>
      <c r="C177" s="212">
        <f>C171/C176</f>
        <v>0</v>
      </c>
      <c r="D177" s="212">
        <f t="shared" ref="D177:N177" si="177">D171/D176</f>
        <v>0</v>
      </c>
      <c r="E177" s="212">
        <f t="shared" si="177"/>
        <v>0</v>
      </c>
      <c r="F177" s="212">
        <f t="shared" si="177"/>
        <v>0</v>
      </c>
      <c r="G177" s="212">
        <f t="shared" si="177"/>
        <v>0</v>
      </c>
      <c r="H177" s="212">
        <f t="shared" si="177"/>
        <v>0</v>
      </c>
      <c r="I177" s="212">
        <f t="shared" si="177"/>
        <v>0</v>
      </c>
      <c r="J177" s="212">
        <f t="shared" si="177"/>
        <v>0</v>
      </c>
      <c r="K177" s="212">
        <f t="shared" si="177"/>
        <v>0</v>
      </c>
      <c r="L177" s="212">
        <f t="shared" si="177"/>
        <v>0</v>
      </c>
      <c r="M177" s="212">
        <f t="shared" si="177"/>
        <v>0</v>
      </c>
      <c r="N177" s="212">
        <f t="shared" si="177"/>
        <v>0</v>
      </c>
      <c r="O177" s="212">
        <f>SUM(C177:N177)</f>
        <v>0</v>
      </c>
      <c r="P177" s="24">
        <f>MAX(C177:N177)</f>
        <v>0</v>
      </c>
      <c r="Q177" s="24"/>
    </row>
    <row r="178" spans="1:23" hidden="1" x14ac:dyDescent="0.2">
      <c r="C178" s="208"/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</row>
    <row r="179" spans="1:23" hidden="1" x14ac:dyDescent="0.2">
      <c r="A179" s="4">
        <f>A22</f>
        <v>0</v>
      </c>
      <c r="B179" s="32">
        <f>B22</f>
        <v>0</v>
      </c>
      <c r="C179" s="212"/>
      <c r="D179" s="212"/>
      <c r="E179" s="212"/>
      <c r="F179" s="212"/>
      <c r="G179" s="212"/>
      <c r="H179" s="212"/>
      <c r="I179" s="212"/>
      <c r="J179" s="212"/>
      <c r="K179" s="212"/>
      <c r="L179" s="212"/>
      <c r="M179" s="212"/>
      <c r="N179" s="212"/>
      <c r="O179" s="212"/>
      <c r="P179" s="24"/>
      <c r="Q179" s="15"/>
    </row>
    <row r="180" spans="1:23" hidden="1" x14ac:dyDescent="0.2">
      <c r="A180" s="3" t="s">
        <v>915</v>
      </c>
      <c r="C180" s="212">
        <v>0</v>
      </c>
      <c r="D180" s="212">
        <v>0</v>
      </c>
      <c r="E180" s="212">
        <v>0</v>
      </c>
      <c r="F180" s="212">
        <v>0</v>
      </c>
      <c r="G180" s="212">
        <v>0</v>
      </c>
      <c r="H180" s="212">
        <v>0</v>
      </c>
      <c r="I180" s="212">
        <v>0</v>
      </c>
      <c r="J180" s="212">
        <v>0</v>
      </c>
      <c r="K180" s="212">
        <v>0</v>
      </c>
      <c r="L180" s="212">
        <v>0</v>
      </c>
      <c r="M180" s="212">
        <v>0</v>
      </c>
      <c r="N180" s="212">
        <v>0</v>
      </c>
      <c r="O180" s="212">
        <f>SUM(C180:N180)</f>
        <v>0</v>
      </c>
      <c r="P180" s="147"/>
      <c r="Q180" s="147"/>
      <c r="U180" s="105"/>
      <c r="W180" s="105"/>
    </row>
    <row r="181" spans="1:23" hidden="1" x14ac:dyDescent="0.2">
      <c r="A181" s="3" t="s">
        <v>679</v>
      </c>
      <c r="C181" s="212">
        <f>C180/C$35</f>
        <v>0</v>
      </c>
      <c r="D181" s="212">
        <f t="shared" ref="D181" si="178">D180/D$35</f>
        <v>0</v>
      </c>
      <c r="E181" s="212">
        <f t="shared" ref="E181" si="179">E180/E$35</f>
        <v>0</v>
      </c>
      <c r="F181" s="212">
        <f t="shared" ref="F181" si="180">F180/F$35</f>
        <v>0</v>
      </c>
      <c r="G181" s="212">
        <f t="shared" ref="G181" si="181">G180/G$35</f>
        <v>0</v>
      </c>
      <c r="H181" s="212">
        <f t="shared" ref="H181" si="182">H180/H$35</f>
        <v>0</v>
      </c>
      <c r="I181" s="212">
        <f t="shared" ref="I181" si="183">I180/I$35</f>
        <v>0</v>
      </c>
      <c r="J181" s="212">
        <f t="shared" ref="J181" si="184">J180/J$35</f>
        <v>0</v>
      </c>
      <c r="K181" s="212">
        <f t="shared" ref="K181" si="185">K180/K$35</f>
        <v>0</v>
      </c>
      <c r="L181" s="212">
        <f t="shared" ref="L181" si="186">L180/L$35</f>
        <v>0</v>
      </c>
      <c r="M181" s="212">
        <f t="shared" ref="M181" si="187">M180/M$35</f>
        <v>0</v>
      </c>
      <c r="N181" s="212">
        <f t="shared" ref="N181" si="188">N180/N$35</f>
        <v>0</v>
      </c>
      <c r="O181" s="212">
        <f>O180/8760</f>
        <v>0</v>
      </c>
      <c r="P181" s="24"/>
      <c r="Q181" s="24"/>
    </row>
    <row r="182" spans="1:23" hidden="1" x14ac:dyDescent="0.2">
      <c r="A182" s="3" t="s">
        <v>727</v>
      </c>
      <c r="C182" s="213">
        <v>0</v>
      </c>
      <c r="D182" s="213">
        <v>0</v>
      </c>
      <c r="E182" s="213">
        <v>0</v>
      </c>
      <c r="F182" s="213">
        <v>0.25</v>
      </c>
      <c r="G182" s="213">
        <v>0.25</v>
      </c>
      <c r="H182" s="213">
        <v>0.25</v>
      </c>
      <c r="I182" s="213">
        <v>0.25</v>
      </c>
      <c r="J182" s="213">
        <v>0</v>
      </c>
      <c r="K182" s="213">
        <v>0</v>
      </c>
      <c r="L182" s="213">
        <v>0</v>
      </c>
      <c r="M182" s="213">
        <v>0</v>
      </c>
      <c r="N182" s="213">
        <v>0</v>
      </c>
      <c r="O182" s="213"/>
      <c r="Q182" s="15"/>
    </row>
    <row r="183" spans="1:23" hidden="1" x14ac:dyDescent="0.2">
      <c r="A183" s="3" t="s">
        <v>728</v>
      </c>
      <c r="C183" s="212"/>
      <c r="D183" s="212"/>
      <c r="E183" s="212"/>
      <c r="F183" s="212">
        <v>0</v>
      </c>
      <c r="G183" s="212">
        <v>0</v>
      </c>
      <c r="H183" s="212">
        <v>0</v>
      </c>
      <c r="I183" s="212">
        <v>0</v>
      </c>
      <c r="J183" s="212">
        <v>0</v>
      </c>
      <c r="K183" s="212"/>
      <c r="L183" s="212"/>
      <c r="M183" s="212"/>
      <c r="N183" s="212"/>
      <c r="O183" s="212">
        <f>SUM(C183:N183)</f>
        <v>0</v>
      </c>
      <c r="Q183" s="15">
        <f>MAX(C183:N183)</f>
        <v>0</v>
      </c>
    </row>
    <row r="184" spans="1:23" hidden="1" x14ac:dyDescent="0.2">
      <c r="A184" s="3" t="s">
        <v>680</v>
      </c>
      <c r="C184" s="213">
        <v>1</v>
      </c>
      <c r="D184" s="213">
        <v>1</v>
      </c>
      <c r="E184" s="213">
        <v>1</v>
      </c>
      <c r="F184" s="213">
        <v>0</v>
      </c>
      <c r="G184" s="213">
        <v>0</v>
      </c>
      <c r="H184" s="213">
        <v>0</v>
      </c>
      <c r="I184" s="213">
        <v>0</v>
      </c>
      <c r="J184" s="213">
        <v>0</v>
      </c>
      <c r="K184" s="213">
        <v>0</v>
      </c>
      <c r="L184" s="213">
        <v>1</v>
      </c>
      <c r="M184" s="213">
        <v>1</v>
      </c>
      <c r="N184" s="213">
        <v>1</v>
      </c>
      <c r="O184" s="213"/>
      <c r="P184" s="24"/>
      <c r="Q184" s="15"/>
    </row>
    <row r="185" spans="1:23" hidden="1" x14ac:dyDescent="0.2">
      <c r="A185" s="3" t="s">
        <v>681</v>
      </c>
      <c r="C185" s="212">
        <f t="shared" ref="C185:N185" si="189">C183*C184</f>
        <v>0</v>
      </c>
      <c r="D185" s="212">
        <f t="shared" si="189"/>
        <v>0</v>
      </c>
      <c r="E185" s="212">
        <f t="shared" si="189"/>
        <v>0</v>
      </c>
      <c r="F185" s="212">
        <f t="shared" si="189"/>
        <v>0</v>
      </c>
      <c r="G185" s="212">
        <f t="shared" si="189"/>
        <v>0</v>
      </c>
      <c r="H185" s="212">
        <f t="shared" si="189"/>
        <v>0</v>
      </c>
      <c r="I185" s="212">
        <f t="shared" si="189"/>
        <v>0</v>
      </c>
      <c r="J185" s="212">
        <f t="shared" si="189"/>
        <v>0</v>
      </c>
      <c r="K185" s="212">
        <f t="shared" si="189"/>
        <v>0</v>
      </c>
      <c r="L185" s="212">
        <f t="shared" si="189"/>
        <v>0</v>
      </c>
      <c r="M185" s="212">
        <f t="shared" si="189"/>
        <v>0</v>
      </c>
      <c r="N185" s="212">
        <f t="shared" si="189"/>
        <v>0</v>
      </c>
      <c r="O185" s="212">
        <f>SUM(C185:N185)</f>
        <v>0</v>
      </c>
      <c r="P185" s="24"/>
      <c r="Q185" s="15"/>
      <c r="R185" s="15">
        <f>O185</f>
        <v>0</v>
      </c>
      <c r="S185" s="15">
        <f>H185+I185+J185</f>
        <v>0</v>
      </c>
      <c r="T185" s="15">
        <f>R185-S185</f>
        <v>0</v>
      </c>
    </row>
    <row r="186" spans="1:23" hidden="1" x14ac:dyDescent="0.2">
      <c r="A186" s="3" t="s">
        <v>729</v>
      </c>
      <c r="C186" s="213">
        <v>0.65</v>
      </c>
      <c r="D186" s="213">
        <v>0.65</v>
      </c>
      <c r="E186" s="213">
        <v>0.65</v>
      </c>
      <c r="F186" s="213">
        <v>0.65</v>
      </c>
      <c r="G186" s="213">
        <v>0.65</v>
      </c>
      <c r="H186" s="213">
        <v>0.65</v>
      </c>
      <c r="I186" s="213">
        <v>0.65</v>
      </c>
      <c r="J186" s="213">
        <v>0.65</v>
      </c>
      <c r="K186" s="213">
        <v>0.65</v>
      </c>
      <c r="L186" s="213">
        <v>0.65</v>
      </c>
      <c r="M186" s="213">
        <v>0.65</v>
      </c>
      <c r="N186" s="213">
        <v>0.65</v>
      </c>
      <c r="O186" s="213"/>
      <c r="P186" s="147"/>
      <c r="Q186" s="147"/>
      <c r="U186" s="105"/>
      <c r="W186" s="105"/>
    </row>
    <row r="187" spans="1:23" hidden="1" x14ac:dyDescent="0.2">
      <c r="A187" s="3" t="s">
        <v>730</v>
      </c>
      <c r="C187" s="212">
        <f>C181/C186</f>
        <v>0</v>
      </c>
      <c r="D187" s="212">
        <f t="shared" ref="D187:N187" si="190">D181/D186</f>
        <v>0</v>
      </c>
      <c r="E187" s="212">
        <f t="shared" si="190"/>
        <v>0</v>
      </c>
      <c r="F187" s="212">
        <f t="shared" si="190"/>
        <v>0</v>
      </c>
      <c r="G187" s="212">
        <f t="shared" si="190"/>
        <v>0</v>
      </c>
      <c r="H187" s="212">
        <f t="shared" si="190"/>
        <v>0</v>
      </c>
      <c r="I187" s="212">
        <f t="shared" si="190"/>
        <v>0</v>
      </c>
      <c r="J187" s="212">
        <f t="shared" si="190"/>
        <v>0</v>
      </c>
      <c r="K187" s="212">
        <f t="shared" si="190"/>
        <v>0</v>
      </c>
      <c r="L187" s="212">
        <f t="shared" si="190"/>
        <v>0</v>
      </c>
      <c r="M187" s="212">
        <f t="shared" si="190"/>
        <v>0</v>
      </c>
      <c r="N187" s="212">
        <f t="shared" si="190"/>
        <v>0</v>
      </c>
      <c r="O187" s="212">
        <f>SUM(C187:N187)</f>
        <v>0</v>
      </c>
      <c r="P187" s="24">
        <f>MAX(C187:N187)</f>
        <v>0</v>
      </c>
      <c r="Q187" s="24"/>
    </row>
    <row r="188" spans="1:23" hidden="1" x14ac:dyDescent="0.2">
      <c r="C188" s="208"/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</row>
    <row r="189" spans="1:23" hidden="1" x14ac:dyDescent="0.2">
      <c r="A189" s="4">
        <f>A23</f>
        <v>0</v>
      </c>
      <c r="B189" s="32">
        <f>B23</f>
        <v>0</v>
      </c>
      <c r="C189" s="212"/>
      <c r="D189" s="212"/>
      <c r="E189" s="212"/>
      <c r="F189" s="212"/>
      <c r="G189" s="212"/>
      <c r="H189" s="212"/>
      <c r="I189" s="212"/>
      <c r="J189" s="212"/>
      <c r="K189" s="212"/>
      <c r="L189" s="212"/>
      <c r="M189" s="212"/>
      <c r="N189" s="212"/>
      <c r="O189" s="212"/>
      <c r="P189" s="24"/>
      <c r="Q189" s="15"/>
    </row>
    <row r="190" spans="1:23" hidden="1" x14ac:dyDescent="0.2">
      <c r="A190" s="3" t="s">
        <v>915</v>
      </c>
      <c r="C190" s="212">
        <v>0</v>
      </c>
      <c r="D190" s="212">
        <v>0</v>
      </c>
      <c r="E190" s="212">
        <v>0</v>
      </c>
      <c r="F190" s="212">
        <v>0</v>
      </c>
      <c r="G190" s="212">
        <v>0</v>
      </c>
      <c r="H190" s="212">
        <v>0</v>
      </c>
      <c r="I190" s="212">
        <v>0</v>
      </c>
      <c r="J190" s="212">
        <v>0</v>
      </c>
      <c r="K190" s="212">
        <v>0</v>
      </c>
      <c r="L190" s="212">
        <v>0</v>
      </c>
      <c r="M190" s="212">
        <v>0</v>
      </c>
      <c r="N190" s="212">
        <v>0</v>
      </c>
      <c r="O190" s="212">
        <f>SUM(C190:N190)</f>
        <v>0</v>
      </c>
      <c r="P190" s="147"/>
      <c r="Q190" s="147"/>
      <c r="U190" s="105"/>
      <c r="W190" s="105"/>
    </row>
    <row r="191" spans="1:23" hidden="1" x14ac:dyDescent="0.2">
      <c r="A191" s="3" t="s">
        <v>679</v>
      </c>
      <c r="C191" s="212">
        <f>C190/C$35</f>
        <v>0</v>
      </c>
      <c r="D191" s="212">
        <f t="shared" ref="D191" si="191">D190/D$35</f>
        <v>0</v>
      </c>
      <c r="E191" s="212">
        <f t="shared" ref="E191" si="192">E190/E$35</f>
        <v>0</v>
      </c>
      <c r="F191" s="212">
        <f t="shared" ref="F191" si="193">F190/F$35</f>
        <v>0</v>
      </c>
      <c r="G191" s="212">
        <f t="shared" ref="G191" si="194">G190/G$35</f>
        <v>0</v>
      </c>
      <c r="H191" s="212">
        <f t="shared" ref="H191" si="195">H190/H$35</f>
        <v>0</v>
      </c>
      <c r="I191" s="212">
        <f t="shared" ref="I191" si="196">I190/I$35</f>
        <v>0</v>
      </c>
      <c r="J191" s="212">
        <f t="shared" ref="J191" si="197">J190/J$35</f>
        <v>0</v>
      </c>
      <c r="K191" s="212">
        <f t="shared" ref="K191" si="198">K190/K$35</f>
        <v>0</v>
      </c>
      <c r="L191" s="212">
        <f t="shared" ref="L191" si="199">L190/L$35</f>
        <v>0</v>
      </c>
      <c r="M191" s="212">
        <f t="shared" ref="M191" si="200">M190/M$35</f>
        <v>0</v>
      </c>
      <c r="N191" s="212">
        <f t="shared" ref="N191" si="201">N190/N$35</f>
        <v>0</v>
      </c>
      <c r="O191" s="212">
        <f>O190/8760</f>
        <v>0</v>
      </c>
      <c r="P191" s="24"/>
      <c r="Q191" s="24"/>
    </row>
    <row r="192" spans="1:23" hidden="1" x14ac:dyDescent="0.2">
      <c r="A192" s="3" t="s">
        <v>727</v>
      </c>
      <c r="C192" s="213">
        <v>0</v>
      </c>
      <c r="D192" s="213">
        <v>0</v>
      </c>
      <c r="E192" s="213">
        <v>0</v>
      </c>
      <c r="F192" s="213">
        <v>0.25</v>
      </c>
      <c r="G192" s="213">
        <v>0.25</v>
      </c>
      <c r="H192" s="213">
        <v>0.25</v>
      </c>
      <c r="I192" s="213">
        <v>0.25</v>
      </c>
      <c r="J192" s="213">
        <v>0</v>
      </c>
      <c r="K192" s="213">
        <v>0</v>
      </c>
      <c r="L192" s="213">
        <v>0</v>
      </c>
      <c r="M192" s="213">
        <v>0</v>
      </c>
      <c r="N192" s="213">
        <v>0</v>
      </c>
      <c r="O192" s="213"/>
      <c r="Q192" s="15"/>
    </row>
    <row r="193" spans="1:23" hidden="1" x14ac:dyDescent="0.2">
      <c r="A193" s="3" t="s">
        <v>728</v>
      </c>
      <c r="C193" s="212"/>
      <c r="D193" s="212"/>
      <c r="E193" s="212"/>
      <c r="F193" s="212">
        <v>0</v>
      </c>
      <c r="G193" s="212">
        <v>0</v>
      </c>
      <c r="H193" s="212">
        <v>0</v>
      </c>
      <c r="I193" s="212">
        <v>0</v>
      </c>
      <c r="J193" s="212">
        <v>0</v>
      </c>
      <c r="K193" s="212"/>
      <c r="L193" s="212"/>
      <c r="M193" s="212"/>
      <c r="N193" s="212"/>
      <c r="O193" s="212">
        <f>SUM(C193:N193)</f>
        <v>0</v>
      </c>
      <c r="Q193" s="15">
        <f>MAX(C193:N193)</f>
        <v>0</v>
      </c>
    </row>
    <row r="194" spans="1:23" hidden="1" x14ac:dyDescent="0.2">
      <c r="A194" s="3" t="s">
        <v>680</v>
      </c>
      <c r="C194" s="213">
        <v>1</v>
      </c>
      <c r="D194" s="213">
        <v>1</v>
      </c>
      <c r="E194" s="213">
        <v>1</v>
      </c>
      <c r="F194" s="213">
        <v>0</v>
      </c>
      <c r="G194" s="213">
        <v>0</v>
      </c>
      <c r="H194" s="213">
        <v>0</v>
      </c>
      <c r="I194" s="213">
        <v>0</v>
      </c>
      <c r="J194" s="213">
        <v>0</v>
      </c>
      <c r="K194" s="213">
        <v>0</v>
      </c>
      <c r="L194" s="213">
        <v>1</v>
      </c>
      <c r="M194" s="213">
        <v>1</v>
      </c>
      <c r="N194" s="213">
        <v>1</v>
      </c>
      <c r="O194" s="213"/>
      <c r="P194" s="24"/>
      <c r="Q194" s="15"/>
    </row>
    <row r="195" spans="1:23" hidden="1" x14ac:dyDescent="0.2">
      <c r="A195" s="3" t="s">
        <v>681</v>
      </c>
      <c r="C195" s="212">
        <f t="shared" ref="C195:N195" si="202">C193*C194</f>
        <v>0</v>
      </c>
      <c r="D195" s="212">
        <f t="shared" si="202"/>
        <v>0</v>
      </c>
      <c r="E195" s="212">
        <f t="shared" si="202"/>
        <v>0</v>
      </c>
      <c r="F195" s="212">
        <f t="shared" si="202"/>
        <v>0</v>
      </c>
      <c r="G195" s="212">
        <f t="shared" si="202"/>
        <v>0</v>
      </c>
      <c r="H195" s="212">
        <f t="shared" si="202"/>
        <v>0</v>
      </c>
      <c r="I195" s="212">
        <f t="shared" si="202"/>
        <v>0</v>
      </c>
      <c r="J195" s="212">
        <f t="shared" si="202"/>
        <v>0</v>
      </c>
      <c r="K195" s="212">
        <f t="shared" si="202"/>
        <v>0</v>
      </c>
      <c r="L195" s="212">
        <f t="shared" si="202"/>
        <v>0</v>
      </c>
      <c r="M195" s="212">
        <f t="shared" si="202"/>
        <v>0</v>
      </c>
      <c r="N195" s="212">
        <f t="shared" si="202"/>
        <v>0</v>
      </c>
      <c r="O195" s="212">
        <f>SUM(C195:N195)</f>
        <v>0</v>
      </c>
      <c r="P195" s="24"/>
      <c r="Q195" s="15"/>
      <c r="R195" s="15">
        <f>O195</f>
        <v>0</v>
      </c>
      <c r="S195" s="15">
        <f>H195+I195+J195</f>
        <v>0</v>
      </c>
      <c r="T195" s="15">
        <f>R195-S195</f>
        <v>0</v>
      </c>
    </row>
    <row r="196" spans="1:23" hidden="1" x14ac:dyDescent="0.2">
      <c r="A196" s="3" t="s">
        <v>729</v>
      </c>
      <c r="C196" s="213">
        <v>0.65</v>
      </c>
      <c r="D196" s="213">
        <v>0.65</v>
      </c>
      <c r="E196" s="213">
        <v>0.65</v>
      </c>
      <c r="F196" s="213">
        <v>0.65</v>
      </c>
      <c r="G196" s="213">
        <v>0.65</v>
      </c>
      <c r="H196" s="213">
        <v>0.65</v>
      </c>
      <c r="I196" s="213">
        <v>0.65</v>
      </c>
      <c r="J196" s="213">
        <v>0.65</v>
      </c>
      <c r="K196" s="213">
        <v>0.65</v>
      </c>
      <c r="L196" s="213">
        <v>0.65</v>
      </c>
      <c r="M196" s="213">
        <v>0.65</v>
      </c>
      <c r="N196" s="213">
        <v>0.65</v>
      </c>
      <c r="O196" s="213"/>
      <c r="P196" s="147"/>
      <c r="Q196" s="147"/>
      <c r="U196" s="105"/>
      <c r="W196" s="105"/>
    </row>
    <row r="197" spans="1:23" ht="1.5" customHeight="1" x14ac:dyDescent="0.2">
      <c r="A197" s="3" t="s">
        <v>730</v>
      </c>
      <c r="C197" s="212">
        <f>C191/C196</f>
        <v>0</v>
      </c>
      <c r="D197" s="212">
        <f t="shared" ref="D197:N197" si="203">D191/D196</f>
        <v>0</v>
      </c>
      <c r="E197" s="212">
        <f t="shared" si="203"/>
        <v>0</v>
      </c>
      <c r="F197" s="212">
        <f t="shared" si="203"/>
        <v>0</v>
      </c>
      <c r="G197" s="212">
        <f t="shared" si="203"/>
        <v>0</v>
      </c>
      <c r="H197" s="212">
        <f t="shared" si="203"/>
        <v>0</v>
      </c>
      <c r="I197" s="212">
        <f t="shared" si="203"/>
        <v>0</v>
      </c>
      <c r="J197" s="212">
        <f t="shared" si="203"/>
        <v>0</v>
      </c>
      <c r="K197" s="212">
        <f t="shared" si="203"/>
        <v>0</v>
      </c>
      <c r="L197" s="212">
        <f t="shared" si="203"/>
        <v>0</v>
      </c>
      <c r="M197" s="212">
        <f t="shared" si="203"/>
        <v>0</v>
      </c>
      <c r="N197" s="212">
        <f t="shared" si="203"/>
        <v>0</v>
      </c>
      <c r="O197" s="212">
        <f>SUM(C197:N197)</f>
        <v>0</v>
      </c>
      <c r="P197" s="24">
        <f>MAX(C197:N197)</f>
        <v>0</v>
      </c>
      <c r="Q197" s="24"/>
    </row>
    <row r="198" spans="1:23" x14ac:dyDescent="0.2">
      <c r="C198" s="212"/>
      <c r="D198" s="212"/>
      <c r="E198" s="212"/>
      <c r="F198" s="212"/>
      <c r="G198" s="212"/>
      <c r="H198" s="212"/>
      <c r="I198" s="212"/>
      <c r="J198" s="212"/>
      <c r="K198" s="212"/>
      <c r="L198" s="212"/>
      <c r="M198" s="212"/>
      <c r="N198" s="212"/>
      <c r="O198" s="212"/>
      <c r="P198" s="24"/>
      <c r="Q198" s="24"/>
    </row>
    <row r="199" spans="1:23" x14ac:dyDescent="0.2">
      <c r="A199" s="3" t="s">
        <v>987</v>
      </c>
      <c r="C199" s="212">
        <f>'Purchased Power'!C6</f>
        <v>46353</v>
      </c>
      <c r="D199" s="212">
        <f>'Purchased Power'!D6</f>
        <v>53808</v>
      </c>
      <c r="E199" s="212">
        <f>'Purchased Power'!E6</f>
        <v>53710</v>
      </c>
      <c r="F199" s="212">
        <f>'Purchased Power'!F6</f>
        <v>30887</v>
      </c>
      <c r="G199" s="212">
        <f>'Purchased Power'!G6</f>
        <v>30580</v>
      </c>
      <c r="H199" s="212">
        <f>'Purchased Power'!H6</f>
        <v>32772</v>
      </c>
      <c r="I199" s="212">
        <f>'Purchased Power'!I6</f>
        <v>40591</v>
      </c>
      <c r="J199" s="212">
        <f>'Purchased Power'!J6</f>
        <v>39194</v>
      </c>
      <c r="K199" s="212">
        <f>'Purchased Power'!K6</f>
        <v>38085</v>
      </c>
      <c r="L199" s="212">
        <f>'Purchased Power'!L6</f>
        <v>24797</v>
      </c>
      <c r="M199" s="212">
        <f>'Purchased Power'!M6</f>
        <v>54940</v>
      </c>
      <c r="N199" s="212">
        <f>'Purchased Power'!N6</f>
        <v>39949</v>
      </c>
      <c r="O199" s="212">
        <f>SUM(C199:N199)</f>
        <v>485666</v>
      </c>
      <c r="P199" s="24"/>
      <c r="Q199" s="24"/>
      <c r="R199" s="24"/>
      <c r="S199" s="24"/>
    </row>
    <row r="200" spans="1:23" x14ac:dyDescent="0.2">
      <c r="A200" s="3" t="s">
        <v>988</v>
      </c>
      <c r="C200" s="217">
        <f t="shared" ref="C200:N200" si="204">(C45+C55+C65+C75+C85+C95+C105+C115+C125+C135+C145+C155+C165+C175+C185+C195)</f>
        <v>46353.000001281085</v>
      </c>
      <c r="D200" s="217">
        <f t="shared" si="204"/>
        <v>53807.999998118947</v>
      </c>
      <c r="E200" s="217">
        <f t="shared" si="204"/>
        <v>53710.000017414081</v>
      </c>
      <c r="F200" s="217">
        <f t="shared" si="204"/>
        <v>30886.999999955329</v>
      </c>
      <c r="G200" s="217">
        <f t="shared" si="204"/>
        <v>30580.000104880655</v>
      </c>
      <c r="H200" s="217">
        <f t="shared" si="204"/>
        <v>32772.000200335773</v>
      </c>
      <c r="I200" s="217">
        <f t="shared" si="204"/>
        <v>40591.000107244268</v>
      </c>
      <c r="J200" s="217">
        <f t="shared" si="204"/>
        <v>39194.000002271248</v>
      </c>
      <c r="K200" s="217">
        <f t="shared" si="204"/>
        <v>38085.000005071299</v>
      </c>
      <c r="L200" s="217">
        <f t="shared" si="204"/>
        <v>24797.000029049192</v>
      </c>
      <c r="M200" s="217">
        <f t="shared" si="204"/>
        <v>54939.999999859596</v>
      </c>
      <c r="N200" s="217">
        <f t="shared" si="204"/>
        <v>39949.000000078842</v>
      </c>
      <c r="O200" s="217">
        <f>SUM(C200:N200)</f>
        <v>485666.00046556036</v>
      </c>
      <c r="P200" s="141">
        <f>O200/O199</f>
        <v>1.0000000009586019</v>
      </c>
    </row>
    <row r="201" spans="1:23" x14ac:dyDescent="0.2">
      <c r="A201" s="3" t="s">
        <v>712</v>
      </c>
      <c r="C201" s="15">
        <f t="shared" ref="C201:O201" si="205">C199-C200</f>
        <v>-1.28108513308689E-6</v>
      </c>
      <c r="D201" s="15">
        <f t="shared" si="205"/>
        <v>1.8810533219948411E-6</v>
      </c>
      <c r="E201" s="15">
        <f t="shared" si="205"/>
        <v>-1.7414080502931029E-5</v>
      </c>
      <c r="F201" s="15">
        <f t="shared" si="205"/>
        <v>4.4670741772279143E-8</v>
      </c>
      <c r="G201" s="15">
        <f t="shared" si="205"/>
        <v>-1.0488065527169965E-4</v>
      </c>
      <c r="H201" s="15">
        <f t="shared" si="205"/>
        <v>-2.0033577311551198E-4</v>
      </c>
      <c r="I201" s="15">
        <f t="shared" si="205"/>
        <v>-1.0724426829256117E-4</v>
      </c>
      <c r="J201" s="15">
        <f t="shared" si="205"/>
        <v>-2.2712483769282699E-6</v>
      </c>
      <c r="K201" s="15">
        <f t="shared" si="205"/>
        <v>-5.0712988013401628E-6</v>
      </c>
      <c r="L201" s="15">
        <f t="shared" si="205"/>
        <v>-2.9049191653029993E-5</v>
      </c>
      <c r="M201" s="15">
        <f t="shared" si="205"/>
        <v>1.4040415408089757E-7</v>
      </c>
      <c r="N201" s="15">
        <f t="shared" si="205"/>
        <v>-7.8842276707291603E-8</v>
      </c>
      <c r="O201" s="15">
        <f t="shared" si="205"/>
        <v>-4.6556035522371531E-4</v>
      </c>
    </row>
    <row r="203" spans="1:23" x14ac:dyDescent="0.2">
      <c r="C203" s="156"/>
      <c r="D203" s="156"/>
      <c r="E203" s="156"/>
      <c r="F203" s="156"/>
      <c r="G203" s="156"/>
      <c r="H203" s="156"/>
      <c r="I203" s="156"/>
      <c r="J203" s="156"/>
      <c r="K203" s="156"/>
      <c r="L203" s="156"/>
      <c r="M203" s="156"/>
      <c r="N203" s="156"/>
      <c r="O203" s="156"/>
    </row>
    <row r="204" spans="1:23" x14ac:dyDescent="0.2"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</row>
    <row r="205" spans="1:23" x14ac:dyDescent="0.2">
      <c r="C205" s="156"/>
      <c r="D205" s="156"/>
      <c r="E205" s="156"/>
      <c r="F205" s="156"/>
      <c r="G205" s="156"/>
      <c r="H205" s="156"/>
      <c r="I205" s="156"/>
      <c r="J205" s="156"/>
      <c r="K205" s="156"/>
      <c r="L205" s="156"/>
      <c r="M205" s="156"/>
      <c r="N205" s="156"/>
      <c r="O205" s="156"/>
    </row>
    <row r="206" spans="1:23" x14ac:dyDescent="0.2"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23" x14ac:dyDescent="0.2"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</sheetData>
  <phoneticPr fontId="10" type="noConversion"/>
  <printOptions horizontalCentered="1"/>
  <pageMargins left="0.25" right="0.25" top="1" bottom="0.32" header="0.5" footer="0.25"/>
  <pageSetup scale="66" fitToWidth="2" fitToHeight="5" pageOrder="overThenDown" orientation="landscape" r:id="rId1"/>
  <headerFooter alignWithMargins="0">
    <oddFooter>&amp;RExhibit JW-6
Page &amp;P of &amp;N</oddFooter>
  </headerFooter>
  <rowBreaks count="2" manualBreakCount="2">
    <brk id="31" max="19" man="1"/>
    <brk id="68" max="19" man="1"/>
  </rowBreaks>
  <colBreaks count="1" manualBreakCount="1">
    <brk id="11" max="218" man="1"/>
  </colBreaks>
  <ignoredErrors>
    <ignoredError sqref="D96:M96 D108:M108 D98:M98 D35:M35 D63:N63 D73:N7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47"/>
  <sheetViews>
    <sheetView view="pageBreakPreview" zoomScale="75" zoomScaleNormal="100" zoomScaleSheetLayoutView="75" workbookViewId="0">
      <pane xSplit="2" ySplit="4" topLeftCell="C5" activePane="bottomRight" state="frozen"/>
      <selection activeCell="K26" sqref="K26"/>
      <selection pane="topRight" activeCell="K26" sqref="K26"/>
      <selection pane="bottomLeft" activeCell="K26" sqref="K26"/>
      <selection pane="bottomRight" activeCell="K23" sqref="K23"/>
    </sheetView>
  </sheetViews>
  <sheetFormatPr defaultColWidth="9.140625" defaultRowHeight="12.75" x14ac:dyDescent="0.2"/>
  <cols>
    <col min="1" max="1" width="7.7109375" style="13" customWidth="1"/>
    <col min="2" max="2" width="28.85546875" style="3" customWidth="1"/>
    <col min="3" max="3" width="13.7109375" style="3" customWidth="1"/>
    <col min="4" max="4" width="13.7109375" style="3" bestFit="1" customWidth="1"/>
    <col min="5" max="5" width="14" style="3" customWidth="1"/>
    <col min="6" max="6" width="14.5703125" style="3" customWidth="1"/>
    <col min="7" max="7" width="13.28515625" style="3" bestFit="1" customWidth="1"/>
    <col min="8" max="10" width="13.7109375" style="3" bestFit="1" customWidth="1"/>
    <col min="11" max="11" width="13.28515625" style="3" bestFit="1" customWidth="1"/>
    <col min="12" max="14" width="12.85546875" style="3" bestFit="1" customWidth="1"/>
    <col min="15" max="15" width="15.140625" style="3" bestFit="1" customWidth="1"/>
    <col min="16" max="16" width="14.42578125" style="3" bestFit="1" customWidth="1"/>
    <col min="17" max="17" width="11.42578125" style="3" bestFit="1" customWidth="1"/>
    <col min="18" max="16384" width="9.140625" style="3"/>
  </cols>
  <sheetData>
    <row r="1" spans="1:18" x14ac:dyDescent="0.2">
      <c r="A1" s="4" t="s">
        <v>1082</v>
      </c>
    </row>
    <row r="2" spans="1:18" x14ac:dyDescent="0.2">
      <c r="A2" s="4" t="s">
        <v>95</v>
      </c>
    </row>
    <row r="4" spans="1:18" x14ac:dyDescent="0.2">
      <c r="A4" s="177" t="s">
        <v>924</v>
      </c>
      <c r="B4" s="37" t="s">
        <v>925</v>
      </c>
      <c r="C4" s="158">
        <v>44927</v>
      </c>
      <c r="D4" s="158">
        <v>44958</v>
      </c>
      <c r="E4" s="158">
        <v>44986</v>
      </c>
      <c r="F4" s="158">
        <v>45017</v>
      </c>
      <c r="G4" s="158">
        <v>45047</v>
      </c>
      <c r="H4" s="158">
        <v>45078</v>
      </c>
      <c r="I4" s="158">
        <v>45108</v>
      </c>
      <c r="J4" s="158">
        <v>45139</v>
      </c>
      <c r="K4" s="158">
        <v>45170</v>
      </c>
      <c r="L4" s="158">
        <v>45200</v>
      </c>
      <c r="M4" s="158">
        <v>45231</v>
      </c>
      <c r="N4" s="158">
        <v>45261</v>
      </c>
      <c r="O4" s="37" t="s">
        <v>831</v>
      </c>
      <c r="P4" s="32"/>
      <c r="R4" s="12"/>
    </row>
    <row r="5" spans="1:18" x14ac:dyDescent="0.2">
      <c r="A5" s="13">
        <v>1</v>
      </c>
      <c r="B5" s="13" t="s">
        <v>831</v>
      </c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32"/>
      <c r="P5" s="32"/>
      <c r="R5" s="12"/>
    </row>
    <row r="6" spans="1:18" x14ac:dyDescent="0.2">
      <c r="A6" s="13">
        <f>A5+1</f>
        <v>2</v>
      </c>
      <c r="B6" s="12" t="s">
        <v>1017</v>
      </c>
      <c r="C6" s="218">
        <v>46353</v>
      </c>
      <c r="D6" s="218">
        <v>53808</v>
      </c>
      <c r="E6" s="218">
        <v>53710</v>
      </c>
      <c r="F6" s="218">
        <v>30887</v>
      </c>
      <c r="G6" s="218">
        <v>30580</v>
      </c>
      <c r="H6" s="218">
        <v>32772</v>
      </c>
      <c r="I6" s="218">
        <v>40591</v>
      </c>
      <c r="J6" s="218">
        <v>39194</v>
      </c>
      <c r="K6" s="218">
        <v>38085</v>
      </c>
      <c r="L6" s="218">
        <v>24797</v>
      </c>
      <c r="M6" s="218">
        <v>54940</v>
      </c>
      <c r="N6" s="218">
        <v>39949</v>
      </c>
      <c r="O6" s="218">
        <f>SUM(C6:N6)</f>
        <v>485666</v>
      </c>
      <c r="P6" s="32"/>
      <c r="R6" s="156"/>
    </row>
    <row r="7" spans="1:18" x14ac:dyDescent="0.2">
      <c r="A7" s="13">
        <f t="shared" ref="A7:A47" si="0">A6+1</f>
        <v>3</v>
      </c>
      <c r="B7" s="12" t="s">
        <v>926</v>
      </c>
      <c r="C7" s="218">
        <v>22143092</v>
      </c>
      <c r="D7" s="218">
        <v>18165185</v>
      </c>
      <c r="E7" s="218">
        <v>18611110</v>
      </c>
      <c r="F7" s="218">
        <v>14042466</v>
      </c>
      <c r="G7" s="218">
        <v>13977447</v>
      </c>
      <c r="H7" s="218">
        <v>14726764</v>
      </c>
      <c r="I7" s="218">
        <v>18786975</v>
      </c>
      <c r="J7" s="218">
        <v>17555314</v>
      </c>
      <c r="K7" s="218">
        <v>14408761</v>
      </c>
      <c r="L7" s="218">
        <v>13930902</v>
      </c>
      <c r="M7" s="218">
        <v>18775325</v>
      </c>
      <c r="N7" s="218">
        <v>22088404</v>
      </c>
      <c r="O7" s="218">
        <f t="shared" ref="O7:O21" si="1">SUM(C7:N7)</f>
        <v>207211745</v>
      </c>
      <c r="P7" s="32"/>
      <c r="R7" s="12"/>
    </row>
    <row r="8" spans="1:18" x14ac:dyDescent="0.2">
      <c r="A8" s="13">
        <f t="shared" si="0"/>
        <v>4</v>
      </c>
      <c r="B8" s="11" t="s">
        <v>1018</v>
      </c>
      <c r="C8" s="218">
        <v>303047</v>
      </c>
      <c r="D8" s="218">
        <v>351653</v>
      </c>
      <c r="E8" s="218">
        <v>351015</v>
      </c>
      <c r="F8" s="218">
        <v>202207</v>
      </c>
      <c r="G8" s="218">
        <v>200552</v>
      </c>
      <c r="H8" s="218">
        <v>214499</v>
      </c>
      <c r="I8" s="218">
        <v>265664</v>
      </c>
      <c r="J8" s="218">
        <v>256511</v>
      </c>
      <c r="K8" s="218">
        <v>249256</v>
      </c>
      <c r="L8" s="218">
        <v>162502</v>
      </c>
      <c r="M8" s="218">
        <v>359034</v>
      </c>
      <c r="N8" s="218">
        <v>261292</v>
      </c>
      <c r="O8" s="218">
        <f t="shared" si="1"/>
        <v>3177232</v>
      </c>
      <c r="P8" s="32"/>
      <c r="R8" s="12"/>
    </row>
    <row r="9" spans="1:18" x14ac:dyDescent="0.2">
      <c r="A9" s="13">
        <f t="shared" si="0"/>
        <v>5</v>
      </c>
      <c r="B9" s="11" t="s">
        <v>1019</v>
      </c>
      <c r="C9" s="218">
        <v>1026356</v>
      </c>
      <c r="D9" s="218">
        <v>841092</v>
      </c>
      <c r="E9" s="218">
        <v>861883</v>
      </c>
      <c r="F9" s="218">
        <v>650247</v>
      </c>
      <c r="G9" s="218">
        <v>660808</v>
      </c>
      <c r="H9" s="218">
        <v>702327</v>
      </c>
      <c r="I9" s="218">
        <v>899683</v>
      </c>
      <c r="J9" s="218">
        <v>838420</v>
      </c>
      <c r="K9" s="218">
        <v>686499</v>
      </c>
      <c r="L9" s="218">
        <v>645653</v>
      </c>
      <c r="M9" s="218">
        <v>869707</v>
      </c>
      <c r="N9" s="218">
        <v>1023588</v>
      </c>
      <c r="O9" s="218">
        <f t="shared" si="1"/>
        <v>9706263</v>
      </c>
      <c r="P9" s="32"/>
      <c r="R9" s="12"/>
    </row>
    <row r="10" spans="1:18" x14ac:dyDescent="0.2">
      <c r="A10" s="13">
        <f t="shared" si="0"/>
        <v>6</v>
      </c>
      <c r="B10" s="11" t="s">
        <v>1020</v>
      </c>
      <c r="C10" s="218">
        <v>1359</v>
      </c>
      <c r="D10" s="218">
        <v>1359</v>
      </c>
      <c r="E10" s="218">
        <v>1359</v>
      </c>
      <c r="F10" s="218">
        <v>1359</v>
      </c>
      <c r="G10" s="218">
        <v>1359</v>
      </c>
      <c r="H10" s="218">
        <v>1359</v>
      </c>
      <c r="I10" s="218">
        <v>1359</v>
      </c>
      <c r="J10" s="218">
        <v>1359</v>
      </c>
      <c r="K10" s="218">
        <v>1359</v>
      </c>
      <c r="L10" s="218">
        <v>1359</v>
      </c>
      <c r="M10" s="218">
        <v>1359</v>
      </c>
      <c r="N10" s="218">
        <v>1359</v>
      </c>
      <c r="O10" s="218">
        <f t="shared" si="1"/>
        <v>16308</v>
      </c>
      <c r="P10" s="32"/>
      <c r="R10" s="12"/>
    </row>
    <row r="11" spans="1:18" x14ac:dyDescent="0.2">
      <c r="A11" s="13">
        <f t="shared" si="0"/>
        <v>7</v>
      </c>
      <c r="B11" s="11" t="s">
        <v>1021</v>
      </c>
      <c r="C11" s="218">
        <v>30530</v>
      </c>
      <c r="D11" s="218">
        <v>30530</v>
      </c>
      <c r="E11" s="218">
        <v>30530</v>
      </c>
      <c r="F11" s="218">
        <v>30530</v>
      </c>
      <c r="G11" s="218">
        <v>30530</v>
      </c>
      <c r="H11" s="218">
        <v>30530</v>
      </c>
      <c r="I11" s="218">
        <v>30530</v>
      </c>
      <c r="J11" s="218">
        <v>30530</v>
      </c>
      <c r="K11" s="218">
        <v>30530</v>
      </c>
      <c r="L11" s="218">
        <v>30530</v>
      </c>
      <c r="M11" s="218">
        <v>30530</v>
      </c>
      <c r="N11" s="218">
        <v>30530</v>
      </c>
      <c r="O11" s="218">
        <f t="shared" si="1"/>
        <v>366360</v>
      </c>
      <c r="P11" s="32"/>
      <c r="R11" s="12"/>
    </row>
    <row r="12" spans="1:18" x14ac:dyDescent="0.2">
      <c r="A12" s="13">
        <f t="shared" si="0"/>
        <v>8</v>
      </c>
      <c r="B12" s="11" t="s">
        <v>1022</v>
      </c>
      <c r="C12" s="218">
        <v>499326</v>
      </c>
      <c r="D12" s="218">
        <v>208537</v>
      </c>
      <c r="E12" s="218">
        <v>166197</v>
      </c>
      <c r="F12" s="218">
        <v>134245</v>
      </c>
      <c r="G12" s="218">
        <v>156408</v>
      </c>
      <c r="H12" s="218">
        <v>67450</v>
      </c>
      <c r="I12" s="218">
        <v>128502</v>
      </c>
      <c r="J12" s="218">
        <v>196093</v>
      </c>
      <c r="K12" s="218">
        <v>149132</v>
      </c>
      <c r="L12" s="218">
        <v>154355</v>
      </c>
      <c r="M12" s="218">
        <v>151328</v>
      </c>
      <c r="N12" s="218">
        <v>139598</v>
      </c>
      <c r="O12" s="218">
        <f t="shared" si="1"/>
        <v>2151171</v>
      </c>
      <c r="P12" s="32"/>
      <c r="R12" s="12"/>
    </row>
    <row r="13" spans="1:18" x14ac:dyDescent="0.2">
      <c r="A13" s="13">
        <f t="shared" si="0"/>
        <v>9</v>
      </c>
      <c r="B13" s="11" t="s">
        <v>1023</v>
      </c>
      <c r="C13" s="218">
        <v>261046</v>
      </c>
      <c r="D13" s="218">
        <v>134717</v>
      </c>
      <c r="E13" s="218">
        <v>168756</v>
      </c>
      <c r="F13" s="218">
        <v>165826</v>
      </c>
      <c r="G13" s="218">
        <v>166161</v>
      </c>
      <c r="H13" s="218">
        <v>190023</v>
      </c>
      <c r="I13" s="218">
        <v>256664</v>
      </c>
      <c r="J13" s="218">
        <v>256514</v>
      </c>
      <c r="K13" s="218">
        <v>169193</v>
      </c>
      <c r="L13" s="218">
        <v>147072</v>
      </c>
      <c r="M13" s="218">
        <v>246668</v>
      </c>
      <c r="N13" s="218">
        <v>261417</v>
      </c>
      <c r="O13" s="218">
        <f t="shared" si="1"/>
        <v>2424057</v>
      </c>
      <c r="P13" s="32"/>
      <c r="R13" s="12"/>
    </row>
    <row r="14" spans="1:18" x14ac:dyDescent="0.2">
      <c r="A14" s="13">
        <f t="shared" si="0"/>
        <v>10</v>
      </c>
      <c r="B14" s="200" t="s">
        <v>1024</v>
      </c>
      <c r="C14" s="219">
        <f>SUM(C8:C13)</f>
        <v>2121664</v>
      </c>
      <c r="D14" s="219">
        <f t="shared" ref="D14:N14" si="2">SUM(D8:D13)</f>
        <v>1567888</v>
      </c>
      <c r="E14" s="219">
        <f t="shared" si="2"/>
        <v>1579740</v>
      </c>
      <c r="F14" s="219">
        <f t="shared" si="2"/>
        <v>1184414</v>
      </c>
      <c r="G14" s="219">
        <f t="shared" si="2"/>
        <v>1215818</v>
      </c>
      <c r="H14" s="219">
        <f t="shared" si="2"/>
        <v>1206188</v>
      </c>
      <c r="I14" s="219">
        <f t="shared" si="2"/>
        <v>1582402</v>
      </c>
      <c r="J14" s="219">
        <f t="shared" si="2"/>
        <v>1579427</v>
      </c>
      <c r="K14" s="219">
        <f t="shared" si="2"/>
        <v>1285969</v>
      </c>
      <c r="L14" s="219">
        <f t="shared" si="2"/>
        <v>1141471</v>
      </c>
      <c r="M14" s="219">
        <f t="shared" si="2"/>
        <v>1658626</v>
      </c>
      <c r="N14" s="219">
        <f t="shared" si="2"/>
        <v>1717784</v>
      </c>
      <c r="O14" s="219">
        <f t="shared" si="1"/>
        <v>17841391</v>
      </c>
      <c r="P14" s="32"/>
      <c r="Q14" s="15"/>
      <c r="R14" s="156"/>
    </row>
    <row r="15" spans="1:18" x14ac:dyDescent="0.2">
      <c r="A15" s="13">
        <f t="shared" si="0"/>
        <v>11</v>
      </c>
      <c r="B15" s="12" t="s">
        <v>1025</v>
      </c>
      <c r="C15" s="218">
        <v>-1219</v>
      </c>
      <c r="D15" s="218">
        <v>-1219</v>
      </c>
      <c r="E15" s="218">
        <v>-1223</v>
      </c>
      <c r="F15" s="218">
        <v>-1223</v>
      </c>
      <c r="G15" s="218">
        <v>-1223</v>
      </c>
      <c r="H15" s="218">
        <v>-1245</v>
      </c>
      <c r="I15" s="218">
        <v>-1250</v>
      </c>
      <c r="J15" s="218">
        <v>0</v>
      </c>
      <c r="K15" s="218">
        <v>0</v>
      </c>
      <c r="L15" s="218">
        <v>-1262</v>
      </c>
      <c r="M15" s="218">
        <v>-1267</v>
      </c>
      <c r="N15" s="218">
        <v>-1262</v>
      </c>
      <c r="O15" s="218">
        <f t="shared" si="1"/>
        <v>-12393</v>
      </c>
      <c r="P15" s="32"/>
      <c r="Q15" s="15"/>
      <c r="R15" s="12"/>
    </row>
    <row r="16" spans="1:18" x14ac:dyDescent="0.2">
      <c r="A16" s="13">
        <f t="shared" si="0"/>
        <v>12</v>
      </c>
      <c r="B16" s="12" t="s">
        <v>1026</v>
      </c>
      <c r="C16" s="218">
        <v>-171</v>
      </c>
      <c r="D16" s="218">
        <v>-115</v>
      </c>
      <c r="E16" s="218">
        <v>-146</v>
      </c>
      <c r="F16" s="218">
        <v>-199</v>
      </c>
      <c r="G16" s="218">
        <v>-194</v>
      </c>
      <c r="H16" s="218">
        <v>-233</v>
      </c>
      <c r="I16" s="218">
        <v>-242</v>
      </c>
      <c r="J16" s="218">
        <v>0</v>
      </c>
      <c r="K16" s="218">
        <v>0</v>
      </c>
      <c r="L16" s="218">
        <v>-187</v>
      </c>
      <c r="M16" s="218">
        <v>-221</v>
      </c>
      <c r="N16" s="218">
        <v>-227</v>
      </c>
      <c r="O16" s="218">
        <f t="shared" si="1"/>
        <v>-1935</v>
      </c>
      <c r="P16" s="32"/>
      <c r="Q16" s="15"/>
      <c r="R16" s="12"/>
    </row>
    <row r="17" spans="1:18" x14ac:dyDescent="0.2">
      <c r="A17" s="13">
        <f t="shared" si="0"/>
        <v>13</v>
      </c>
      <c r="B17" s="12" t="s">
        <v>1027</v>
      </c>
      <c r="C17" s="218">
        <v>-1390</v>
      </c>
      <c r="D17" s="218">
        <v>-1334</v>
      </c>
      <c r="E17" s="218">
        <v>-1369</v>
      </c>
      <c r="F17" s="218">
        <v>-1422</v>
      </c>
      <c r="G17" s="218">
        <v>-1417</v>
      </c>
      <c r="H17" s="218">
        <v>-1478</v>
      </c>
      <c r="I17" s="218">
        <v>-1492</v>
      </c>
      <c r="J17" s="218">
        <v>0</v>
      </c>
      <c r="K17" s="218">
        <v>0</v>
      </c>
      <c r="L17" s="218">
        <v>-1449</v>
      </c>
      <c r="M17" s="218">
        <v>-1488</v>
      </c>
      <c r="N17" s="218">
        <v>-1489</v>
      </c>
      <c r="O17" s="218">
        <f t="shared" si="1"/>
        <v>-14328</v>
      </c>
      <c r="P17" s="32"/>
      <c r="R17" s="12"/>
    </row>
    <row r="18" spans="1:18" x14ac:dyDescent="0.2">
      <c r="A18" s="13">
        <f t="shared" si="0"/>
        <v>14</v>
      </c>
      <c r="B18" s="12" t="s">
        <v>1028</v>
      </c>
      <c r="C18" s="218">
        <v>2200</v>
      </c>
      <c r="D18" s="218">
        <v>2200</v>
      </c>
      <c r="E18" s="218">
        <v>2200</v>
      </c>
      <c r="F18" s="218">
        <v>1800</v>
      </c>
      <c r="G18" s="218">
        <v>1800</v>
      </c>
      <c r="H18" s="218">
        <v>1800</v>
      </c>
      <c r="I18" s="218">
        <v>1800</v>
      </c>
      <c r="J18" s="218">
        <v>1800</v>
      </c>
      <c r="K18" s="218">
        <v>1800</v>
      </c>
      <c r="L18" s="218">
        <v>1800</v>
      </c>
      <c r="M18" s="218">
        <v>1800</v>
      </c>
      <c r="N18" s="218">
        <v>1800</v>
      </c>
      <c r="O18" s="218">
        <f t="shared" si="1"/>
        <v>22800</v>
      </c>
      <c r="P18" s="207"/>
      <c r="R18" s="12"/>
    </row>
    <row r="19" spans="1:18" x14ac:dyDescent="0.2">
      <c r="A19" s="13">
        <f t="shared" si="0"/>
        <v>15</v>
      </c>
      <c r="B19" s="12" t="s">
        <v>1029</v>
      </c>
      <c r="C19" s="218">
        <v>55</v>
      </c>
      <c r="D19" s="218">
        <v>55</v>
      </c>
      <c r="E19" s="218">
        <v>55</v>
      </c>
      <c r="F19" s="218">
        <v>45</v>
      </c>
      <c r="G19" s="218">
        <v>45</v>
      </c>
      <c r="H19" s="218">
        <v>45</v>
      </c>
      <c r="I19" s="218">
        <v>45</v>
      </c>
      <c r="J19" s="218">
        <v>45</v>
      </c>
      <c r="K19" s="218">
        <v>45</v>
      </c>
      <c r="L19" s="218">
        <v>45</v>
      </c>
      <c r="M19" s="218">
        <v>45</v>
      </c>
      <c r="N19" s="218">
        <v>45</v>
      </c>
      <c r="O19" s="218">
        <f t="shared" si="1"/>
        <v>570</v>
      </c>
      <c r="P19" s="32"/>
      <c r="R19" s="12"/>
    </row>
    <row r="20" spans="1:18" x14ac:dyDescent="0.2">
      <c r="A20" s="13">
        <f t="shared" si="0"/>
        <v>16</v>
      </c>
      <c r="B20" s="12" t="s">
        <v>1030</v>
      </c>
      <c r="C20" s="220">
        <v>0</v>
      </c>
      <c r="D20" s="220">
        <v>0</v>
      </c>
      <c r="E20" s="220">
        <v>0</v>
      </c>
      <c r="F20" s="220">
        <v>0</v>
      </c>
      <c r="G20" s="220">
        <v>0</v>
      </c>
      <c r="H20" s="220">
        <v>0</v>
      </c>
      <c r="I20" s="220">
        <v>0</v>
      </c>
      <c r="J20" s="220">
        <v>0</v>
      </c>
      <c r="K20" s="220">
        <v>0</v>
      </c>
      <c r="L20" s="220">
        <v>0</v>
      </c>
      <c r="M20" s="220">
        <v>0</v>
      </c>
      <c r="N20" s="220">
        <v>0</v>
      </c>
      <c r="O20" s="220">
        <f t="shared" si="1"/>
        <v>0</v>
      </c>
      <c r="P20" s="32"/>
      <c r="R20" s="12"/>
    </row>
    <row r="21" spans="1:18" x14ac:dyDescent="0.2">
      <c r="A21" s="13">
        <f t="shared" si="0"/>
        <v>17</v>
      </c>
      <c r="B21" s="201" t="s">
        <v>831</v>
      </c>
      <c r="C21" s="221">
        <f>C14+C17+C19</f>
        <v>2120329</v>
      </c>
      <c r="D21" s="221">
        <f>D14+D17+D19</f>
        <v>1566609</v>
      </c>
      <c r="E21" s="221">
        <f t="shared" ref="E21:N21" si="3">E14+E17+E19</f>
        <v>1578426</v>
      </c>
      <c r="F21" s="221">
        <f t="shared" si="3"/>
        <v>1183037</v>
      </c>
      <c r="G21" s="221">
        <f t="shared" si="3"/>
        <v>1214446</v>
      </c>
      <c r="H21" s="221">
        <f t="shared" si="3"/>
        <v>1204755</v>
      </c>
      <c r="I21" s="221">
        <f t="shared" si="3"/>
        <v>1580955</v>
      </c>
      <c r="J21" s="221">
        <f t="shared" si="3"/>
        <v>1579472</v>
      </c>
      <c r="K21" s="221">
        <f t="shared" si="3"/>
        <v>1286014</v>
      </c>
      <c r="L21" s="221">
        <f t="shared" si="3"/>
        <v>1140067</v>
      </c>
      <c r="M21" s="221">
        <f t="shared" si="3"/>
        <v>1657183</v>
      </c>
      <c r="N21" s="221">
        <f t="shared" si="3"/>
        <v>1716340</v>
      </c>
      <c r="O21" s="221">
        <f t="shared" si="1"/>
        <v>17827633</v>
      </c>
      <c r="P21" s="32"/>
      <c r="Q21" s="15"/>
      <c r="R21" s="156"/>
    </row>
    <row r="22" spans="1:18" x14ac:dyDescent="0.2">
      <c r="A22" s="13">
        <f t="shared" si="0"/>
        <v>18</v>
      </c>
      <c r="B22" s="12"/>
      <c r="C22" s="208"/>
      <c r="D22" s="222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3"/>
      <c r="P22" s="32"/>
      <c r="R22" s="12"/>
    </row>
    <row r="23" spans="1:18" x14ac:dyDescent="0.2">
      <c r="A23" s="13">
        <f t="shared" si="0"/>
        <v>19</v>
      </c>
      <c r="B23" s="13" t="s">
        <v>1083</v>
      </c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3"/>
      <c r="P23" s="32"/>
      <c r="R23" s="12"/>
    </row>
    <row r="24" spans="1:18" x14ac:dyDescent="0.2">
      <c r="A24" s="13">
        <f t="shared" si="0"/>
        <v>20</v>
      </c>
      <c r="B24" s="12" t="s">
        <v>1017</v>
      </c>
      <c r="C24" s="218">
        <v>850</v>
      </c>
      <c r="D24" s="218">
        <v>850</v>
      </c>
      <c r="E24" s="218">
        <v>850</v>
      </c>
      <c r="F24" s="218">
        <v>850</v>
      </c>
      <c r="G24" s="218">
        <v>950</v>
      </c>
      <c r="H24" s="218">
        <v>850</v>
      </c>
      <c r="I24" s="218">
        <v>903</v>
      </c>
      <c r="J24" s="218">
        <v>891</v>
      </c>
      <c r="K24" s="218">
        <v>884</v>
      </c>
      <c r="L24" s="218">
        <v>850</v>
      </c>
      <c r="M24" s="218">
        <v>850</v>
      </c>
      <c r="N24" s="218">
        <v>850</v>
      </c>
      <c r="O24" s="218">
        <f>SUM(C24:N24)</f>
        <v>10428</v>
      </c>
      <c r="P24" s="32"/>
      <c r="R24" s="156"/>
    </row>
    <row r="25" spans="1:18" x14ac:dyDescent="0.2">
      <c r="A25" s="13">
        <f t="shared" si="0"/>
        <v>21</v>
      </c>
      <c r="B25" s="12" t="s">
        <v>926</v>
      </c>
      <c r="C25" s="218">
        <v>545652</v>
      </c>
      <c r="D25" s="218">
        <v>536608</v>
      </c>
      <c r="E25" s="218">
        <v>560473</v>
      </c>
      <c r="F25" s="218">
        <v>544608</v>
      </c>
      <c r="G25" s="218">
        <v>596718</v>
      </c>
      <c r="H25" s="218">
        <v>567485</v>
      </c>
      <c r="I25" s="218">
        <v>614232</v>
      </c>
      <c r="J25" s="218">
        <v>612265</v>
      </c>
      <c r="K25" s="218">
        <v>569454</v>
      </c>
      <c r="L25" s="218">
        <v>534963</v>
      </c>
      <c r="M25" s="218">
        <v>554248</v>
      </c>
      <c r="N25" s="218">
        <v>561973</v>
      </c>
      <c r="O25" s="218">
        <f t="shared" ref="O25:O30" si="4">SUM(C25:N25)</f>
        <v>6798679</v>
      </c>
      <c r="P25" s="32"/>
      <c r="R25" s="12"/>
    </row>
    <row r="26" spans="1:18" x14ac:dyDescent="0.2">
      <c r="A26" s="13">
        <f t="shared" si="0"/>
        <v>22</v>
      </c>
      <c r="B26" s="11" t="s">
        <v>1018</v>
      </c>
      <c r="C26" s="218">
        <v>6367</v>
      </c>
      <c r="D26" s="218">
        <v>6367</v>
      </c>
      <c r="E26" s="218">
        <v>6367</v>
      </c>
      <c r="F26" s="218">
        <v>6367</v>
      </c>
      <c r="G26" s="218">
        <v>7365</v>
      </c>
      <c r="H26" s="218">
        <v>6367</v>
      </c>
      <c r="I26" s="218">
        <v>6896</v>
      </c>
      <c r="J26" s="218">
        <v>6776</v>
      </c>
      <c r="K26" s="218">
        <v>6706</v>
      </c>
      <c r="L26" s="218">
        <v>6367</v>
      </c>
      <c r="M26" s="218">
        <v>6367</v>
      </c>
      <c r="N26" s="218">
        <v>6367</v>
      </c>
      <c r="O26" s="218">
        <f t="shared" si="4"/>
        <v>78679</v>
      </c>
      <c r="P26" s="32"/>
      <c r="R26" s="12"/>
    </row>
    <row r="27" spans="1:18" x14ac:dyDescent="0.2">
      <c r="A27" s="13">
        <f t="shared" si="0"/>
        <v>23</v>
      </c>
      <c r="B27" s="11" t="s">
        <v>1019</v>
      </c>
      <c r="C27" s="218">
        <v>21763</v>
      </c>
      <c r="D27" s="218">
        <v>21402</v>
      </c>
      <c r="E27" s="218">
        <v>22354</v>
      </c>
      <c r="F27" s="218">
        <v>21721</v>
      </c>
      <c r="G27" s="218">
        <v>23800</v>
      </c>
      <c r="H27" s="218">
        <v>22634</v>
      </c>
      <c r="I27" s="218">
        <v>24498</v>
      </c>
      <c r="J27" s="218">
        <v>24420</v>
      </c>
      <c r="K27" s="218">
        <v>22712</v>
      </c>
      <c r="L27" s="218">
        <v>21336</v>
      </c>
      <c r="M27" s="218">
        <v>22106</v>
      </c>
      <c r="N27" s="218">
        <v>22414</v>
      </c>
      <c r="O27" s="218">
        <f t="shared" si="4"/>
        <v>271160</v>
      </c>
      <c r="P27" s="32"/>
      <c r="R27" s="12"/>
    </row>
    <row r="28" spans="1:18" x14ac:dyDescent="0.2">
      <c r="A28" s="13">
        <f t="shared" si="0"/>
        <v>24</v>
      </c>
      <c r="B28" s="11" t="s">
        <v>1022</v>
      </c>
      <c r="C28" s="218">
        <v>12304</v>
      </c>
      <c r="D28" s="218">
        <v>6160</v>
      </c>
      <c r="E28" s="218">
        <v>5005</v>
      </c>
      <c r="F28" s="218">
        <v>5420</v>
      </c>
      <c r="G28" s="218">
        <v>6677</v>
      </c>
      <c r="H28" s="218">
        <v>2599</v>
      </c>
      <c r="I28" s="218">
        <v>4201</v>
      </c>
      <c r="J28" s="218">
        <v>6839</v>
      </c>
      <c r="K28" s="218">
        <v>5894</v>
      </c>
      <c r="L28" s="218">
        <v>5927</v>
      </c>
      <c r="M28" s="218">
        <v>4467</v>
      </c>
      <c r="N28" s="218">
        <v>3552</v>
      </c>
      <c r="O28" s="218">
        <f t="shared" si="4"/>
        <v>69045</v>
      </c>
      <c r="P28" s="32"/>
      <c r="R28" s="12"/>
    </row>
    <row r="29" spans="1:18" x14ac:dyDescent="0.2">
      <c r="A29" s="13">
        <f t="shared" si="0"/>
        <v>25</v>
      </c>
      <c r="B29" s="11" t="s">
        <v>1023</v>
      </c>
      <c r="C29" s="218">
        <v>5673</v>
      </c>
      <c r="D29" s="218">
        <v>3189</v>
      </c>
      <c r="E29" s="218">
        <v>4034</v>
      </c>
      <c r="F29" s="218">
        <v>38714</v>
      </c>
      <c r="G29" s="218">
        <v>5990</v>
      </c>
      <c r="H29" s="218">
        <v>5909</v>
      </c>
      <c r="I29" s="218">
        <v>6891</v>
      </c>
      <c r="J29" s="218">
        <v>7375</v>
      </c>
      <c r="K29" s="218">
        <v>5350</v>
      </c>
      <c r="L29" s="218">
        <v>4974</v>
      </c>
      <c r="M29" s="218">
        <v>5755</v>
      </c>
      <c r="N29" s="218">
        <v>5804</v>
      </c>
      <c r="O29" s="218">
        <f t="shared" si="4"/>
        <v>99658</v>
      </c>
      <c r="P29" s="32"/>
      <c r="R29" s="12"/>
    </row>
    <row r="30" spans="1:18" x14ac:dyDescent="0.2">
      <c r="A30" s="13">
        <f t="shared" si="0"/>
        <v>26</v>
      </c>
      <c r="B30" s="200" t="s">
        <v>1024</v>
      </c>
      <c r="C30" s="219">
        <f t="shared" ref="C30:N30" si="5">SUM(C26:C29)</f>
        <v>46107</v>
      </c>
      <c r="D30" s="219">
        <f t="shared" si="5"/>
        <v>37118</v>
      </c>
      <c r="E30" s="219">
        <f t="shared" si="5"/>
        <v>37760</v>
      </c>
      <c r="F30" s="219">
        <f t="shared" si="5"/>
        <v>72222</v>
      </c>
      <c r="G30" s="219">
        <f t="shared" si="5"/>
        <v>43832</v>
      </c>
      <c r="H30" s="219">
        <f t="shared" si="5"/>
        <v>37509</v>
      </c>
      <c r="I30" s="219">
        <f t="shared" si="5"/>
        <v>42486</v>
      </c>
      <c r="J30" s="219">
        <f t="shared" si="5"/>
        <v>45410</v>
      </c>
      <c r="K30" s="219">
        <f t="shared" si="5"/>
        <v>40662</v>
      </c>
      <c r="L30" s="219">
        <f t="shared" si="5"/>
        <v>38604</v>
      </c>
      <c r="M30" s="219">
        <f t="shared" si="5"/>
        <v>38695</v>
      </c>
      <c r="N30" s="219">
        <f t="shared" si="5"/>
        <v>38137</v>
      </c>
      <c r="O30" s="219">
        <f t="shared" si="4"/>
        <v>518542</v>
      </c>
      <c r="P30" s="32"/>
      <c r="Q30" s="15"/>
      <c r="R30" s="156"/>
    </row>
    <row r="31" spans="1:18" x14ac:dyDescent="0.2">
      <c r="A31" s="13">
        <f t="shared" si="0"/>
        <v>27</v>
      </c>
      <c r="C31" s="222"/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08"/>
    </row>
    <row r="32" spans="1:18" x14ac:dyDescent="0.2">
      <c r="A32" s="13">
        <f t="shared" si="0"/>
        <v>28</v>
      </c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</row>
    <row r="33" spans="1:15" x14ac:dyDescent="0.2">
      <c r="A33" s="13">
        <f t="shared" si="0"/>
        <v>29</v>
      </c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</row>
    <row r="34" spans="1:15" x14ac:dyDescent="0.2">
      <c r="A34" s="13">
        <f t="shared" si="0"/>
        <v>30</v>
      </c>
      <c r="B34" s="3" t="s">
        <v>1113</v>
      </c>
      <c r="C34" s="224">
        <v>0.6</v>
      </c>
      <c r="D34" s="224">
        <v>0.6</v>
      </c>
      <c r="E34" s="224">
        <v>0.6</v>
      </c>
      <c r="F34" s="224">
        <v>0.6</v>
      </c>
      <c r="G34" s="224">
        <v>0.6</v>
      </c>
      <c r="H34" s="224">
        <v>0.6</v>
      </c>
      <c r="I34" s="224">
        <v>0.6</v>
      </c>
      <c r="J34" s="224">
        <v>0.6</v>
      </c>
      <c r="K34" s="224">
        <v>0.6</v>
      </c>
      <c r="L34" s="224">
        <v>0.6</v>
      </c>
      <c r="M34" s="224">
        <v>0.6</v>
      </c>
      <c r="N34" s="224">
        <v>0.6</v>
      </c>
      <c r="O34" s="224">
        <v>0.6</v>
      </c>
    </row>
    <row r="35" spans="1:15" x14ac:dyDescent="0.2">
      <c r="A35" s="13">
        <f t="shared" si="0"/>
        <v>31</v>
      </c>
      <c r="B35" s="3" t="s">
        <v>1114</v>
      </c>
      <c r="C35" s="224">
        <v>0.4</v>
      </c>
      <c r="D35" s="224">
        <v>0.4</v>
      </c>
      <c r="E35" s="224">
        <v>0.4</v>
      </c>
      <c r="F35" s="224">
        <v>0.4</v>
      </c>
      <c r="G35" s="224">
        <v>0.4</v>
      </c>
      <c r="H35" s="224">
        <v>0.4</v>
      </c>
      <c r="I35" s="224">
        <v>0.4</v>
      </c>
      <c r="J35" s="224">
        <v>0.4</v>
      </c>
      <c r="K35" s="224">
        <v>0.4</v>
      </c>
      <c r="L35" s="224">
        <v>0.4</v>
      </c>
      <c r="M35" s="224">
        <v>0.4</v>
      </c>
      <c r="N35" s="224">
        <v>0.4</v>
      </c>
      <c r="O35" s="224">
        <v>0.4</v>
      </c>
    </row>
    <row r="36" spans="1:15" x14ac:dyDescent="0.2">
      <c r="A36" s="13">
        <f t="shared" si="0"/>
        <v>32</v>
      </c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208"/>
    </row>
    <row r="37" spans="1:15" x14ac:dyDescent="0.2">
      <c r="A37" s="13">
        <f t="shared" si="0"/>
        <v>33</v>
      </c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</row>
    <row r="38" spans="1:15" x14ac:dyDescent="0.2">
      <c r="A38" s="13">
        <f t="shared" si="0"/>
        <v>34</v>
      </c>
      <c r="B38" s="3" t="s">
        <v>898</v>
      </c>
      <c r="C38" s="225">
        <f>C8+C10+C11+C34*C13</f>
        <v>491563.6</v>
      </c>
      <c r="D38" s="225">
        <f>D8+D10+D11+D34*D13</f>
        <v>464372.2</v>
      </c>
      <c r="E38" s="225">
        <f t="shared" ref="E38:N38" si="6">E8+E10+E11+E34*E13</f>
        <v>484157.6</v>
      </c>
      <c r="F38" s="225">
        <f t="shared" si="6"/>
        <v>333591.59999999998</v>
      </c>
      <c r="G38" s="225">
        <f t="shared" si="6"/>
        <v>332137.59999999998</v>
      </c>
      <c r="H38" s="225">
        <f t="shared" si="6"/>
        <v>360401.8</v>
      </c>
      <c r="I38" s="225">
        <f t="shared" si="6"/>
        <v>451551.4</v>
      </c>
      <c r="J38" s="225">
        <f t="shared" si="6"/>
        <v>442308.4</v>
      </c>
      <c r="K38" s="225">
        <f t="shared" si="6"/>
        <v>382660.8</v>
      </c>
      <c r="L38" s="225">
        <f t="shared" si="6"/>
        <v>282634.2</v>
      </c>
      <c r="M38" s="225">
        <f t="shared" si="6"/>
        <v>538923.80000000005</v>
      </c>
      <c r="N38" s="225">
        <f t="shared" si="6"/>
        <v>450031.19999999995</v>
      </c>
      <c r="O38" s="225">
        <f t="shared" ref="O38:O40" si="7">SUM(C38:N38)</f>
        <v>5014334.2</v>
      </c>
    </row>
    <row r="39" spans="1:15" x14ac:dyDescent="0.2">
      <c r="A39" s="13">
        <f t="shared" si="0"/>
        <v>35</v>
      </c>
      <c r="B39" s="3" t="s">
        <v>899</v>
      </c>
      <c r="C39" s="225">
        <f t="shared" ref="C39:N39" si="8">C21-C38</f>
        <v>1628765.4</v>
      </c>
      <c r="D39" s="225">
        <f t="shared" si="8"/>
        <v>1102236.8</v>
      </c>
      <c r="E39" s="225">
        <f t="shared" si="8"/>
        <v>1094268.3999999999</v>
      </c>
      <c r="F39" s="225">
        <f t="shared" si="8"/>
        <v>849445.4</v>
      </c>
      <c r="G39" s="225">
        <f t="shared" si="8"/>
        <v>882308.4</v>
      </c>
      <c r="H39" s="225">
        <f t="shared" si="8"/>
        <v>844353.2</v>
      </c>
      <c r="I39" s="225">
        <f t="shared" si="8"/>
        <v>1129403.6000000001</v>
      </c>
      <c r="J39" s="225">
        <f t="shared" si="8"/>
        <v>1137163.6000000001</v>
      </c>
      <c r="K39" s="225">
        <f t="shared" si="8"/>
        <v>903353.2</v>
      </c>
      <c r="L39" s="225">
        <f t="shared" si="8"/>
        <v>857432.8</v>
      </c>
      <c r="M39" s="225">
        <f t="shared" si="8"/>
        <v>1118259.2</v>
      </c>
      <c r="N39" s="225">
        <f t="shared" si="8"/>
        <v>1266308.8</v>
      </c>
      <c r="O39" s="225">
        <f t="shared" si="7"/>
        <v>12813298.800000001</v>
      </c>
    </row>
    <row r="40" spans="1:15" x14ac:dyDescent="0.2">
      <c r="A40" s="13">
        <f t="shared" si="0"/>
        <v>36</v>
      </c>
      <c r="B40" s="3" t="s">
        <v>900</v>
      </c>
      <c r="C40" s="226">
        <f>C38+C39</f>
        <v>2120329</v>
      </c>
      <c r="D40" s="226">
        <f t="shared" ref="D40:N40" si="9">D38+D39</f>
        <v>1566609</v>
      </c>
      <c r="E40" s="226">
        <f t="shared" si="9"/>
        <v>1578426</v>
      </c>
      <c r="F40" s="226">
        <f t="shared" si="9"/>
        <v>1183037</v>
      </c>
      <c r="G40" s="226">
        <f t="shared" si="9"/>
        <v>1214446</v>
      </c>
      <c r="H40" s="226">
        <f t="shared" si="9"/>
        <v>1204755</v>
      </c>
      <c r="I40" s="226">
        <f t="shared" si="9"/>
        <v>1580955</v>
      </c>
      <c r="J40" s="226">
        <f t="shared" si="9"/>
        <v>1579472</v>
      </c>
      <c r="K40" s="226">
        <f t="shared" si="9"/>
        <v>1286014</v>
      </c>
      <c r="L40" s="226">
        <f t="shared" si="9"/>
        <v>1140067</v>
      </c>
      <c r="M40" s="226">
        <f t="shared" si="9"/>
        <v>1657183</v>
      </c>
      <c r="N40" s="226">
        <f t="shared" si="9"/>
        <v>1716340</v>
      </c>
      <c r="O40" s="226">
        <f t="shared" si="7"/>
        <v>17827633</v>
      </c>
    </row>
    <row r="41" spans="1:15" x14ac:dyDescent="0.2">
      <c r="A41" s="13">
        <f t="shared" si="0"/>
        <v>37</v>
      </c>
      <c r="B41" s="3" t="s">
        <v>901</v>
      </c>
      <c r="C41" s="225">
        <f t="shared" ref="C41:O41" si="10">C40-C21</f>
        <v>0</v>
      </c>
      <c r="D41" s="225">
        <f t="shared" si="10"/>
        <v>0</v>
      </c>
      <c r="E41" s="225">
        <f t="shared" si="10"/>
        <v>0</v>
      </c>
      <c r="F41" s="225">
        <f t="shared" si="10"/>
        <v>0</v>
      </c>
      <c r="G41" s="225">
        <f t="shared" si="10"/>
        <v>0</v>
      </c>
      <c r="H41" s="225">
        <f t="shared" si="10"/>
        <v>0</v>
      </c>
      <c r="I41" s="225">
        <f t="shared" si="10"/>
        <v>0</v>
      </c>
      <c r="J41" s="225">
        <f t="shared" si="10"/>
        <v>0</v>
      </c>
      <c r="K41" s="225">
        <f t="shared" si="10"/>
        <v>0</v>
      </c>
      <c r="L41" s="225">
        <f t="shared" si="10"/>
        <v>0</v>
      </c>
      <c r="M41" s="225">
        <f t="shared" si="10"/>
        <v>0</v>
      </c>
      <c r="N41" s="225">
        <f t="shared" si="10"/>
        <v>0</v>
      </c>
      <c r="O41" s="225">
        <f t="shared" si="10"/>
        <v>0</v>
      </c>
    </row>
    <row r="42" spans="1:15" x14ac:dyDescent="0.2">
      <c r="A42" s="13">
        <f t="shared" si="0"/>
        <v>38</v>
      </c>
      <c r="B42" s="3" t="s">
        <v>902</v>
      </c>
      <c r="C42" s="227">
        <f>C38/C40</f>
        <v>0.23183364468438622</v>
      </c>
      <c r="D42" s="227">
        <f t="shared" ref="D42:O42" si="11">D38/D40</f>
        <v>0.29641869796483999</v>
      </c>
      <c r="E42" s="227">
        <f t="shared" si="11"/>
        <v>0.30673443037557668</v>
      </c>
      <c r="F42" s="227">
        <f t="shared" si="11"/>
        <v>0.28197900826432309</v>
      </c>
      <c r="G42" s="227">
        <f t="shared" si="11"/>
        <v>0.2734889818073426</v>
      </c>
      <c r="H42" s="227">
        <f t="shared" si="11"/>
        <v>0.29914945362335077</v>
      </c>
      <c r="I42" s="227">
        <f t="shared" si="11"/>
        <v>0.28561938828113387</v>
      </c>
      <c r="J42" s="227">
        <f t="shared" si="11"/>
        <v>0.28003560683570206</v>
      </c>
      <c r="K42" s="227">
        <f t="shared" si="11"/>
        <v>0.29755570312609347</v>
      </c>
      <c r="L42" s="227">
        <f t="shared" si="11"/>
        <v>0.24791016668318616</v>
      </c>
      <c r="M42" s="227">
        <f t="shared" si="11"/>
        <v>0.32520476012606941</v>
      </c>
      <c r="N42" s="227">
        <f t="shared" si="11"/>
        <v>0.2622039922159945</v>
      </c>
      <c r="O42" s="228">
        <f t="shared" si="11"/>
        <v>0.2812675244099988</v>
      </c>
    </row>
    <row r="43" spans="1:15" x14ac:dyDescent="0.2">
      <c r="A43" s="13">
        <f t="shared" si="0"/>
        <v>39</v>
      </c>
      <c r="B43" s="3" t="s">
        <v>903</v>
      </c>
      <c r="C43" s="227">
        <f>C39/C40</f>
        <v>0.76816635531561372</v>
      </c>
      <c r="D43" s="227">
        <f t="shared" ref="D43:O43" si="12">D39/D40</f>
        <v>0.70358130203516001</v>
      </c>
      <c r="E43" s="227">
        <f t="shared" si="12"/>
        <v>0.69326556962442321</v>
      </c>
      <c r="F43" s="227">
        <f t="shared" si="12"/>
        <v>0.71802099173567691</v>
      </c>
      <c r="G43" s="227">
        <f t="shared" si="12"/>
        <v>0.7265110181926574</v>
      </c>
      <c r="H43" s="227">
        <f t="shared" si="12"/>
        <v>0.70085054637664912</v>
      </c>
      <c r="I43" s="227">
        <f t="shared" si="12"/>
        <v>0.71438061171886613</v>
      </c>
      <c r="J43" s="227">
        <f t="shared" si="12"/>
        <v>0.71996439316429806</v>
      </c>
      <c r="K43" s="227">
        <f t="shared" si="12"/>
        <v>0.70244429687390642</v>
      </c>
      <c r="L43" s="227">
        <f t="shared" si="12"/>
        <v>0.75208983331681389</v>
      </c>
      <c r="M43" s="227">
        <f t="shared" si="12"/>
        <v>0.67479523987393064</v>
      </c>
      <c r="N43" s="227">
        <f t="shared" si="12"/>
        <v>0.73779600778400556</v>
      </c>
      <c r="O43" s="228">
        <f t="shared" si="12"/>
        <v>0.7187324755900012</v>
      </c>
    </row>
    <row r="44" spans="1:15" x14ac:dyDescent="0.2">
      <c r="A44" s="13">
        <f t="shared" si="0"/>
        <v>40</v>
      </c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</row>
    <row r="45" spans="1:15" x14ac:dyDescent="0.2">
      <c r="A45" s="13">
        <f t="shared" si="0"/>
        <v>41</v>
      </c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 t="s">
        <v>0</v>
      </c>
      <c r="O45" s="229">
        <f>O21</f>
        <v>17827633</v>
      </c>
    </row>
    <row r="46" spans="1:15" x14ac:dyDescent="0.2">
      <c r="A46" s="13">
        <f t="shared" si="0"/>
        <v>42</v>
      </c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 t="s">
        <v>914</v>
      </c>
      <c r="O46" s="229">
        <v>17827633</v>
      </c>
    </row>
    <row r="47" spans="1:15" x14ac:dyDescent="0.2">
      <c r="A47" s="13">
        <f t="shared" si="0"/>
        <v>43</v>
      </c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 t="s">
        <v>934</v>
      </c>
      <c r="O47" s="229">
        <f>O46-O45</f>
        <v>0</v>
      </c>
    </row>
  </sheetData>
  <phoneticPr fontId="10" type="noConversion"/>
  <pageMargins left="0.45" right="0.45" top="1.25" bottom="0.75" header="0.55000000000000004" footer="0.3"/>
  <pageSetup scale="61" orientation="landscape" r:id="rId1"/>
  <headerFooter>
    <oddFooter>&amp;RExhibit JW-7
Page &amp;P of &amp;N</oddFooter>
  </headerFooter>
  <ignoredErrors>
    <ignoredError sqref="C30 C14 D14:N14 D30:N30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89"/>
  <sheetViews>
    <sheetView view="pageBreakPreview" zoomScale="75" zoomScaleNormal="100" zoomScaleSheetLayoutView="75" workbookViewId="0">
      <selection activeCell="K23" sqref="K23"/>
    </sheetView>
  </sheetViews>
  <sheetFormatPr defaultColWidth="9.140625" defaultRowHeight="12.75" x14ac:dyDescent="0.2"/>
  <cols>
    <col min="1" max="1" width="5.5703125" style="3" customWidth="1"/>
    <col min="2" max="2" width="30.5703125" style="12" customWidth="1"/>
    <col min="3" max="3" width="10.7109375" style="3" customWidth="1"/>
    <col min="4" max="4" width="13.28515625" style="3" customWidth="1"/>
    <col min="5" max="5" width="12.85546875" style="3" customWidth="1"/>
    <col min="6" max="6" width="14.85546875" style="3" customWidth="1"/>
    <col min="7" max="7" width="12.85546875" style="3" customWidth="1"/>
    <col min="8" max="8" width="12" style="3" bestFit="1" customWidth="1"/>
    <col min="9" max="9" width="9.140625" style="3" customWidth="1"/>
    <col min="10" max="10" width="4" style="3" customWidth="1"/>
    <col min="11" max="11" width="9.140625" style="3" customWidth="1"/>
    <col min="12" max="14" width="9.140625" style="3"/>
    <col min="15" max="15" width="9.140625" style="3" customWidth="1"/>
    <col min="16" max="16384" width="9.140625" style="3"/>
  </cols>
  <sheetData>
    <row r="1" spans="1:8" x14ac:dyDescent="0.2">
      <c r="A1" s="2" t="s">
        <v>1082</v>
      </c>
    </row>
    <row r="2" spans="1:8" x14ac:dyDescent="0.2">
      <c r="A2" s="2" t="s">
        <v>678</v>
      </c>
    </row>
    <row r="4" spans="1:8" ht="62.25" customHeight="1" thickBot="1" x14ac:dyDescent="0.25">
      <c r="A4" s="37" t="s">
        <v>924</v>
      </c>
      <c r="B4" s="63" t="s">
        <v>724</v>
      </c>
      <c r="C4" s="160" t="s">
        <v>841</v>
      </c>
      <c r="D4" s="57" t="s">
        <v>842</v>
      </c>
      <c r="E4" s="57" t="s">
        <v>843</v>
      </c>
      <c r="F4" s="57" t="s">
        <v>834</v>
      </c>
      <c r="G4" s="57" t="s">
        <v>844</v>
      </c>
      <c r="H4" s="58"/>
    </row>
    <row r="5" spans="1:8" x14ac:dyDescent="0.2">
      <c r="A5" s="12"/>
      <c r="B5" s="2"/>
      <c r="C5" s="32"/>
    </row>
    <row r="6" spans="1:8" x14ac:dyDescent="0.2">
      <c r="A6" s="12">
        <v>1</v>
      </c>
      <c r="B6" s="3" t="str">
        <f>'Summary of Returns'!B10</f>
        <v>A1 - Farm &amp; Home</v>
      </c>
      <c r="C6" s="161" t="str">
        <f>'Summary of Returns'!C10</f>
        <v>A1</v>
      </c>
      <c r="D6" s="134">
        <f>'Billing Det'!C8</f>
        <v>11593.583333333334</v>
      </c>
      <c r="E6" s="230">
        <v>317</v>
      </c>
      <c r="F6" s="162">
        <f t="shared" ref="F6:F9" si="0">E6*D6</f>
        <v>3675165.916666667</v>
      </c>
      <c r="G6" s="163">
        <f t="shared" ref="G6:G11" si="1">F6/$F$32</f>
        <v>0.89692034287879407</v>
      </c>
      <c r="H6" s="163"/>
    </row>
    <row r="7" spans="1:8" x14ac:dyDescent="0.2">
      <c r="A7" s="12">
        <v>2</v>
      </c>
      <c r="B7" s="3" t="str">
        <f>'Summary of Returns'!B11</f>
        <v>A2 - Commercial &amp; Small Power</v>
      </c>
      <c r="C7" s="161" t="str">
        <f>'Summary of Returns'!C11</f>
        <v>A2</v>
      </c>
      <c r="D7" s="134">
        <f>'Billing Det'!C9</f>
        <v>873.41666666666663</v>
      </c>
      <c r="E7" s="230">
        <v>317</v>
      </c>
      <c r="F7" s="162">
        <f t="shared" si="0"/>
        <v>276873.08333333331</v>
      </c>
      <c r="G7" s="163">
        <f t="shared" si="1"/>
        <v>6.7570582245298327E-2</v>
      </c>
      <c r="H7" s="163"/>
    </row>
    <row r="8" spans="1:8" x14ac:dyDescent="0.2">
      <c r="A8" s="12">
        <v>3</v>
      </c>
      <c r="B8" s="3" t="str">
        <f>'Summary of Returns'!B12</f>
        <v xml:space="preserve">LP - Large Power </v>
      </c>
      <c r="C8" s="161" t="str">
        <f>'Summary of Returns'!C12</f>
        <v>LP</v>
      </c>
      <c r="D8" s="134">
        <f>'Billing Det'!C10</f>
        <v>160.25</v>
      </c>
      <c r="E8" s="230">
        <f>0.75*1024+0.25*317</f>
        <v>847.25</v>
      </c>
      <c r="F8" s="162">
        <f t="shared" si="0"/>
        <v>135771.8125</v>
      </c>
      <c r="G8" s="163">
        <f t="shared" si="1"/>
        <v>3.3134966796607976E-2</v>
      </c>
      <c r="H8" s="163"/>
    </row>
    <row r="9" spans="1:8" x14ac:dyDescent="0.2">
      <c r="A9" s="12">
        <v>4</v>
      </c>
      <c r="B9" s="3" t="str">
        <f>'Summary of Returns'!B13</f>
        <v>LPR - Large Power</v>
      </c>
      <c r="C9" s="161" t="str">
        <f>'Summary of Returns'!C13</f>
        <v>LPR</v>
      </c>
      <c r="D9" s="134">
        <f>'Billing Det'!C11</f>
        <v>8.5</v>
      </c>
      <c r="E9" s="230">
        <v>1024</v>
      </c>
      <c r="F9" s="162">
        <f t="shared" si="0"/>
        <v>8704</v>
      </c>
      <c r="G9" s="163">
        <f t="shared" si="1"/>
        <v>2.124201965689129E-3</v>
      </c>
      <c r="H9" s="163"/>
    </row>
    <row r="10" spans="1:8" x14ac:dyDescent="0.2">
      <c r="A10" s="12">
        <v>5</v>
      </c>
      <c r="B10" s="3" t="str">
        <f>'Summary of Returns'!B14</f>
        <v>IND 1-B - Industrial</v>
      </c>
      <c r="C10" s="161" t="str">
        <f>'Summary of Returns'!C14</f>
        <v>IND-1B</v>
      </c>
      <c r="D10" s="134">
        <f>'Billing Det'!C12</f>
        <v>1</v>
      </c>
      <c r="E10" s="230">
        <v>1024</v>
      </c>
      <c r="F10" s="162">
        <f>E10*D10</f>
        <v>1024</v>
      </c>
      <c r="G10" s="163">
        <f t="shared" si="1"/>
        <v>2.4990611361048575E-4</v>
      </c>
      <c r="H10" s="163"/>
    </row>
    <row r="11" spans="1:8" x14ac:dyDescent="0.2">
      <c r="A11" s="12">
        <v>6</v>
      </c>
      <c r="B11" s="3" t="str">
        <f>'Summary of Returns'!B15</f>
        <v>Lighting</v>
      </c>
      <c r="C11" s="161" t="str">
        <f>'Summary of Returns'!C15</f>
        <v>YL</v>
      </c>
      <c r="D11" s="134">
        <f>'Billing Det'!C13</f>
        <v>33.583333333333336</v>
      </c>
      <c r="E11" s="230">
        <v>0</v>
      </c>
      <c r="F11" s="162">
        <f>E11*D11</f>
        <v>0</v>
      </c>
      <c r="G11" s="163">
        <f t="shared" si="1"/>
        <v>0</v>
      </c>
      <c r="H11" s="163"/>
    </row>
    <row r="12" spans="1:8" hidden="1" x14ac:dyDescent="0.2">
      <c r="A12" s="12">
        <v>7</v>
      </c>
      <c r="B12" s="3">
        <f>'Summary of Returns'!B16</f>
        <v>0</v>
      </c>
      <c r="C12" s="161">
        <f>'Summary of Returns'!C16</f>
        <v>0</v>
      </c>
      <c r="D12" s="134">
        <f>'Billing Det'!C14</f>
        <v>0</v>
      </c>
      <c r="E12" s="230">
        <f>E11</f>
        <v>0</v>
      </c>
      <c r="F12" s="162">
        <f>E12*D12</f>
        <v>0</v>
      </c>
      <c r="G12" s="163">
        <f t="shared" ref="G12" si="2">F12/$F$32</f>
        <v>0</v>
      </c>
      <c r="H12" s="163"/>
    </row>
    <row r="13" spans="1:8" hidden="1" x14ac:dyDescent="0.2">
      <c r="A13" s="12"/>
      <c r="B13" s="3"/>
      <c r="C13" s="161"/>
      <c r="D13" s="134"/>
      <c r="E13" s="230"/>
      <c r="F13" s="162"/>
      <c r="G13" s="163"/>
      <c r="H13" s="163"/>
    </row>
    <row r="14" spans="1:8" hidden="1" x14ac:dyDescent="0.2">
      <c r="A14" s="12"/>
      <c r="B14" s="3"/>
      <c r="C14" s="12"/>
      <c r="D14" s="134"/>
      <c r="E14" s="230"/>
      <c r="F14" s="162"/>
      <c r="G14" s="163"/>
      <c r="H14" s="163"/>
    </row>
    <row r="15" spans="1:8" hidden="1" x14ac:dyDescent="0.2">
      <c r="A15" s="12"/>
      <c r="B15" s="3"/>
      <c r="C15" s="12"/>
      <c r="D15" s="134"/>
      <c r="E15" s="230"/>
      <c r="F15" s="162"/>
      <c r="G15" s="163"/>
      <c r="H15" s="163"/>
    </row>
    <row r="16" spans="1:8" hidden="1" x14ac:dyDescent="0.2">
      <c r="A16" s="12"/>
      <c r="B16" s="3"/>
      <c r="C16" s="12"/>
      <c r="D16" s="24"/>
      <c r="E16" s="214"/>
      <c r="F16" s="41"/>
      <c r="G16" s="42"/>
      <c r="H16" s="42"/>
    </row>
    <row r="17" spans="1:8" hidden="1" x14ac:dyDescent="0.2">
      <c r="A17" s="12"/>
      <c r="B17" s="3"/>
      <c r="C17" s="12"/>
      <c r="D17" s="24"/>
      <c r="E17" s="231"/>
      <c r="F17" s="41"/>
      <c r="G17" s="42"/>
      <c r="H17" s="42"/>
    </row>
    <row r="18" spans="1:8" hidden="1" x14ac:dyDescent="0.2">
      <c r="A18" s="12"/>
      <c r="B18" s="105"/>
      <c r="C18" s="12"/>
      <c r="D18" s="24"/>
      <c r="E18" s="214"/>
      <c r="F18" s="41"/>
      <c r="G18" s="42"/>
      <c r="H18" s="42"/>
    </row>
    <row r="19" spans="1:8" hidden="1" x14ac:dyDescent="0.2">
      <c r="A19" s="12"/>
      <c r="B19" s="3"/>
      <c r="C19" s="12"/>
      <c r="D19" s="24"/>
      <c r="E19" s="231"/>
      <c r="F19" s="41"/>
      <c r="G19" s="42"/>
      <c r="H19" s="42"/>
    </row>
    <row r="20" spans="1:8" hidden="1" x14ac:dyDescent="0.2">
      <c r="A20" s="12"/>
      <c r="B20" s="3"/>
      <c r="C20" s="12"/>
      <c r="D20" s="24"/>
      <c r="E20" s="214"/>
      <c r="F20" s="41"/>
      <c r="G20" s="42"/>
      <c r="H20" s="42"/>
    </row>
    <row r="21" spans="1:8" hidden="1" x14ac:dyDescent="0.2">
      <c r="A21" s="12"/>
      <c r="B21" s="3"/>
      <c r="C21" s="12"/>
      <c r="D21" s="24"/>
      <c r="E21" s="231"/>
      <c r="F21" s="41"/>
      <c r="G21" s="42"/>
      <c r="H21" s="42"/>
    </row>
    <row r="22" spans="1:8" hidden="1" x14ac:dyDescent="0.2">
      <c r="A22" s="12"/>
      <c r="B22" s="3"/>
      <c r="C22" s="12"/>
      <c r="D22" s="24"/>
      <c r="E22" s="214"/>
      <c r="F22" s="41"/>
      <c r="G22" s="42"/>
      <c r="H22" s="42"/>
    </row>
    <row r="23" spans="1:8" hidden="1" x14ac:dyDescent="0.2">
      <c r="A23" s="12"/>
      <c r="B23" s="3"/>
      <c r="C23" s="12"/>
      <c r="D23" s="24"/>
      <c r="E23" s="231"/>
      <c r="F23" s="41"/>
      <c r="G23" s="42"/>
      <c r="H23" s="42"/>
    </row>
    <row r="24" spans="1:8" hidden="1" x14ac:dyDescent="0.2">
      <c r="A24" s="12"/>
      <c r="B24" s="3"/>
      <c r="C24" s="12"/>
      <c r="D24" s="24"/>
      <c r="E24" s="214"/>
      <c r="F24" s="41"/>
      <c r="G24" s="42"/>
      <c r="H24" s="42"/>
    </row>
    <row r="25" spans="1:8" hidden="1" x14ac:dyDescent="0.2">
      <c r="A25" s="12"/>
      <c r="B25" s="3"/>
      <c r="C25" s="12"/>
      <c r="D25" s="24"/>
      <c r="E25" s="231"/>
      <c r="F25" s="41"/>
      <c r="G25" s="42"/>
      <c r="H25" s="42"/>
    </row>
    <row r="26" spans="1:8" hidden="1" x14ac:dyDescent="0.2">
      <c r="A26" s="12"/>
      <c r="B26" s="3"/>
      <c r="C26" s="12"/>
      <c r="D26" s="24"/>
      <c r="E26" s="214"/>
      <c r="F26" s="41"/>
      <c r="G26" s="42"/>
      <c r="H26" s="42"/>
    </row>
    <row r="27" spans="1:8" hidden="1" x14ac:dyDescent="0.2">
      <c r="A27" s="12"/>
      <c r="B27" s="3"/>
      <c r="C27" s="12"/>
      <c r="D27" s="24"/>
      <c r="E27" s="231"/>
      <c r="F27" s="41"/>
      <c r="G27" s="42"/>
      <c r="H27" s="42"/>
    </row>
    <row r="28" spans="1:8" hidden="1" x14ac:dyDescent="0.2">
      <c r="A28" s="12"/>
      <c r="B28" s="3"/>
      <c r="C28" s="12"/>
      <c r="D28" s="24"/>
      <c r="E28" s="214"/>
      <c r="F28" s="41"/>
      <c r="G28" s="42"/>
      <c r="H28" s="42"/>
    </row>
    <row r="29" spans="1:8" hidden="1" x14ac:dyDescent="0.2">
      <c r="A29" s="12"/>
      <c r="B29" s="3"/>
      <c r="C29" s="12"/>
      <c r="D29" s="24"/>
      <c r="E29" s="231"/>
      <c r="F29" s="41"/>
      <c r="G29" s="42"/>
      <c r="H29" s="42"/>
    </row>
    <row r="30" spans="1:8" hidden="1" x14ac:dyDescent="0.2">
      <c r="A30" s="12"/>
      <c r="B30" s="3"/>
      <c r="C30" s="12"/>
      <c r="D30" s="24"/>
      <c r="E30" s="214"/>
      <c r="F30" s="41"/>
      <c r="G30" s="42"/>
      <c r="H30" s="42"/>
    </row>
    <row r="31" spans="1:8" hidden="1" x14ac:dyDescent="0.2">
      <c r="A31" s="12"/>
      <c r="B31" s="3"/>
      <c r="C31" s="12"/>
      <c r="D31" s="24"/>
      <c r="E31" s="231"/>
      <c r="F31" s="41"/>
      <c r="G31" s="42"/>
      <c r="H31" s="42"/>
    </row>
    <row r="32" spans="1:8" ht="13.5" thickBot="1" x14ac:dyDescent="0.25">
      <c r="A32" s="12">
        <v>7</v>
      </c>
      <c r="B32" s="164" t="s">
        <v>0</v>
      </c>
      <c r="C32" s="165"/>
      <c r="D32" s="166">
        <f>SUM(D6:D31)</f>
        <v>12670.333333333334</v>
      </c>
      <c r="E32" s="232">
        <f>F32/D32</f>
        <v>323.39629153402967</v>
      </c>
      <c r="F32" s="167">
        <f>SUM(F6:F31)</f>
        <v>4097538.8125000005</v>
      </c>
      <c r="G32" s="168">
        <f>SUM(G6:G31)</f>
        <v>1</v>
      </c>
      <c r="H32" s="21"/>
    </row>
    <row r="33" spans="1:16" ht="13.5" thickTop="1" x14ac:dyDescent="0.2">
      <c r="A33" s="12"/>
      <c r="B33" s="3"/>
      <c r="C33" s="169"/>
      <c r="D33" s="24"/>
    </row>
    <row r="34" spans="1:16" x14ac:dyDescent="0.2">
      <c r="B34" s="169"/>
      <c r="C34" s="24"/>
    </row>
    <row r="35" spans="1:16" x14ac:dyDescent="0.2">
      <c r="B35" s="169"/>
      <c r="C35" s="24"/>
    </row>
    <row r="36" spans="1:16" x14ac:dyDescent="0.2">
      <c r="B36" s="170"/>
      <c r="C36" s="171"/>
    </row>
    <row r="37" spans="1:16" s="2" customFormat="1" x14ac:dyDescent="0.2">
      <c r="A37" s="3"/>
      <c r="B37" s="170"/>
      <c r="C37" s="171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1:16" x14ac:dyDescent="0.2">
      <c r="B38" s="170"/>
      <c r="C38" s="171"/>
    </row>
    <row r="39" spans="1:16" x14ac:dyDescent="0.2">
      <c r="B39" s="169"/>
      <c r="C39" s="24"/>
    </row>
    <row r="40" spans="1:16" x14ac:dyDescent="0.2">
      <c r="B40" s="169"/>
      <c r="C40" s="24"/>
    </row>
    <row r="41" spans="1:16" x14ac:dyDescent="0.2">
      <c r="B41" s="169"/>
      <c r="C41" s="24"/>
    </row>
    <row r="42" spans="1:16" x14ac:dyDescent="0.2">
      <c r="B42" s="169"/>
      <c r="C42" s="24"/>
    </row>
    <row r="43" spans="1:16" x14ac:dyDescent="0.2">
      <c r="B43" s="169"/>
      <c r="C43" s="24"/>
    </row>
    <row r="44" spans="1:16" x14ac:dyDescent="0.2">
      <c r="B44" s="169"/>
      <c r="C44" s="24"/>
    </row>
    <row r="45" spans="1:16" x14ac:dyDescent="0.2">
      <c r="B45" s="169"/>
      <c r="C45" s="24"/>
    </row>
    <row r="46" spans="1:16" x14ac:dyDescent="0.2">
      <c r="B46" s="169"/>
      <c r="C46" s="24"/>
    </row>
    <row r="47" spans="1:16" x14ac:dyDescent="0.2">
      <c r="B47" s="169"/>
      <c r="C47" s="24"/>
    </row>
    <row r="48" spans="1:16" x14ac:dyDescent="0.2">
      <c r="B48" s="169"/>
      <c r="C48" s="24"/>
    </row>
    <row r="49" spans="2:3" x14ac:dyDescent="0.2">
      <c r="B49" s="169"/>
      <c r="C49" s="24"/>
    </row>
    <row r="50" spans="2:3" x14ac:dyDescent="0.2">
      <c r="B50" s="169"/>
      <c r="C50" s="24"/>
    </row>
    <row r="51" spans="2:3" x14ac:dyDescent="0.2">
      <c r="B51" s="169"/>
      <c r="C51" s="24"/>
    </row>
    <row r="52" spans="2:3" x14ac:dyDescent="0.2">
      <c r="B52" s="169"/>
      <c r="C52" s="24"/>
    </row>
    <row r="53" spans="2:3" x14ac:dyDescent="0.2">
      <c r="B53" s="169"/>
      <c r="C53" s="24"/>
    </row>
    <row r="54" spans="2:3" x14ac:dyDescent="0.2">
      <c r="B54" s="169"/>
      <c r="C54" s="24"/>
    </row>
    <row r="55" spans="2:3" x14ac:dyDescent="0.2">
      <c r="B55" s="169"/>
      <c r="C55" s="24"/>
    </row>
    <row r="56" spans="2:3" x14ac:dyDescent="0.2">
      <c r="B56" s="169"/>
      <c r="C56" s="24"/>
    </row>
    <row r="57" spans="2:3" x14ac:dyDescent="0.2">
      <c r="B57" s="169"/>
      <c r="C57" s="24"/>
    </row>
    <row r="58" spans="2:3" x14ac:dyDescent="0.2">
      <c r="B58" s="169"/>
      <c r="C58" s="24"/>
    </row>
    <row r="59" spans="2:3" x14ac:dyDescent="0.2">
      <c r="B59" s="169"/>
      <c r="C59" s="24"/>
    </row>
    <row r="60" spans="2:3" x14ac:dyDescent="0.2">
      <c r="B60" s="169"/>
      <c r="C60" s="24"/>
    </row>
    <row r="61" spans="2:3" x14ac:dyDescent="0.2">
      <c r="B61" s="169"/>
      <c r="C61" s="24"/>
    </row>
    <row r="62" spans="2:3" x14ac:dyDescent="0.2">
      <c r="B62" s="169"/>
      <c r="C62" s="24"/>
    </row>
    <row r="63" spans="2:3" x14ac:dyDescent="0.2">
      <c r="B63" s="169"/>
      <c r="C63" s="24"/>
    </row>
    <row r="64" spans="2:3" x14ac:dyDescent="0.2">
      <c r="B64" s="169"/>
      <c r="C64" s="24"/>
    </row>
    <row r="65" spans="2:3" x14ac:dyDescent="0.2">
      <c r="B65" s="169"/>
      <c r="C65" s="24"/>
    </row>
    <row r="66" spans="2:3" x14ac:dyDescent="0.2">
      <c r="B66" s="169"/>
      <c r="C66" s="24"/>
    </row>
    <row r="67" spans="2:3" x14ac:dyDescent="0.2">
      <c r="B67" s="169"/>
      <c r="C67" s="24"/>
    </row>
    <row r="68" spans="2:3" x14ac:dyDescent="0.2">
      <c r="B68" s="169"/>
      <c r="C68" s="24"/>
    </row>
    <row r="69" spans="2:3" x14ac:dyDescent="0.2">
      <c r="B69" s="169"/>
      <c r="C69" s="24"/>
    </row>
    <row r="70" spans="2:3" x14ac:dyDescent="0.2">
      <c r="B70" s="169"/>
      <c r="C70" s="24"/>
    </row>
    <row r="71" spans="2:3" x14ac:dyDescent="0.2">
      <c r="B71" s="169"/>
      <c r="C71" s="24"/>
    </row>
    <row r="72" spans="2:3" x14ac:dyDescent="0.2">
      <c r="B72" s="169"/>
      <c r="C72" s="24"/>
    </row>
    <row r="73" spans="2:3" x14ac:dyDescent="0.2">
      <c r="B73" s="169"/>
      <c r="C73" s="24"/>
    </row>
    <row r="74" spans="2:3" x14ac:dyDescent="0.2">
      <c r="B74" s="169"/>
      <c r="C74" s="24"/>
    </row>
    <row r="75" spans="2:3" x14ac:dyDescent="0.2">
      <c r="B75" s="169"/>
      <c r="C75" s="24"/>
    </row>
    <row r="76" spans="2:3" x14ac:dyDescent="0.2">
      <c r="B76" s="169"/>
      <c r="C76" s="24"/>
    </row>
    <row r="77" spans="2:3" x14ac:dyDescent="0.2">
      <c r="B77" s="169"/>
      <c r="C77" s="24"/>
    </row>
    <row r="78" spans="2:3" x14ac:dyDescent="0.2">
      <c r="B78" s="169"/>
      <c r="C78" s="24"/>
    </row>
    <row r="79" spans="2:3" x14ac:dyDescent="0.2">
      <c r="B79" s="169"/>
      <c r="C79" s="24"/>
    </row>
    <row r="80" spans="2:3" x14ac:dyDescent="0.2">
      <c r="B80" s="169"/>
      <c r="C80" s="24"/>
    </row>
    <row r="81" spans="2:3" x14ac:dyDescent="0.2">
      <c r="B81" s="169"/>
      <c r="C81" s="24"/>
    </row>
    <row r="82" spans="2:3" x14ac:dyDescent="0.2">
      <c r="B82" s="169"/>
      <c r="C82" s="24"/>
    </row>
    <row r="83" spans="2:3" x14ac:dyDescent="0.2">
      <c r="B83" s="169"/>
      <c r="C83" s="24"/>
    </row>
    <row r="84" spans="2:3" x14ac:dyDescent="0.2">
      <c r="B84" s="169"/>
      <c r="C84" s="24"/>
    </row>
    <row r="85" spans="2:3" x14ac:dyDescent="0.2">
      <c r="B85" s="169"/>
      <c r="C85" s="24"/>
    </row>
    <row r="86" spans="2:3" x14ac:dyDescent="0.2">
      <c r="B86" s="169"/>
      <c r="C86" s="24"/>
    </row>
    <row r="87" spans="2:3" x14ac:dyDescent="0.2">
      <c r="B87" s="172"/>
    </row>
    <row r="88" spans="2:3" x14ac:dyDescent="0.2">
      <c r="B88" s="172"/>
    </row>
    <row r="89" spans="2:3" x14ac:dyDescent="0.2">
      <c r="B89" s="172"/>
    </row>
  </sheetData>
  <phoneticPr fontId="0" type="noConversion"/>
  <pageMargins left="0.75" right="0.75" top="1" bottom="1" header="0.5" footer="0.5"/>
  <pageSetup orientation="landscape" r:id="rId1"/>
  <headerFooter alignWithMargins="0">
    <oddFooter>&amp;RExhibit JW-7
Page &amp;P of &amp;N</oddFooter>
  </headerFooter>
  <ignoredErrors>
    <ignoredError sqref="E32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2"/>
  <sheetViews>
    <sheetView view="pageBreakPreview" zoomScale="75" zoomScaleNormal="100" zoomScaleSheetLayoutView="75" workbookViewId="0">
      <selection activeCell="K23" sqref="K23"/>
    </sheetView>
  </sheetViews>
  <sheetFormatPr defaultColWidth="9.140625" defaultRowHeight="12.75" x14ac:dyDescent="0.2"/>
  <cols>
    <col min="1" max="1" width="6.7109375" style="3" customWidth="1"/>
    <col min="2" max="2" width="30.85546875" style="12" customWidth="1"/>
    <col min="3" max="3" width="8.42578125" style="11" customWidth="1"/>
    <col min="4" max="4" width="13.28515625" style="11" customWidth="1"/>
    <col min="5" max="5" width="12.85546875" style="11" customWidth="1"/>
    <col min="6" max="6" width="15.42578125" style="11" customWidth="1"/>
    <col min="7" max="7" width="11.85546875" style="3" customWidth="1"/>
    <col min="8" max="8" width="15.42578125" style="3" customWidth="1"/>
    <col min="9" max="9" width="15" style="3" customWidth="1"/>
    <col min="10" max="16384" width="9.140625" style="3"/>
  </cols>
  <sheetData>
    <row r="1" spans="1:7" x14ac:dyDescent="0.2">
      <c r="A1" s="2" t="s">
        <v>1082</v>
      </c>
    </row>
    <row r="2" spans="1:7" x14ac:dyDescent="0.2">
      <c r="A2" s="2" t="s">
        <v>698</v>
      </c>
    </row>
    <row r="4" spans="1:7" ht="45.75" customHeight="1" thickBot="1" x14ac:dyDescent="0.25">
      <c r="A4" s="37" t="s">
        <v>924</v>
      </c>
      <c r="B4" s="63" t="s">
        <v>724</v>
      </c>
      <c r="C4" s="160" t="s">
        <v>731</v>
      </c>
      <c r="D4" s="57" t="s">
        <v>846</v>
      </c>
      <c r="E4" s="57" t="s">
        <v>845</v>
      </c>
      <c r="F4" s="57" t="s">
        <v>833</v>
      </c>
      <c r="G4" s="57" t="s">
        <v>725</v>
      </c>
    </row>
    <row r="5" spans="1:7" x14ac:dyDescent="0.2">
      <c r="A5" s="12"/>
      <c r="B5" s="2"/>
      <c r="C5" s="32"/>
      <c r="G5" s="11"/>
    </row>
    <row r="6" spans="1:7" x14ac:dyDescent="0.2">
      <c r="A6" s="12">
        <v>1</v>
      </c>
      <c r="B6" s="3" t="str">
        <f>'Summary of Returns'!B10</f>
        <v>A1 - Farm &amp; Home</v>
      </c>
      <c r="C6" s="161" t="str">
        <f>'Summary of Returns'!C10</f>
        <v>A1</v>
      </c>
      <c r="D6" s="134">
        <f>'Billing Det'!C8</f>
        <v>11593.583333333334</v>
      </c>
      <c r="E6" s="230">
        <v>3200</v>
      </c>
      <c r="F6" s="162">
        <f t="shared" ref="F6:F11" si="0">E6*D6</f>
        <v>37099466.666666672</v>
      </c>
      <c r="G6" s="163">
        <f t="shared" ref="G6:G11" si="1">F6/$F$33</f>
        <v>0.88952938056279551</v>
      </c>
    </row>
    <row r="7" spans="1:7" x14ac:dyDescent="0.2">
      <c r="A7" s="12">
        <v>2</v>
      </c>
      <c r="B7" s="3" t="str">
        <f>'Summary of Returns'!B11</f>
        <v>A2 - Commercial &amp; Small Power</v>
      </c>
      <c r="C7" s="161" t="str">
        <f>'Summary of Returns'!C11</f>
        <v>A2</v>
      </c>
      <c r="D7" s="134">
        <f>'Billing Det'!C9</f>
        <v>873.41666666666663</v>
      </c>
      <c r="E7" s="230">
        <v>3200</v>
      </c>
      <c r="F7" s="162">
        <f t="shared" si="0"/>
        <v>2794933.333333333</v>
      </c>
      <c r="G7" s="163">
        <f t="shared" si="1"/>
        <v>6.7013775131923956E-2</v>
      </c>
    </row>
    <row r="8" spans="1:7" x14ac:dyDescent="0.2">
      <c r="A8" s="12">
        <v>3</v>
      </c>
      <c r="B8" s="3" t="str">
        <f>'Summary of Returns'!B12</f>
        <v xml:space="preserve">LP - Large Power </v>
      </c>
      <c r="C8" s="161" t="str">
        <f>'Summary of Returns'!C12</f>
        <v>LP</v>
      </c>
      <c r="D8" s="134">
        <f>'Billing Det'!C10</f>
        <v>160.25</v>
      </c>
      <c r="E8" s="230">
        <v>7200</v>
      </c>
      <c r="F8" s="162">
        <f t="shared" si="0"/>
        <v>1153800</v>
      </c>
      <c r="G8" s="163">
        <f t="shared" si="1"/>
        <v>2.766452166320504E-2</v>
      </c>
    </row>
    <row r="9" spans="1:7" x14ac:dyDescent="0.2">
      <c r="A9" s="12">
        <v>4</v>
      </c>
      <c r="B9" s="3" t="str">
        <f>'Summary of Returns'!B13</f>
        <v>LPR - Large Power</v>
      </c>
      <c r="C9" s="161" t="str">
        <f>'Summary of Returns'!C13</f>
        <v>LPR</v>
      </c>
      <c r="D9" s="134">
        <f>'Billing Det'!C11</f>
        <v>8.5</v>
      </c>
      <c r="E9" s="230">
        <v>77488</v>
      </c>
      <c r="F9" s="162">
        <f t="shared" si="0"/>
        <v>658648</v>
      </c>
      <c r="G9" s="163">
        <f t="shared" si="1"/>
        <v>1.5792322642075467E-2</v>
      </c>
    </row>
    <row r="10" spans="1:7" x14ac:dyDescent="0.2">
      <c r="A10" s="12">
        <v>5</v>
      </c>
      <c r="B10" s="3" t="str">
        <f>'Summary of Returns'!B14</f>
        <v>IND 1-B - Industrial</v>
      </c>
      <c r="C10" s="161" t="str">
        <f>'Summary of Returns'!C14</f>
        <v>IND-1B</v>
      </c>
      <c r="D10" s="134">
        <f>'Billing Det'!C12</f>
        <v>1</v>
      </c>
      <c r="E10" s="230">
        <v>0</v>
      </c>
      <c r="F10" s="162">
        <f t="shared" si="0"/>
        <v>0</v>
      </c>
      <c r="G10" s="163">
        <f t="shared" si="1"/>
        <v>0</v>
      </c>
    </row>
    <row r="11" spans="1:7" x14ac:dyDescent="0.2">
      <c r="A11" s="12">
        <v>6</v>
      </c>
      <c r="B11" s="3" t="str">
        <f>'Summary of Returns'!B15</f>
        <v>Lighting</v>
      </c>
      <c r="C11" s="161" t="str">
        <f>'Summary of Returns'!C15</f>
        <v>YL</v>
      </c>
      <c r="D11" s="134">
        <f>'Billing Det'!C13</f>
        <v>33.583333333333336</v>
      </c>
      <c r="E11" s="230">
        <v>0</v>
      </c>
      <c r="F11" s="162">
        <f t="shared" si="0"/>
        <v>0</v>
      </c>
      <c r="G11" s="163">
        <f t="shared" si="1"/>
        <v>0</v>
      </c>
    </row>
    <row r="12" spans="1:7" hidden="1" x14ac:dyDescent="0.2">
      <c r="A12" s="12">
        <v>7</v>
      </c>
      <c r="B12" s="3">
        <f>'Summary of Returns'!B16</f>
        <v>0</v>
      </c>
      <c r="C12" s="161">
        <f>'Summary of Returns'!C16</f>
        <v>0</v>
      </c>
      <c r="D12" s="134">
        <f>'Billing Det'!C14</f>
        <v>0</v>
      </c>
      <c r="E12" s="230">
        <f>E11</f>
        <v>0</v>
      </c>
      <c r="F12" s="162">
        <f t="shared" ref="F12" si="2">E12*D12</f>
        <v>0</v>
      </c>
      <c r="G12" s="163">
        <f t="shared" ref="G12" si="3">F12/$F$33</f>
        <v>0</v>
      </c>
    </row>
    <row r="13" spans="1:7" hidden="1" x14ac:dyDescent="0.2">
      <c r="A13" s="12"/>
      <c r="B13" s="3"/>
      <c r="C13" s="161"/>
      <c r="D13" s="134"/>
      <c r="E13" s="230"/>
      <c r="F13" s="162"/>
      <c r="G13" s="163"/>
    </row>
    <row r="14" spans="1:7" hidden="1" x14ac:dyDescent="0.2">
      <c r="A14" s="12"/>
      <c r="B14" s="3"/>
      <c r="C14" s="161"/>
      <c r="D14" s="134"/>
      <c r="E14" s="230"/>
      <c r="F14" s="162"/>
      <c r="G14" s="163"/>
    </row>
    <row r="15" spans="1:7" hidden="1" x14ac:dyDescent="0.2">
      <c r="A15" s="12"/>
      <c r="B15" s="3"/>
      <c r="C15" s="161"/>
      <c r="D15" s="134"/>
      <c r="E15" s="230"/>
      <c r="F15" s="162"/>
      <c r="G15" s="163"/>
    </row>
    <row r="16" spans="1:7" hidden="1" x14ac:dyDescent="0.2">
      <c r="A16" s="12"/>
      <c r="B16" s="3"/>
      <c r="C16" s="12"/>
      <c r="D16" s="134"/>
      <c r="E16" s="230"/>
      <c r="F16" s="162"/>
      <c r="G16" s="163"/>
    </row>
    <row r="17" spans="1:7" hidden="1" x14ac:dyDescent="0.2">
      <c r="A17" s="12"/>
      <c r="B17" s="3"/>
      <c r="C17" s="12"/>
      <c r="D17" s="134"/>
      <c r="E17" s="230"/>
      <c r="F17" s="162"/>
      <c r="G17" s="163"/>
    </row>
    <row r="18" spans="1:7" hidden="1" x14ac:dyDescent="0.2">
      <c r="A18" s="12"/>
      <c r="B18" s="105"/>
      <c r="C18" s="12"/>
      <c r="D18" s="134"/>
      <c r="E18" s="230"/>
      <c r="F18" s="162"/>
      <c r="G18" s="163"/>
    </row>
    <row r="19" spans="1:7" hidden="1" x14ac:dyDescent="0.2">
      <c r="A19" s="12"/>
      <c r="B19" s="3"/>
      <c r="C19" s="12"/>
      <c r="D19" s="134"/>
      <c r="E19" s="230"/>
      <c r="F19" s="162"/>
      <c r="G19" s="163"/>
    </row>
    <row r="20" spans="1:7" hidden="1" x14ac:dyDescent="0.2">
      <c r="A20" s="12"/>
      <c r="B20" s="3"/>
      <c r="C20" s="12"/>
      <c r="D20" s="134"/>
      <c r="E20" s="230"/>
      <c r="F20" s="162"/>
      <c r="G20" s="163"/>
    </row>
    <row r="21" spans="1:7" hidden="1" x14ac:dyDescent="0.2">
      <c r="A21" s="12"/>
      <c r="B21" s="3"/>
      <c r="C21" s="12"/>
      <c r="D21" s="134"/>
      <c r="E21" s="230"/>
      <c r="F21" s="162"/>
      <c r="G21" s="163"/>
    </row>
    <row r="22" spans="1:7" hidden="1" x14ac:dyDescent="0.2">
      <c r="A22" s="12"/>
      <c r="B22" s="3"/>
      <c r="C22" s="12"/>
      <c r="D22" s="134"/>
      <c r="E22" s="230"/>
      <c r="F22" s="162"/>
      <c r="G22" s="163"/>
    </row>
    <row r="23" spans="1:7" hidden="1" x14ac:dyDescent="0.2">
      <c r="A23" s="12"/>
      <c r="B23" s="3"/>
      <c r="C23" s="12"/>
      <c r="D23" s="134"/>
      <c r="E23" s="230"/>
      <c r="F23" s="162"/>
      <c r="G23" s="163"/>
    </row>
    <row r="24" spans="1:7" hidden="1" x14ac:dyDescent="0.2">
      <c r="A24" s="12"/>
      <c r="B24" s="3"/>
      <c r="C24" s="12"/>
      <c r="D24" s="134"/>
      <c r="E24" s="230"/>
      <c r="F24" s="162"/>
      <c r="G24" s="163"/>
    </row>
    <row r="25" spans="1:7" hidden="1" x14ac:dyDescent="0.2">
      <c r="A25" s="12"/>
      <c r="B25" s="3"/>
      <c r="C25" s="12"/>
      <c r="D25" s="134"/>
      <c r="E25" s="230"/>
      <c r="F25" s="162"/>
      <c r="G25" s="163"/>
    </row>
    <row r="26" spans="1:7" hidden="1" x14ac:dyDescent="0.2">
      <c r="A26" s="12"/>
      <c r="B26" s="3"/>
      <c r="C26" s="12"/>
      <c r="D26" s="134"/>
      <c r="E26" s="230"/>
      <c r="F26" s="162"/>
      <c r="G26" s="163"/>
    </row>
    <row r="27" spans="1:7" hidden="1" x14ac:dyDescent="0.2">
      <c r="A27" s="12"/>
      <c r="B27" s="3"/>
      <c r="C27" s="12"/>
      <c r="D27" s="134"/>
      <c r="E27" s="230"/>
      <c r="F27" s="162"/>
      <c r="G27" s="163"/>
    </row>
    <row r="28" spans="1:7" hidden="1" x14ac:dyDescent="0.2">
      <c r="A28" s="12"/>
      <c r="B28" s="3"/>
      <c r="C28" s="12"/>
      <c r="D28" s="134"/>
      <c r="E28" s="230"/>
      <c r="F28" s="162"/>
      <c r="G28" s="163"/>
    </row>
    <row r="29" spans="1:7" hidden="1" x14ac:dyDescent="0.2">
      <c r="A29" s="12"/>
      <c r="B29" s="3"/>
      <c r="C29" s="12"/>
      <c r="D29" s="134"/>
      <c r="E29" s="230"/>
      <c r="F29" s="162"/>
      <c r="G29" s="163"/>
    </row>
    <row r="30" spans="1:7" hidden="1" x14ac:dyDescent="0.2">
      <c r="A30" s="12"/>
      <c r="B30" s="3"/>
      <c r="C30" s="12"/>
      <c r="D30" s="134"/>
      <c r="E30" s="230"/>
      <c r="F30" s="162"/>
      <c r="G30" s="163"/>
    </row>
    <row r="31" spans="1:7" hidden="1" x14ac:dyDescent="0.2">
      <c r="A31" s="12"/>
      <c r="B31" s="3"/>
      <c r="C31" s="12"/>
      <c r="D31" s="134"/>
      <c r="E31" s="230"/>
      <c r="F31" s="162"/>
      <c r="G31" s="163"/>
    </row>
    <row r="32" spans="1:7" hidden="1" x14ac:dyDescent="0.2">
      <c r="A32" s="12"/>
      <c r="B32" s="3"/>
      <c r="C32" s="12"/>
      <c r="D32" s="134"/>
      <c r="E32" s="230"/>
      <c r="F32" s="162"/>
      <c r="G32" s="131"/>
    </row>
    <row r="33" spans="1:7" ht="13.5" thickBot="1" x14ac:dyDescent="0.25">
      <c r="A33" s="12">
        <v>7</v>
      </c>
      <c r="B33" s="164" t="s">
        <v>0</v>
      </c>
      <c r="C33" s="165"/>
      <c r="D33" s="173">
        <f>SUM(D6:D32)</f>
        <v>12670.333333333334</v>
      </c>
      <c r="E33" s="233">
        <f>F33/D33</f>
        <v>3291.6930362263561</v>
      </c>
      <c r="F33" s="174">
        <f>SUM(F6:F32)</f>
        <v>41706848.000000007</v>
      </c>
      <c r="G33" s="175">
        <f>SUM(G6:G32)</f>
        <v>0.99999999999999989</v>
      </c>
    </row>
    <row r="34" spans="1:7" ht="13.5" thickTop="1" x14ac:dyDescent="0.2">
      <c r="B34" s="170"/>
      <c r="C34" s="176"/>
    </row>
    <row r="35" spans="1:7" x14ac:dyDescent="0.2">
      <c r="B35" s="170"/>
      <c r="C35" s="176"/>
    </row>
    <row r="36" spans="1:7" x14ac:dyDescent="0.2">
      <c r="B36" s="170"/>
      <c r="C36" s="176"/>
    </row>
    <row r="37" spans="1:7" x14ac:dyDescent="0.2">
      <c r="B37" s="170"/>
      <c r="C37" s="176"/>
    </row>
    <row r="38" spans="1:7" x14ac:dyDescent="0.2">
      <c r="B38" s="170"/>
      <c r="C38" s="176"/>
    </row>
    <row r="39" spans="1:7" x14ac:dyDescent="0.2">
      <c r="B39" s="170"/>
      <c r="C39" s="176"/>
    </row>
    <row r="40" spans="1:7" x14ac:dyDescent="0.2">
      <c r="B40" s="170"/>
      <c r="C40" s="176"/>
    </row>
    <row r="41" spans="1:7" x14ac:dyDescent="0.2">
      <c r="B41" s="170"/>
      <c r="C41" s="176"/>
    </row>
    <row r="42" spans="1:7" x14ac:dyDescent="0.2">
      <c r="B42" s="170"/>
      <c r="C42" s="176"/>
    </row>
    <row r="43" spans="1:7" x14ac:dyDescent="0.2">
      <c r="B43" s="170"/>
      <c r="C43" s="176"/>
    </row>
    <row r="44" spans="1:7" x14ac:dyDescent="0.2">
      <c r="B44" s="170"/>
      <c r="C44" s="176"/>
    </row>
    <row r="45" spans="1:7" x14ac:dyDescent="0.2">
      <c r="B45" s="170"/>
      <c r="C45" s="176"/>
    </row>
    <row r="46" spans="1:7" x14ac:dyDescent="0.2">
      <c r="B46" s="170"/>
      <c r="C46" s="176"/>
    </row>
    <row r="47" spans="1:7" x14ac:dyDescent="0.2">
      <c r="B47" s="170"/>
      <c r="C47" s="176"/>
    </row>
    <row r="48" spans="1:7" x14ac:dyDescent="0.2">
      <c r="B48" s="170"/>
      <c r="C48" s="176"/>
    </row>
    <row r="49" spans="2:3" x14ac:dyDescent="0.2">
      <c r="B49" s="170"/>
      <c r="C49" s="176"/>
    </row>
    <row r="50" spans="2:3" x14ac:dyDescent="0.2">
      <c r="B50" s="170"/>
      <c r="C50" s="176"/>
    </row>
    <row r="51" spans="2:3" x14ac:dyDescent="0.2">
      <c r="B51" s="170"/>
      <c r="C51" s="176"/>
    </row>
    <row r="52" spans="2:3" x14ac:dyDescent="0.2">
      <c r="B52" s="170"/>
      <c r="C52" s="176"/>
    </row>
    <row r="53" spans="2:3" x14ac:dyDescent="0.2">
      <c r="B53" s="170"/>
      <c r="C53" s="176"/>
    </row>
    <row r="54" spans="2:3" x14ac:dyDescent="0.2">
      <c r="B54" s="170"/>
      <c r="C54" s="176"/>
    </row>
    <row r="55" spans="2:3" x14ac:dyDescent="0.2">
      <c r="B55" s="170"/>
      <c r="C55" s="176"/>
    </row>
    <row r="56" spans="2:3" x14ac:dyDescent="0.2">
      <c r="B56" s="170"/>
      <c r="C56" s="176"/>
    </row>
    <row r="57" spans="2:3" x14ac:dyDescent="0.2">
      <c r="B57" s="170"/>
      <c r="C57" s="176"/>
    </row>
    <row r="58" spans="2:3" x14ac:dyDescent="0.2">
      <c r="B58" s="170"/>
      <c r="C58" s="176"/>
    </row>
    <row r="59" spans="2:3" x14ac:dyDescent="0.2">
      <c r="B59" s="170"/>
      <c r="C59" s="176"/>
    </row>
    <row r="60" spans="2:3" x14ac:dyDescent="0.2">
      <c r="B60" s="170"/>
      <c r="C60" s="176"/>
    </row>
    <row r="61" spans="2:3" x14ac:dyDescent="0.2">
      <c r="B61" s="170"/>
      <c r="C61" s="176"/>
    </row>
    <row r="62" spans="2:3" x14ac:dyDescent="0.2">
      <c r="B62" s="170"/>
      <c r="C62" s="176"/>
    </row>
    <row r="63" spans="2:3" x14ac:dyDescent="0.2">
      <c r="B63" s="170"/>
      <c r="C63" s="176"/>
    </row>
    <row r="64" spans="2:3" x14ac:dyDescent="0.2">
      <c r="B64" s="170"/>
      <c r="C64" s="176"/>
    </row>
    <row r="65" spans="2:3" x14ac:dyDescent="0.2">
      <c r="B65" s="170"/>
      <c r="C65" s="176"/>
    </row>
    <row r="66" spans="2:3" x14ac:dyDescent="0.2">
      <c r="B66" s="170"/>
      <c r="C66" s="176"/>
    </row>
    <row r="67" spans="2:3" x14ac:dyDescent="0.2">
      <c r="B67" s="170"/>
      <c r="C67" s="176"/>
    </row>
    <row r="68" spans="2:3" x14ac:dyDescent="0.2">
      <c r="B68" s="170"/>
      <c r="C68" s="176"/>
    </row>
    <row r="69" spans="2:3" x14ac:dyDescent="0.2">
      <c r="B69" s="170"/>
      <c r="C69" s="176"/>
    </row>
    <row r="70" spans="2:3" x14ac:dyDescent="0.2">
      <c r="B70" s="170"/>
      <c r="C70" s="176"/>
    </row>
    <row r="71" spans="2:3" x14ac:dyDescent="0.2">
      <c r="B71" s="170"/>
      <c r="C71" s="176"/>
    </row>
    <row r="72" spans="2:3" x14ac:dyDescent="0.2">
      <c r="B72" s="170"/>
      <c r="C72" s="176"/>
    </row>
  </sheetData>
  <phoneticPr fontId="0" type="noConversion"/>
  <pageMargins left="0.75" right="0.75" top="1" bottom="1" header="0.5" footer="0.5"/>
  <pageSetup orientation="landscape" r:id="rId1"/>
  <headerFooter alignWithMargins="0">
    <oddFooter>&amp;RExhibit JW-7
Page &amp;P of &amp;N</oddFooter>
  </headerFooter>
  <ignoredErrors>
    <ignoredError sqref="E3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133"/>
  <sheetViews>
    <sheetView view="pageBreakPreview" topLeftCell="A28" zoomScale="75" zoomScaleNormal="100" zoomScaleSheetLayoutView="75" workbookViewId="0">
      <selection activeCell="H61" sqref="H61"/>
    </sheetView>
  </sheetViews>
  <sheetFormatPr defaultColWidth="9.140625" defaultRowHeight="12.75" x14ac:dyDescent="0.2"/>
  <cols>
    <col min="1" max="1" width="3.140625" style="208" customWidth="1"/>
    <col min="2" max="2" width="33.7109375" style="208" customWidth="1"/>
    <col min="3" max="3" width="10.42578125" style="208" bestFit="1" customWidth="1"/>
    <col min="4" max="4" width="16.85546875" style="208" bestFit="1" customWidth="1"/>
    <col min="5" max="5" width="12.7109375" style="208" bestFit="1" customWidth="1"/>
    <col min="6" max="6" width="11.5703125" style="208" bestFit="1" customWidth="1"/>
    <col min="7" max="7" width="3.28515625" style="208" customWidth="1"/>
    <col min="8" max="8" width="12" style="208" bestFit="1" customWidth="1"/>
    <col min="9" max="9" width="14" style="208" bestFit="1" customWidth="1"/>
    <col min="10" max="10" width="12.28515625" style="208" bestFit="1" customWidth="1"/>
    <col min="11" max="11" width="2.28515625" style="208" customWidth="1"/>
    <col min="12" max="12" width="6.28515625" style="236" customWidth="1"/>
    <col min="13" max="13" width="8.7109375" style="208" bestFit="1" customWidth="1"/>
    <col min="14" max="16384" width="9.140625" style="208"/>
  </cols>
  <sheetData>
    <row r="1" spans="1:11" x14ac:dyDescent="0.2">
      <c r="A1" s="235" t="s">
        <v>1082</v>
      </c>
    </row>
    <row r="2" spans="1:11" x14ac:dyDescent="0.2">
      <c r="A2" s="235" t="s">
        <v>973</v>
      </c>
    </row>
    <row r="4" spans="1:11" x14ac:dyDescent="0.2">
      <c r="A4" s="235" t="s">
        <v>961</v>
      </c>
      <c r="B4" s="237"/>
    </row>
    <row r="5" spans="1:11" x14ac:dyDescent="0.2">
      <c r="F5" s="223" t="s">
        <v>936</v>
      </c>
      <c r="I5" s="223" t="s">
        <v>937</v>
      </c>
    </row>
    <row r="6" spans="1:11" x14ac:dyDescent="0.2">
      <c r="C6" s="238"/>
      <c r="D6" s="223"/>
      <c r="E6" s="222"/>
      <c r="F6" s="223" t="s">
        <v>938</v>
      </c>
      <c r="H6" s="223"/>
      <c r="I6" s="223"/>
      <c r="J6" s="223"/>
      <c r="K6" s="223"/>
    </row>
    <row r="7" spans="1:11" x14ac:dyDescent="0.2">
      <c r="B7" s="239" t="s">
        <v>6</v>
      </c>
      <c r="C7" s="240" t="s">
        <v>939</v>
      </c>
      <c r="D7" s="241" t="s">
        <v>940</v>
      </c>
      <c r="E7" s="242" t="s">
        <v>941</v>
      </c>
      <c r="F7" s="241" t="s">
        <v>942</v>
      </c>
      <c r="H7" s="243" t="s">
        <v>943</v>
      </c>
      <c r="I7" s="243" t="s">
        <v>944</v>
      </c>
      <c r="J7" s="243" t="s">
        <v>945</v>
      </c>
      <c r="K7" s="244"/>
    </row>
    <row r="8" spans="1:11" x14ac:dyDescent="0.2">
      <c r="B8" s="208" t="s">
        <v>1031</v>
      </c>
      <c r="C8" s="245">
        <f>66.37*3</f>
        <v>199.11</v>
      </c>
      <c r="D8" s="214">
        <v>5202.83</v>
      </c>
      <c r="E8" s="212">
        <v>12839</v>
      </c>
      <c r="F8" s="245">
        <f t="shared" ref="F8:F25" si="0">D8/E8</f>
        <v>0.40523638912687904</v>
      </c>
      <c r="H8" s="245">
        <f t="shared" ref="H8:H25" si="1">F8*E8^0.5</f>
        <v>45.917056116883188</v>
      </c>
      <c r="I8" s="245">
        <f t="shared" ref="I8:I25" si="2">E8^0.5</f>
        <v>113.30931117962018</v>
      </c>
      <c r="J8" s="245">
        <f t="shared" ref="J8:J25" si="3">C8*E8^0.5</f>
        <v>22561.016948974175</v>
      </c>
      <c r="K8" s="245"/>
    </row>
    <row r="9" spans="1:11" x14ac:dyDescent="0.2">
      <c r="B9" s="208" t="s">
        <v>1032</v>
      </c>
      <c r="C9" s="245">
        <v>41.74</v>
      </c>
      <c r="D9" s="214">
        <v>2975.16</v>
      </c>
      <c r="E9" s="212">
        <v>27738</v>
      </c>
      <c r="F9" s="245">
        <f t="shared" si="0"/>
        <v>0.10725935539692839</v>
      </c>
      <c r="H9" s="245">
        <f t="shared" ref="H9:H24" si="4">F9*E9^0.5</f>
        <v>17.863755030864183</v>
      </c>
      <c r="I9" s="245">
        <f t="shared" ref="I9:I24" si="5">E9^0.5</f>
        <v>166.54729058138412</v>
      </c>
      <c r="J9" s="245">
        <f t="shared" ref="J9:J24" si="6">C9*E9^0.5</f>
        <v>6951.6839088669731</v>
      </c>
      <c r="K9" s="245"/>
    </row>
    <row r="10" spans="1:11" x14ac:dyDescent="0.2">
      <c r="B10" s="208" t="s">
        <v>1033</v>
      </c>
      <c r="C10" s="245">
        <v>26.25</v>
      </c>
      <c r="D10" s="214">
        <v>322200.15000000002</v>
      </c>
      <c r="E10" s="212">
        <v>2126780</v>
      </c>
      <c r="F10" s="245">
        <f t="shared" si="0"/>
        <v>0.15149669923546394</v>
      </c>
      <c r="H10" s="245">
        <f t="shared" si="4"/>
        <v>220.93496603790754</v>
      </c>
      <c r="I10" s="245">
        <f t="shared" si="5"/>
        <v>1458.3483808747483</v>
      </c>
      <c r="J10" s="245">
        <f t="shared" si="6"/>
        <v>38281.644997962139</v>
      </c>
      <c r="K10" s="245"/>
    </row>
    <row r="11" spans="1:11" x14ac:dyDescent="0.2">
      <c r="B11" s="208" t="s">
        <v>1034</v>
      </c>
      <c r="C11" s="245">
        <v>16.509</v>
      </c>
      <c r="D11" s="214">
        <v>154151.88</v>
      </c>
      <c r="E11" s="212">
        <v>727821</v>
      </c>
      <c r="F11" s="245">
        <f t="shared" si="0"/>
        <v>0.21179916490455758</v>
      </c>
      <c r="H11" s="245">
        <f t="shared" si="4"/>
        <v>180.69100545535622</v>
      </c>
      <c r="I11" s="245">
        <f t="shared" si="5"/>
        <v>853.12425824143577</v>
      </c>
      <c r="J11" s="245">
        <f t="shared" si="6"/>
        <v>14084.228379307864</v>
      </c>
      <c r="K11" s="245"/>
    </row>
    <row r="12" spans="1:11" x14ac:dyDescent="0.2">
      <c r="B12" s="208" t="s">
        <v>1035</v>
      </c>
      <c r="C12" s="245">
        <v>26.25</v>
      </c>
      <c r="D12" s="214">
        <v>472.56</v>
      </c>
      <c r="E12" s="212">
        <v>9737</v>
      </c>
      <c r="F12" s="245">
        <f t="shared" si="0"/>
        <v>4.8532402177261992E-2</v>
      </c>
      <c r="H12" s="245">
        <f t="shared" si="4"/>
        <v>4.788994881275916</v>
      </c>
      <c r="I12" s="245">
        <f t="shared" si="5"/>
        <v>98.676238274470109</v>
      </c>
      <c r="J12" s="245">
        <f t="shared" si="6"/>
        <v>2590.2512547048404</v>
      </c>
      <c r="K12" s="245"/>
    </row>
    <row r="13" spans="1:11" x14ac:dyDescent="0.2">
      <c r="B13" s="208" t="s">
        <v>1036</v>
      </c>
      <c r="C13" s="245">
        <v>26.25</v>
      </c>
      <c r="D13" s="214">
        <v>187.74</v>
      </c>
      <c r="E13" s="212">
        <v>6100</v>
      </c>
      <c r="F13" s="245">
        <f t="shared" si="0"/>
        <v>3.0777049180327871E-2</v>
      </c>
      <c r="H13" s="245">
        <f t="shared" si="4"/>
        <v>2.4037643838601892</v>
      </c>
      <c r="I13" s="245">
        <f t="shared" si="5"/>
        <v>78.10249675906654</v>
      </c>
      <c r="J13" s="245">
        <f t="shared" si="6"/>
        <v>2050.1905399254965</v>
      </c>
      <c r="K13" s="245"/>
    </row>
    <row r="14" spans="1:11" x14ac:dyDescent="0.2">
      <c r="B14" s="208" t="s">
        <v>1037</v>
      </c>
      <c r="C14" s="245">
        <v>66.37</v>
      </c>
      <c r="D14" s="214">
        <v>3848434.64</v>
      </c>
      <c r="E14" s="212">
        <v>3815461</v>
      </c>
      <c r="F14" s="245">
        <f t="shared" si="0"/>
        <v>1.0086421116609501</v>
      </c>
      <c r="H14" s="245">
        <f t="shared" si="4"/>
        <v>1970.2013201393274</v>
      </c>
      <c r="I14" s="245">
        <f t="shared" si="5"/>
        <v>1953.3205062149939</v>
      </c>
      <c r="J14" s="245">
        <f t="shared" si="6"/>
        <v>129641.88199748915</v>
      </c>
      <c r="K14" s="245"/>
    </row>
    <row r="15" spans="1:11" x14ac:dyDescent="0.2">
      <c r="B15" s="208" t="s">
        <v>1038</v>
      </c>
      <c r="C15" s="245">
        <v>41.74</v>
      </c>
      <c r="D15" s="214">
        <v>686378.4</v>
      </c>
      <c r="E15" s="212">
        <v>1979855</v>
      </c>
      <c r="F15" s="245">
        <f t="shared" si="0"/>
        <v>0.3466811458414884</v>
      </c>
      <c r="H15" s="245">
        <f t="shared" si="4"/>
        <v>487.80575047127877</v>
      </c>
      <c r="I15" s="245">
        <f t="shared" si="5"/>
        <v>1407.0732034972452</v>
      </c>
      <c r="J15" s="245">
        <f t="shared" si="6"/>
        <v>58731.235513975022</v>
      </c>
      <c r="K15" s="245"/>
    </row>
    <row r="16" spans="1:11" x14ac:dyDescent="0.2">
      <c r="B16" s="208" t="s">
        <v>1039</v>
      </c>
      <c r="C16" s="245">
        <v>105.53</v>
      </c>
      <c r="D16" s="214">
        <v>2423288.5</v>
      </c>
      <c r="E16" s="212">
        <v>2726470</v>
      </c>
      <c r="F16" s="245">
        <f t="shared" si="0"/>
        <v>0.88880072034535496</v>
      </c>
      <c r="H16" s="245">
        <f t="shared" si="4"/>
        <v>1467.5900532521384</v>
      </c>
      <c r="I16" s="245">
        <f t="shared" si="5"/>
        <v>1651.202592052229</v>
      </c>
      <c r="J16" s="245">
        <f t="shared" si="6"/>
        <v>174251.40953927173</v>
      </c>
      <c r="K16" s="245"/>
    </row>
    <row r="17" spans="2:11" x14ac:dyDescent="0.2">
      <c r="B17" s="208" t="s">
        <v>1040</v>
      </c>
      <c r="C17" s="245">
        <v>167.8</v>
      </c>
      <c r="D17" s="214">
        <v>1021671.26</v>
      </c>
      <c r="E17" s="212">
        <v>1942683</v>
      </c>
      <c r="F17" s="245">
        <f t="shared" si="0"/>
        <v>0.52590734566576225</v>
      </c>
      <c r="H17" s="245">
        <f t="shared" si="4"/>
        <v>733.01051867595663</v>
      </c>
      <c r="I17" s="245">
        <f t="shared" si="5"/>
        <v>1393.8016358147956</v>
      </c>
      <c r="J17" s="245">
        <f t="shared" si="6"/>
        <v>233879.91448972272</v>
      </c>
      <c r="K17" s="245"/>
    </row>
    <row r="18" spans="2:11" x14ac:dyDescent="0.2">
      <c r="B18" s="208" t="s">
        <v>1041</v>
      </c>
      <c r="C18" s="245">
        <v>41.74</v>
      </c>
      <c r="D18" s="214">
        <v>70973.86</v>
      </c>
      <c r="E18" s="212">
        <v>284570</v>
      </c>
      <c r="F18" s="245">
        <f t="shared" si="0"/>
        <v>0.24940738658326597</v>
      </c>
      <c r="H18" s="245">
        <f t="shared" ref="H18" si="7">F18*E18^0.5</f>
        <v>133.04662693329206</v>
      </c>
      <c r="I18" s="245">
        <f t="shared" ref="I18" si="8">E18^0.5</f>
        <v>533.45102868023412</v>
      </c>
      <c r="J18" s="245">
        <f t="shared" ref="J18" si="9">C18*E18^0.5</f>
        <v>22266.245937112973</v>
      </c>
      <c r="K18" s="245"/>
    </row>
    <row r="19" spans="2:11" ht="12" customHeight="1" x14ac:dyDescent="0.2">
      <c r="B19" s="208" t="s">
        <v>1042</v>
      </c>
      <c r="C19" s="245">
        <v>167.8</v>
      </c>
      <c r="D19" s="214">
        <v>228.95</v>
      </c>
      <c r="E19" s="212">
        <v>174</v>
      </c>
      <c r="F19" s="245">
        <f t="shared" si="0"/>
        <v>1.3158045977011494</v>
      </c>
      <c r="H19" s="245">
        <f t="shared" si="4"/>
        <v>17.356654707738993</v>
      </c>
      <c r="I19" s="245">
        <f t="shared" si="5"/>
        <v>13.19090595827292</v>
      </c>
      <c r="J19" s="245">
        <f t="shared" si="6"/>
        <v>2213.434019798196</v>
      </c>
      <c r="K19" s="245"/>
    </row>
    <row r="20" spans="2:11" x14ac:dyDescent="0.2">
      <c r="B20" s="208" t="s">
        <v>1043</v>
      </c>
      <c r="C20" s="245">
        <v>336.4</v>
      </c>
      <c r="D20" s="214">
        <v>2175727.36</v>
      </c>
      <c r="E20" s="212">
        <v>930219</v>
      </c>
      <c r="F20" s="245">
        <f t="shared" si="0"/>
        <v>2.3389410020651051</v>
      </c>
      <c r="H20" s="245">
        <f t="shared" si="4"/>
        <v>2255.858579702829</v>
      </c>
      <c r="I20" s="245">
        <f t="shared" si="5"/>
        <v>964.47861562608011</v>
      </c>
      <c r="J20" s="245">
        <f t="shared" si="6"/>
        <v>324450.60629661335</v>
      </c>
      <c r="K20" s="245"/>
    </row>
    <row r="21" spans="2:11" x14ac:dyDescent="0.2">
      <c r="B21" s="208" t="s">
        <v>1044</v>
      </c>
      <c r="C21" s="245">
        <v>250</v>
      </c>
      <c r="D21" s="214">
        <v>35720.639999999999</v>
      </c>
      <c r="E21" s="212">
        <v>73864</v>
      </c>
      <c r="F21" s="245">
        <f t="shared" si="0"/>
        <v>0.48360012996859092</v>
      </c>
      <c r="H21" s="245">
        <f t="shared" si="4"/>
        <v>131.43251556050066</v>
      </c>
      <c r="I21" s="245">
        <f t="shared" si="5"/>
        <v>271.77932224508913</v>
      </c>
      <c r="J21" s="245">
        <f t="shared" si="6"/>
        <v>67944.830561272276</v>
      </c>
      <c r="K21" s="245"/>
    </row>
    <row r="22" spans="2:11" x14ac:dyDescent="0.2">
      <c r="B22" s="208" t="s">
        <v>1045</v>
      </c>
      <c r="C22" s="245">
        <v>397</v>
      </c>
      <c r="D22" s="214">
        <v>14264.92</v>
      </c>
      <c r="E22" s="212">
        <v>31443</v>
      </c>
      <c r="F22" s="245">
        <f t="shared" si="0"/>
        <v>0.4536755398657889</v>
      </c>
      <c r="H22" s="245">
        <f t="shared" si="4"/>
        <v>80.446536793962039</v>
      </c>
      <c r="I22" s="245">
        <f t="shared" si="5"/>
        <v>177.32174147577052</v>
      </c>
      <c r="J22" s="245">
        <f t="shared" si="6"/>
        <v>70396.7313658809</v>
      </c>
      <c r="K22" s="245"/>
    </row>
    <row r="23" spans="2:11" x14ac:dyDescent="0.2">
      <c r="B23" s="208" t="s">
        <v>1046</v>
      </c>
      <c r="C23" s="245">
        <v>66.37</v>
      </c>
      <c r="D23" s="214">
        <v>29414.46</v>
      </c>
      <c r="E23" s="212">
        <v>7382</v>
      </c>
      <c r="F23" s="245">
        <f t="shared" ref="F23" si="10">D23/E23</f>
        <v>3.9846193443511244</v>
      </c>
      <c r="H23" s="245">
        <f t="shared" ref="H23" si="11">F23*E23^0.5</f>
        <v>342.35278050520105</v>
      </c>
      <c r="I23" s="245">
        <f t="shared" ref="I23" si="12">E23^0.5</f>
        <v>85.918566096042355</v>
      </c>
      <c r="J23" s="245">
        <f t="shared" ref="J23" si="13">C23*E23^0.5</f>
        <v>5702.4152317943317</v>
      </c>
      <c r="K23" s="245"/>
    </row>
    <row r="24" spans="2:11" x14ac:dyDescent="0.2">
      <c r="B24" s="246" t="s">
        <v>1097</v>
      </c>
      <c r="C24" s="245">
        <v>105.53</v>
      </c>
      <c r="D24" s="214">
        <v>1258.03</v>
      </c>
      <c r="E24" s="212">
        <v>448</v>
      </c>
      <c r="F24" s="245">
        <f t="shared" si="0"/>
        <v>2.8081026785714287</v>
      </c>
      <c r="H24" s="245">
        <f t="shared" si="4"/>
        <v>59.43633074747477</v>
      </c>
      <c r="I24" s="245">
        <f t="shared" si="5"/>
        <v>21.166010488516726</v>
      </c>
      <c r="J24" s="245">
        <f t="shared" si="6"/>
        <v>2233.64908685317</v>
      </c>
      <c r="K24" s="245"/>
    </row>
    <row r="25" spans="2:11" x14ac:dyDescent="0.2">
      <c r="B25" s="208" t="s">
        <v>1047</v>
      </c>
      <c r="C25" s="245">
        <v>105.53</v>
      </c>
      <c r="D25" s="214">
        <v>2684.67</v>
      </c>
      <c r="E25" s="212">
        <v>1344</v>
      </c>
      <c r="F25" s="245">
        <f t="shared" si="0"/>
        <v>1.9975223214285716</v>
      </c>
      <c r="H25" s="245">
        <f t="shared" si="1"/>
        <v>73.230377922482717</v>
      </c>
      <c r="I25" s="245">
        <f t="shared" si="2"/>
        <v>36.660605559646719</v>
      </c>
      <c r="J25" s="245">
        <f t="shared" si="3"/>
        <v>3868.7937047095184</v>
      </c>
      <c r="K25" s="245"/>
    </row>
    <row r="26" spans="2:11" x14ac:dyDescent="0.2">
      <c r="B26" s="247" t="s">
        <v>831</v>
      </c>
      <c r="D26" s="248">
        <f>SUM(D8:D25)</f>
        <v>10795236.01</v>
      </c>
      <c r="E26" s="249">
        <f>SUM(E8:E25)</f>
        <v>14704928</v>
      </c>
    </row>
    <row r="28" spans="2:11" x14ac:dyDescent="0.2">
      <c r="B28" s="239" t="s">
        <v>946</v>
      </c>
      <c r="H28" s="275" t="s">
        <v>947</v>
      </c>
      <c r="I28" s="275"/>
    </row>
    <row r="30" spans="2:11" x14ac:dyDescent="0.2">
      <c r="B30" s="208" t="s">
        <v>948</v>
      </c>
      <c r="D30" s="250">
        <f>H30</f>
        <v>4.9425325418905311E-3</v>
      </c>
      <c r="H30" s="250">
        <f t="array" ref="H30:I32">LINEST(H8:H25,I8:J25,FALSE,TRUE)</f>
        <v>4.9425325418905311E-3</v>
      </c>
      <c r="I30" s="250">
        <v>0.27095450458227099</v>
      </c>
    </row>
    <row r="31" spans="2:11" x14ac:dyDescent="0.2">
      <c r="B31" s="208" t="s">
        <v>949</v>
      </c>
      <c r="D31" s="250">
        <f>I30</f>
        <v>0.27095450458227099</v>
      </c>
      <c r="H31" s="250">
        <v>1.1353366498262239E-3</v>
      </c>
      <c r="I31" s="250">
        <v>0.1397952616732405</v>
      </c>
    </row>
    <row r="32" spans="2:11" x14ac:dyDescent="0.2">
      <c r="B32" s="208" t="s">
        <v>950</v>
      </c>
      <c r="D32" s="234">
        <f>H32</f>
        <v>0.84078144304318669</v>
      </c>
      <c r="H32" s="250">
        <v>0.84078144304318669</v>
      </c>
      <c r="I32" s="250">
        <v>347.73682660211284</v>
      </c>
    </row>
    <row r="33" spans="1:11" x14ac:dyDescent="0.2">
      <c r="H33" s="250"/>
      <c r="I33" s="250"/>
    </row>
    <row r="34" spans="1:11" x14ac:dyDescent="0.2">
      <c r="B34" s="251" t="s">
        <v>951</v>
      </c>
      <c r="C34" s="252"/>
    </row>
    <row r="35" spans="1:11" x14ac:dyDescent="0.2">
      <c r="C35" s="252"/>
    </row>
    <row r="36" spans="1:11" x14ac:dyDescent="0.2">
      <c r="B36" s="208" t="s">
        <v>952</v>
      </c>
      <c r="C36" s="252"/>
      <c r="D36" s="217">
        <f>E26</f>
        <v>14704928</v>
      </c>
    </row>
    <row r="37" spans="1:11" x14ac:dyDescent="0.2">
      <c r="B37" s="208" t="s">
        <v>953</v>
      </c>
      <c r="C37" s="252"/>
      <c r="D37" s="214">
        <f>D31</f>
        <v>0.27095450458227099</v>
      </c>
      <c r="E37" s="253"/>
      <c r="F37" s="236"/>
    </row>
    <row r="38" spans="1:11" x14ac:dyDescent="0.2">
      <c r="B38" s="208" t="s">
        <v>954</v>
      </c>
      <c r="C38" s="252"/>
      <c r="D38" s="214">
        <f>MIN(F8:F25)</f>
        <v>3.0777049180327871E-2</v>
      </c>
    </row>
    <row r="39" spans="1:11" x14ac:dyDescent="0.2">
      <c r="B39" s="208" t="s">
        <v>955</v>
      </c>
      <c r="C39" s="252"/>
      <c r="D39" s="254" t="s">
        <v>962</v>
      </c>
    </row>
    <row r="40" spans="1:11" x14ac:dyDescent="0.2">
      <c r="B40" s="208" t="s">
        <v>956</v>
      </c>
      <c r="C40" s="252"/>
      <c r="D40" s="231">
        <f>IF(D39="Z",D36*D37,D36*D38)</f>
        <v>3984366.481157965</v>
      </c>
    </row>
    <row r="41" spans="1:11" x14ac:dyDescent="0.2">
      <c r="B41" s="208" t="s">
        <v>957</v>
      </c>
      <c r="C41" s="252"/>
      <c r="D41" s="231">
        <f>D26</f>
        <v>10795236.01</v>
      </c>
    </row>
    <row r="42" spans="1:11" x14ac:dyDescent="0.2">
      <c r="B42" s="208" t="s">
        <v>958</v>
      </c>
      <c r="C42" s="252"/>
      <c r="D42" s="255">
        <f>D40/D41</f>
        <v>0.36908562975993381</v>
      </c>
    </row>
    <row r="43" spans="1:11" x14ac:dyDescent="0.2">
      <c r="B43" s="208" t="s">
        <v>959</v>
      </c>
      <c r="C43" s="252"/>
      <c r="D43" s="256">
        <f>D42</f>
        <v>0.36908562975993381</v>
      </c>
    </row>
    <row r="44" spans="1:11" x14ac:dyDescent="0.2">
      <c r="B44" s="208" t="s">
        <v>960</v>
      </c>
      <c r="C44" s="252"/>
      <c r="D44" s="257">
        <f>1-D43</f>
        <v>0.63091437024006614</v>
      </c>
    </row>
    <row r="46" spans="1:11" x14ac:dyDescent="0.2">
      <c r="A46" s="235" t="s">
        <v>963</v>
      </c>
      <c r="B46" s="237"/>
    </row>
    <row r="47" spans="1:11" x14ac:dyDescent="0.2">
      <c r="F47" s="223" t="s">
        <v>936</v>
      </c>
      <c r="I47" s="223" t="s">
        <v>937</v>
      </c>
    </row>
    <row r="48" spans="1:11" x14ac:dyDescent="0.2">
      <c r="C48" s="238"/>
      <c r="D48" s="223"/>
      <c r="E48" s="222"/>
      <c r="F48" s="223" t="s">
        <v>938</v>
      </c>
      <c r="H48" s="223"/>
      <c r="I48" s="223"/>
      <c r="J48" s="223"/>
      <c r="K48" s="223"/>
    </row>
    <row r="49" spans="2:11" x14ac:dyDescent="0.2">
      <c r="B49" s="239" t="s">
        <v>6</v>
      </c>
      <c r="C49" s="240" t="s">
        <v>939</v>
      </c>
      <c r="D49" s="241" t="s">
        <v>940</v>
      </c>
      <c r="E49" s="242" t="s">
        <v>941</v>
      </c>
      <c r="F49" s="241" t="s">
        <v>942</v>
      </c>
      <c r="H49" s="243" t="s">
        <v>943</v>
      </c>
      <c r="I49" s="243" t="s">
        <v>944</v>
      </c>
      <c r="J49" s="243" t="s">
        <v>945</v>
      </c>
      <c r="K49" s="244"/>
    </row>
    <row r="50" spans="2:11" x14ac:dyDescent="0.2">
      <c r="B50" s="208" t="s">
        <v>1048</v>
      </c>
      <c r="C50" s="245">
        <v>66.37</v>
      </c>
      <c r="D50" s="214">
        <v>1101.01</v>
      </c>
      <c r="E50" s="212">
        <v>585</v>
      </c>
      <c r="F50" s="245">
        <f t="shared" ref="F50:F53" si="14">D50/E50</f>
        <v>1.8820683760683761</v>
      </c>
      <c r="H50" s="245">
        <f t="shared" ref="H50:H53" si="15">F50*E50^0.5</f>
        <v>45.521161043354795</v>
      </c>
      <c r="I50" s="245">
        <f t="shared" ref="I50:I53" si="16">E50^0.5</f>
        <v>24.186773244895647</v>
      </c>
      <c r="J50" s="245">
        <f t="shared" ref="J50:J53" si="17">C50*E50^0.5</f>
        <v>1605.2761402637243</v>
      </c>
      <c r="K50" s="245"/>
    </row>
    <row r="51" spans="2:11" x14ac:dyDescent="0.2">
      <c r="B51" s="208" t="s">
        <v>1049</v>
      </c>
      <c r="C51" s="245">
        <v>41.74</v>
      </c>
      <c r="D51" s="214">
        <v>9633.34</v>
      </c>
      <c r="E51" s="212">
        <v>2123</v>
      </c>
      <c r="F51" s="245">
        <f t="shared" si="14"/>
        <v>4.5376071596796983</v>
      </c>
      <c r="H51" s="245">
        <f t="shared" si="15"/>
        <v>209.07489700016313</v>
      </c>
      <c r="I51" s="245">
        <f t="shared" si="16"/>
        <v>46.076024134033091</v>
      </c>
      <c r="J51" s="245">
        <f t="shared" si="17"/>
        <v>1923.2132473545414</v>
      </c>
      <c r="K51" s="245"/>
    </row>
    <row r="52" spans="2:11" x14ac:dyDescent="0.2">
      <c r="B52" s="208" t="s">
        <v>1050</v>
      </c>
      <c r="C52" s="245">
        <v>66.37</v>
      </c>
      <c r="D52" s="214">
        <v>87080.16</v>
      </c>
      <c r="E52" s="212">
        <v>16546</v>
      </c>
      <c r="F52" s="245">
        <f t="shared" si="14"/>
        <v>5.2629130907772277</v>
      </c>
      <c r="H52" s="245">
        <f t="shared" si="15"/>
        <v>676.97512067355581</v>
      </c>
      <c r="I52" s="245">
        <f t="shared" si="16"/>
        <v>128.63125592172378</v>
      </c>
      <c r="J52" s="245">
        <f t="shared" si="17"/>
        <v>8537.2564555248082</v>
      </c>
      <c r="K52" s="245"/>
    </row>
    <row r="53" spans="2:11" x14ac:dyDescent="0.2">
      <c r="B53" s="208" t="s">
        <v>1051</v>
      </c>
      <c r="C53" s="245">
        <v>105.53</v>
      </c>
      <c r="D53" s="214">
        <v>290280.27</v>
      </c>
      <c r="E53" s="212">
        <v>56421</v>
      </c>
      <c r="F53" s="245">
        <f t="shared" si="14"/>
        <v>5.1448976444940717</v>
      </c>
      <c r="H53" s="245">
        <f t="shared" si="15"/>
        <v>1222.0729427354586</v>
      </c>
      <c r="I53" s="245">
        <f t="shared" si="16"/>
        <v>237.53105060181079</v>
      </c>
      <c r="J53" s="245">
        <f t="shared" si="17"/>
        <v>25066.651770009092</v>
      </c>
      <c r="K53" s="245"/>
    </row>
    <row r="54" spans="2:11" x14ac:dyDescent="0.2">
      <c r="B54" s="247" t="s">
        <v>831</v>
      </c>
      <c r="D54" s="248">
        <f>SUM(D50:D53)</f>
        <v>388094.78</v>
      </c>
      <c r="E54" s="249">
        <f>SUM(E50:E53)</f>
        <v>75675</v>
      </c>
    </row>
    <row r="56" spans="2:11" x14ac:dyDescent="0.2">
      <c r="B56" s="239" t="s">
        <v>946</v>
      </c>
      <c r="H56" s="275" t="s">
        <v>947</v>
      </c>
      <c r="I56" s="275"/>
    </row>
    <row r="58" spans="2:11" x14ac:dyDescent="0.2">
      <c r="B58" s="208" t="s">
        <v>948</v>
      </c>
      <c r="D58" s="250">
        <f>H58</f>
        <v>2.555361524927822E-3</v>
      </c>
      <c r="H58" s="250">
        <f t="array" ref="H58:I60">LINEST(H50:H53,I50:J53,FALSE,TRUE)</f>
        <v>2.555361524927822E-3</v>
      </c>
      <c r="I58" s="250">
        <v>4.8859997878160879</v>
      </c>
    </row>
    <row r="59" spans="2:11" x14ac:dyDescent="0.2">
      <c r="B59" s="208" t="s">
        <v>949</v>
      </c>
      <c r="D59" s="250">
        <f>I58</f>
        <v>4.8859997878160879</v>
      </c>
      <c r="H59" s="250">
        <v>1.1572177236346555E-2</v>
      </c>
      <c r="I59" s="250">
        <v>1.1189258260190926</v>
      </c>
    </row>
    <row r="60" spans="2:11" x14ac:dyDescent="0.2">
      <c r="B60" s="208" t="s">
        <v>950</v>
      </c>
      <c r="D60" s="234">
        <f>H60</f>
        <v>0.99647116226396903</v>
      </c>
      <c r="H60" s="250">
        <v>0.99647116226396903</v>
      </c>
      <c r="I60" s="250">
        <v>59.367507406572663</v>
      </c>
    </row>
    <row r="61" spans="2:11" x14ac:dyDescent="0.2">
      <c r="H61" s="250"/>
      <c r="I61" s="250"/>
    </row>
    <row r="62" spans="2:11" x14ac:dyDescent="0.2">
      <c r="B62" s="251" t="s">
        <v>951</v>
      </c>
      <c r="C62" s="252"/>
    </row>
    <row r="63" spans="2:11" x14ac:dyDescent="0.2">
      <c r="C63" s="252"/>
    </row>
    <row r="64" spans="2:11" x14ac:dyDescent="0.2">
      <c r="B64" s="208" t="s">
        <v>952</v>
      </c>
      <c r="C64" s="252"/>
      <c r="D64" s="217">
        <f>E54</f>
        <v>75675</v>
      </c>
    </row>
    <row r="65" spans="1:13" x14ac:dyDescent="0.2">
      <c r="B65" s="208" t="s">
        <v>953</v>
      </c>
      <c r="C65" s="252"/>
      <c r="D65" s="214">
        <f>D59</f>
        <v>4.8859997878160879</v>
      </c>
      <c r="E65" s="253"/>
      <c r="F65" s="236"/>
    </row>
    <row r="66" spans="1:13" x14ac:dyDescent="0.2">
      <c r="B66" s="208" t="s">
        <v>954</v>
      </c>
      <c r="C66" s="252"/>
      <c r="D66" s="214">
        <f>MIN(F50:F53)</f>
        <v>1.8820683760683761</v>
      </c>
    </row>
    <row r="67" spans="1:13" x14ac:dyDescent="0.2">
      <c r="B67" s="208" t="s">
        <v>955</v>
      </c>
      <c r="C67" s="252"/>
      <c r="D67" s="254" t="s">
        <v>962</v>
      </c>
    </row>
    <row r="68" spans="1:13" x14ac:dyDescent="0.2">
      <c r="B68" s="208" t="s">
        <v>956</v>
      </c>
      <c r="C68" s="252"/>
      <c r="D68" s="231">
        <f>IF(D67="Z",D64*D65,D64*D66)</f>
        <v>369748.03394298244</v>
      </c>
    </row>
    <row r="69" spans="1:13" x14ac:dyDescent="0.2">
      <c r="B69" s="208" t="s">
        <v>957</v>
      </c>
      <c r="C69" s="252"/>
      <c r="D69" s="231">
        <f>D54</f>
        <v>388094.78</v>
      </c>
    </row>
    <row r="70" spans="1:13" x14ac:dyDescent="0.2">
      <c r="B70" s="208" t="s">
        <v>958</v>
      </c>
      <c r="C70" s="252"/>
      <c r="D70" s="255">
        <f>D68/D69</f>
        <v>0.95272612000342394</v>
      </c>
    </row>
    <row r="71" spans="1:13" x14ac:dyDescent="0.2">
      <c r="B71" s="208" t="s">
        <v>959</v>
      </c>
      <c r="C71" s="252"/>
      <c r="D71" s="256">
        <f>D70</f>
        <v>0.95272612000342394</v>
      </c>
    </row>
    <row r="72" spans="1:13" x14ac:dyDescent="0.2">
      <c r="B72" s="208" t="s">
        <v>960</v>
      </c>
      <c r="C72" s="252"/>
      <c r="D72" s="257">
        <f>1-D71</f>
        <v>4.7273879996576063E-2</v>
      </c>
    </row>
    <row r="74" spans="1:13" x14ac:dyDescent="0.2">
      <c r="A74" s="235" t="s">
        <v>964</v>
      </c>
      <c r="B74" s="237"/>
    </row>
    <row r="75" spans="1:13" x14ac:dyDescent="0.2">
      <c r="F75" s="223" t="s">
        <v>936</v>
      </c>
      <c r="I75" s="223" t="s">
        <v>937</v>
      </c>
      <c r="L75" s="276" t="s">
        <v>965</v>
      </c>
      <c r="M75" s="276"/>
    </row>
    <row r="76" spans="1:13" x14ac:dyDescent="0.2">
      <c r="C76" s="238"/>
      <c r="D76" s="223"/>
      <c r="E76" s="222"/>
      <c r="F76" s="223" t="s">
        <v>938</v>
      </c>
      <c r="H76" s="223"/>
      <c r="I76" s="223"/>
      <c r="J76" s="223"/>
      <c r="K76" s="223"/>
    </row>
    <row r="77" spans="1:13" x14ac:dyDescent="0.2">
      <c r="B77" s="239" t="s">
        <v>6</v>
      </c>
      <c r="C77" s="240" t="s">
        <v>939</v>
      </c>
      <c r="D77" s="241" t="s">
        <v>940</v>
      </c>
      <c r="E77" s="242" t="s">
        <v>941</v>
      </c>
      <c r="F77" s="241" t="s">
        <v>942</v>
      </c>
      <c r="H77" s="243" t="s">
        <v>943</v>
      </c>
      <c r="I77" s="243" t="s">
        <v>944</v>
      </c>
      <c r="J77" s="243" t="s">
        <v>945</v>
      </c>
      <c r="K77" s="244"/>
      <c r="L77" s="242" t="s">
        <v>966</v>
      </c>
      <c r="M77" s="258" t="s">
        <v>967</v>
      </c>
    </row>
    <row r="78" spans="1:13" x14ac:dyDescent="0.2">
      <c r="B78" s="208" t="s">
        <v>1052</v>
      </c>
      <c r="C78" s="245">
        <v>5</v>
      </c>
      <c r="D78" s="214">
        <v>34544.910000000003</v>
      </c>
      <c r="E78" s="212">
        <v>144</v>
      </c>
      <c r="F78" s="245">
        <f t="shared" ref="F78:F107" si="18">D78/E78</f>
        <v>239.89520833333336</v>
      </c>
      <c r="G78" s="217"/>
      <c r="H78" s="245">
        <f t="shared" ref="H78:H107" si="19">F78*E78^0.5</f>
        <v>2878.7425000000003</v>
      </c>
      <c r="I78" s="245">
        <f t="shared" ref="I78:I107" si="20">E78^0.5</f>
        <v>12</v>
      </c>
      <c r="J78" s="245">
        <f t="shared" ref="J78:J107" si="21">C78*E78^0.5</f>
        <v>60</v>
      </c>
      <c r="K78" s="245"/>
      <c r="L78" s="236">
        <f>IF(C78&gt;50,0,1)</f>
        <v>1</v>
      </c>
      <c r="M78" s="217">
        <f t="shared" ref="M78:M107" si="22">L78*E78</f>
        <v>144</v>
      </c>
    </row>
    <row r="79" spans="1:13" x14ac:dyDescent="0.2">
      <c r="B79" s="208" t="s">
        <v>1053</v>
      </c>
      <c r="C79" s="245">
        <v>10</v>
      </c>
      <c r="D79" s="214">
        <v>32886.78</v>
      </c>
      <c r="E79" s="212">
        <v>83</v>
      </c>
      <c r="F79" s="245">
        <f t="shared" si="18"/>
        <v>396.22626506024096</v>
      </c>
      <c r="G79" s="217"/>
      <c r="H79" s="245">
        <f t="shared" si="19"/>
        <v>3609.793070143749</v>
      </c>
      <c r="I79" s="245">
        <f t="shared" si="20"/>
        <v>9.1104335791442992</v>
      </c>
      <c r="J79" s="245">
        <f t="shared" si="21"/>
        <v>91.104335791442992</v>
      </c>
      <c r="K79" s="245"/>
      <c r="L79" s="236">
        <f t="shared" ref="L79:L107" si="23">IF(C79&gt;50,0,1)</f>
        <v>1</v>
      </c>
      <c r="M79" s="217">
        <f t="shared" si="22"/>
        <v>83</v>
      </c>
    </row>
    <row r="80" spans="1:13" x14ac:dyDescent="0.2">
      <c r="B80" s="208" t="s">
        <v>1054</v>
      </c>
      <c r="C80" s="245">
        <v>15</v>
      </c>
      <c r="D80" s="214">
        <v>64698.080000000002</v>
      </c>
      <c r="E80" s="212">
        <v>113</v>
      </c>
      <c r="F80" s="245">
        <f t="shared" si="18"/>
        <v>572.54938053097351</v>
      </c>
      <c r="G80" s="217"/>
      <c r="H80" s="245">
        <f t="shared" ref="H80" si="24">F80*E80^0.5</f>
        <v>6086.2834000351459</v>
      </c>
      <c r="I80" s="245">
        <f t="shared" ref="I80" si="25">E80^0.5</f>
        <v>10.63014581273465</v>
      </c>
      <c r="J80" s="245">
        <f t="shared" ref="J80" si="26">C80*E80^0.5</f>
        <v>159.45218719101976</v>
      </c>
      <c r="K80" s="245"/>
      <c r="L80" s="236">
        <f t="shared" ref="L80" si="27">IF(C80&gt;50,0,1)</f>
        <v>1</v>
      </c>
      <c r="M80" s="217">
        <f t="shared" ref="M80" si="28">L80*E80</f>
        <v>113</v>
      </c>
    </row>
    <row r="81" spans="2:13" x14ac:dyDescent="0.2">
      <c r="B81" s="208" t="s">
        <v>1055</v>
      </c>
      <c r="C81" s="245">
        <v>25</v>
      </c>
      <c r="D81" s="214">
        <v>119691.25</v>
      </c>
      <c r="E81" s="212">
        <v>194</v>
      </c>
      <c r="F81" s="245">
        <f t="shared" si="18"/>
        <v>616.96520618556701</v>
      </c>
      <c r="G81" s="217"/>
      <c r="H81" s="245">
        <f t="shared" si="19"/>
        <v>8593.330945265534</v>
      </c>
      <c r="I81" s="245">
        <f t="shared" si="20"/>
        <v>13.928388277184119</v>
      </c>
      <c r="J81" s="245">
        <f t="shared" si="21"/>
        <v>348.20970692960299</v>
      </c>
      <c r="K81" s="245"/>
      <c r="L81" s="236">
        <f t="shared" si="23"/>
        <v>1</v>
      </c>
      <c r="M81" s="217">
        <f t="shared" si="22"/>
        <v>194</v>
      </c>
    </row>
    <row r="82" spans="2:13" x14ac:dyDescent="0.2">
      <c r="B82" s="208" t="s">
        <v>1056</v>
      </c>
      <c r="C82" s="245">
        <v>37.5</v>
      </c>
      <c r="D82" s="214">
        <v>240427.08</v>
      </c>
      <c r="E82" s="212">
        <v>252</v>
      </c>
      <c r="F82" s="245">
        <f t="shared" si="18"/>
        <v>954.07571428571418</v>
      </c>
      <c r="G82" s="217"/>
      <c r="H82" s="245">
        <f t="shared" si="19"/>
        <v>15145.482431557884</v>
      </c>
      <c r="I82" s="245">
        <f t="shared" si="20"/>
        <v>15.874507866387544</v>
      </c>
      <c r="J82" s="245">
        <f t="shared" si="21"/>
        <v>595.29404498953295</v>
      </c>
      <c r="K82" s="245"/>
      <c r="L82" s="236">
        <f t="shared" si="23"/>
        <v>1</v>
      </c>
      <c r="M82" s="217">
        <f t="shared" si="22"/>
        <v>252</v>
      </c>
    </row>
    <row r="83" spans="2:13" x14ac:dyDescent="0.2">
      <c r="B83" s="208" t="s">
        <v>1057</v>
      </c>
      <c r="C83" s="245">
        <v>50</v>
      </c>
      <c r="D83" s="214">
        <v>473272.95</v>
      </c>
      <c r="E83" s="212">
        <v>509</v>
      </c>
      <c r="F83" s="245">
        <f t="shared" si="18"/>
        <v>929.80933202357562</v>
      </c>
      <c r="G83" s="217"/>
      <c r="H83" s="245">
        <f t="shared" si="19"/>
        <v>20977.454695561308</v>
      </c>
      <c r="I83" s="245">
        <f t="shared" si="20"/>
        <v>22.561028345356956</v>
      </c>
      <c r="J83" s="245">
        <f t="shared" si="21"/>
        <v>1128.0514172678477</v>
      </c>
      <c r="K83" s="245"/>
      <c r="L83" s="236">
        <f t="shared" si="23"/>
        <v>1</v>
      </c>
      <c r="M83" s="217">
        <f t="shared" si="22"/>
        <v>509</v>
      </c>
    </row>
    <row r="84" spans="2:13" x14ac:dyDescent="0.2">
      <c r="B84" s="208" t="s">
        <v>1058</v>
      </c>
      <c r="C84" s="245">
        <v>50</v>
      </c>
      <c r="D84" s="214">
        <v>26990.44</v>
      </c>
      <c r="E84" s="212">
        <v>35</v>
      </c>
      <c r="F84" s="245">
        <f t="shared" si="18"/>
        <v>771.1554285714285</v>
      </c>
      <c r="G84" s="217"/>
      <c r="H84" s="245">
        <f t="shared" si="19"/>
        <v>4562.2170405989482</v>
      </c>
      <c r="I84" s="245">
        <f t="shared" si="20"/>
        <v>5.9160797830996161</v>
      </c>
      <c r="J84" s="245">
        <f t="shared" si="21"/>
        <v>295.8039891549808</v>
      </c>
      <c r="K84" s="245"/>
      <c r="L84" s="236">
        <f t="shared" si="23"/>
        <v>1</v>
      </c>
      <c r="M84" s="217">
        <f t="shared" si="22"/>
        <v>35</v>
      </c>
    </row>
    <row r="85" spans="2:13" x14ac:dyDescent="0.2">
      <c r="B85" s="208" t="s">
        <v>1059</v>
      </c>
      <c r="C85" s="245">
        <v>1.5</v>
      </c>
      <c r="D85" s="214">
        <v>8195.52</v>
      </c>
      <c r="E85" s="212">
        <v>114</v>
      </c>
      <c r="F85" s="245">
        <f t="shared" si="18"/>
        <v>71.890526315789472</v>
      </c>
      <c r="G85" s="217"/>
      <c r="H85" s="245">
        <f t="shared" si="19"/>
        <v>767.58077505340043</v>
      </c>
      <c r="I85" s="245">
        <f t="shared" si="20"/>
        <v>10.677078252031311</v>
      </c>
      <c r="J85" s="245">
        <f t="shared" si="21"/>
        <v>16.015617378046969</v>
      </c>
      <c r="K85" s="245"/>
      <c r="L85" s="236">
        <f t="shared" si="23"/>
        <v>1</v>
      </c>
      <c r="M85" s="217">
        <f t="shared" si="22"/>
        <v>114</v>
      </c>
    </row>
    <row r="86" spans="2:13" x14ac:dyDescent="0.2">
      <c r="B86" s="208" t="s">
        <v>1060</v>
      </c>
      <c r="C86" s="245">
        <v>3</v>
      </c>
      <c r="D86" s="214">
        <v>8762.65</v>
      </c>
      <c r="E86" s="212">
        <v>130</v>
      </c>
      <c r="F86" s="245">
        <f t="shared" si="18"/>
        <v>67.405000000000001</v>
      </c>
      <c r="G86" s="217"/>
      <c r="H86" s="245">
        <f t="shared" si="19"/>
        <v>768.53524528807395</v>
      </c>
      <c r="I86" s="245">
        <f t="shared" si="20"/>
        <v>11.401754250991379</v>
      </c>
      <c r="J86" s="245">
        <f t="shared" si="21"/>
        <v>34.205262752974136</v>
      </c>
      <c r="K86" s="245"/>
      <c r="L86" s="236">
        <f t="shared" si="23"/>
        <v>1</v>
      </c>
      <c r="M86" s="217">
        <f t="shared" si="22"/>
        <v>130</v>
      </c>
    </row>
    <row r="87" spans="2:13" x14ac:dyDescent="0.2">
      <c r="B87" s="208" t="s">
        <v>1061</v>
      </c>
      <c r="C87" s="245">
        <v>5</v>
      </c>
      <c r="D87" s="214">
        <v>33295.870000000003</v>
      </c>
      <c r="E87" s="212">
        <v>246</v>
      </c>
      <c r="F87" s="245">
        <f t="shared" si="18"/>
        <v>135.34906504065043</v>
      </c>
      <c r="G87" s="217"/>
      <c r="H87" s="245">
        <f t="shared" si="19"/>
        <v>2122.8671353184218</v>
      </c>
      <c r="I87" s="245">
        <f t="shared" si="20"/>
        <v>15.684387141358123</v>
      </c>
      <c r="J87" s="245">
        <f t="shared" si="21"/>
        <v>78.421935706790606</v>
      </c>
      <c r="K87" s="245"/>
      <c r="L87" s="236">
        <f t="shared" si="23"/>
        <v>1</v>
      </c>
      <c r="M87" s="217">
        <f t="shared" si="22"/>
        <v>246</v>
      </c>
    </row>
    <row r="88" spans="2:13" x14ac:dyDescent="0.2">
      <c r="B88" s="208" t="s">
        <v>1062</v>
      </c>
      <c r="C88" s="245">
        <v>7.5</v>
      </c>
      <c r="D88" s="214">
        <v>227.46</v>
      </c>
      <c r="E88" s="212">
        <v>2</v>
      </c>
      <c r="F88" s="245">
        <f t="shared" si="18"/>
        <v>113.73</v>
      </c>
      <c r="G88" s="217"/>
      <c r="H88" s="245">
        <f t="shared" si="19"/>
        <v>160.83850844869212</v>
      </c>
      <c r="I88" s="245">
        <f t="shared" si="20"/>
        <v>1.4142135623730951</v>
      </c>
      <c r="J88" s="245">
        <f t="shared" si="21"/>
        <v>10.606601717798213</v>
      </c>
      <c r="K88" s="245"/>
      <c r="L88" s="236">
        <f t="shared" si="23"/>
        <v>1</v>
      </c>
      <c r="M88" s="217">
        <f t="shared" si="22"/>
        <v>2</v>
      </c>
    </row>
    <row r="89" spans="2:13" x14ac:dyDescent="0.2">
      <c r="B89" s="208" t="s">
        <v>1063</v>
      </c>
      <c r="C89" s="245">
        <v>10</v>
      </c>
      <c r="D89" s="214">
        <v>890204.56</v>
      </c>
      <c r="E89" s="212">
        <v>2994</v>
      </c>
      <c r="F89" s="245">
        <f t="shared" si="18"/>
        <v>297.32951235804944</v>
      </c>
      <c r="G89" s="217"/>
      <c r="H89" s="245">
        <f t="shared" si="19"/>
        <v>16269.114534101478</v>
      </c>
      <c r="I89" s="245">
        <f t="shared" si="20"/>
        <v>54.717456081217811</v>
      </c>
      <c r="J89" s="245">
        <f t="shared" si="21"/>
        <v>547.17456081217813</v>
      </c>
      <c r="K89" s="245"/>
      <c r="L89" s="236">
        <f t="shared" si="23"/>
        <v>1</v>
      </c>
      <c r="M89" s="217">
        <f t="shared" si="22"/>
        <v>2994</v>
      </c>
    </row>
    <row r="90" spans="2:13" x14ac:dyDescent="0.2">
      <c r="B90" s="208" t="s">
        <v>1064</v>
      </c>
      <c r="C90" s="245">
        <v>15</v>
      </c>
      <c r="D90" s="214">
        <v>1835553.92</v>
      </c>
      <c r="E90" s="212">
        <v>3214</v>
      </c>
      <c r="F90" s="245">
        <f t="shared" si="18"/>
        <v>571.11198506533913</v>
      </c>
      <c r="G90" s="217"/>
      <c r="H90" s="245">
        <f t="shared" si="19"/>
        <v>32377.566970754066</v>
      </c>
      <c r="I90" s="245">
        <f t="shared" si="20"/>
        <v>56.692151132233462</v>
      </c>
      <c r="J90" s="245">
        <f t="shared" si="21"/>
        <v>850.38226698350195</v>
      </c>
      <c r="K90" s="245"/>
      <c r="L90" s="236">
        <f t="shared" si="23"/>
        <v>1</v>
      </c>
      <c r="M90" s="217">
        <f t="shared" si="22"/>
        <v>3214</v>
      </c>
    </row>
    <row r="91" spans="2:13" x14ac:dyDescent="0.2">
      <c r="B91" s="208" t="s">
        <v>1065</v>
      </c>
      <c r="C91" s="245">
        <v>25</v>
      </c>
      <c r="D91" s="214">
        <v>1612738.47</v>
      </c>
      <c r="E91" s="212">
        <v>2241</v>
      </c>
      <c r="F91" s="245">
        <f t="shared" ref="F91" si="29">D91/E91</f>
        <v>719.65125836680056</v>
      </c>
      <c r="G91" s="217"/>
      <c r="H91" s="245">
        <f t="shared" ref="H91" si="30">F91*E91^0.5</f>
        <v>34067.715939758105</v>
      </c>
      <c r="I91" s="245">
        <f t="shared" ref="I91" si="31">E91^0.5</f>
        <v>47.339201514178498</v>
      </c>
      <c r="J91" s="245">
        <f t="shared" ref="J91" si="32">C91*E91^0.5</f>
        <v>1183.4800378544624</v>
      </c>
      <c r="K91" s="245"/>
      <c r="L91" s="236">
        <f t="shared" ref="L91" si="33">IF(C91&gt;50,0,1)</f>
        <v>1</v>
      </c>
      <c r="M91" s="217">
        <f t="shared" ref="M91" si="34">L91*E91</f>
        <v>2241</v>
      </c>
    </row>
    <row r="92" spans="2:13" x14ac:dyDescent="0.2">
      <c r="B92" s="208" t="s">
        <v>1098</v>
      </c>
      <c r="C92" s="245">
        <v>37.5</v>
      </c>
      <c r="D92" s="214">
        <v>5005</v>
      </c>
      <c r="E92" s="212">
        <v>5</v>
      </c>
      <c r="F92" s="245">
        <f t="shared" si="18"/>
        <v>1001</v>
      </c>
      <c r="G92" s="217"/>
      <c r="H92" s="245">
        <f t="shared" si="19"/>
        <v>2238.3040454772895</v>
      </c>
      <c r="I92" s="245">
        <f t="shared" si="20"/>
        <v>2.2360679774997898</v>
      </c>
      <c r="J92" s="245">
        <f t="shared" si="21"/>
        <v>83.852549156242119</v>
      </c>
      <c r="K92" s="245"/>
      <c r="L92" s="236">
        <f t="shared" si="23"/>
        <v>1</v>
      </c>
      <c r="M92" s="217">
        <f t="shared" si="22"/>
        <v>5</v>
      </c>
    </row>
    <row r="93" spans="2:13" x14ac:dyDescent="0.2">
      <c r="B93" s="208" t="s">
        <v>1066</v>
      </c>
      <c r="C93" s="245">
        <v>25</v>
      </c>
      <c r="D93" s="214">
        <v>35060.36</v>
      </c>
      <c r="E93" s="212">
        <v>18</v>
      </c>
      <c r="F93" s="245">
        <f t="shared" si="18"/>
        <v>1947.7977777777778</v>
      </c>
      <c r="G93" s="217"/>
      <c r="H93" s="245">
        <f t="shared" si="19"/>
        <v>8263.8061022805268</v>
      </c>
      <c r="I93" s="245">
        <f t="shared" si="20"/>
        <v>4.2426406871192848</v>
      </c>
      <c r="J93" s="245">
        <f t="shared" si="21"/>
        <v>106.06601717798212</v>
      </c>
      <c r="K93" s="245"/>
      <c r="L93" s="236">
        <f t="shared" si="23"/>
        <v>1</v>
      </c>
      <c r="M93" s="217">
        <f t="shared" si="22"/>
        <v>18</v>
      </c>
    </row>
    <row r="94" spans="2:13" x14ac:dyDescent="0.2">
      <c r="B94" s="208" t="s">
        <v>1067</v>
      </c>
      <c r="C94" s="245">
        <v>50</v>
      </c>
      <c r="D94" s="214">
        <v>17700</v>
      </c>
      <c r="E94" s="212">
        <v>8</v>
      </c>
      <c r="F94" s="245">
        <f t="shared" si="18"/>
        <v>2212.5</v>
      </c>
      <c r="G94" s="217"/>
      <c r="H94" s="245">
        <f t="shared" si="19"/>
        <v>6257.8950135009463</v>
      </c>
      <c r="I94" s="245">
        <f t="shared" si="20"/>
        <v>2.8284271247461903</v>
      </c>
      <c r="J94" s="245">
        <f t="shared" si="21"/>
        <v>141.42135623730951</v>
      </c>
      <c r="K94" s="245"/>
      <c r="L94" s="236">
        <f t="shared" si="23"/>
        <v>1</v>
      </c>
      <c r="M94" s="217">
        <f t="shared" si="22"/>
        <v>8</v>
      </c>
    </row>
    <row r="95" spans="2:13" x14ac:dyDescent="0.2">
      <c r="B95" s="208" t="s">
        <v>1068</v>
      </c>
      <c r="C95" s="245">
        <v>75</v>
      </c>
      <c r="D95" s="214">
        <v>71664.009999999995</v>
      </c>
      <c r="E95" s="212">
        <v>55</v>
      </c>
      <c r="F95" s="245">
        <f t="shared" si="18"/>
        <v>1302.982</v>
      </c>
      <c r="G95" s="217"/>
      <c r="H95" s="245">
        <f t="shared" si="19"/>
        <v>9663.1731371128808</v>
      </c>
      <c r="I95" s="245">
        <f t="shared" si="20"/>
        <v>7.416198487095663</v>
      </c>
      <c r="J95" s="245">
        <f t="shared" si="21"/>
        <v>556.21488653217477</v>
      </c>
      <c r="K95" s="245"/>
      <c r="L95" s="236">
        <f t="shared" si="23"/>
        <v>0</v>
      </c>
      <c r="M95" s="217">
        <f t="shared" si="22"/>
        <v>0</v>
      </c>
    </row>
    <row r="96" spans="2:13" x14ac:dyDescent="0.2">
      <c r="B96" s="208" t="s">
        <v>1069</v>
      </c>
      <c r="C96" s="245">
        <v>100</v>
      </c>
      <c r="D96" s="214">
        <v>100751.28</v>
      </c>
      <c r="E96" s="212">
        <v>60</v>
      </c>
      <c r="F96" s="245">
        <f t="shared" si="18"/>
        <v>1679.1879999999999</v>
      </c>
      <c r="G96" s="217"/>
      <c r="H96" s="245">
        <f t="shared" si="19"/>
        <v>13006.934318302679</v>
      </c>
      <c r="I96" s="245">
        <f t="shared" si="20"/>
        <v>7.745966692414834</v>
      </c>
      <c r="J96" s="245">
        <f t="shared" si="21"/>
        <v>774.59666924148337</v>
      </c>
      <c r="K96" s="245"/>
      <c r="L96" s="236">
        <f t="shared" si="23"/>
        <v>0</v>
      </c>
      <c r="M96" s="217">
        <f t="shared" si="22"/>
        <v>0</v>
      </c>
    </row>
    <row r="97" spans="2:13" x14ac:dyDescent="0.2">
      <c r="B97" s="208" t="s">
        <v>1070</v>
      </c>
      <c r="C97" s="245">
        <v>167</v>
      </c>
      <c r="D97" s="214">
        <v>136015.07999999999</v>
      </c>
      <c r="E97" s="212">
        <v>63</v>
      </c>
      <c r="F97" s="245">
        <f t="shared" si="18"/>
        <v>2158.9695238095237</v>
      </c>
      <c r="H97" s="245">
        <f t="shared" si="19"/>
        <v>17136.289344502628</v>
      </c>
      <c r="I97" s="245">
        <f t="shared" si="20"/>
        <v>7.9372539331937721</v>
      </c>
      <c r="J97" s="245">
        <f t="shared" si="21"/>
        <v>1325.52140684336</v>
      </c>
      <c r="K97" s="245"/>
      <c r="L97" s="236">
        <f t="shared" si="23"/>
        <v>0</v>
      </c>
      <c r="M97" s="217">
        <f t="shared" si="22"/>
        <v>0</v>
      </c>
    </row>
    <row r="98" spans="2:13" x14ac:dyDescent="0.2">
      <c r="B98" s="208" t="s">
        <v>1071</v>
      </c>
      <c r="C98" s="245">
        <v>225</v>
      </c>
      <c r="D98" s="214">
        <v>3572</v>
      </c>
      <c r="E98" s="212">
        <v>1</v>
      </c>
      <c r="F98" s="245">
        <f t="shared" si="18"/>
        <v>3572</v>
      </c>
      <c r="G98" s="217"/>
      <c r="H98" s="245">
        <f t="shared" si="19"/>
        <v>3572</v>
      </c>
      <c r="I98" s="245">
        <f t="shared" si="20"/>
        <v>1</v>
      </c>
      <c r="J98" s="245">
        <f t="shared" si="21"/>
        <v>225</v>
      </c>
      <c r="K98" s="245"/>
      <c r="L98" s="236">
        <f t="shared" si="23"/>
        <v>0</v>
      </c>
      <c r="M98" s="217">
        <f t="shared" si="22"/>
        <v>0</v>
      </c>
    </row>
    <row r="99" spans="2:13" x14ac:dyDescent="0.2">
      <c r="B99" s="208" t="s">
        <v>1072</v>
      </c>
      <c r="C99" s="245">
        <v>225</v>
      </c>
      <c r="D99" s="214">
        <v>60505.8</v>
      </c>
      <c r="E99" s="212">
        <v>19</v>
      </c>
      <c r="F99" s="245">
        <f t="shared" si="18"/>
        <v>3184.5157894736844</v>
      </c>
      <c r="G99" s="217"/>
      <c r="H99" s="245">
        <f t="shared" si="19"/>
        <v>13880.982510425438</v>
      </c>
      <c r="I99" s="245">
        <f t="shared" si="20"/>
        <v>4.358898943540674</v>
      </c>
      <c r="J99" s="245">
        <f t="shared" si="21"/>
        <v>980.75226229665168</v>
      </c>
      <c r="K99" s="245"/>
      <c r="L99" s="236">
        <f t="shared" si="23"/>
        <v>0</v>
      </c>
      <c r="M99" s="217">
        <f t="shared" si="22"/>
        <v>0</v>
      </c>
    </row>
    <row r="100" spans="2:13" x14ac:dyDescent="0.2">
      <c r="B100" s="208" t="s">
        <v>1073</v>
      </c>
      <c r="C100" s="245">
        <v>500</v>
      </c>
      <c r="D100" s="214">
        <v>88138.41</v>
      </c>
      <c r="E100" s="212">
        <v>17</v>
      </c>
      <c r="F100" s="245">
        <f t="shared" si="18"/>
        <v>5184.6123529411771</v>
      </c>
      <c r="G100" s="217"/>
      <c r="H100" s="245">
        <f t="shared" si="19"/>
        <v>21376.704359058582</v>
      </c>
      <c r="I100" s="245">
        <f t="shared" si="20"/>
        <v>4.1231056256176606</v>
      </c>
      <c r="J100" s="245">
        <f t="shared" si="21"/>
        <v>2061.5528128088304</v>
      </c>
      <c r="K100" s="245"/>
      <c r="L100" s="236">
        <f t="shared" si="23"/>
        <v>0</v>
      </c>
      <c r="M100" s="217">
        <f t="shared" si="22"/>
        <v>0</v>
      </c>
    </row>
    <row r="101" spans="2:13" x14ac:dyDescent="0.2">
      <c r="B101" s="208" t="s">
        <v>1074</v>
      </c>
      <c r="C101" s="245">
        <v>833</v>
      </c>
      <c r="D101" s="214">
        <v>82071.62</v>
      </c>
      <c r="E101" s="212">
        <v>5</v>
      </c>
      <c r="F101" s="245">
        <f t="shared" si="18"/>
        <v>16414.324000000001</v>
      </c>
      <c r="G101" s="217"/>
      <c r="H101" s="245">
        <f t="shared" si="19"/>
        <v>36703.54426870626</v>
      </c>
      <c r="I101" s="245">
        <f t="shared" si="20"/>
        <v>2.2360679774997898</v>
      </c>
      <c r="J101" s="245">
        <f t="shared" si="21"/>
        <v>1862.6446252573248</v>
      </c>
      <c r="K101" s="245"/>
      <c r="L101" s="236">
        <f t="shared" si="23"/>
        <v>0</v>
      </c>
      <c r="M101" s="217">
        <f t="shared" si="22"/>
        <v>0</v>
      </c>
    </row>
    <row r="102" spans="2:13" x14ac:dyDescent="0.2">
      <c r="B102" s="208" t="s">
        <v>1075</v>
      </c>
      <c r="C102" s="245">
        <v>100</v>
      </c>
      <c r="D102" s="214">
        <v>13579.42</v>
      </c>
      <c r="E102" s="212">
        <v>3</v>
      </c>
      <c r="F102" s="245">
        <f t="shared" si="18"/>
        <v>4526.4733333333334</v>
      </c>
      <c r="H102" s="245">
        <f t="shared" si="19"/>
        <v>7840.0817924389876</v>
      </c>
      <c r="I102" s="245">
        <f t="shared" si="20"/>
        <v>1.7320508075688772</v>
      </c>
      <c r="J102" s="245">
        <f t="shared" si="21"/>
        <v>173.20508075688772</v>
      </c>
      <c r="K102" s="245"/>
      <c r="L102" s="236">
        <f t="shared" si="23"/>
        <v>0</v>
      </c>
      <c r="M102" s="217">
        <f t="shared" si="22"/>
        <v>0</v>
      </c>
    </row>
    <row r="103" spans="2:13" x14ac:dyDescent="0.2">
      <c r="B103" s="208" t="s">
        <v>1076</v>
      </c>
      <c r="C103" s="245">
        <v>75</v>
      </c>
      <c r="D103" s="214">
        <v>10892</v>
      </c>
      <c r="E103" s="212">
        <v>2</v>
      </c>
      <c r="F103" s="245">
        <f t="shared" si="18"/>
        <v>5446</v>
      </c>
      <c r="G103" s="259"/>
      <c r="H103" s="245">
        <f t="shared" si="19"/>
        <v>7701.8070606838764</v>
      </c>
      <c r="I103" s="245">
        <f t="shared" si="20"/>
        <v>1.4142135623730951</v>
      </c>
      <c r="J103" s="245">
        <f t="shared" si="21"/>
        <v>106.06601717798213</v>
      </c>
      <c r="K103" s="245"/>
      <c r="L103" s="236">
        <f t="shared" si="23"/>
        <v>0</v>
      </c>
      <c r="M103" s="217">
        <f t="shared" si="22"/>
        <v>0</v>
      </c>
    </row>
    <row r="104" spans="2:13" x14ac:dyDescent="0.2">
      <c r="B104" s="208" t="s">
        <v>1077</v>
      </c>
      <c r="C104" s="245">
        <v>300</v>
      </c>
      <c r="D104" s="214">
        <v>28959.33</v>
      </c>
      <c r="E104" s="212">
        <v>2</v>
      </c>
      <c r="F104" s="245">
        <f t="shared" si="18"/>
        <v>14479.665000000001</v>
      </c>
      <c r="G104" s="217"/>
      <c r="H104" s="245">
        <f t="shared" si="19"/>
        <v>20477.338621619023</v>
      </c>
      <c r="I104" s="245">
        <f t="shared" si="20"/>
        <v>1.4142135623730951</v>
      </c>
      <c r="J104" s="245">
        <f t="shared" si="21"/>
        <v>424.26406871192853</v>
      </c>
      <c r="K104" s="245"/>
      <c r="L104" s="236">
        <f t="shared" si="23"/>
        <v>0</v>
      </c>
      <c r="M104" s="217">
        <f t="shared" si="22"/>
        <v>0</v>
      </c>
    </row>
    <row r="105" spans="2:13" x14ac:dyDescent="0.2">
      <c r="B105" s="208" t="s">
        <v>1078</v>
      </c>
      <c r="C105" s="245">
        <v>1500</v>
      </c>
      <c r="D105" s="214">
        <v>17991</v>
      </c>
      <c r="E105" s="212">
        <v>1</v>
      </c>
      <c r="F105" s="245">
        <f t="shared" si="18"/>
        <v>17991</v>
      </c>
      <c r="H105" s="245">
        <f t="shared" ref="H105:H106" si="35">F105*E105^0.5</f>
        <v>17991</v>
      </c>
      <c r="I105" s="245">
        <f t="shared" ref="I105:I106" si="36">E105^0.5</f>
        <v>1</v>
      </c>
      <c r="J105" s="245">
        <f t="shared" ref="J105:J106" si="37">C105*E105^0.5</f>
        <v>1500</v>
      </c>
      <c r="K105" s="245"/>
      <c r="L105" s="236">
        <f t="shared" si="23"/>
        <v>0</v>
      </c>
      <c r="M105" s="217">
        <f t="shared" ref="M105:M106" si="38">L105*E105</f>
        <v>0</v>
      </c>
    </row>
    <row r="106" spans="2:13" x14ac:dyDescent="0.2">
      <c r="B106" s="208" t="s">
        <v>1079</v>
      </c>
      <c r="C106" s="245">
        <v>225</v>
      </c>
      <c r="D106" s="214">
        <v>6967</v>
      </c>
      <c r="E106" s="212">
        <v>1</v>
      </c>
      <c r="F106" s="245">
        <f t="shared" si="18"/>
        <v>6967</v>
      </c>
      <c r="G106" s="217"/>
      <c r="H106" s="245">
        <f t="shared" si="35"/>
        <v>6967</v>
      </c>
      <c r="I106" s="245">
        <f t="shared" si="36"/>
        <v>1</v>
      </c>
      <c r="J106" s="245">
        <f t="shared" si="37"/>
        <v>225</v>
      </c>
      <c r="K106" s="245"/>
      <c r="L106" s="236">
        <f t="shared" si="23"/>
        <v>0</v>
      </c>
      <c r="M106" s="217">
        <f t="shared" si="38"/>
        <v>0</v>
      </c>
    </row>
    <row r="107" spans="2:13" x14ac:dyDescent="0.2">
      <c r="B107" s="208" t="s">
        <v>1080</v>
      </c>
      <c r="C107" s="245">
        <v>150</v>
      </c>
      <c r="D107" s="214">
        <v>15806.52</v>
      </c>
      <c r="E107" s="212">
        <v>2</v>
      </c>
      <c r="F107" s="245">
        <f t="shared" si="18"/>
        <v>7903.26</v>
      </c>
      <c r="G107" s="217"/>
      <c r="H107" s="245">
        <f t="shared" si="19"/>
        <v>11176.897478960789</v>
      </c>
      <c r="I107" s="245">
        <f t="shared" si="20"/>
        <v>1.4142135623730951</v>
      </c>
      <c r="J107" s="245">
        <f t="shared" si="21"/>
        <v>212.13203435596427</v>
      </c>
      <c r="K107" s="245"/>
      <c r="L107" s="236">
        <f t="shared" si="23"/>
        <v>0</v>
      </c>
      <c r="M107" s="217">
        <f t="shared" si="22"/>
        <v>0</v>
      </c>
    </row>
    <row r="108" spans="2:13" x14ac:dyDescent="0.2">
      <c r="B108" s="247" t="s">
        <v>831</v>
      </c>
      <c r="D108" s="248">
        <f>SUM(D78:D107)</f>
        <v>6076168.7699999996</v>
      </c>
      <c r="E108" s="249">
        <f>SUM(E78:E107)</f>
        <v>10533</v>
      </c>
      <c r="M108" s="249">
        <f>SUM(M78:M107)</f>
        <v>10302</v>
      </c>
    </row>
    <row r="110" spans="2:13" x14ac:dyDescent="0.2">
      <c r="B110" s="239" t="s">
        <v>946</v>
      </c>
      <c r="H110" s="275" t="s">
        <v>947</v>
      </c>
      <c r="I110" s="275"/>
    </row>
    <row r="112" spans="2:13" x14ac:dyDescent="0.2">
      <c r="B112" s="208" t="s">
        <v>948</v>
      </c>
      <c r="D112" s="250">
        <f>H112</f>
        <v>14.3773056357124</v>
      </c>
      <c r="H112" s="250">
        <f t="array" ref="H112:I114">LINEST(H78:H97,I78:J97,FALSE,TRUE)</f>
        <v>14.3773056357124</v>
      </c>
      <c r="I112" s="250">
        <v>270.76168176796483</v>
      </c>
    </row>
    <row r="113" spans="2:12" x14ac:dyDescent="0.2">
      <c r="B113" s="208" t="s">
        <v>949</v>
      </c>
      <c r="D113" s="250">
        <f>I112</f>
        <v>270.76168176796483</v>
      </c>
      <c r="H113" s="250">
        <v>1.784001899698312</v>
      </c>
      <c r="I113" s="250">
        <v>46.134572978877102</v>
      </c>
    </row>
    <row r="114" spans="2:12" x14ac:dyDescent="0.2">
      <c r="B114" s="208" t="s">
        <v>950</v>
      </c>
      <c r="D114" s="234">
        <f>H114</f>
        <v>0.95528340797730293</v>
      </c>
      <c r="H114" s="250">
        <v>0.95528340797730293</v>
      </c>
      <c r="I114" s="250">
        <v>3140.6357710812972</v>
      </c>
    </row>
    <row r="115" spans="2:12" x14ac:dyDescent="0.2">
      <c r="H115" s="250"/>
      <c r="I115" s="250"/>
    </row>
    <row r="116" spans="2:12" x14ac:dyDescent="0.2">
      <c r="B116" s="251" t="s">
        <v>951</v>
      </c>
      <c r="C116" s="252"/>
    </row>
    <row r="117" spans="2:12" x14ac:dyDescent="0.2">
      <c r="C117" s="252"/>
      <c r="F117" s="260"/>
    </row>
    <row r="118" spans="2:12" x14ac:dyDescent="0.2">
      <c r="B118" s="208" t="s">
        <v>952</v>
      </c>
      <c r="C118" s="261" t="s">
        <v>968</v>
      </c>
      <c r="D118" s="217">
        <f>M108</f>
        <v>10302</v>
      </c>
      <c r="F118" s="260" t="s">
        <v>969</v>
      </c>
    </row>
    <row r="119" spans="2:12" x14ac:dyDescent="0.2">
      <c r="B119" s="208" t="s">
        <v>953</v>
      </c>
      <c r="C119" s="252"/>
      <c r="D119" s="214">
        <f>D113</f>
        <v>270.76168176796483</v>
      </c>
      <c r="E119" s="253"/>
      <c r="F119" s="260" t="s">
        <v>970</v>
      </c>
    </row>
    <row r="120" spans="2:12" x14ac:dyDescent="0.2">
      <c r="B120" s="208" t="s">
        <v>954</v>
      </c>
      <c r="C120" s="252"/>
      <c r="D120" s="214">
        <f>MIN(F78:F97)</f>
        <v>67.405000000000001</v>
      </c>
    </row>
    <row r="121" spans="2:12" x14ac:dyDescent="0.2">
      <c r="B121" s="208" t="s">
        <v>955</v>
      </c>
      <c r="C121" s="252"/>
      <c r="D121" s="254" t="s">
        <v>962</v>
      </c>
    </row>
    <row r="122" spans="2:12" x14ac:dyDescent="0.2">
      <c r="B122" s="208" t="s">
        <v>956</v>
      </c>
      <c r="C122" s="252"/>
      <c r="D122" s="231">
        <f>IF(D121="Z",D118*D119,D118*D120)</f>
        <v>2789386.8455735738</v>
      </c>
    </row>
    <row r="123" spans="2:12" x14ac:dyDescent="0.2">
      <c r="B123" s="208" t="s">
        <v>957</v>
      </c>
      <c r="C123" s="252"/>
      <c r="D123" s="231">
        <f>D108</f>
        <v>6076168.7699999996</v>
      </c>
    </row>
    <row r="124" spans="2:12" x14ac:dyDescent="0.2">
      <c r="B124" s="208" t="s">
        <v>958</v>
      </c>
      <c r="C124" s="252"/>
      <c r="D124" s="255">
        <f>D122/D123</f>
        <v>0.45907000795397163</v>
      </c>
    </row>
    <row r="125" spans="2:12" x14ac:dyDescent="0.2">
      <c r="B125" s="208" t="s">
        <v>959</v>
      </c>
      <c r="C125" s="252"/>
      <c r="D125" s="256">
        <f>D124</f>
        <v>0.45907000795397163</v>
      </c>
    </row>
    <row r="126" spans="2:12" x14ac:dyDescent="0.2">
      <c r="B126" s="208" t="s">
        <v>960</v>
      </c>
      <c r="C126" s="252"/>
      <c r="D126" s="257">
        <f>1-D125</f>
        <v>0.54092999204602843</v>
      </c>
    </row>
    <row r="128" spans="2:12" x14ac:dyDescent="0.2">
      <c r="B128" s="262" t="s">
        <v>831</v>
      </c>
      <c r="L128" s="208"/>
    </row>
    <row r="129" spans="1:12" x14ac:dyDescent="0.2">
      <c r="A129" s="235"/>
      <c r="L129" s="208"/>
    </row>
    <row r="130" spans="1:12" x14ac:dyDescent="0.2">
      <c r="A130" s="235"/>
      <c r="B130" s="262" t="s">
        <v>971</v>
      </c>
      <c r="C130" s="263" t="s">
        <v>972</v>
      </c>
      <c r="D130" s="264" t="s">
        <v>10</v>
      </c>
      <c r="E130" s="264" t="s">
        <v>12</v>
      </c>
      <c r="H130" s="263" t="s">
        <v>996</v>
      </c>
      <c r="L130" s="208"/>
    </row>
    <row r="131" spans="1:12" x14ac:dyDescent="0.2">
      <c r="B131" s="208" t="s">
        <v>200</v>
      </c>
      <c r="C131" s="236">
        <v>365</v>
      </c>
      <c r="D131" s="250">
        <f>D44</f>
        <v>0.63091437024006614</v>
      </c>
      <c r="E131" s="250">
        <f>D43</f>
        <v>0.36908562975993381</v>
      </c>
      <c r="G131" s="265"/>
      <c r="H131" s="266" t="str">
        <f>D39</f>
        <v>Z</v>
      </c>
      <c r="L131" s="208"/>
    </row>
    <row r="132" spans="1:12" x14ac:dyDescent="0.2">
      <c r="B132" s="208" t="s">
        <v>201</v>
      </c>
      <c r="C132" s="236">
        <v>367</v>
      </c>
      <c r="D132" s="250">
        <f>D72</f>
        <v>4.7273879996576063E-2</v>
      </c>
      <c r="E132" s="250">
        <f>D71</f>
        <v>0.95272612000342394</v>
      </c>
      <c r="G132" s="265"/>
      <c r="H132" s="266" t="str">
        <f>D67</f>
        <v>Z</v>
      </c>
      <c r="L132" s="208"/>
    </row>
    <row r="133" spans="1:12" x14ac:dyDescent="0.2">
      <c r="B133" s="208" t="s">
        <v>202</v>
      </c>
      <c r="C133" s="236">
        <v>368</v>
      </c>
      <c r="D133" s="250">
        <f>D126</f>
        <v>0.54092999204602843</v>
      </c>
      <c r="E133" s="250">
        <f>D125</f>
        <v>0.45907000795397163</v>
      </c>
      <c r="G133" s="265"/>
      <c r="H133" s="266" t="str">
        <f>D121</f>
        <v>Z</v>
      </c>
      <c r="L133" s="208"/>
    </row>
  </sheetData>
  <mergeCells count="4">
    <mergeCell ref="H28:I28"/>
    <mergeCell ref="H56:I56"/>
    <mergeCell ref="L75:M75"/>
    <mergeCell ref="H110:I110"/>
  </mergeCells>
  <pageMargins left="0.7" right="0.7" top="0.75" bottom="0.75" header="0.3" footer="0.3"/>
  <pageSetup scale="60" fitToHeight="3" orientation="landscape" r:id="rId1"/>
  <headerFooter>
    <oddFooter>&amp;RExhibit JW-8
Page &amp;P of &amp;N</oddFooter>
  </headerFooter>
  <rowBreaks count="2" manualBreakCount="2">
    <brk id="44" max="16383" man="1"/>
    <brk id="72" max="16383" man="1"/>
  </rowBreaks>
  <ignoredErrors>
    <ignoredError sqref="D31 D59 D11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13</vt:i4>
      </vt:variant>
    </vt:vector>
  </HeadingPairs>
  <TitlesOfParts>
    <vt:vector size="22" baseType="lpstr">
      <vt:lpstr>Summary of Returns</vt:lpstr>
      <vt:lpstr>Summary of Rates</vt:lpstr>
      <vt:lpstr>Func &amp; Classif</vt:lpstr>
      <vt:lpstr>Alloc &amp; Returns</vt:lpstr>
      <vt:lpstr>Billing Det</vt:lpstr>
      <vt:lpstr>Purchased Power</vt:lpstr>
      <vt:lpstr>Meters</vt:lpstr>
      <vt:lpstr>Services</vt:lpstr>
      <vt:lpstr>ZeroInt</vt:lpstr>
      <vt:lpstr>'Alloc &amp; Returns'!Print_Area</vt:lpstr>
      <vt:lpstr>'Billing Det'!Print_Area</vt:lpstr>
      <vt:lpstr>'Func &amp; Classif'!Print_Area</vt:lpstr>
      <vt:lpstr>Meters!Print_Area</vt:lpstr>
      <vt:lpstr>'Purchased Power'!Print_Area</vt:lpstr>
      <vt:lpstr>Services!Print_Area</vt:lpstr>
      <vt:lpstr>'Summary of Rates'!Print_Area</vt:lpstr>
      <vt:lpstr>'Summary of Returns'!Print_Area</vt:lpstr>
      <vt:lpstr>ZeroInt!Print_Area</vt:lpstr>
      <vt:lpstr>'Alloc &amp; Returns'!Print_Titles</vt:lpstr>
      <vt:lpstr>'Billing Det'!Print_Titles</vt:lpstr>
      <vt:lpstr>'Func &amp; Classif'!Print_Titles</vt:lpstr>
      <vt:lpstr>ZeroInt!Print_Titles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Wolfram</dc:creator>
  <cp:lastModifiedBy>John Wolfram</cp:lastModifiedBy>
  <cp:lastPrinted>2024-09-10T01:17:23Z</cp:lastPrinted>
  <dcterms:created xsi:type="dcterms:W3CDTF">1999-02-10T22:20:33Z</dcterms:created>
  <dcterms:modified xsi:type="dcterms:W3CDTF">2025-02-10T17:37:55Z</dcterms:modified>
</cp:coreProperties>
</file>