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d.docs.live.net/2ac385686f0d07d2/Documents/CATALYST Consulting/Clients/Big Sandy/2024 Rate Case 2024-00287/COS ^0 Rates/"/>
    </mc:Choice>
  </mc:AlternateContent>
  <xr:revisionPtr revIDLastSave="58" documentId="8_{686641DB-6BD4-48E0-8F46-20E2D9748A29}" xr6:coauthVersionLast="47" xr6:coauthVersionMax="47" xr10:uidLastSave="{42B903FA-2EEA-429E-976F-3FA8AC4EC904}"/>
  <bookViews>
    <workbookView xWindow="-120" yWindow="-120" windowWidth="29040" windowHeight="15720" tabRatio="701" xr2:uid="{00000000-000D-0000-FFFF-FFFF00000000}"/>
  </bookViews>
  <sheets>
    <sheet name="RevReq" sheetId="51" r:id="rId1"/>
    <sheet name="Adj List" sheetId="48" r:id="rId2"/>
    <sheet name="Adj BS" sheetId="50" r:id="rId3"/>
    <sheet name="Adj IS" sheetId="36" r:id="rId4"/>
    <sheet name="1.01 FAC" sheetId="6" r:id="rId5"/>
    <sheet name="1.02 ES" sheetId="17" r:id="rId6"/>
    <sheet name="1.03Depr" sheetId="39" r:id="rId7"/>
    <sheet name="1.04 GTCC" sheetId="31" r:id="rId8"/>
    <sheet name="1.05 Cust" sheetId="33" r:id="rId9"/>
    <sheet name="1.06 RC" sheetId="28" r:id="rId10"/>
    <sheet name="1.07 Donat&amp;Promo" sheetId="26" r:id="rId11"/>
    <sheet name="1.08 PROF" sheetId="32" r:id="rId12"/>
    <sheet name="1.09 DIR" sheetId="44" r:id="rId13"/>
    <sheet name="1.10 Wage" sheetId="65" r:id="rId14"/>
    <sheet name="1.11 LifeInsur" sheetId="66" r:id="rId15"/>
    <sheet name="1.12 Right of Way" sheetId="64" r:id="rId16"/>
    <sheet name="1.13 Interest" sheetId="68" r:id="rId17"/>
  </sheets>
  <definedNames>
    <definedName name="_xlnm.Print_Area" localSheetId="4">'1.01 FAC'!$A$1:$H$34</definedName>
    <definedName name="_xlnm.Print_Area" localSheetId="5">'1.02 ES'!$A$1:$H$34</definedName>
    <definedName name="_xlnm.Print_Area" localSheetId="6">'1.03Depr'!$A$1:$J$57</definedName>
    <definedName name="_xlnm.Print_Area" localSheetId="7">'1.04 GTCC'!$A$1:$E$18</definedName>
    <definedName name="_xlnm.Print_Area" localSheetId="8">'1.05 Cust'!$A$1:$J$59</definedName>
    <definedName name="_xlnm.Print_Area" localSheetId="9">'1.06 RC'!$A$1:$E$28</definedName>
    <definedName name="_xlnm.Print_Area" localSheetId="10">'1.07 Donat&amp;Promo'!$A$1:$H$23</definedName>
    <definedName name="_xlnm.Print_Area" localSheetId="11">'1.08 PROF'!$A$1:$G$24</definedName>
    <definedName name="_xlnm.Print_Area" localSheetId="12">'1.09 DIR'!$A$1:$G$330</definedName>
    <definedName name="_xlnm.Print_Area" localSheetId="13">'1.10 Wage'!$A$1:$Z$104</definedName>
    <definedName name="_xlnm.Print_Area" localSheetId="14">'1.11 LifeInsur'!$B$1:$I$63</definedName>
    <definedName name="_xlnm.Print_Area" localSheetId="15">'1.12 Right of Way'!$A$1:$C$31</definedName>
    <definedName name="_xlnm.Print_Area" localSheetId="16">'1.13 Interest'!$A$1:$J$64</definedName>
    <definedName name="_xlnm.Print_Area" localSheetId="2">'Adj BS'!$A$1:$F$63</definedName>
    <definedName name="_xlnm.Print_Area" localSheetId="3">'Adj IS'!$A$1:$U$41</definedName>
    <definedName name="_xlnm.Print_Area" localSheetId="1">'Adj List'!$A$1:$G$25</definedName>
    <definedName name="_xlnm.Print_Area" localSheetId="0">RevReq!$A$1:$F$54</definedName>
    <definedName name="_xlnm.Print_Titles" localSheetId="8">'1.05 Cust'!$1:$11</definedName>
    <definedName name="_xlnm.Print_Titles" localSheetId="10">'1.07 Donat&amp;Promo'!$1:$7</definedName>
    <definedName name="_xlnm.Print_Titles" localSheetId="12">'1.09 DIR'!$1:$8</definedName>
    <definedName name="_xlnm.Print_Titles" localSheetId="13">'1.10 Wage'!$1:$10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3" i="51" l="1"/>
  <c r="E15" i="48"/>
  <c r="F327" i="44"/>
  <c r="G324" i="44"/>
  <c r="G322" i="44"/>
  <c r="G321" i="44"/>
  <c r="G320" i="44"/>
  <c r="G319" i="44"/>
  <c r="G318" i="44"/>
  <c r="G317" i="44"/>
  <c r="G316" i="44"/>
  <c r="G313" i="44"/>
  <c r="G310" i="44"/>
  <c r="G309" i="44"/>
  <c r="G304" i="44"/>
  <c r="G303" i="44"/>
  <c r="G302" i="44"/>
  <c r="G293" i="44"/>
  <c r="G291" i="44"/>
  <c r="G290" i="44"/>
  <c r="G289" i="44"/>
  <c r="G288" i="44"/>
  <c r="G287" i="44"/>
  <c r="G286" i="44"/>
  <c r="G281" i="44"/>
  <c r="G276" i="44"/>
  <c r="G271" i="44"/>
  <c r="G267" i="44"/>
  <c r="G266" i="44"/>
  <c r="G265" i="44"/>
  <c r="G264" i="44"/>
  <c r="G261" i="44"/>
  <c r="G260" i="44"/>
  <c r="G259" i="44"/>
  <c r="G258" i="44"/>
  <c r="G257" i="44"/>
  <c r="G256" i="44"/>
  <c r="G245" i="44"/>
  <c r="G244" i="44"/>
  <c r="G243" i="44"/>
  <c r="G240" i="44"/>
  <c r="G239" i="44"/>
  <c r="G191" i="44"/>
  <c r="G190" i="44"/>
  <c r="G189" i="44"/>
  <c r="G95" i="44"/>
  <c r="G94" i="44"/>
  <c r="G79" i="44"/>
  <c r="G78" i="44"/>
  <c r="G77" i="44"/>
  <c r="G61" i="44"/>
  <c r="G60" i="44"/>
  <c r="G27" i="44"/>
  <c r="G26" i="44"/>
  <c r="G327" i="44" s="1"/>
  <c r="A13" i="44"/>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A72" i="44" s="1"/>
  <c r="A73" i="44" s="1"/>
  <c r="A74" i="44" s="1"/>
  <c r="A75" i="44" s="1"/>
  <c r="A76" i="44" s="1"/>
  <c r="A77" i="44" s="1"/>
  <c r="A78" i="44" s="1"/>
  <c r="A79" i="44" s="1"/>
  <c r="A80" i="44" s="1"/>
  <c r="A81" i="44" s="1"/>
  <c r="A82" i="44" s="1"/>
  <c r="A83" i="44" s="1"/>
  <c r="A84" i="44" s="1"/>
  <c r="A85" i="44" s="1"/>
  <c r="A86" i="44" s="1"/>
  <c r="A87" i="44" s="1"/>
  <c r="A88" i="44" s="1"/>
  <c r="A89" i="44" s="1"/>
  <c r="A90" i="44" s="1"/>
  <c r="A91" i="44" s="1"/>
  <c r="A92" i="44" s="1"/>
  <c r="A93" i="44" s="1"/>
  <c r="A94" i="44" s="1"/>
  <c r="A95" i="44" s="1"/>
  <c r="A96" i="44" s="1"/>
  <c r="A97" i="44" s="1"/>
  <c r="A98" i="44" s="1"/>
  <c r="A99" i="44" s="1"/>
  <c r="A100" i="44" s="1"/>
  <c r="A101" i="44" s="1"/>
  <c r="A102" i="44" s="1"/>
  <c r="A103" i="44" s="1"/>
  <c r="A104" i="44" s="1"/>
  <c r="A105" i="44" s="1"/>
  <c r="A106" i="44" s="1"/>
  <c r="A107" i="44" s="1"/>
  <c r="A108" i="44" s="1"/>
  <c r="A109" i="44" s="1"/>
  <c r="A110" i="44" s="1"/>
  <c r="A111" i="44" s="1"/>
  <c r="A112" i="44" s="1"/>
  <c r="A113" i="44" s="1"/>
  <c r="A114" i="44" s="1"/>
  <c r="A115" i="44" s="1"/>
  <c r="A116" i="44" s="1"/>
  <c r="A117" i="44" s="1"/>
  <c r="A118" i="44" s="1"/>
  <c r="A119" i="44" s="1"/>
  <c r="A120" i="44" s="1"/>
  <c r="A121" i="44" s="1"/>
  <c r="A122" i="44" s="1"/>
  <c r="A123" i="44" s="1"/>
  <c r="A124" i="44" s="1"/>
  <c r="A125" i="44" s="1"/>
  <c r="A126" i="44" s="1"/>
  <c r="A127" i="44" s="1"/>
  <c r="A128" i="44" s="1"/>
  <c r="A129" i="44" s="1"/>
  <c r="A130" i="44" s="1"/>
  <c r="A131" i="44" s="1"/>
  <c r="A132" i="44" s="1"/>
  <c r="A133" i="44" s="1"/>
  <c r="A134" i="44" s="1"/>
  <c r="A135" i="44" s="1"/>
  <c r="A136" i="44" s="1"/>
  <c r="A137" i="44" s="1"/>
  <c r="A138" i="44" s="1"/>
  <c r="A139" i="44" s="1"/>
  <c r="A140" i="44" s="1"/>
  <c r="A141" i="44" s="1"/>
  <c r="A142" i="44" s="1"/>
  <c r="A143" i="44" s="1"/>
  <c r="A144" i="44" s="1"/>
  <c r="A145" i="44" s="1"/>
  <c r="A146" i="44" s="1"/>
  <c r="A147" i="44" s="1"/>
  <c r="A148" i="44" s="1"/>
  <c r="A149" i="44" s="1"/>
  <c r="A150" i="44" s="1"/>
  <c r="A151" i="44" s="1"/>
  <c r="A152" i="44" s="1"/>
  <c r="A153" i="44" s="1"/>
  <c r="A154" i="44" s="1"/>
  <c r="A155" i="44" s="1"/>
  <c r="A156" i="44" s="1"/>
  <c r="A157" i="44" s="1"/>
  <c r="A158" i="44" s="1"/>
  <c r="A159" i="44" s="1"/>
  <c r="A160" i="44" s="1"/>
  <c r="A161" i="44" s="1"/>
  <c r="A162" i="44" s="1"/>
  <c r="A163" i="44" s="1"/>
  <c r="A164" i="44" s="1"/>
  <c r="A165" i="44" s="1"/>
  <c r="A166" i="44" s="1"/>
  <c r="A167" i="44" s="1"/>
  <c r="A168" i="44" s="1"/>
  <c r="A169" i="44" s="1"/>
  <c r="A170" i="44" s="1"/>
  <c r="A171" i="44" s="1"/>
  <c r="A172" i="44" s="1"/>
  <c r="A173" i="44" s="1"/>
  <c r="A174" i="44" s="1"/>
  <c r="A175" i="44" s="1"/>
  <c r="A176" i="44" s="1"/>
  <c r="A177" i="44" s="1"/>
  <c r="A178" i="44" s="1"/>
  <c r="A179" i="44" s="1"/>
  <c r="A180" i="44" s="1"/>
  <c r="A181" i="44" s="1"/>
  <c r="A182" i="44" s="1"/>
  <c r="A183" i="44" s="1"/>
  <c r="A184" i="44" s="1"/>
  <c r="A185" i="44" s="1"/>
  <c r="A186" i="44" s="1"/>
  <c r="A187" i="44" s="1"/>
  <c r="A188" i="44" s="1"/>
  <c r="A189" i="44" s="1"/>
  <c r="A190" i="44" s="1"/>
  <c r="A191" i="44" s="1"/>
  <c r="A192" i="44" s="1"/>
  <c r="A193" i="44" s="1"/>
  <c r="A194" i="44" s="1"/>
  <c r="A195" i="44" s="1"/>
  <c r="A196" i="44" s="1"/>
  <c r="A197" i="44" s="1"/>
  <c r="A198" i="44" s="1"/>
  <c r="A199" i="44" s="1"/>
  <c r="A200" i="44" s="1"/>
  <c r="A201" i="44" s="1"/>
  <c r="A202" i="44" s="1"/>
  <c r="A203" i="44" s="1"/>
  <c r="A204" i="44" s="1"/>
  <c r="A205" i="44" s="1"/>
  <c r="A206" i="44" s="1"/>
  <c r="A207" i="44" s="1"/>
  <c r="A208" i="44" s="1"/>
  <c r="A209" i="44" s="1"/>
  <c r="A210" i="44" s="1"/>
  <c r="A211" i="44" s="1"/>
  <c r="A212" i="44" s="1"/>
  <c r="A213" i="44" s="1"/>
  <c r="A214" i="44" s="1"/>
  <c r="A215" i="44" s="1"/>
  <c r="A216" i="44" s="1"/>
  <c r="A217" i="44" s="1"/>
  <c r="A218" i="44" s="1"/>
  <c r="A219" i="44" s="1"/>
  <c r="A220" i="44" s="1"/>
  <c r="A221" i="44" s="1"/>
  <c r="A222" i="44" s="1"/>
  <c r="A223" i="44" s="1"/>
  <c r="A224" i="44" s="1"/>
  <c r="A225" i="44" s="1"/>
  <c r="A226" i="44" s="1"/>
  <c r="A227" i="44" s="1"/>
  <c r="A228" i="44" s="1"/>
  <c r="A229" i="44" s="1"/>
  <c r="A230" i="44" s="1"/>
  <c r="A231" i="44" s="1"/>
  <c r="A232" i="44" s="1"/>
  <c r="A233" i="44" s="1"/>
  <c r="A234" i="44" s="1"/>
  <c r="A235" i="44" s="1"/>
  <c r="A236" i="44" s="1"/>
  <c r="A237" i="44" s="1"/>
  <c r="A238" i="44" s="1"/>
  <c r="A239" i="44" s="1"/>
  <c r="A240" i="44" s="1"/>
  <c r="A241" i="44" s="1"/>
  <c r="A242" i="44" s="1"/>
  <c r="A243" i="44" s="1"/>
  <c r="A244" i="44" s="1"/>
  <c r="A245" i="44" s="1"/>
  <c r="A246" i="44" s="1"/>
  <c r="A247" i="44" s="1"/>
  <c r="A248" i="44" s="1"/>
  <c r="A249" i="44" s="1"/>
  <c r="A250" i="44" s="1"/>
  <c r="A251" i="44" s="1"/>
  <c r="A252" i="44" s="1"/>
  <c r="A253" i="44" s="1"/>
  <c r="A254" i="44" s="1"/>
  <c r="A255" i="44" s="1"/>
  <c r="A256" i="44" s="1"/>
  <c r="A257" i="44" s="1"/>
  <c r="A258" i="44" s="1"/>
  <c r="A259" i="44" s="1"/>
  <c r="A260" i="44" s="1"/>
  <c r="A261" i="44" s="1"/>
  <c r="A262" i="44" s="1"/>
  <c r="A263" i="44" s="1"/>
  <c r="A264" i="44" s="1"/>
  <c r="A265" i="44" s="1"/>
  <c r="A266" i="44" s="1"/>
  <c r="A267" i="44" s="1"/>
  <c r="A268" i="44" s="1"/>
  <c r="A269" i="44" s="1"/>
  <c r="A270" i="44" s="1"/>
  <c r="A271" i="44" s="1"/>
  <c r="A272" i="44" s="1"/>
  <c r="A273" i="44" s="1"/>
  <c r="A274" i="44" s="1"/>
  <c r="A275" i="44" s="1"/>
  <c r="A276" i="44" s="1"/>
  <c r="A277" i="44" s="1"/>
  <c r="A278" i="44" s="1"/>
  <c r="A279" i="44" s="1"/>
  <c r="A280" i="44" s="1"/>
  <c r="A281" i="44" s="1"/>
  <c r="A282" i="44" s="1"/>
  <c r="A283" i="44" s="1"/>
  <c r="A284" i="44" s="1"/>
  <c r="A285" i="44" s="1"/>
  <c r="A286" i="44" s="1"/>
  <c r="A287" i="44" s="1"/>
  <c r="A288" i="44" s="1"/>
  <c r="A289" i="44" s="1"/>
  <c r="A290" i="44" s="1"/>
  <c r="A291" i="44" s="1"/>
  <c r="A292" i="44" s="1"/>
  <c r="A293" i="44" s="1"/>
  <c r="A294" i="44" s="1"/>
  <c r="A295" i="44" s="1"/>
  <c r="A296" i="44" s="1"/>
  <c r="A297" i="44" s="1"/>
  <c r="A298" i="44" s="1"/>
  <c r="A299" i="44" s="1"/>
  <c r="A300" i="44" s="1"/>
  <c r="A301" i="44" s="1"/>
  <c r="A302" i="44" s="1"/>
  <c r="A303" i="44" s="1"/>
  <c r="A304" i="44" s="1"/>
  <c r="A305" i="44" s="1"/>
  <c r="A306" i="44" s="1"/>
  <c r="A307" i="44" s="1"/>
  <c r="A308" i="44" s="1"/>
  <c r="A309" i="44" s="1"/>
  <c r="A310" i="44" s="1"/>
  <c r="A311" i="44" s="1"/>
  <c r="A312" i="44" s="1"/>
  <c r="A313" i="44" s="1"/>
  <c r="A314" i="44" s="1"/>
  <c r="A315" i="44" s="1"/>
  <c r="A316" i="44" s="1"/>
  <c r="A317" i="44" s="1"/>
  <c r="A318" i="44" s="1"/>
  <c r="A319" i="44" s="1"/>
  <c r="A320" i="44" s="1"/>
  <c r="A321" i="44" s="1"/>
  <c r="A322" i="44" s="1"/>
  <c r="A323" i="44" s="1"/>
  <c r="A324" i="44" s="1"/>
  <c r="A325" i="44" s="1"/>
  <c r="A326" i="44" s="1"/>
  <c r="A327" i="44" s="1"/>
  <c r="E16" i="48"/>
  <c r="L145" i="65"/>
  <c r="L144" i="65"/>
  <c r="L146" i="65" s="1"/>
  <c r="L141" i="65"/>
  <c r="L140" i="65"/>
  <c r="L139" i="65"/>
  <c r="L137" i="65"/>
  <c r="L124" i="65"/>
  <c r="L101" i="65"/>
  <c r="L100" i="65"/>
  <c r="L99" i="65"/>
  <c r="L98" i="65"/>
  <c r="K102" i="65" s="1"/>
  <c r="L95" i="65"/>
  <c r="L94" i="65"/>
  <c r="L93" i="65"/>
  <c r="L91" i="65"/>
  <c r="O81" i="65"/>
  <c r="P79" i="65"/>
  <c r="O79" i="65"/>
  <c r="N79" i="65"/>
  <c r="M79" i="65"/>
  <c r="L79" i="65"/>
  <c r="J79" i="65"/>
  <c r="I79" i="65"/>
  <c r="H79" i="65"/>
  <c r="C79" i="65"/>
  <c r="X78" i="65"/>
  <c r="Z78" i="65" s="1"/>
  <c r="W78" i="65"/>
  <c r="V78" i="65"/>
  <c r="W77" i="65"/>
  <c r="V77" i="65"/>
  <c r="U77" i="65"/>
  <c r="T77" i="65"/>
  <c r="X77" i="65" s="1"/>
  <c r="Z77" i="65" s="1"/>
  <c r="P77" i="65"/>
  <c r="W76" i="65"/>
  <c r="W79" i="65" s="1"/>
  <c r="V76" i="65"/>
  <c r="V79" i="65" s="1"/>
  <c r="U76" i="65"/>
  <c r="T76" i="65"/>
  <c r="P76" i="65"/>
  <c r="W73" i="65"/>
  <c r="O73" i="65"/>
  <c r="N73" i="65"/>
  <c r="M73" i="65"/>
  <c r="J73" i="65"/>
  <c r="I73" i="65"/>
  <c r="I81" i="65" s="1"/>
  <c r="H73" i="65"/>
  <c r="C73" i="65"/>
  <c r="W72" i="65"/>
  <c r="V72" i="65"/>
  <c r="U72" i="65"/>
  <c r="T72" i="65"/>
  <c r="X72" i="65" s="1"/>
  <c r="P72" i="65"/>
  <c r="W71" i="65"/>
  <c r="V71" i="65"/>
  <c r="V73" i="65" s="1"/>
  <c r="U71" i="65"/>
  <c r="T71" i="65"/>
  <c r="P71" i="65"/>
  <c r="W70" i="65"/>
  <c r="V70" i="65"/>
  <c r="U70" i="65"/>
  <c r="T70" i="65"/>
  <c r="P70" i="65"/>
  <c r="L70" i="65"/>
  <c r="W69" i="65"/>
  <c r="V69" i="65"/>
  <c r="U69" i="65"/>
  <c r="T69" i="65"/>
  <c r="X69" i="65" s="1"/>
  <c r="P69" i="65"/>
  <c r="W68" i="65"/>
  <c r="V68" i="65"/>
  <c r="U68" i="65"/>
  <c r="T68" i="65"/>
  <c r="X68" i="65" s="1"/>
  <c r="P68" i="65"/>
  <c r="L68" i="65"/>
  <c r="H68" i="65"/>
  <c r="W67" i="65"/>
  <c r="V67" i="65"/>
  <c r="U67" i="65"/>
  <c r="U73" i="65" s="1"/>
  <c r="T67" i="65"/>
  <c r="X67" i="65" s="1"/>
  <c r="P67" i="65"/>
  <c r="P73" i="65" s="1"/>
  <c r="L67" i="65"/>
  <c r="L73" i="65" s="1"/>
  <c r="O64" i="65"/>
  <c r="N64" i="65"/>
  <c r="M64" i="65"/>
  <c r="J64" i="65"/>
  <c r="I64" i="65"/>
  <c r="C64" i="65"/>
  <c r="C81" i="65" s="1"/>
  <c r="L63" i="65"/>
  <c r="P63" i="65" s="1"/>
  <c r="Z63" i="65" s="1"/>
  <c r="Z62" i="65"/>
  <c r="P62" i="65"/>
  <c r="L62" i="65"/>
  <c r="W61" i="65"/>
  <c r="V61" i="65"/>
  <c r="U61" i="65"/>
  <c r="T61" i="65"/>
  <c r="X61" i="65" s="1"/>
  <c r="Z61" i="65" s="1"/>
  <c r="P61" i="65"/>
  <c r="W60" i="65"/>
  <c r="V60" i="65"/>
  <c r="U60" i="65"/>
  <c r="T60" i="65"/>
  <c r="L60" i="65"/>
  <c r="P60" i="65" s="1"/>
  <c r="W59" i="65"/>
  <c r="V59" i="65"/>
  <c r="U59" i="65"/>
  <c r="T59" i="65"/>
  <c r="P59" i="65"/>
  <c r="W58" i="65"/>
  <c r="V58" i="65"/>
  <c r="U58" i="65"/>
  <c r="T58" i="65"/>
  <c r="P58" i="65"/>
  <c r="L58" i="65"/>
  <c r="W57" i="65"/>
  <c r="V57" i="65"/>
  <c r="U57" i="65"/>
  <c r="T57" i="65"/>
  <c r="X57" i="65" s="1"/>
  <c r="Z57" i="65" s="1"/>
  <c r="P57" i="65"/>
  <c r="L57" i="65"/>
  <c r="W56" i="65"/>
  <c r="V56" i="65"/>
  <c r="U56" i="65"/>
  <c r="X56" i="65" s="1"/>
  <c r="Z56" i="65" s="1"/>
  <c r="T56" i="65"/>
  <c r="L56" i="65"/>
  <c r="P56" i="65" s="1"/>
  <c r="W55" i="65"/>
  <c r="V55" i="65"/>
  <c r="X55" i="65" s="1"/>
  <c r="Z55" i="65" s="1"/>
  <c r="U55" i="65"/>
  <c r="T55" i="65"/>
  <c r="L55" i="65"/>
  <c r="P55" i="65" s="1"/>
  <c r="W54" i="65"/>
  <c r="X54" i="65" s="1"/>
  <c r="Z54" i="65" s="1"/>
  <c r="V54" i="65"/>
  <c r="U54" i="65"/>
  <c r="T54" i="65"/>
  <c r="P54" i="65"/>
  <c r="L54" i="65"/>
  <c r="X53" i="65"/>
  <c r="Z53" i="65" s="1"/>
  <c r="W53" i="65"/>
  <c r="V53" i="65"/>
  <c r="U53" i="65"/>
  <c r="T53" i="65"/>
  <c r="P53" i="65"/>
  <c r="L53" i="65"/>
  <c r="W52" i="65"/>
  <c r="V52" i="65"/>
  <c r="U52" i="65"/>
  <c r="T52" i="65"/>
  <c r="P52" i="65"/>
  <c r="L52" i="65"/>
  <c r="W51" i="65"/>
  <c r="V51" i="65"/>
  <c r="U51" i="65"/>
  <c r="T51" i="65"/>
  <c r="X51" i="65" s="1"/>
  <c r="Z51" i="65" s="1"/>
  <c r="P51" i="65"/>
  <c r="L51" i="65"/>
  <c r="W50" i="65"/>
  <c r="V50" i="65"/>
  <c r="U50" i="65"/>
  <c r="T50" i="65"/>
  <c r="P50" i="65"/>
  <c r="L50" i="65"/>
  <c r="W49" i="65"/>
  <c r="V49" i="65"/>
  <c r="U49" i="65"/>
  <c r="T49" i="65"/>
  <c r="X49" i="65" s="1"/>
  <c r="Z49" i="65" s="1"/>
  <c r="P49" i="65"/>
  <c r="L49" i="65"/>
  <c r="X48" i="65"/>
  <c r="W48" i="65"/>
  <c r="V48" i="65"/>
  <c r="U48" i="65"/>
  <c r="T48" i="65"/>
  <c r="P48" i="65"/>
  <c r="L48" i="65"/>
  <c r="W47" i="65"/>
  <c r="V47" i="65"/>
  <c r="X47" i="65" s="1"/>
  <c r="U47" i="65"/>
  <c r="T47" i="65"/>
  <c r="P47" i="65"/>
  <c r="L47" i="65"/>
  <c r="W46" i="65"/>
  <c r="V46" i="65"/>
  <c r="X46" i="65" s="1"/>
  <c r="Z46" i="65" s="1"/>
  <c r="U46" i="65"/>
  <c r="T46" i="65"/>
  <c r="L46" i="65"/>
  <c r="P46" i="65" s="1"/>
  <c r="W45" i="65"/>
  <c r="V45" i="65"/>
  <c r="U45" i="65"/>
  <c r="X45" i="65" s="1"/>
  <c r="T45" i="65"/>
  <c r="L45" i="65"/>
  <c r="P45" i="65" s="1"/>
  <c r="W44" i="65"/>
  <c r="V44" i="65"/>
  <c r="U44" i="65"/>
  <c r="X44" i="65" s="1"/>
  <c r="T44" i="65"/>
  <c r="L44" i="65"/>
  <c r="P44" i="65" s="1"/>
  <c r="W43" i="65"/>
  <c r="X43" i="65" s="1"/>
  <c r="Z43" i="65" s="1"/>
  <c r="V43" i="65"/>
  <c r="U43" i="65"/>
  <c r="T43" i="65"/>
  <c r="P43" i="65"/>
  <c r="W42" i="65"/>
  <c r="X42" i="65" s="1"/>
  <c r="Z42" i="65" s="1"/>
  <c r="V42" i="65"/>
  <c r="U42" i="65"/>
  <c r="T42" i="65"/>
  <c r="L42" i="65"/>
  <c r="P42" i="65" s="1"/>
  <c r="W41" i="65"/>
  <c r="X41" i="65" s="1"/>
  <c r="Z41" i="65" s="1"/>
  <c r="V41" i="65"/>
  <c r="U41" i="65"/>
  <c r="T41" i="65"/>
  <c r="P41" i="65"/>
  <c r="L41" i="65"/>
  <c r="X40" i="65"/>
  <c r="W40" i="65"/>
  <c r="V40" i="65"/>
  <c r="U40" i="65"/>
  <c r="T40" i="65"/>
  <c r="L40" i="65"/>
  <c r="P40" i="65" s="1"/>
  <c r="W39" i="65"/>
  <c r="V39" i="65"/>
  <c r="U39" i="65"/>
  <c r="T39" i="65"/>
  <c r="L39" i="65"/>
  <c r="P39" i="65" s="1"/>
  <c r="W38" i="65"/>
  <c r="V38" i="65"/>
  <c r="U38" i="65"/>
  <c r="T38" i="65"/>
  <c r="P38" i="65"/>
  <c r="L38" i="65"/>
  <c r="W37" i="65"/>
  <c r="V37" i="65"/>
  <c r="U37" i="65"/>
  <c r="T37" i="65"/>
  <c r="P37" i="65"/>
  <c r="L37" i="65"/>
  <c r="W36" i="65"/>
  <c r="V36" i="65"/>
  <c r="U36" i="65"/>
  <c r="T36" i="65"/>
  <c r="X36" i="65" s="1"/>
  <c r="Z36" i="65" s="1"/>
  <c r="P36" i="65"/>
  <c r="L36" i="65"/>
  <c r="W35" i="65"/>
  <c r="V35" i="65"/>
  <c r="U35" i="65"/>
  <c r="X35" i="65" s="1"/>
  <c r="Z35" i="65" s="1"/>
  <c r="T35" i="65"/>
  <c r="L35" i="65"/>
  <c r="P35" i="65" s="1"/>
  <c r="X34" i="65"/>
  <c r="W34" i="65"/>
  <c r="V34" i="65"/>
  <c r="U34" i="65"/>
  <c r="T34" i="65"/>
  <c r="L34" i="65"/>
  <c r="P34" i="65" s="1"/>
  <c r="Z34" i="65" s="1"/>
  <c r="X33" i="65"/>
  <c r="W33" i="65"/>
  <c r="V33" i="65"/>
  <c r="U33" i="65"/>
  <c r="T33" i="65"/>
  <c r="L33" i="65"/>
  <c r="P33" i="65" s="1"/>
  <c r="Z33" i="65" s="1"/>
  <c r="W32" i="65"/>
  <c r="V32" i="65"/>
  <c r="U32" i="65"/>
  <c r="T32" i="65"/>
  <c r="X32" i="65" s="1"/>
  <c r="Z32" i="65" s="1"/>
  <c r="P32" i="65"/>
  <c r="L32" i="65"/>
  <c r="W31" i="65"/>
  <c r="V31" i="65"/>
  <c r="U31" i="65"/>
  <c r="T31" i="65"/>
  <c r="X31" i="65" s="1"/>
  <c r="Z31" i="65" s="1"/>
  <c r="P31" i="65"/>
  <c r="L31" i="65"/>
  <c r="H31" i="65"/>
  <c r="H64" i="65" s="1"/>
  <c r="H81" i="65" s="1"/>
  <c r="W30" i="65"/>
  <c r="V30" i="65"/>
  <c r="U30" i="65"/>
  <c r="T30" i="65"/>
  <c r="X30" i="65" s="1"/>
  <c r="P30" i="65"/>
  <c r="L30" i="65"/>
  <c r="X29" i="65"/>
  <c r="Z29" i="65" s="1"/>
  <c r="W29" i="65"/>
  <c r="V29" i="65"/>
  <c r="U29" i="65"/>
  <c r="T29" i="65"/>
  <c r="T64" i="65" s="1"/>
  <c r="P29" i="65"/>
  <c r="L29" i="65"/>
  <c r="Z28" i="65"/>
  <c r="X28" i="65"/>
  <c r="W28" i="65"/>
  <c r="V28" i="65"/>
  <c r="U28" i="65"/>
  <c r="U64" i="65" s="1"/>
  <c r="T28" i="65"/>
  <c r="L28" i="65"/>
  <c r="P28" i="65" s="1"/>
  <c r="A28" i="65"/>
  <c r="A29" i="65" s="1"/>
  <c r="A30" i="65" s="1"/>
  <c r="A31" i="65" s="1"/>
  <c r="A32" i="65" s="1"/>
  <c r="A33" i="65" s="1"/>
  <c r="A34" i="65" s="1"/>
  <c r="A35" i="65" s="1"/>
  <c r="A36" i="65" s="1"/>
  <c r="A37" i="65" s="1"/>
  <c r="A38" i="65" s="1"/>
  <c r="A39" i="65" s="1"/>
  <c r="A40" i="65" s="1"/>
  <c r="A41" i="65" s="1"/>
  <c r="A42" i="65" s="1"/>
  <c r="A43" i="65" s="1"/>
  <c r="A44" i="65" s="1"/>
  <c r="A45" i="65" s="1"/>
  <c r="A46" i="65" s="1"/>
  <c r="A47" i="65" s="1"/>
  <c r="A48" i="65" s="1"/>
  <c r="A49" i="65" s="1"/>
  <c r="A50" i="65" s="1"/>
  <c r="A51" i="65" s="1"/>
  <c r="A52" i="65" s="1"/>
  <c r="A53" i="65" s="1"/>
  <c r="A54" i="65" s="1"/>
  <c r="A55" i="65" s="1"/>
  <c r="A56" i="65" s="1"/>
  <c r="A57" i="65" s="1"/>
  <c r="A58" i="65" s="1"/>
  <c r="A59" i="65" s="1"/>
  <c r="A60" i="65" s="1"/>
  <c r="A61" i="65" s="1"/>
  <c r="A62" i="65" s="1"/>
  <c r="A63" i="65" s="1"/>
  <c r="A67" i="65" s="1"/>
  <c r="A68" i="65" s="1"/>
  <c r="A69" i="65" s="1"/>
  <c r="A70" i="65" s="1"/>
  <c r="A71" i="65" s="1"/>
  <c r="A72" i="65" s="1"/>
  <c r="A76" i="65" s="1"/>
  <c r="A77" i="65" s="1"/>
  <c r="Z27" i="65"/>
  <c r="X27" i="65"/>
  <c r="W27" i="65"/>
  <c r="W64" i="65" s="1"/>
  <c r="V27" i="65"/>
  <c r="V64" i="65" s="1"/>
  <c r="U27" i="65"/>
  <c r="T27" i="65"/>
  <c r="L27" i="65"/>
  <c r="P27" i="65" s="1"/>
  <c r="P64" i="65" s="1"/>
  <c r="W24" i="65"/>
  <c r="U24" i="65"/>
  <c r="O24" i="65"/>
  <c r="N24" i="65"/>
  <c r="M24" i="65"/>
  <c r="M81" i="65" s="1"/>
  <c r="J24" i="65"/>
  <c r="J81" i="65" s="1"/>
  <c r="I24" i="65"/>
  <c r="H24" i="65"/>
  <c r="C24" i="65"/>
  <c r="V23" i="65"/>
  <c r="T23" i="65"/>
  <c r="X23" i="65" s="1"/>
  <c r="Z23" i="65" s="1"/>
  <c r="P23" i="65"/>
  <c r="L23" i="65"/>
  <c r="X22" i="65"/>
  <c r="V22" i="65"/>
  <c r="T22" i="65"/>
  <c r="L22" i="65"/>
  <c r="P22" i="65" s="1"/>
  <c r="V21" i="65"/>
  <c r="T21" i="65"/>
  <c r="X21" i="65" s="1"/>
  <c r="Z21" i="65" s="1"/>
  <c r="P21" i="65"/>
  <c r="L21" i="65"/>
  <c r="V20" i="65"/>
  <c r="T20" i="65"/>
  <c r="X20" i="65" s="1"/>
  <c r="L20" i="65"/>
  <c r="P20" i="65" s="1"/>
  <c r="V19" i="65"/>
  <c r="T19" i="65"/>
  <c r="X19" i="65" s="1"/>
  <c r="L19" i="65"/>
  <c r="P19" i="65" s="1"/>
  <c r="Z19" i="65" s="1"/>
  <c r="X18" i="65"/>
  <c r="Z18" i="65" s="1"/>
  <c r="V18" i="65"/>
  <c r="T18" i="65"/>
  <c r="L18" i="65"/>
  <c r="P18" i="65" s="1"/>
  <c r="V17" i="65"/>
  <c r="X17" i="65" s="1"/>
  <c r="Z17" i="65" s="1"/>
  <c r="T17" i="65"/>
  <c r="L17" i="65"/>
  <c r="P17" i="65" s="1"/>
  <c r="A17" i="65"/>
  <c r="A18" i="65" s="1"/>
  <c r="A19" i="65" s="1"/>
  <c r="A20" i="65" s="1"/>
  <c r="A21" i="65" s="1"/>
  <c r="A22" i="65" s="1"/>
  <c r="A23" i="65" s="1"/>
  <c r="V16" i="65"/>
  <c r="V24" i="65" s="1"/>
  <c r="T16" i="65"/>
  <c r="X16" i="65" s="1"/>
  <c r="P16" i="65"/>
  <c r="A16" i="65"/>
  <c r="L10" i="65"/>
  <c r="M10" i="65" s="1"/>
  <c r="N10" i="65" s="1"/>
  <c r="O10" i="65" s="1"/>
  <c r="P10" i="65" s="1"/>
  <c r="R10" i="65" s="1"/>
  <c r="T10" i="65" s="1"/>
  <c r="U10" i="65" s="1"/>
  <c r="V10" i="65" s="1"/>
  <c r="W10" i="65" s="1"/>
  <c r="X10" i="65" s="1"/>
  <c r="Z10" i="65" s="1"/>
  <c r="J10" i="65"/>
  <c r="I10" i="65"/>
  <c r="D10" i="65"/>
  <c r="F10" i="65" s="1"/>
  <c r="H10" i="65" s="1"/>
  <c r="V81" i="65" l="1"/>
  <c r="Z16" i="65"/>
  <c r="X24" i="65"/>
  <c r="Z40" i="65"/>
  <c r="W81" i="65"/>
  <c r="X38" i="65"/>
  <c r="Z38" i="65" s="1"/>
  <c r="X52" i="65"/>
  <c r="Z52" i="65" s="1"/>
  <c r="X58" i="65"/>
  <c r="Z58" i="65" s="1"/>
  <c r="X70" i="65"/>
  <c r="X37" i="65"/>
  <c r="Z37" i="65" s="1"/>
  <c r="Z67" i="65"/>
  <c r="X73" i="65"/>
  <c r="Z73" i="65" s="1"/>
  <c r="Z30" i="65"/>
  <c r="X50" i="65"/>
  <c r="Z50" i="65" s="1"/>
  <c r="X60" i="65"/>
  <c r="Z60" i="65" s="1"/>
  <c r="T73" i="65"/>
  <c r="Z72" i="65"/>
  <c r="T79" i="65"/>
  <c r="L24" i="65"/>
  <c r="L81" i="65" s="1"/>
  <c r="Z20" i="65"/>
  <c r="X59" i="65"/>
  <c r="Z59" i="65" s="1"/>
  <c r="T24" i="65"/>
  <c r="N81" i="65"/>
  <c r="X71" i="65"/>
  <c r="Z71" i="65" s="1"/>
  <c r="X76" i="65"/>
  <c r="P24" i="65"/>
  <c r="P81" i="65" s="1"/>
  <c r="Z22" i="65"/>
  <c r="X39" i="65"/>
  <c r="Z39" i="65" s="1"/>
  <c r="L64" i="65"/>
  <c r="U79" i="65"/>
  <c r="U81" i="65" s="1"/>
  <c r="L138" i="65"/>
  <c r="L92" i="65"/>
  <c r="K96" i="65" s="1"/>
  <c r="K104" i="65" s="1"/>
  <c r="K134" i="65"/>
  <c r="M130" i="65" l="1"/>
  <c r="M94" i="65" s="1"/>
  <c r="M123" i="65"/>
  <c r="M115" i="65"/>
  <c r="M99" i="65" s="1"/>
  <c r="M129" i="65"/>
  <c r="M122" i="65"/>
  <c r="M114" i="65"/>
  <c r="M128" i="65"/>
  <c r="M93" i="65" s="1"/>
  <c r="M121" i="65"/>
  <c r="M113" i="65"/>
  <c r="M134" i="65"/>
  <c r="M127" i="65"/>
  <c r="M120" i="65"/>
  <c r="M126" i="65"/>
  <c r="M119" i="65"/>
  <c r="M118" i="65"/>
  <c r="M125" i="65"/>
  <c r="M117" i="65"/>
  <c r="M101" i="65" s="1"/>
  <c r="M133" i="65"/>
  <c r="M116" i="65"/>
  <c r="M100" i="65" s="1"/>
  <c r="M132" i="65"/>
  <c r="M131" i="65"/>
  <c r="M95" i="65" s="1"/>
  <c r="M124" i="65"/>
  <c r="X64" i="65"/>
  <c r="Z64" i="65" s="1"/>
  <c r="X79" i="65"/>
  <c r="Z79" i="65" s="1"/>
  <c r="Z76" i="65"/>
  <c r="L142" i="65"/>
  <c r="Z24" i="65"/>
  <c r="T81" i="65"/>
  <c r="M91" i="65" l="1"/>
  <c r="X81" i="65"/>
  <c r="Z81" i="65" s="1"/>
  <c r="Z83" i="65" s="1"/>
  <c r="L148" i="65"/>
  <c r="M142" i="65" s="1"/>
  <c r="M92" i="65"/>
  <c r="M98" i="65"/>
  <c r="M102" i="65" s="1"/>
  <c r="M141" i="65" l="1"/>
  <c r="M137" i="65"/>
  <c r="M148" i="65"/>
  <c r="M139" i="65"/>
  <c r="M144" i="65"/>
  <c r="M146" i="65"/>
  <c r="M140" i="65"/>
  <c r="M145" i="65"/>
  <c r="M138" i="65"/>
  <c r="P95" i="65"/>
  <c r="P101" i="65"/>
  <c r="P92" i="65"/>
  <c r="P100" i="65"/>
  <c r="P98" i="65"/>
  <c r="P94" i="65"/>
  <c r="P99" i="65"/>
  <c r="P93" i="65"/>
  <c r="P91" i="65"/>
  <c r="M96" i="65"/>
  <c r="M104" i="65" s="1"/>
  <c r="P102" i="65" l="1"/>
  <c r="P96" i="65"/>
  <c r="P104" i="65" s="1"/>
  <c r="F38" i="51" l="1"/>
  <c r="F35" i="51"/>
  <c r="F36" i="51"/>
  <c r="F37" i="51"/>
  <c r="F34" i="51"/>
  <c r="F28" i="51"/>
  <c r="F27" i="51"/>
  <c r="F26" i="51"/>
  <c r="F25" i="51"/>
  <c r="F24" i="51"/>
  <c r="F16" i="51"/>
  <c r="F17" i="51"/>
  <c r="F18" i="51"/>
  <c r="F19" i="51"/>
  <c r="F20" i="51"/>
  <c r="F15" i="51"/>
  <c r="F11" i="51"/>
  <c r="D40" i="50"/>
  <c r="E18" i="50"/>
  <c r="D18" i="50"/>
  <c r="A4" i="68" l="1"/>
  <c r="A3" i="68"/>
  <c r="I40" i="66" l="1"/>
  <c r="F27" i="66"/>
  <c r="G27" i="66" s="1"/>
  <c r="A35" i="68"/>
  <c r="A36" i="68" s="1"/>
  <c r="A37" i="68" s="1"/>
  <c r="A38" i="68" s="1"/>
  <c r="A39" i="68" s="1"/>
  <c r="A40" i="68" s="1"/>
  <c r="A41" i="68" s="1"/>
  <c r="A42" i="68" s="1"/>
  <c r="A43" i="68" s="1"/>
  <c r="A44" i="68" s="1"/>
  <c r="A45" i="68" s="1"/>
  <c r="A46" i="68" s="1"/>
  <c r="A47" i="68" s="1"/>
  <c r="A48" i="68" s="1"/>
  <c r="A49" i="68" s="1"/>
  <c r="A50" i="68" s="1"/>
  <c r="A51" i="68" s="1"/>
  <c r="A52" i="68" s="1"/>
  <c r="A53" i="68" s="1"/>
  <c r="A54" i="68" s="1"/>
  <c r="A55" i="68" s="1"/>
  <c r="A56" i="68" s="1"/>
  <c r="A57" i="68" s="1"/>
  <c r="A58" i="68" s="1"/>
  <c r="A59" i="68" s="1"/>
  <c r="A60" i="68" s="1"/>
  <c r="A61" i="68" s="1"/>
  <c r="A62" i="68" s="1"/>
  <c r="F35" i="68"/>
  <c r="I56" i="68"/>
  <c r="F56" i="68"/>
  <c r="H55" i="68"/>
  <c r="J55" i="68" s="1"/>
  <c r="H54" i="68"/>
  <c r="J54" i="68" s="1"/>
  <c r="H53" i="68"/>
  <c r="J53" i="68" s="1"/>
  <c r="H52" i="68"/>
  <c r="J52" i="68" s="1"/>
  <c r="H51" i="68"/>
  <c r="J51" i="68" s="1"/>
  <c r="H50" i="68"/>
  <c r="J50" i="68" s="1"/>
  <c r="H49" i="68"/>
  <c r="J49" i="68" s="1"/>
  <c r="H48" i="68"/>
  <c r="J48" i="68" s="1"/>
  <c r="H47" i="68"/>
  <c r="J47" i="68" s="1"/>
  <c r="H46" i="68"/>
  <c r="J46" i="68" s="1"/>
  <c r="H45" i="68"/>
  <c r="J45" i="68" s="1"/>
  <c r="H44" i="68"/>
  <c r="J44" i="68" s="1"/>
  <c r="H43" i="68"/>
  <c r="J43" i="68" s="1"/>
  <c r="C43" i="68"/>
  <c r="C44" i="68" s="1"/>
  <c r="C45" i="68" s="1"/>
  <c r="C46" i="68" s="1"/>
  <c r="C47" i="68" s="1"/>
  <c r="C48" i="68" s="1"/>
  <c r="C49" i="68" s="1"/>
  <c r="C50" i="68" s="1"/>
  <c r="C51" i="68" s="1"/>
  <c r="C52" i="68" s="1"/>
  <c r="C53" i="68" s="1"/>
  <c r="H42" i="68"/>
  <c r="J42" i="68" s="1"/>
  <c r="H41" i="68"/>
  <c r="J41" i="68" s="1"/>
  <c r="H40" i="68"/>
  <c r="J40" i="68" s="1"/>
  <c r="H39" i="68"/>
  <c r="I35" i="68"/>
  <c r="H34" i="68"/>
  <c r="J34" i="68" s="1"/>
  <c r="H33" i="68"/>
  <c r="J33" i="68" s="1"/>
  <c r="H32" i="68"/>
  <c r="J32" i="68" s="1"/>
  <c r="H31" i="68"/>
  <c r="J31" i="68" s="1"/>
  <c r="H30" i="68"/>
  <c r="J30" i="68" s="1"/>
  <c r="H29" i="68"/>
  <c r="J29" i="68" s="1"/>
  <c r="H28" i="68"/>
  <c r="H27" i="68"/>
  <c r="J27" i="68" s="1"/>
  <c r="H26" i="68"/>
  <c r="J26" i="68" s="1"/>
  <c r="H25" i="68"/>
  <c r="J25" i="68" s="1"/>
  <c r="A25" i="68"/>
  <c r="A26" i="68" s="1"/>
  <c r="A27" i="68" s="1"/>
  <c r="A28" i="68" s="1"/>
  <c r="A29" i="68" s="1"/>
  <c r="A30" i="68" s="1"/>
  <c r="A31" i="68" s="1"/>
  <c r="A32" i="68" s="1"/>
  <c r="A33" i="68" s="1"/>
  <c r="A34" i="68" s="1"/>
  <c r="H24" i="68"/>
  <c r="J24" i="68" s="1"/>
  <c r="I20" i="68"/>
  <c r="F20" i="68"/>
  <c r="H19" i="68"/>
  <c r="J19" i="68" s="1"/>
  <c r="H18" i="68"/>
  <c r="J18" i="68" s="1"/>
  <c r="H17" i="68"/>
  <c r="J17" i="68" s="1"/>
  <c r="H16" i="68"/>
  <c r="J16" i="68" s="1"/>
  <c r="H15" i="68"/>
  <c r="J15" i="68" s="1"/>
  <c r="H14" i="68"/>
  <c r="J14" i="68" s="1"/>
  <c r="H13" i="68"/>
  <c r="E13" i="68"/>
  <c r="E14" i="68" s="1"/>
  <c r="E15" i="68" s="1"/>
  <c r="E16" i="68" s="1"/>
  <c r="E17" i="68" s="1"/>
  <c r="D13" i="68"/>
  <c r="D14" i="68" s="1"/>
  <c r="D15" i="68" s="1"/>
  <c r="D16" i="68" s="1"/>
  <c r="D17" i="68" s="1"/>
  <c r="A13" i="68"/>
  <c r="A14" i="68" s="1"/>
  <c r="A15" i="68" s="1"/>
  <c r="A16" i="68" s="1"/>
  <c r="A17" i="68" s="1"/>
  <c r="A18" i="68" s="1"/>
  <c r="H12" i="68"/>
  <c r="H27" i="66" l="1"/>
  <c r="I27" i="66" s="1"/>
  <c r="H35" i="68"/>
  <c r="J35" i="68" s="1"/>
  <c r="F60" i="68"/>
  <c r="H56" i="68"/>
  <c r="H20" i="68"/>
  <c r="I60" i="68"/>
  <c r="J13" i="68"/>
  <c r="J39" i="68"/>
  <c r="J28" i="68"/>
  <c r="J12" i="68"/>
  <c r="H60" i="68" l="1"/>
  <c r="H62" i="68" s="1"/>
  <c r="J20" i="68"/>
  <c r="J56" i="68"/>
  <c r="I62" i="68"/>
  <c r="J60" i="68" l="1"/>
  <c r="E19" i="48" s="1"/>
  <c r="C26" i="64" l="1"/>
  <c r="A14" i="64"/>
  <c r="A15" i="64"/>
  <c r="A16" i="64" s="1"/>
  <c r="A17" i="64" s="1"/>
  <c r="A18" i="64" s="1"/>
  <c r="A19" i="64" s="1"/>
  <c r="A20" i="64" s="1"/>
  <c r="A21" i="64" s="1"/>
  <c r="A22" i="64" s="1"/>
  <c r="A23" i="64" s="1"/>
  <c r="A24" i="64" s="1"/>
  <c r="A25" i="64" s="1"/>
  <c r="A26" i="64" s="1"/>
  <c r="A27" i="64" s="1"/>
  <c r="A28" i="64" s="1"/>
  <c r="A29" i="64" s="1"/>
  <c r="A13" i="64"/>
  <c r="C23" i="64"/>
  <c r="G18" i="32" l="1"/>
  <c r="G20" i="32" s="1"/>
  <c r="E14" i="48" s="1"/>
  <c r="J33" i="39" l="1"/>
  <c r="D26" i="51"/>
  <c r="B19" i="48"/>
  <c r="G19" i="48" l="1"/>
  <c r="O28" i="36"/>
  <c r="G55" i="33"/>
  <c r="H35" i="33"/>
  <c r="H25" i="33"/>
  <c r="H27" i="33" s="1"/>
  <c r="H30" i="33" l="1"/>
  <c r="H31" i="33" s="1"/>
  <c r="H36" i="33" l="1"/>
  <c r="B5" i="66" l="1"/>
  <c r="B4" i="66"/>
  <c r="B18" i="48" l="1"/>
  <c r="B10" i="48"/>
  <c r="O6" i="36"/>
  <c r="N6" i="36"/>
  <c r="F6" i="36"/>
  <c r="C53" i="66" l="1"/>
  <c r="I57" i="66" s="1"/>
  <c r="F52" i="66"/>
  <c r="G52" i="66" s="1"/>
  <c r="F51" i="66"/>
  <c r="H51" i="66" s="1"/>
  <c r="F50" i="66"/>
  <c r="G50" i="66" s="1"/>
  <c r="F49" i="66"/>
  <c r="H49" i="66" s="1"/>
  <c r="F48" i="66"/>
  <c r="G48" i="66" s="1"/>
  <c r="F47" i="66"/>
  <c r="H47" i="66" s="1"/>
  <c r="F46" i="66"/>
  <c r="G46" i="66" s="1"/>
  <c r="F45" i="66"/>
  <c r="H45" i="66" s="1"/>
  <c r="F44" i="66"/>
  <c r="G44" i="66" s="1"/>
  <c r="F43" i="66"/>
  <c r="H43" i="66" s="1"/>
  <c r="F42" i="66"/>
  <c r="G42" i="66" s="1"/>
  <c r="F41" i="66"/>
  <c r="H41" i="66" s="1"/>
  <c r="F40" i="66"/>
  <c r="G40" i="66" s="1"/>
  <c r="F39" i="66"/>
  <c r="H39" i="66" s="1"/>
  <c r="F38" i="66"/>
  <c r="G38" i="66" s="1"/>
  <c r="F37" i="66"/>
  <c r="H37" i="66" s="1"/>
  <c r="F36" i="66"/>
  <c r="G36" i="66" s="1"/>
  <c r="F35" i="66"/>
  <c r="H35" i="66" s="1"/>
  <c r="F34" i="66"/>
  <c r="G34" i="66" s="1"/>
  <c r="F33" i="66"/>
  <c r="H33" i="66" s="1"/>
  <c r="F32" i="66"/>
  <c r="G32" i="66" s="1"/>
  <c r="F31" i="66"/>
  <c r="H31" i="66" s="1"/>
  <c r="F30" i="66"/>
  <c r="G30" i="66" s="1"/>
  <c r="F29" i="66"/>
  <c r="H29" i="66" s="1"/>
  <c r="F28" i="66"/>
  <c r="G28" i="66" s="1"/>
  <c r="F26" i="66"/>
  <c r="H26" i="66" s="1"/>
  <c r="F25" i="66"/>
  <c r="G25" i="66" s="1"/>
  <c r="F24" i="66"/>
  <c r="H24" i="66" s="1"/>
  <c r="F23" i="66"/>
  <c r="G23" i="66" s="1"/>
  <c r="F22" i="66"/>
  <c r="H22" i="66" s="1"/>
  <c r="F21" i="66"/>
  <c r="G21" i="66" s="1"/>
  <c r="F20" i="66"/>
  <c r="H20" i="66" s="1"/>
  <c r="F19" i="66"/>
  <c r="G19" i="66" s="1"/>
  <c r="F18" i="66"/>
  <c r="H18" i="66" s="1"/>
  <c r="F17" i="66"/>
  <c r="G17" i="66" s="1"/>
  <c r="F16" i="66"/>
  <c r="H16" i="66" s="1"/>
  <c r="F15" i="66"/>
  <c r="G15" i="66" s="1"/>
  <c r="F14" i="66"/>
  <c r="H14" i="66" s="1"/>
  <c r="F13" i="66"/>
  <c r="G13" i="66" s="1"/>
  <c r="F12" i="66"/>
  <c r="H12" i="66" s="1"/>
  <c r="H19" i="66" l="1"/>
  <c r="I19" i="66" s="1"/>
  <c r="H46" i="66"/>
  <c r="I46" i="66" s="1"/>
  <c r="H52" i="66"/>
  <c r="I52" i="66" s="1"/>
  <c r="H13" i="66"/>
  <c r="H28" i="66"/>
  <c r="H36" i="66"/>
  <c r="H30" i="66"/>
  <c r="I30" i="66" s="1"/>
  <c r="H44" i="66"/>
  <c r="I44" i="66" s="1"/>
  <c r="H17" i="66"/>
  <c r="I17" i="66" s="1"/>
  <c r="H34" i="66"/>
  <c r="I34" i="66" s="1"/>
  <c r="H23" i="66"/>
  <c r="I23" i="66" s="1"/>
  <c r="H40" i="66"/>
  <c r="H50" i="66"/>
  <c r="I50" i="66" s="1"/>
  <c r="H25" i="66"/>
  <c r="I25" i="66" s="1"/>
  <c r="H42" i="66"/>
  <c r="I42" i="66" s="1"/>
  <c r="H15" i="66"/>
  <c r="I15" i="66" s="1"/>
  <c r="H32" i="66"/>
  <c r="I32" i="66" s="1"/>
  <c r="H48" i="66"/>
  <c r="I48" i="66" s="1"/>
  <c r="H21" i="66"/>
  <c r="I21" i="66" s="1"/>
  <c r="H38" i="66"/>
  <c r="I38" i="66" s="1"/>
  <c r="I13" i="66"/>
  <c r="I36" i="66"/>
  <c r="I28" i="66"/>
  <c r="G12" i="66"/>
  <c r="I12" i="66" s="1"/>
  <c r="G14" i="66"/>
  <c r="I14" i="66" s="1"/>
  <c r="G16" i="66"/>
  <c r="I16" i="66" s="1"/>
  <c r="G18" i="66"/>
  <c r="I18" i="66" s="1"/>
  <c r="G20" i="66"/>
  <c r="I20" i="66" s="1"/>
  <c r="G22" i="66"/>
  <c r="I22" i="66" s="1"/>
  <c r="G24" i="66"/>
  <c r="I24" i="66" s="1"/>
  <c r="G26" i="66"/>
  <c r="I26" i="66" s="1"/>
  <c r="G29" i="66"/>
  <c r="I29" i="66" s="1"/>
  <c r="G31" i="66"/>
  <c r="I31" i="66" s="1"/>
  <c r="G33" i="66"/>
  <c r="I33" i="66" s="1"/>
  <c r="G35" i="66"/>
  <c r="I35" i="66" s="1"/>
  <c r="G37" i="66"/>
  <c r="I37" i="66" s="1"/>
  <c r="G39" i="66"/>
  <c r="I39" i="66" s="1"/>
  <c r="G41" i="66"/>
  <c r="I41" i="66" s="1"/>
  <c r="G43" i="66"/>
  <c r="I43" i="66" s="1"/>
  <c r="G45" i="66"/>
  <c r="I45" i="66" s="1"/>
  <c r="G47" i="66"/>
  <c r="I47" i="66" s="1"/>
  <c r="G49" i="66"/>
  <c r="I49" i="66" s="1"/>
  <c r="G51" i="66"/>
  <c r="I51" i="66" s="1"/>
  <c r="I53" i="66" l="1"/>
  <c r="I55" i="66" s="1"/>
  <c r="I59" i="66" s="1"/>
  <c r="I61" i="66" s="1"/>
  <c r="E17" i="48" s="1"/>
  <c r="E48" i="39" l="1"/>
  <c r="E47" i="39"/>
  <c r="E49" i="39"/>
  <c r="E50" i="39"/>
  <c r="E53" i="39"/>
  <c r="E54" i="39"/>
  <c r="E46" i="39"/>
  <c r="L23" i="36" l="1"/>
  <c r="H23" i="36"/>
  <c r="F57" i="50"/>
  <c r="K23" i="36"/>
  <c r="J23" i="36" l="1"/>
  <c r="M23" i="36"/>
  <c r="A5" i="64"/>
  <c r="A4" i="64"/>
  <c r="E12" i="48"/>
  <c r="T6" i="36" l="1"/>
  <c r="S6" i="36"/>
  <c r="R6" i="36"/>
  <c r="Q6" i="36"/>
  <c r="P6" i="36"/>
  <c r="M6" i="36"/>
  <c r="L6" i="36"/>
  <c r="K6" i="36"/>
  <c r="J6" i="36"/>
  <c r="I6" i="36"/>
  <c r="H6" i="36"/>
  <c r="G6" i="36"/>
  <c r="E6" i="36"/>
  <c r="D6" i="36"/>
  <c r="C6" i="36"/>
  <c r="C29" i="64"/>
  <c r="E18" i="48" s="1"/>
  <c r="D17" i="51" l="1"/>
  <c r="N19" i="36"/>
  <c r="U19" i="36" s="1"/>
  <c r="A12" i="31" l="1"/>
  <c r="A13" i="31" s="1"/>
  <c r="A14" i="31" s="1"/>
  <c r="A15" i="31" s="1"/>
  <c r="E11" i="31"/>
  <c r="A4" i="31"/>
  <c r="A6" i="31"/>
  <c r="A4" i="26"/>
  <c r="A13" i="28"/>
  <c r="A14" i="28" s="1"/>
  <c r="A15" i="28" s="1"/>
  <c r="A16" i="28" s="1"/>
  <c r="A17" i="28" s="1"/>
  <c r="A18" i="28" s="1"/>
  <c r="A19" i="28" s="1"/>
  <c r="A20" i="28" s="1"/>
  <c r="A21" i="28" s="1"/>
  <c r="A22" i="28" s="1"/>
  <c r="A23" i="28" s="1"/>
  <c r="A24" i="28" s="1"/>
  <c r="A25" i="28" s="1"/>
  <c r="A6" i="28"/>
  <c r="A4" i="28"/>
  <c r="A7" i="33"/>
  <c r="A5" i="33"/>
  <c r="A6" i="39"/>
  <c r="A4" i="39"/>
  <c r="A7" i="17"/>
  <c r="A5" i="17"/>
  <c r="A7" i="6"/>
  <c r="A5" i="6"/>
  <c r="C48" i="51" l="1"/>
  <c r="E47" i="51"/>
  <c r="E42" i="51"/>
  <c r="E38" i="51"/>
  <c r="E36" i="51"/>
  <c r="E35" i="51"/>
  <c r="E34" i="51"/>
  <c r="E28" i="51"/>
  <c r="E27" i="51"/>
  <c r="E26" i="51"/>
  <c r="E25" i="51"/>
  <c r="C22" i="51"/>
  <c r="C30" i="51" s="1"/>
  <c r="E20" i="51"/>
  <c r="E19" i="51"/>
  <c r="E18" i="51"/>
  <c r="E17" i="51"/>
  <c r="E16" i="51"/>
  <c r="C12" i="51"/>
  <c r="E11" i="51"/>
  <c r="A10" i="5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6" i="51" s="1"/>
  <c r="A37" i="51" s="1"/>
  <c r="A38" i="51" s="1"/>
  <c r="A39" i="51" s="1"/>
  <c r="A40" i="51" s="1"/>
  <c r="A41" i="51" s="1"/>
  <c r="A42" i="51" s="1"/>
  <c r="A43" i="51" s="1"/>
  <c r="A44" i="51" s="1"/>
  <c r="A45" i="51" s="1"/>
  <c r="A46" i="51" s="1"/>
  <c r="A47" i="51" s="1"/>
  <c r="A48" i="51" s="1"/>
  <c r="A49" i="51" s="1"/>
  <c r="A50" i="51" s="1"/>
  <c r="A51" i="51" s="1"/>
  <c r="A52" i="51" s="1"/>
  <c r="A53" i="51" s="1"/>
  <c r="A54" i="51" s="1"/>
  <c r="C8" i="51"/>
  <c r="D8" i="51" s="1"/>
  <c r="C49" i="51" l="1"/>
  <c r="C32" i="51"/>
  <c r="F42" i="51"/>
  <c r="E48" i="51"/>
  <c r="F48" i="51" l="1"/>
  <c r="C40" i="51"/>
  <c r="C43" i="51"/>
  <c r="C50" i="51" l="1"/>
  <c r="C45" i="51"/>
  <c r="C44" i="51"/>
  <c r="F62" i="50"/>
  <c r="F61" i="50"/>
  <c r="F58" i="50"/>
  <c r="F56" i="50"/>
  <c r="F55" i="50"/>
  <c r="F54" i="50"/>
  <c r="F52" i="50"/>
  <c r="F49" i="50"/>
  <c r="F48" i="50"/>
  <c r="F47" i="50"/>
  <c r="F46" i="50"/>
  <c r="F45" i="50"/>
  <c r="F42" i="50"/>
  <c r="F41" i="50"/>
  <c r="F40" i="50"/>
  <c r="F39" i="50"/>
  <c r="F38" i="50"/>
  <c r="F33" i="50"/>
  <c r="F32" i="50"/>
  <c r="F29" i="50"/>
  <c r="F28" i="50"/>
  <c r="F27" i="50"/>
  <c r="F26" i="50"/>
  <c r="F25" i="50"/>
  <c r="F24" i="50"/>
  <c r="F23" i="50"/>
  <c r="F22" i="50"/>
  <c r="F21" i="50"/>
  <c r="F20" i="50"/>
  <c r="F17" i="50"/>
  <c r="F16" i="50"/>
  <c r="F15" i="50"/>
  <c r="F14" i="50"/>
  <c r="F18" i="50" s="1"/>
  <c r="F11" i="50"/>
  <c r="F9" i="50"/>
  <c r="F8" i="50"/>
  <c r="E59" i="50"/>
  <c r="E50" i="50"/>
  <c r="E43" i="50"/>
  <c r="E30" i="50"/>
  <c r="E12" i="50"/>
  <c r="D59" i="50"/>
  <c r="D50" i="50"/>
  <c r="D43" i="50"/>
  <c r="D30" i="50"/>
  <c r="E35" i="50" l="1"/>
  <c r="E63" i="50"/>
  <c r="D63" i="50"/>
  <c r="F59" i="50"/>
  <c r="F50" i="50"/>
  <c r="F43" i="50"/>
  <c r="F30" i="50"/>
  <c r="D10" i="50"/>
  <c r="D12" i="50" l="1"/>
  <c r="D35" i="50" s="1"/>
  <c r="F10" i="50"/>
  <c r="F12" i="50" s="1"/>
  <c r="F35" i="50" s="1"/>
  <c r="F63" i="50"/>
  <c r="A8" i="50" l="1"/>
  <c r="A9" i="50" s="1"/>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47" i="50" s="1"/>
  <c r="A48" i="50" s="1"/>
  <c r="A49" i="50" s="1"/>
  <c r="A50" i="50" s="1"/>
  <c r="A51" i="50" s="1"/>
  <c r="A52" i="50" s="1"/>
  <c r="A53" i="50" s="1"/>
  <c r="A54" i="50" s="1"/>
  <c r="A55" i="50" s="1"/>
  <c r="A56" i="50" s="1"/>
  <c r="D6" i="50"/>
  <c r="E6" i="50" s="1"/>
  <c r="A57" i="50" l="1"/>
  <c r="A58" i="50" s="1"/>
  <c r="A59" i="50" s="1"/>
  <c r="A60" i="50" s="1"/>
  <c r="A61" i="50" s="1"/>
  <c r="A62" i="50" s="1"/>
  <c r="A63" i="50" s="1"/>
  <c r="D5" i="48" l="1"/>
  <c r="E5" i="48" s="1"/>
  <c r="F5" i="48" s="1"/>
  <c r="G5" i="48" s="1"/>
  <c r="B24" i="48"/>
  <c r="B23" i="48"/>
  <c r="B22" i="48"/>
  <c r="B21" i="48"/>
  <c r="B20" i="48"/>
  <c r="B17" i="48"/>
  <c r="B16" i="48"/>
  <c r="B15" i="48"/>
  <c r="B14" i="48"/>
  <c r="B13" i="48"/>
  <c r="B12" i="48"/>
  <c r="B11" i="48"/>
  <c r="B9" i="48"/>
  <c r="B8" i="48"/>
  <c r="B7" i="48"/>
  <c r="H16" i="26" l="1"/>
  <c r="U38" i="36" l="1"/>
  <c r="U36" i="36"/>
  <c r="U35" i="36"/>
  <c r="U30" i="36"/>
  <c r="U29" i="36"/>
  <c r="U22" i="36"/>
  <c r="U15" i="36"/>
  <c r="T39" i="36" l="1"/>
  <c r="T24" i="36"/>
  <c r="T31" i="36" s="1"/>
  <c r="G24" i="48" s="1"/>
  <c r="T33" i="36" l="1"/>
  <c r="T41" i="36" s="1"/>
  <c r="U27" i="36" l="1"/>
  <c r="E55" i="39"/>
  <c r="E51" i="39"/>
  <c r="H37" i="39"/>
  <c r="J37" i="39" s="1"/>
  <c r="F53" i="39" s="1"/>
  <c r="F33" i="39"/>
  <c r="E33" i="39"/>
  <c r="H13" i="39"/>
  <c r="H14" i="39"/>
  <c r="H15" i="39"/>
  <c r="H16" i="39"/>
  <c r="H17" i="39"/>
  <c r="H18" i="39"/>
  <c r="H19" i="39"/>
  <c r="H20" i="39"/>
  <c r="H12" i="39"/>
  <c r="H26" i="39"/>
  <c r="H27" i="39"/>
  <c r="H28" i="39"/>
  <c r="H29" i="39"/>
  <c r="H30" i="39"/>
  <c r="H31" i="39"/>
  <c r="H32" i="39"/>
  <c r="H25" i="39"/>
  <c r="F21" i="39"/>
  <c r="E21" i="39"/>
  <c r="A12" i="39"/>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5" i="39" s="1"/>
  <c r="A36" i="39" s="1"/>
  <c r="A37" i="39" s="1"/>
  <c r="A38" i="39" s="1"/>
  <c r="A39" i="39" s="1"/>
  <c r="I34" i="39" l="1"/>
  <c r="I39" i="39" s="1"/>
  <c r="E57" i="39"/>
  <c r="E34" i="39"/>
  <c r="E39" i="39" s="1"/>
  <c r="F34" i="39"/>
  <c r="F39" i="39" s="1"/>
  <c r="F47" i="39"/>
  <c r="F46" i="39"/>
  <c r="F54" i="39"/>
  <c r="F55" i="39" s="1"/>
  <c r="F49" i="39"/>
  <c r="F48" i="39"/>
  <c r="F50" i="39"/>
  <c r="H33" i="39"/>
  <c r="H21" i="39"/>
  <c r="J21" i="39" s="1"/>
  <c r="J34" i="39" l="1"/>
  <c r="J39" i="39" s="1"/>
  <c r="E9" i="48" s="1"/>
  <c r="H34" i="39"/>
  <c r="H39" i="39" s="1"/>
  <c r="F51" i="39"/>
  <c r="F57" i="39" s="1"/>
  <c r="D24" i="51" l="1"/>
  <c r="E24" i="51" s="1"/>
  <c r="E26" i="36"/>
  <c r="U26" i="36" s="1"/>
  <c r="U28" i="36" l="1"/>
  <c r="A12" i="28" l="1"/>
  <c r="A13" i="26"/>
  <c r="A14" i="26" s="1"/>
  <c r="A15" i="26" s="1"/>
  <c r="A16" i="26" s="1"/>
  <c r="A17" i="26" s="1"/>
  <c r="A18" i="26" s="1"/>
  <c r="A19" i="26" s="1"/>
  <c r="A20" i="26" s="1"/>
  <c r="U21" i="36" l="1"/>
  <c r="U20" i="36"/>
  <c r="U18" i="36" l="1"/>
  <c r="E15" i="28" l="1"/>
  <c r="R39" i="36" l="1"/>
  <c r="S39" i="36"/>
  <c r="Q39" i="36"/>
  <c r="P39" i="36"/>
  <c r="N39" i="36"/>
  <c r="M39" i="36"/>
  <c r="L39" i="36"/>
  <c r="K39" i="36"/>
  <c r="J39" i="36"/>
  <c r="I39" i="36"/>
  <c r="H39" i="36"/>
  <c r="G39" i="36"/>
  <c r="E39" i="36"/>
  <c r="D39" i="36"/>
  <c r="C39" i="36"/>
  <c r="P24" i="36"/>
  <c r="P31" i="36" s="1"/>
  <c r="O24" i="36"/>
  <c r="O31" i="36" s="1"/>
  <c r="L24" i="36"/>
  <c r="L31" i="36" s="1"/>
  <c r="K24" i="36"/>
  <c r="K31" i="36" s="1"/>
  <c r="H24" i="36"/>
  <c r="H31" i="36" s="1"/>
  <c r="F24" i="36"/>
  <c r="F31" i="36" s="1"/>
  <c r="E24" i="36"/>
  <c r="E31" i="36" s="1"/>
  <c r="P12" i="36"/>
  <c r="O12" i="36"/>
  <c r="N12" i="36"/>
  <c r="M12" i="36"/>
  <c r="L12" i="36"/>
  <c r="K12" i="36"/>
  <c r="J12" i="36"/>
  <c r="I12" i="36"/>
  <c r="H12" i="36"/>
  <c r="F12" i="36"/>
  <c r="E12" i="36"/>
  <c r="A8" i="36"/>
  <c r="A9" i="36" s="1"/>
  <c r="A10" i="36" s="1"/>
  <c r="A11" i="36" s="1"/>
  <c r="A12" i="36" s="1"/>
  <c r="A13" i="36" s="1"/>
  <c r="A14" i="36" s="1"/>
  <c r="G20" i="48" l="1"/>
  <c r="G16" i="48"/>
  <c r="H33" i="36"/>
  <c r="H41" i="36" s="1"/>
  <c r="L33" i="36"/>
  <c r="L41" i="36" s="1"/>
  <c r="P33" i="36"/>
  <c r="P41" i="36" s="1"/>
  <c r="E33" i="36"/>
  <c r="E41" i="36" s="1"/>
  <c r="A15" i="36"/>
  <c r="A16" i="36" s="1"/>
  <c r="A17" i="36" s="1"/>
  <c r="A18" i="36" s="1"/>
  <c r="A19" i="36" s="1"/>
  <c r="A20" i="36" s="1"/>
  <c r="A21" i="36" s="1"/>
  <c r="A22" i="36" s="1"/>
  <c r="A23" i="36" s="1"/>
  <c r="A24" i="36" s="1"/>
  <c r="A25" i="36" s="1"/>
  <c r="A26" i="36" s="1"/>
  <c r="A27" i="36" s="1"/>
  <c r="A28" i="36" s="1"/>
  <c r="A29" i="36" s="1"/>
  <c r="A30" i="36" s="1"/>
  <c r="A31" i="36" s="1"/>
  <c r="A32" i="36" s="1"/>
  <c r="A33" i="36" s="1"/>
  <c r="K33" i="36"/>
  <c r="K41" i="36" s="1"/>
  <c r="O33" i="36"/>
  <c r="F33" i="36"/>
  <c r="G18" i="48" l="1"/>
  <c r="G9" i="48"/>
  <c r="G15" i="48"/>
  <c r="G12" i="48"/>
  <c r="A34" i="36"/>
  <c r="A35" i="36" s="1"/>
  <c r="A36" i="36" s="1"/>
  <c r="A37" i="36" s="1"/>
  <c r="A38" i="36" s="1"/>
  <c r="A39" i="36" s="1"/>
  <c r="A40" i="36" s="1"/>
  <c r="A41" i="36" s="1"/>
  <c r="J44" i="33" l="1"/>
  <c r="G56" i="33"/>
  <c r="F39" i="33" s="1"/>
  <c r="H39" i="33" s="1"/>
  <c r="H40" i="33" s="1"/>
  <c r="G35" i="33"/>
  <c r="I35" i="33"/>
  <c r="F35" i="33"/>
  <c r="G39" i="33" l="1"/>
  <c r="I39" i="33" l="1"/>
  <c r="G25" i="33" l="1"/>
  <c r="G27" i="33" s="1"/>
  <c r="I25" i="33"/>
  <c r="I27" i="33" s="1"/>
  <c r="F25" i="33"/>
  <c r="F27" i="33" s="1"/>
  <c r="F30" i="33" l="1"/>
  <c r="F31" i="33" s="1"/>
  <c r="F40" i="33" s="1"/>
  <c r="I30" i="33"/>
  <c r="I31" i="33" s="1"/>
  <c r="G30" i="33"/>
  <c r="G31" i="33" s="1"/>
  <c r="I40" i="33" l="1"/>
  <c r="I36" i="33"/>
  <c r="G36" i="33"/>
  <c r="G40" i="33"/>
  <c r="J31" i="33"/>
  <c r="F36" i="33"/>
  <c r="E17" i="28"/>
  <c r="E19" i="28" s="1"/>
  <c r="E23" i="28" s="1"/>
  <c r="E25" i="28" s="1"/>
  <c r="M24" i="36" l="1"/>
  <c r="M31" i="36" s="1"/>
  <c r="G17" i="48" s="1"/>
  <c r="J40" i="33"/>
  <c r="G46" i="33" s="1"/>
  <c r="G48" i="33" s="1"/>
  <c r="E11" i="48" s="1"/>
  <c r="G16" i="36" s="1"/>
  <c r="G24" i="36" s="1"/>
  <c r="G31" i="36" s="1"/>
  <c r="J36" i="33"/>
  <c r="F46" i="33" s="1"/>
  <c r="J24" i="36"/>
  <c r="J31" i="36" s="1"/>
  <c r="G14" i="48" s="1"/>
  <c r="E15" i="31"/>
  <c r="F10" i="48" s="1"/>
  <c r="D37" i="51" s="1"/>
  <c r="H20" i="26"/>
  <c r="E13" i="48" s="1"/>
  <c r="I23" i="36" l="1"/>
  <c r="D21" i="51"/>
  <c r="E21" i="51" s="1"/>
  <c r="F21" i="51" s="1"/>
  <c r="F37" i="36"/>
  <c r="F39" i="36" s="1"/>
  <c r="E37" i="51"/>
  <c r="U23" i="36"/>
  <c r="F48" i="33"/>
  <c r="J46" i="33"/>
  <c r="J48" i="33" s="1"/>
  <c r="S24" i="36"/>
  <c r="S31" i="36" s="1"/>
  <c r="N24" i="36"/>
  <c r="N31" i="36" s="1"/>
  <c r="G10" i="48" s="1"/>
  <c r="M33" i="36"/>
  <c r="M41" i="36" s="1"/>
  <c r="J33" i="36"/>
  <c r="J41" i="36" s="1"/>
  <c r="U37" i="36"/>
  <c r="I24" i="36"/>
  <c r="U11" i="36" l="1"/>
  <c r="D11" i="48"/>
  <c r="F41" i="36"/>
  <c r="I31" i="36"/>
  <c r="S12" i="36"/>
  <c r="N33" i="36"/>
  <c r="N41" i="36" s="1"/>
  <c r="O39" i="36"/>
  <c r="G9" i="36" l="1"/>
  <c r="G12" i="36" s="1"/>
  <c r="G11" i="48"/>
  <c r="G23" i="48"/>
  <c r="U39" i="36"/>
  <c r="I33" i="36"/>
  <c r="S33" i="36"/>
  <c r="S41" i="36" s="1"/>
  <c r="O41" i="36"/>
  <c r="G33" i="36" l="1"/>
  <c r="G41" i="36" s="1"/>
  <c r="F25" i="48"/>
  <c r="G13" i="48"/>
  <c r="I41" i="36"/>
  <c r="F25" i="6" l="1"/>
  <c r="H25" i="17" l="1"/>
  <c r="H27" i="17" s="1"/>
  <c r="H31" i="17" s="1"/>
  <c r="F25" i="17"/>
  <c r="F27" i="17" s="1"/>
  <c r="F31" i="17" s="1"/>
  <c r="H25" i="6"/>
  <c r="H27" i="6" s="1"/>
  <c r="H31" i="6" s="1"/>
  <c r="E7" i="48" s="1"/>
  <c r="F27" i="6"/>
  <c r="F31" i="6" s="1"/>
  <c r="D7" i="48" s="1"/>
  <c r="R12" i="36" l="1"/>
  <c r="D8" i="48"/>
  <c r="D9" i="36" s="1"/>
  <c r="D12" i="36" s="1"/>
  <c r="D10" i="51"/>
  <c r="C9" i="36"/>
  <c r="R24" i="36"/>
  <c r="R31" i="36" s="1"/>
  <c r="E8" i="48"/>
  <c r="D15" i="51"/>
  <c r="C16" i="36"/>
  <c r="G7" i="48"/>
  <c r="U17" i="36"/>
  <c r="U10" i="36"/>
  <c r="G22" i="48"/>
  <c r="R33" i="36"/>
  <c r="R41" i="36" s="1"/>
  <c r="Q24" i="36"/>
  <c r="Q12" i="36"/>
  <c r="U9" i="36" l="1"/>
  <c r="C12" i="36"/>
  <c r="D12" i="51"/>
  <c r="E10" i="51"/>
  <c r="D16" i="36"/>
  <c r="D24" i="36" s="1"/>
  <c r="D31" i="36" s="1"/>
  <c r="G8" i="48"/>
  <c r="C24" i="36"/>
  <c r="C31" i="36" s="1"/>
  <c r="U16" i="36"/>
  <c r="E15" i="51"/>
  <c r="D22" i="51"/>
  <c r="D30" i="51" s="1"/>
  <c r="Q31" i="36"/>
  <c r="U24" i="36"/>
  <c r="U12" i="36"/>
  <c r="Q33" i="36"/>
  <c r="D32" i="51" l="1"/>
  <c r="E12" i="51"/>
  <c r="D33" i="36"/>
  <c r="D41" i="36" s="1"/>
  <c r="E22" i="51"/>
  <c r="E30" i="51" s="1"/>
  <c r="C33" i="36"/>
  <c r="C41" i="36" s="1"/>
  <c r="D25" i="48"/>
  <c r="Q41" i="36"/>
  <c r="E25" i="48"/>
  <c r="U31" i="36"/>
  <c r="D40" i="51" l="1"/>
  <c r="U33" i="36"/>
  <c r="E49" i="51"/>
  <c r="E32" i="51"/>
  <c r="U41" i="36"/>
  <c r="F22" i="51"/>
  <c r="F30" i="51" s="1"/>
  <c r="G21" i="48"/>
  <c r="G25" i="48" s="1"/>
  <c r="F49" i="51" l="1"/>
  <c r="E40" i="51"/>
  <c r="E43" i="51"/>
  <c r="A6" i="26"/>
  <c r="E50" i="51" l="1"/>
  <c r="F10" i="51" s="1"/>
  <c r="E44" i="51"/>
  <c r="E45" i="51"/>
  <c r="E51" i="51" s="1"/>
  <c r="F54" i="51" l="1"/>
  <c r="F53" i="51"/>
  <c r="F12" i="51"/>
  <c r="F32" i="51" s="1"/>
  <c r="F43" i="51" l="1"/>
  <c r="F40" i="51"/>
  <c r="F50" i="51" l="1"/>
  <c r="F45" i="51"/>
  <c r="F51" i="51" s="1"/>
  <c r="F44" i="51"/>
</calcChain>
</file>

<file path=xl/sharedStrings.xml><?xml version="1.0" encoding="utf-8"?>
<sst xmlns="http://schemas.openxmlformats.org/spreadsheetml/2006/main" count="1392" uniqueCount="654">
  <si>
    <t>Line</t>
  </si>
  <si>
    <t>Description</t>
  </si>
  <si>
    <t>Sep</t>
  </si>
  <si>
    <t>Oct</t>
  </si>
  <si>
    <t>Nov</t>
  </si>
  <si>
    <t>Dec</t>
  </si>
  <si>
    <t>Jan</t>
  </si>
  <si>
    <t>Feb</t>
  </si>
  <si>
    <t>Mar</t>
  </si>
  <si>
    <t>Apr</t>
  </si>
  <si>
    <t>May</t>
  </si>
  <si>
    <t>Jun</t>
  </si>
  <si>
    <t>Jul</t>
  </si>
  <si>
    <t>Aug</t>
  </si>
  <si>
    <t>TOTAL</t>
  </si>
  <si>
    <t>Adjustment</t>
  </si>
  <si>
    <t>Year</t>
  </si>
  <si>
    <t>Month</t>
  </si>
  <si>
    <t>(1)</t>
  </si>
  <si>
    <t>(3)</t>
  </si>
  <si>
    <t>(2)</t>
  </si>
  <si>
    <t>#</t>
  </si>
  <si>
    <t>Subtotal</t>
  </si>
  <si>
    <t>Revenue</t>
  </si>
  <si>
    <t>Expense</t>
  </si>
  <si>
    <t>(4)</t>
  </si>
  <si>
    <t>Reference Schedule:  1.02</t>
  </si>
  <si>
    <t>Reference Schedule:  1.01</t>
  </si>
  <si>
    <t>Reference Schedule:  1.08</t>
  </si>
  <si>
    <t>BIG SANDY RECC</t>
  </si>
  <si>
    <t>For the 12 Months Ended July 31, 2016</t>
  </si>
  <si>
    <t>Depreciation</t>
  </si>
  <si>
    <t>Donations</t>
  </si>
  <si>
    <t>Rate Case Expenses</t>
  </si>
  <si>
    <t>G&amp;T Capital Credits</t>
  </si>
  <si>
    <t xml:space="preserve">Revenue </t>
  </si>
  <si>
    <t>Total Cost of Electric Service</t>
  </si>
  <si>
    <t>Non-Operating Margins - Interest</t>
  </si>
  <si>
    <t>Non-Operating Margins - Other</t>
  </si>
  <si>
    <t>Test Year Amount</t>
  </si>
  <si>
    <t>Pro Forma Year Amount</t>
  </si>
  <si>
    <t>This adjustment removes the FAC revenues and expenses from the test period.</t>
  </si>
  <si>
    <t>This adjustment removes the Envionmental Surcharge revenues and expenses from the test period.</t>
  </si>
  <si>
    <t>Other</t>
  </si>
  <si>
    <t>Item</t>
  </si>
  <si>
    <t>Account</t>
  </si>
  <si>
    <t>Advertising</t>
  </si>
  <si>
    <t>Supplies / Misc</t>
  </si>
  <si>
    <t>Total Amount</t>
  </si>
  <si>
    <t>Amortization Period (Years)</t>
  </si>
  <si>
    <t>Total</t>
  </si>
  <si>
    <t>Annual Amortization Amount</t>
  </si>
  <si>
    <t>This adjustment estimates the rate case costs amortized over a 3 year period, consistent with standard Commission practice.</t>
  </si>
  <si>
    <t>This adjustment removes the G&amp;T Capital Credits from the test period, consistent with Commission practice.</t>
  </si>
  <si>
    <t>Professional Services</t>
  </si>
  <si>
    <t>This adjustment removes certain outside professional services costs from the test period, consistent with Commission practice.</t>
  </si>
  <si>
    <t>Year-End Customers</t>
  </si>
  <si>
    <t>(5)</t>
  </si>
  <si>
    <t>(6)</t>
  </si>
  <si>
    <t>(7)</t>
  </si>
  <si>
    <t>(8)</t>
  </si>
  <si>
    <t>Average</t>
  </si>
  <si>
    <t>Total kWh</t>
  </si>
  <si>
    <t>Average kWh</t>
  </si>
  <si>
    <t>Year-End kWh Adjustment</t>
  </si>
  <si>
    <t>Current Base Rate Revenue</t>
  </si>
  <si>
    <t>Average Revenue per kWh</t>
  </si>
  <si>
    <t>Year End Revenue Adj</t>
  </si>
  <si>
    <t>Revenue Adjustment</t>
  </si>
  <si>
    <t>Expense Adjustment</t>
  </si>
  <si>
    <t>Year End Expense Adj</t>
  </si>
  <si>
    <t>Total Purchased Power Expense</t>
  </si>
  <si>
    <t>Less Environmental Surcharge</t>
  </si>
  <si>
    <t>Less Fuel Adjustment Clause</t>
  </si>
  <si>
    <t>Adjusted Purchased Power Expense</t>
  </si>
  <si>
    <t>Total Purchased Power kWh</t>
  </si>
  <si>
    <t>End of Period Increase over Avg</t>
  </si>
  <si>
    <t>For Expense Adjustment:</t>
  </si>
  <si>
    <t>Test Period Total</t>
  </si>
  <si>
    <t>Less DLC &amp; Green Power Charges</t>
  </si>
  <si>
    <t>Avg Adj Purchase Exp per kWh</t>
  </si>
  <si>
    <t>Sched A-2</t>
  </si>
  <si>
    <t>Sched A-1</t>
  </si>
  <si>
    <t>Sched LP</t>
  </si>
  <si>
    <t>Net Rev</t>
  </si>
  <si>
    <t>Interest on LTD</t>
  </si>
  <si>
    <t>TIER</t>
  </si>
  <si>
    <t>Operating Revenues</t>
  </si>
  <si>
    <t>Operating Expenses:</t>
  </si>
  <si>
    <t>Purchased Power</t>
  </si>
  <si>
    <t>Distribution Operations</t>
  </si>
  <si>
    <t>Distribution Maintenance</t>
  </si>
  <si>
    <t>Customer Accounts</t>
  </si>
  <si>
    <t>Customer Service</t>
  </si>
  <si>
    <t>Sales Expense</t>
  </si>
  <si>
    <t>A&amp;G</t>
  </si>
  <si>
    <t>Total O&amp;M Expense</t>
  </si>
  <si>
    <t xml:space="preserve">Depreciation </t>
  </si>
  <si>
    <t>Taxes - Other</t>
  </si>
  <si>
    <t>Interest - Other</t>
  </si>
  <si>
    <t>Other Deductions</t>
  </si>
  <si>
    <t>Utility Operating Margins</t>
  </si>
  <si>
    <t>Other Capital Credits</t>
  </si>
  <si>
    <t>Net Margins</t>
  </si>
  <si>
    <t>TIER excluding GTCC</t>
  </si>
  <si>
    <t>OTIER</t>
  </si>
  <si>
    <t>Rate</t>
  </si>
  <si>
    <t>Operating Revenues:</t>
  </si>
  <si>
    <t xml:space="preserve">        FAC &amp; ES</t>
  </si>
  <si>
    <t>Services</t>
  </si>
  <si>
    <t>Total Revenues</t>
  </si>
  <si>
    <t xml:space="preserve">        Base Rates</t>
  </si>
  <si>
    <t xml:space="preserve">    Total Operating Expenses</t>
  </si>
  <si>
    <t>Total Non-Operating Margins</t>
  </si>
  <si>
    <t>Interest on Long Term Debt</t>
  </si>
  <si>
    <t>Interest Expense - Other</t>
  </si>
  <si>
    <t>Base Rates</t>
  </si>
  <si>
    <t>FAC &amp; ES</t>
  </si>
  <si>
    <t>Other Electric Revenue</t>
  </si>
  <si>
    <t>Distribution - Operations</t>
  </si>
  <si>
    <t>Distribution - Maintenance</t>
  </si>
  <si>
    <t>Consumer Accounts</t>
  </si>
  <si>
    <t>Sales</t>
  </si>
  <si>
    <t>Administrative and General</t>
  </si>
  <si>
    <t>Consulting - Catalyst Consulting LLC</t>
  </si>
  <si>
    <t>Actual Test Yr</t>
  </si>
  <si>
    <t>Present Rates</t>
  </si>
  <si>
    <t>Proposed Rates</t>
  </si>
  <si>
    <t>Pro Forma Test Yr</t>
  </si>
  <si>
    <t>Pro Forma</t>
  </si>
  <si>
    <t>Actual Rates</t>
  </si>
  <si>
    <t>Directors Fees</t>
  </si>
  <si>
    <t>Wages &amp; Salaries</t>
  </si>
  <si>
    <t>Reference Schedule:  1.05</t>
  </si>
  <si>
    <t>Reference Schedule:  1.03</t>
  </si>
  <si>
    <t>Reference Schedule:  1.06</t>
  </si>
  <si>
    <t>Reference Schedule:  1.07</t>
  </si>
  <si>
    <t>Reference Schedule:  1.09</t>
  </si>
  <si>
    <t>Reference Schedule:  1.10</t>
  </si>
  <si>
    <t>Environmental Surcharge</t>
  </si>
  <si>
    <t>Acct</t>
  </si>
  <si>
    <t>Labor Amt</t>
  </si>
  <si>
    <t>Share</t>
  </si>
  <si>
    <t>Construction Work In Progress</t>
  </si>
  <si>
    <t>Retirement Work In Prograss</t>
  </si>
  <si>
    <t>Stores</t>
  </si>
  <si>
    <t>Transportation</t>
  </si>
  <si>
    <t>Misc. Current / Accrued Liabilities</t>
  </si>
  <si>
    <t>Operation Supervision &amp; Engineering</t>
  </si>
  <si>
    <t>Overhead Lines</t>
  </si>
  <si>
    <t>Meters</t>
  </si>
  <si>
    <t>Customer Installations</t>
  </si>
  <si>
    <t>Miscellaneous Distribution</t>
  </si>
  <si>
    <t>Maintenance Supervision &amp; Engineering</t>
  </si>
  <si>
    <t>Maintenance Overhead Lines</t>
  </si>
  <si>
    <t>Maintenance Transformers</t>
  </si>
  <si>
    <t>Maintenance Meters</t>
  </si>
  <si>
    <t>Miscellaneous Maintenance</t>
  </si>
  <si>
    <t>Meter Reading</t>
  </si>
  <si>
    <t>Consumer Records &amp; Collection</t>
  </si>
  <si>
    <t>908.00</t>
  </si>
  <si>
    <t>Consumer Assistance</t>
  </si>
  <si>
    <t>Administrative &amp; General</t>
  </si>
  <si>
    <t>Employee Pensions &amp; Benefits</t>
  </si>
  <si>
    <t>Labor Expense Summary</t>
  </si>
  <si>
    <t>101-120</t>
  </si>
  <si>
    <t>Utility Plant</t>
  </si>
  <si>
    <t>131-174</t>
  </si>
  <si>
    <t>Current &amp; Accrued Assets</t>
  </si>
  <si>
    <t>181-190</t>
  </si>
  <si>
    <t>Deferred Debits</t>
  </si>
  <si>
    <t>231-283</t>
  </si>
  <si>
    <t>Current &amp; Accrued Liabilities</t>
  </si>
  <si>
    <t>580-589</t>
  </si>
  <si>
    <t>Operations</t>
  </si>
  <si>
    <t>590-598</t>
  </si>
  <si>
    <t>Maintenance</t>
  </si>
  <si>
    <t>901-905</t>
  </si>
  <si>
    <t>907-910</t>
  </si>
  <si>
    <t>920-935</t>
  </si>
  <si>
    <t>Labor Expense Detail by Account</t>
  </si>
  <si>
    <t>Advertising Expense</t>
  </si>
  <si>
    <t>General Advertising Expense</t>
  </si>
  <si>
    <t>Pro Forma Adj</t>
  </si>
  <si>
    <t>Salary Employees</t>
  </si>
  <si>
    <t>Part Time  &amp; Summer Employees</t>
  </si>
  <si>
    <t>Retired Employees</t>
  </si>
  <si>
    <t>Actual Test Year Wages</t>
  </si>
  <si>
    <t>Wage</t>
  </si>
  <si>
    <t>Normalized Wages</t>
  </si>
  <si>
    <t>Hours Worked</t>
  </si>
  <si>
    <t>@ 2,080 Hours</t>
  </si>
  <si>
    <t>Reg Hrs</t>
  </si>
  <si>
    <t>OT Hrs</t>
  </si>
  <si>
    <t>Vacation Payout</t>
  </si>
  <si>
    <t>Regular</t>
  </si>
  <si>
    <t>Overtime</t>
  </si>
  <si>
    <t>Performance Compensation</t>
  </si>
  <si>
    <t>Current</t>
  </si>
  <si>
    <t>Employee ID</t>
  </si>
  <si>
    <t>Count</t>
  </si>
  <si>
    <t>Pro Forma Wages at 2,080 Hours</t>
  </si>
  <si>
    <t>Note</t>
  </si>
  <si>
    <t>A</t>
  </si>
  <si>
    <t>B</t>
  </si>
  <si>
    <t>No longer employed</t>
  </si>
  <si>
    <t>Employee</t>
  </si>
  <si>
    <t>ID</t>
  </si>
  <si>
    <t>Pro Forma Adjustment</t>
  </si>
  <si>
    <t>Hourly Employees</t>
  </si>
  <si>
    <t>This adjustment normalizes wages and salaries to account for changes due to wage increases, promotions, retirements, terminations, or new hires for standard year of 2,080 hours.</t>
  </si>
  <si>
    <t>Vac P.Out</t>
  </si>
  <si>
    <t>No.</t>
  </si>
  <si>
    <t>Alloc</t>
  </si>
  <si>
    <t>NOTES:</t>
  </si>
  <si>
    <t>Labor $</t>
  </si>
  <si>
    <t>Test Yr Ending Bal</t>
  </si>
  <si>
    <t>Normalized Expense</t>
  </si>
  <si>
    <t>Test Year Expense</t>
  </si>
  <si>
    <t>Acct #</t>
  </si>
  <si>
    <t>Fully Depr Items</t>
  </si>
  <si>
    <t>Distribution Plant</t>
  </si>
  <si>
    <t>Station equipment</t>
  </si>
  <si>
    <t>Poles, towers &amp; fixtures</t>
  </si>
  <si>
    <t>Overhead conductors &amp; devices</t>
  </si>
  <si>
    <t>Underground conduit</t>
  </si>
  <si>
    <t>Underground conductor &amp; devices</t>
  </si>
  <si>
    <t>Line transformers</t>
  </si>
  <si>
    <t>371</t>
  </si>
  <si>
    <t>Installations on customer premises</t>
  </si>
  <si>
    <t>Land</t>
  </si>
  <si>
    <t>Structures and improvements</t>
  </si>
  <si>
    <t>Office furn and eqt</t>
  </si>
  <si>
    <t>Tools, shop and garage</t>
  </si>
  <si>
    <t>Laboratory</t>
  </si>
  <si>
    <t>Power operated</t>
  </si>
  <si>
    <t>Communications</t>
  </si>
  <si>
    <t>Miscellaneous</t>
  </si>
  <si>
    <t>General Plant</t>
  </si>
  <si>
    <t>This adjustment normalizes depreciation expenses by replacing test year actual expenses with test year end balances (less any fully depreciated items) at approved depreciation rates.</t>
  </si>
  <si>
    <t>Transporation Charged to Clearing</t>
  </si>
  <si>
    <t>Allocation of Clearing to O&amp;M</t>
  </si>
  <si>
    <t>CWIP &amp; RWIP</t>
  </si>
  <si>
    <t>Depr $</t>
  </si>
  <si>
    <t>Distribution &amp; General Subtotal</t>
  </si>
  <si>
    <t>Target TIER</t>
  </si>
  <si>
    <t>Margins at Target TIER</t>
  </si>
  <si>
    <t>Total Operating Revenue</t>
  </si>
  <si>
    <t>Total Sales of Electric Energy</t>
  </si>
  <si>
    <t>Cash Receipts from Lenders</t>
  </si>
  <si>
    <t>Pro Forma Amount</t>
  </si>
  <si>
    <t>C</t>
  </si>
  <si>
    <t>D</t>
  </si>
  <si>
    <t>E</t>
  </si>
  <si>
    <t>This adjustment removes charitable donations, promotional advertising expenses, and dues from the revenue requirement consistent with standard Commission practices.</t>
  </si>
  <si>
    <t>Summary of Pro Forma Adjustments</t>
  </si>
  <si>
    <t>Fuel Adjustment Clause</t>
  </si>
  <si>
    <t>Non-Operating Income</t>
  </si>
  <si>
    <t>Net Margin</t>
  </si>
  <si>
    <t>F</t>
  </si>
  <si>
    <t>Actual ID</t>
  </si>
  <si>
    <t>&lt; Hide &gt;</t>
  </si>
  <si>
    <t>S01</t>
  </si>
  <si>
    <t>S02</t>
  </si>
  <si>
    <t>S03</t>
  </si>
  <si>
    <t>S05</t>
  </si>
  <si>
    <t>S06</t>
  </si>
  <si>
    <t>S07</t>
  </si>
  <si>
    <t>S08</t>
  </si>
  <si>
    <t>S09</t>
  </si>
  <si>
    <t>H01</t>
  </si>
  <si>
    <t>H02</t>
  </si>
  <si>
    <t>H03</t>
  </si>
  <si>
    <t>H04</t>
  </si>
  <si>
    <t>H05</t>
  </si>
  <si>
    <t>H06</t>
  </si>
  <si>
    <t>H07</t>
  </si>
  <si>
    <t>H08</t>
  </si>
  <si>
    <t>H09</t>
  </si>
  <si>
    <t>H10</t>
  </si>
  <si>
    <t>H11</t>
  </si>
  <si>
    <t>H12</t>
  </si>
  <si>
    <t>H13</t>
  </si>
  <si>
    <t>H14</t>
  </si>
  <si>
    <t>H15</t>
  </si>
  <si>
    <t>H16</t>
  </si>
  <si>
    <t>H17</t>
  </si>
  <si>
    <t>H18</t>
  </si>
  <si>
    <t>H19</t>
  </si>
  <si>
    <t>H20</t>
  </si>
  <si>
    <t>H23</t>
  </si>
  <si>
    <t>H24</t>
  </si>
  <si>
    <t>H25</t>
  </si>
  <si>
    <t>H26</t>
  </si>
  <si>
    <t>H27</t>
  </si>
  <si>
    <t>H28</t>
  </si>
  <si>
    <t>H29</t>
  </si>
  <si>
    <t>H30</t>
  </si>
  <si>
    <t>H31</t>
  </si>
  <si>
    <t>P01</t>
  </si>
  <si>
    <t>P03</t>
  </si>
  <si>
    <t>R01</t>
  </si>
  <si>
    <t>R02</t>
  </si>
  <si>
    <t>G</t>
  </si>
  <si>
    <t>This adjustment adjusts the test year expenses and revenues to reflect the number of customers at the end of the test year.</t>
  </si>
  <si>
    <t xml:space="preserve">Reference Schedule     &gt;     </t>
  </si>
  <si>
    <t xml:space="preserve">Item     &gt;     </t>
  </si>
  <si>
    <t>Reference Schedule</t>
  </si>
  <si>
    <t>Summary of Adjustments to Test Year Statement of Operations</t>
  </si>
  <si>
    <t>Summary of Adjustments to Test Year Balance Sheet</t>
  </si>
  <si>
    <t>Assets and Other Debits</t>
  </si>
  <si>
    <t>Total Utility Plant in Service</t>
  </si>
  <si>
    <t>Construction Work in Progress</t>
  </si>
  <si>
    <t>Total Utility Plant</t>
  </si>
  <si>
    <t>Accum Provision for Depr and Amort</t>
  </si>
  <si>
    <t>Net Utility Plant</t>
  </si>
  <si>
    <t>Investment in Assoc Org - Patr Capital</t>
  </si>
  <si>
    <t>Investment in Assoc Org - Other Gen Fnd</t>
  </si>
  <si>
    <t>Investment in Assoc Org - Non Gen Fnd</t>
  </si>
  <si>
    <t>Other Investment</t>
  </si>
  <si>
    <t>Total Other Prop &amp; Investments</t>
  </si>
  <si>
    <t>Cash - General Funds</t>
  </si>
  <si>
    <t>Cash - Construction Fund Trust</t>
  </si>
  <si>
    <t>Special Deposits</t>
  </si>
  <si>
    <t>Accts Receivable - Other (Net)</t>
  </si>
  <si>
    <t>Accts Receivable - Sales Energy (Net)</t>
  </si>
  <si>
    <t>Renewable Energy Credits</t>
  </si>
  <si>
    <t>Material &amp; Supplies - Elec &amp; Other</t>
  </si>
  <si>
    <t>Prepayments</t>
  </si>
  <si>
    <t>Other Current &amp; Accr Assets</t>
  </si>
  <si>
    <t>Total Current &amp; Accr Assets</t>
  </si>
  <si>
    <t>Other Regulatory Assets</t>
  </si>
  <si>
    <t>Other Deferred Debits</t>
  </si>
  <si>
    <t>Total Assets &amp; Other Debits</t>
  </si>
  <si>
    <t>Liabilities &amp; Other Credits</t>
  </si>
  <si>
    <t>Memberships</t>
  </si>
  <si>
    <t>Patronage Capital</t>
  </si>
  <si>
    <t>Non-Operating Margins</t>
  </si>
  <si>
    <t>Other Margins &amp; Equities</t>
  </si>
  <si>
    <t>Total Margins &amp; Equities</t>
  </si>
  <si>
    <t>Long Term Debt - RUS (Net)</t>
  </si>
  <si>
    <t>Long Term Debt - FFB - RUS GUAR</t>
  </si>
  <si>
    <t>Long Term Debt - Other - RUS GUAR</t>
  </si>
  <si>
    <t>Long Term Debt - Other (Net)</t>
  </si>
  <si>
    <t>Long Term Debt - RUS -Econ Dev - Net</t>
  </si>
  <si>
    <t>Total Long Term Debt</t>
  </si>
  <si>
    <t>Accum Operating Provisions</t>
  </si>
  <si>
    <t>Notes Payable</t>
  </si>
  <si>
    <t>Accounts Payable</t>
  </si>
  <si>
    <t>Consumer Deposits</t>
  </si>
  <si>
    <t>Other Current &amp; Accr Liabilities</t>
  </si>
  <si>
    <t>Total Current &amp; Accr Liabilities</t>
  </si>
  <si>
    <t>Regulatory Liabilities</t>
  </si>
  <si>
    <t>Other Deferred Credits</t>
  </si>
  <si>
    <t>Total Liabilities &amp; Other Credits</t>
  </si>
  <si>
    <t>Pro Forma Adjs</t>
  </si>
  <si>
    <t>Statement of Operations &amp; Revenue Requirement</t>
  </si>
  <si>
    <t>For the 12 Months Ended December 31, 2022</t>
  </si>
  <si>
    <t>Adj Test Yr</t>
  </si>
  <si>
    <t>26a</t>
  </si>
  <si>
    <t>Income(Loss) from Equity Investments</t>
  </si>
  <si>
    <t>Revenue Requirement at Target TIER</t>
  </si>
  <si>
    <t>Revenue Deficiency at Target TIER</t>
  </si>
  <si>
    <t>Variance from Target TIER</t>
  </si>
  <si>
    <t>Depreciation Expense</t>
  </si>
  <si>
    <t>Legal - Honaker Law Office</t>
  </si>
  <si>
    <t>Right of Way</t>
  </si>
  <si>
    <t>Life Insurance</t>
  </si>
  <si>
    <t>Total Premium</t>
  </si>
  <si>
    <t>Lesser of $50k or Salary</t>
  </si>
  <si>
    <t>Coverage - 2x Salary</t>
  </si>
  <si>
    <t>Amount to Exclude</t>
  </si>
  <si>
    <t>Allowed Total</t>
  </si>
  <si>
    <t>H</t>
  </si>
  <si>
    <t>Cost</t>
  </si>
  <si>
    <t>Empl #</t>
  </si>
  <si>
    <t>(E * 2)</t>
  </si>
  <si>
    <t>((G-F)/G)*B</t>
  </si>
  <si>
    <t xml:space="preserve">Acct </t>
  </si>
  <si>
    <t>BENTON  T BOHANNON</t>
  </si>
  <si>
    <t>TRACY BOHANNON</t>
  </si>
  <si>
    <t>JACK  P BRAGG JR.</t>
  </si>
  <si>
    <t>PAMELA  A GOETZINGER</t>
  </si>
  <si>
    <t>JACOB  T CREWS</t>
  </si>
  <si>
    <t>JOSEPH  R CRENSHAW</t>
  </si>
  <si>
    <t>SHELLEY  A DAILY</t>
  </si>
  <si>
    <t>MARY BETH DENNIS</t>
  </si>
  <si>
    <t>DAVID  R GRAHAM</t>
  </si>
  <si>
    <t>JASON  A GINN</t>
  </si>
  <si>
    <t>BARBIE  K GOODWIN</t>
  </si>
  <si>
    <t>DALLAS  Q GIBSON</t>
  </si>
  <si>
    <t>MICHAELA  M DOWNING</t>
  </si>
  <si>
    <t>EMILY  R HARTGROVE</t>
  </si>
  <si>
    <t>CONSTANCE LAMB</t>
  </si>
  <si>
    <t>MARY  E LANCASTER</t>
  </si>
  <si>
    <t>JEFFREY  T LEA</t>
  </si>
  <si>
    <t>PHYLLIS  N MCCARTY</t>
  </si>
  <si>
    <t>KELLY  L MICHELS</t>
  </si>
  <si>
    <t>KEITH MILLER</t>
  </si>
  <si>
    <t>JEAN  C MCLAUGHLIN</t>
  </si>
  <si>
    <t>JOHNNA  N DEWITT</t>
  </si>
  <si>
    <t>WILLIAM  P MOORE</t>
  </si>
  <si>
    <t>EMMA  I REDMON</t>
  </si>
  <si>
    <t>EDGAR  B RICHARDSON</t>
  </si>
  <si>
    <t>MICHAEL  W MASON</t>
  </si>
  <si>
    <t>RANDY  K STEVENS</t>
  </si>
  <si>
    <t>MELANIE  B CROSSFIELD</t>
  </si>
  <si>
    <t>LUCAS  M MAKOWSKI</t>
  </si>
  <si>
    <t>MICHAEL  L MORIARTY</t>
  </si>
  <si>
    <t>MICHAEL  D NETHERY</t>
  </si>
  <si>
    <t>BLAKE  D NEWBY</t>
  </si>
  <si>
    <t>HUNTER  G NEW</t>
  </si>
  <si>
    <t>DUSTIN  S PEACH</t>
  </si>
  <si>
    <t>MICHAEL  C PING</t>
  </si>
  <si>
    <t>DUSTY PHELPS</t>
  </si>
  <si>
    <t>ANTHONY  N RAIZOR</t>
  </si>
  <si>
    <t>STEPHEN  D RAVENSCROFT</t>
  </si>
  <si>
    <t>MATTHEW  J REIDE</t>
  </si>
  <si>
    <t>RICHARD  L SPOONAMORE</t>
  </si>
  <si>
    <t>This adjustment removes Life insurance premiums for coverage above the lesser of an employee's annual salary or $50,000 from the test period.</t>
  </si>
  <si>
    <t>Account 593</t>
  </si>
  <si>
    <t>Test Year Right of Way expense</t>
  </si>
  <si>
    <t xml:space="preserve">Pro Forma Cost </t>
  </si>
  <si>
    <t>Donations &amp; Promotional Advertising</t>
  </si>
  <si>
    <t>Reference Schedule:  1.11</t>
  </si>
  <si>
    <t>Current Maturities LTD</t>
  </si>
  <si>
    <t xml:space="preserve">  </t>
  </si>
  <si>
    <t xml:space="preserve"> </t>
  </si>
  <si>
    <t>H32</t>
  </si>
  <si>
    <t>H33</t>
  </si>
  <si>
    <t>H34</t>
  </si>
  <si>
    <t>H35</t>
  </si>
  <si>
    <t>H36</t>
  </si>
  <si>
    <t>H37</t>
  </si>
  <si>
    <t>P04</t>
  </si>
  <si>
    <t>P05</t>
  </si>
  <si>
    <t>P06</t>
  </si>
  <si>
    <t>P07</t>
  </si>
  <si>
    <t>Current Wage Rate</t>
  </si>
  <si>
    <t>Hired post test year</t>
  </si>
  <si>
    <t>Increase(Decrease)</t>
  </si>
  <si>
    <t>Share of Increase to be included:</t>
  </si>
  <si>
    <t>Adjustment:</t>
  </si>
  <si>
    <t>This adjustment adds to expense for average yearly cost to remain on target cycle.</t>
  </si>
  <si>
    <t>Reference Schedule:  1.04</t>
  </si>
  <si>
    <t>Reference Schedule: 1.12</t>
  </si>
  <si>
    <t>For the 12 Months Ended December 31, 2023</t>
  </si>
  <si>
    <t>Sched LPR</t>
  </si>
  <si>
    <t>Type of Debt Issued</t>
  </si>
  <si>
    <t>Date of Issue</t>
  </si>
  <si>
    <t>Date of Maturity</t>
  </si>
  <si>
    <t>Outstanding Amount</t>
  </si>
  <si>
    <t>Cost Rate to Maturity</t>
  </si>
  <si>
    <t>Pro Forma Interest Cost</t>
  </si>
  <si>
    <t>Test Year Interest Cost</t>
  </si>
  <si>
    <t>RUS Loans</t>
  </si>
  <si>
    <t>RET-6-1</t>
  </si>
  <si>
    <t>RET-6-2</t>
  </si>
  <si>
    <t>RET-6-3</t>
  </si>
  <si>
    <t>RET-6-4</t>
  </si>
  <si>
    <t>RET-6-5</t>
  </si>
  <si>
    <t>RET-6-6</t>
  </si>
  <si>
    <t>*</t>
  </si>
  <si>
    <t>FFB Loans</t>
  </si>
  <si>
    <t>CFC Loans</t>
  </si>
  <si>
    <t>Sub-Total</t>
  </si>
  <si>
    <t>Annualized Cost Rate</t>
  </si>
  <si>
    <t>Reference Schedule:  1.13</t>
  </si>
  <si>
    <t>Ending 2023 Rate</t>
  </si>
  <si>
    <t>Ending 2023Salary</t>
  </si>
  <si>
    <t>2023 Rate Case</t>
  </si>
  <si>
    <t>Items to Remove:</t>
  </si>
  <si>
    <t>MIKE'S ATTNY XMAS GIFT CARD</t>
  </si>
  <si>
    <t>Amount</t>
  </si>
  <si>
    <t>EKPC ANNUAL MEETING</t>
  </si>
  <si>
    <t>EKPC &amp; NRECA REGIONAL MEETING</t>
  </si>
  <si>
    <t>NRECA REGIONAL MEETING</t>
  </si>
  <si>
    <t>GARY FRANCIS NRECA MEET</t>
  </si>
  <si>
    <t>6 DIRECTORS GIFTS</t>
  </si>
  <si>
    <t>VELMA XMAS GIFT CARD</t>
  </si>
  <si>
    <t>ATTY-MIKE JACKET</t>
  </si>
  <si>
    <t>593.1 Dept 1</t>
  </si>
  <si>
    <t>593.1 Dept 10</t>
  </si>
  <si>
    <t>593.1 Dept 20</t>
  </si>
  <si>
    <t>593.11 Dept 0</t>
  </si>
  <si>
    <t>593.2 Dept 0</t>
  </si>
  <si>
    <t>593.21 Dept 0</t>
  </si>
  <si>
    <t>593.22 Dept 0</t>
  </si>
  <si>
    <t>593.23 Dept 0</t>
  </si>
  <si>
    <t>593.25 Dept 0</t>
  </si>
  <si>
    <t>593.27 Dept 0</t>
  </si>
  <si>
    <t>H38</t>
  </si>
  <si>
    <t>H39</t>
  </si>
  <si>
    <t>RET 8-1</t>
  </si>
  <si>
    <t>NEW</t>
  </si>
  <si>
    <t>Variable Rate</t>
  </si>
  <si>
    <t>1-4</t>
  </si>
  <si>
    <t>1-5</t>
  </si>
  <si>
    <t>2-1</t>
  </si>
  <si>
    <t>2-2</t>
  </si>
  <si>
    <t>2-3</t>
  </si>
  <si>
    <t>2-4</t>
  </si>
  <si>
    <t>2-5</t>
  </si>
  <si>
    <t>2-6</t>
  </si>
  <si>
    <t>3-1</t>
  </si>
  <si>
    <t>3-2</t>
  </si>
  <si>
    <t>3-3</t>
  </si>
  <si>
    <t xml:space="preserve">This adjustment normalizes the interest on Long-Term Debt.  Test year cost of debt is normalized to annualized cost rate (by multiplying the test year end debt amounts by the interest rate in effect at the end of the test year for each loan).  </t>
  </si>
  <si>
    <t>Catalyst Consulting</t>
  </si>
  <si>
    <t>Honaker Law Office</t>
  </si>
  <si>
    <t>Investment in Subsidiary Companies</t>
  </si>
  <si>
    <t>Notes Receivable (Net)</t>
  </si>
  <si>
    <t xml:space="preserve">Operating Margins </t>
  </si>
  <si>
    <t>Potential Increase</t>
  </si>
  <si>
    <t>Updated AG2-26</t>
  </si>
  <si>
    <t>&lt; Expense portion for Rev Req</t>
  </si>
  <si>
    <t>Date</t>
  </si>
  <si>
    <t>Vendor Name</t>
  </si>
  <si>
    <t>Reference</t>
  </si>
  <si>
    <t>Check No.</t>
  </si>
  <si>
    <t>ACCOUNT 930.11  DIRECTORS PER DIEM</t>
  </si>
  <si>
    <t>DANNY WALLEN</t>
  </si>
  <si>
    <t>D WALLEN BRD MTG PER DIEM</t>
  </si>
  <si>
    <t>GREG DAVIS</t>
  </si>
  <si>
    <t>G DAVIS BRD MTG PER DIEM</t>
  </si>
  <si>
    <t>GARY D FRANCIS</t>
  </si>
  <si>
    <t>G FRANCIS BRD MTG PER DIEM</t>
  </si>
  <si>
    <t>JASON HOLBROOK</t>
  </si>
  <si>
    <t>J HOLBROOK BRD MTG PER DIEM</t>
  </si>
  <si>
    <t>JIMMIE MCKENZIE</t>
  </si>
  <si>
    <t>J MCKENZIE BRD MTG PER DIEM</t>
  </si>
  <si>
    <t>JAMES VANHOOSE</t>
  </si>
  <si>
    <t>J VANHOOSE REGULAR BOARD MEETING PER DIE</t>
  </si>
  <si>
    <t>VELMA MAY</t>
  </si>
  <si>
    <t>V MAY BRD MTG PER DIEM</t>
  </si>
  <si>
    <t>NRECA ANNUAL TECH MEETING PER DIEM</t>
  </si>
  <si>
    <t>D WALLEN ANNUAL MTG PER DIEM REIMBURSEME</t>
  </si>
  <si>
    <t>G DAVIS ANNUAL MTG PER DIEM REIMBURSEMEN</t>
  </si>
  <si>
    <t>G FRANCIS ANNUAL MTG PER DIEM REIMBURSEM</t>
  </si>
  <si>
    <t>J HOLBROOK ANNUAL MTG PER DIEM REIMBURSE</t>
  </si>
  <si>
    <t>J MCKENZIE ANNUAL MTG PER DIEM REIMBURSE</t>
  </si>
  <si>
    <t>J VANHOOSE ANNUAL MTG PER DIEM REIMBURSE</t>
  </si>
  <si>
    <t>V MAY ANNUAL MEETING PER DIEM REIMBURSEM</t>
  </si>
  <si>
    <t>ANNUAL MTG PER DIEM REIMBURSEMEN</t>
  </si>
  <si>
    <t>CRCT CK#67087 DWALLEN MILEAGE T PER DIEM</t>
  </si>
  <si>
    <t>CRCT CK#67097 GFRANCIS MILEAGE T PERDIEM</t>
  </si>
  <si>
    <t>VOID CK #67566</t>
  </si>
  <si>
    <t>KEC ANNUAL MTG</t>
  </si>
  <si>
    <t>KEC ANNUAL MTG PER DIEM</t>
  </si>
  <si>
    <t>BRD MTG PER DIEM</t>
  </si>
  <si>
    <t>WALLEN, DANNY</t>
  </si>
  <si>
    <t>D WALLEN REGULAR BOARD MTG PER DIEM</t>
  </si>
  <si>
    <t>D WALLEN SPECIAL CALL BRD MTG PER DIEM</t>
  </si>
  <si>
    <t>G DAVIS SPECIAL CALL  BRD MTG PER DIEM</t>
  </si>
  <si>
    <t>G FRANCIS SPECIAL CALL BRD MTG PER DIEM</t>
  </si>
  <si>
    <t>J HOLBROOK SPECIAL CALL BRD MTG PER DIEM</t>
  </si>
  <si>
    <t>J MCKENZIE SPECIAL CALL BRD MTG PER DIEM</t>
  </si>
  <si>
    <t>J VANHOOSE SPECIAL CALL BRD MTG PER DIE</t>
  </si>
  <si>
    <t>V MAY SPECIAL CALL BRD MTG PER DIEM</t>
  </si>
  <si>
    <t>J VANHOOSE BRD MTG PER DIE</t>
  </si>
  <si>
    <t>ACCOUNT 930.12  DIRECTORS MILEAGE</t>
  </si>
  <si>
    <t>D WALLEN BRD MTG MILEAGE REIMBURSEMENT</t>
  </si>
  <si>
    <t>G DAVIS BRD MTG MILEAGE</t>
  </si>
  <si>
    <t>G FRANCIS BRD MTG MILEAGE</t>
  </si>
  <si>
    <t>J HOLBROOK BRD MTG MILEAGE REIMBURSEMENT</t>
  </si>
  <si>
    <t>J MCKENZIE BRD MTG MILEAGE REIMBURSEMENT</t>
  </si>
  <si>
    <t>J VANHOOSE BRD MTG MILEAGE REIMBURSEMENT</t>
  </si>
  <si>
    <t>V MAY BRD MTG MILEAGE</t>
  </si>
  <si>
    <t>D WALLEN ANNUAL MTG MILEAGE REIMBURSEME</t>
  </si>
  <si>
    <t>G DAVIS ANNUAL MTG MILEAGE REIMBURSEMEN</t>
  </si>
  <si>
    <t>G FRANCIS ANNUAL MTG MILEAGE REIMBURSEM</t>
  </si>
  <si>
    <t>J HOLBROOK ANNUAL MTG MILEAGE REIMBURSE</t>
  </si>
  <si>
    <t>J MCKENZIE ANNUAL MTG MILEAGE REIMBURSE</t>
  </si>
  <si>
    <t>J VANHOOSE ANNUAL MTG MILEAGE REIMBURSE</t>
  </si>
  <si>
    <t>V MAY ANNUAL MEETING MILEAGE REIMBURSEM</t>
  </si>
  <si>
    <t>ANNUAL MTG MILEAGE REIMBURSEMEN</t>
  </si>
  <si>
    <t>KEC ANNUAL MTG MILEAGE</t>
  </si>
  <si>
    <t>BRD MTG MILEAGE REIMBURSEMENT</t>
  </si>
  <si>
    <t>D WALLEN BOARD MTG MILEAGE REIMBURSEMENT</t>
  </si>
  <si>
    <t>D WALLEN SPECIAL CALL BRD MTG MILEAGE RE</t>
  </si>
  <si>
    <t>G DAVIS SPECIAL CALL BRD MTG MILEAGE</t>
  </si>
  <si>
    <t>G FRANCIS SPECIAL CALL BRD MTG MILEAGE</t>
  </si>
  <si>
    <t>J HOLBROOK SPECIAL CALL BRD MTG MILEAGE</t>
  </si>
  <si>
    <t>J MCKENZIE SPECIAL CALL BRD MTG MILEAGE</t>
  </si>
  <si>
    <t>J VANHOOSE SPECIAL CALL BRD MTG MILEAGE</t>
  </si>
  <si>
    <t>V MAY SPECIAL CALL BRD MTG MILEAGE</t>
  </si>
  <si>
    <t>D WALLEN BRD MTG MILEAGE RE</t>
  </si>
  <si>
    <t>J HOLBROOK BRD MTG MILEAGE</t>
  </si>
  <si>
    <t>J MCKENZIE BRD MTG MILEAGE</t>
  </si>
  <si>
    <t>J VANHOOSE BRD MTG MILEAGE</t>
  </si>
  <si>
    <t>ACCOUNT 930.13  DIRECTORS EXPENSES</t>
  </si>
  <si>
    <t>Last Check/Tran</t>
  </si>
  <si>
    <t>NATIONAL RURAL ELECTRIC COOP</t>
  </si>
  <si>
    <t>DIRC ACCDT INS PD</t>
  </si>
  <si>
    <t>RURAL COOPERATIVES CREDIT UN</t>
  </si>
  <si>
    <t>DANNY WALLEN NRECA MEET</t>
  </si>
  <si>
    <t>EXPENSE DIRECTORS/MGR LIAB INS</t>
  </si>
  <si>
    <t>CFC WORKSHOP DANNY ROOM</t>
  </si>
  <si>
    <t>DANNY ROOM</t>
  </si>
  <si>
    <t>GARY ROOM</t>
  </si>
  <si>
    <t>JAN BOARD MEAL</t>
  </si>
  <si>
    <t>ASHLEIGH BROOKE LEMASTER</t>
  </si>
  <si>
    <t>MARCH BOARD MEAL REIMBURSEMENT</t>
  </si>
  <si>
    <t>BOARD MEAL 2/25</t>
  </si>
  <si>
    <t>BOARD MEAL EXP</t>
  </si>
  <si>
    <t>BOARD MEAL FEB</t>
  </si>
  <si>
    <t>BOARD MEAL SUPPLIES</t>
  </si>
  <si>
    <t>DANNY MEAL</t>
  </si>
  <si>
    <t>GARY DELTA AIRLINE</t>
  </si>
  <si>
    <t>GARY MEAL</t>
  </si>
  <si>
    <t>JASON DELTA AIRLINE</t>
  </si>
  <si>
    <t>REIMBURSEMENT FOR PARKING IN NASHVILLE</t>
  </si>
  <si>
    <t>DANNY ROOM EKP</t>
  </si>
  <si>
    <t>GARY FRANCIS ROOM</t>
  </si>
  <si>
    <t>JASON HOLBROOK ROOM</t>
  </si>
  <si>
    <t>MARCH BOARD MEAL</t>
  </si>
  <si>
    <t>DANNY W ROOM</t>
  </si>
  <si>
    <t>HIRERIGHT, LLC</t>
  </si>
  <si>
    <t>BACKGROUND CHECK FOR DANNY WALLEN</t>
  </si>
  <si>
    <t>BOARD MEAL</t>
  </si>
  <si>
    <t>DANNY ROOM EKP MTG</t>
  </si>
  <si>
    <t>CORRECT ACCIDENT INS PD MIKE SCHMITT</t>
  </si>
  <si>
    <t>BOARD MEAL JUNE</t>
  </si>
  <si>
    <t>JUNE BOARD MEAL</t>
  </si>
  <si>
    <t>DANNY W MEAL</t>
  </si>
  <si>
    <t>GARY F MEAL</t>
  </si>
  <si>
    <t>GARY FRANCIS MEAL</t>
  </si>
  <si>
    <t>GREG D MEAL</t>
  </si>
  <si>
    <t>GREG ROOM</t>
  </si>
  <si>
    <t>JULY BOARD MEAL</t>
  </si>
  <si>
    <t>NRECA</t>
  </si>
  <si>
    <t>RE MAGAZINE DIRECTORS</t>
  </si>
  <si>
    <t>AUG BOARD MEAL</t>
  </si>
  <si>
    <t>DANNY REG 3&amp;4 REG</t>
  </si>
  <si>
    <t>GARY REG 3&amp;4 REG</t>
  </si>
  <si>
    <t>DANNY MEALS</t>
  </si>
  <si>
    <t>GARY MEALS</t>
  </si>
  <si>
    <t>SEPT BOARD MEAL</t>
  </si>
  <si>
    <t>TRABSF MIKE S ACCIDENT INS FR JUL-OCT</t>
  </si>
  <si>
    <t>K-VA-T FOOD STORIES, INC</t>
  </si>
  <si>
    <t>DIRECTORS FOOD CITY GIFT CARDS</t>
  </si>
  <si>
    <t>NOV BOARD MEAL</t>
  </si>
  <si>
    <t>OCT BOARD MEAL</t>
  </si>
  <si>
    <t>DANNY JACKET</t>
  </si>
  <si>
    <t>GARY JACKET</t>
  </si>
  <si>
    <t>GREG JACKET</t>
  </si>
  <si>
    <t>JASON JACKET</t>
  </si>
  <si>
    <t>JIM M JACKET</t>
  </si>
  <si>
    <t>JIM V JACKET</t>
  </si>
  <si>
    <t>SPECIAL BOARD MTG EXP</t>
  </si>
  <si>
    <t>VELMA JACKET</t>
  </si>
  <si>
    <t xml:space="preserve">This adjustment removes certain Director expenses, including directors' per diems &amp; expenses for attending EKPC / KAEC / NRECA annual meeting(s) when the director is not the Big Sandy representative for the respective organization, plus gifts and jackets.  Expenses that are not removed for rate-making purposes may include costs of attending director training/education seminars (esp for new directors). These seminars help directors to meet their fiduciary duties to the membership by educating them on industry issues. Also included is Liability Insurance that protects the directors for decisions they make on a routine basis. </t>
  </si>
  <si>
    <t>Orig</t>
  </si>
  <si>
    <t>Incr(Decr)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</si>
</sst>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_(* #,##0.00000_);_(* \(#,##0.00000\);_(* &quot;-&quot;??_);_(@_)"/>
    <numFmt numFmtId="168" formatCode="0.0%"/>
    <numFmt numFmtId="169" formatCode="m/d/yy;@"/>
    <numFmt numFmtId="170" formatCode="\(#\)"/>
    <numFmt numFmtId="171" formatCode="###,###,###,###.00"/>
    <numFmt numFmtId="172" formatCode="0.000%"/>
  </numFmts>
  <fonts count="23">
    <font>
      <sz val="11"/>
      <color theme="1"/>
      <name val="Calibri"/>
      <family val="2"/>
      <scheme val="minor"/>
    </font>
    <font>
      <sz val="11"/>
      <color theme="1"/>
      <name val="Calibri"/>
      <family val="2"/>
      <scheme val="minor"/>
    </font>
    <font>
      <sz val="10"/>
      <name val="Arial"/>
      <family val="2"/>
    </font>
    <font>
      <sz val="12"/>
      <color theme="1"/>
      <name val="Arial"/>
      <family val="2"/>
    </font>
    <font>
      <b/>
      <sz val="10"/>
      <color theme="1"/>
      <name val="Arial"/>
      <family val="2"/>
    </font>
    <font>
      <sz val="10"/>
      <color theme="1"/>
      <name val="Arial"/>
      <family val="2"/>
    </font>
    <font>
      <b/>
      <u/>
      <sz val="10"/>
      <name val="Arial"/>
      <family val="2"/>
    </font>
    <font>
      <sz val="11"/>
      <name val="Arial"/>
      <family val="2"/>
    </font>
    <font>
      <b/>
      <sz val="10"/>
      <color rgb="FFFF0000"/>
      <name val="Arial"/>
      <family val="2"/>
    </font>
    <font>
      <u/>
      <sz val="10"/>
      <color theme="1"/>
      <name val="Arial"/>
      <family val="2"/>
    </font>
    <font>
      <sz val="12"/>
      <name val="P-TIMES"/>
    </font>
    <font>
      <sz val="11"/>
      <name val="P-TIMES"/>
    </font>
    <font>
      <u/>
      <sz val="11"/>
      <name val="Arial"/>
      <family val="2"/>
    </font>
    <font>
      <u/>
      <sz val="10"/>
      <name val="Arial"/>
      <family val="2"/>
    </font>
    <font>
      <b/>
      <sz val="10"/>
      <name val="Arial"/>
      <family val="2"/>
    </font>
    <font>
      <sz val="11"/>
      <name val="Times New Roman"/>
      <family val="1"/>
    </font>
    <font>
      <sz val="10"/>
      <name val="MS Sans Serif"/>
      <family val="2"/>
    </font>
    <font>
      <b/>
      <sz val="11"/>
      <color theme="1"/>
      <name val="Calibri"/>
      <family val="2"/>
      <scheme val="minor"/>
    </font>
    <font>
      <b/>
      <sz val="11"/>
      <name val="Arial"/>
      <family val="2"/>
    </font>
    <font>
      <b/>
      <i/>
      <sz val="10"/>
      <color theme="1"/>
      <name val="Arial"/>
      <family val="2"/>
    </font>
    <font>
      <sz val="8"/>
      <name val="Calibri"/>
      <family val="2"/>
      <scheme val="minor"/>
    </font>
    <font>
      <i/>
      <sz val="10"/>
      <color theme="1"/>
      <name val="Arial"/>
      <family val="2"/>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2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right/>
      <top style="thin">
        <color theme="1"/>
      </top>
      <bottom/>
      <diagonal/>
    </border>
    <border>
      <left/>
      <right/>
      <top style="thin">
        <color theme="1"/>
      </top>
      <bottom style="double">
        <color theme="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0" fontId="3" fillId="0" borderId="0"/>
    <xf numFmtId="0" fontId="10" fillId="0" borderId="0"/>
    <xf numFmtId="9" fontId="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0" fontId="16" fillId="0" borderId="0"/>
  </cellStyleXfs>
  <cellXfs count="326">
    <xf numFmtId="0" fontId="0" fillId="0" borderId="0" xfId="0"/>
    <xf numFmtId="0" fontId="2" fillId="0" borderId="0" xfId="0" applyFont="1" applyAlignment="1">
      <alignment horizontal="center"/>
    </xf>
    <xf numFmtId="0" fontId="2" fillId="0" borderId="0" xfId="0" applyFont="1"/>
    <xf numFmtId="0" fontId="2" fillId="0" borderId="2" xfId="0" applyFont="1" applyBorder="1"/>
    <xf numFmtId="0" fontId="2" fillId="0" borderId="3" xfId="0" applyFont="1" applyBorder="1" applyAlignment="1">
      <alignment horizontal="center"/>
    </xf>
    <xf numFmtId="0" fontId="4" fillId="0" borderId="0" xfId="3" applyFont="1" applyAlignment="1">
      <alignment horizontal="right"/>
    </xf>
    <xf numFmtId="0" fontId="5" fillId="0" borderId="0" xfId="3" applyFont="1"/>
    <xf numFmtId="0" fontId="4" fillId="0" borderId="0" xfId="3" applyFont="1"/>
    <xf numFmtId="0" fontId="6" fillId="0" borderId="0" xfId="0" applyFont="1"/>
    <xf numFmtId="0" fontId="5" fillId="0" borderId="0" xfId="0" applyFont="1" applyAlignment="1">
      <alignment vertical="top" wrapText="1"/>
    </xf>
    <xf numFmtId="0" fontId="5" fillId="0" borderId="0" xfId="0" applyFont="1" applyAlignment="1">
      <alignment horizontal="center"/>
    </xf>
    <xf numFmtId="0" fontId="5" fillId="0" borderId="0" xfId="0" applyFont="1"/>
    <xf numFmtId="0" fontId="5" fillId="0" borderId="1" xfId="0" applyFont="1" applyBorder="1" applyAlignment="1">
      <alignment horizontal="center"/>
    </xf>
    <xf numFmtId="0" fontId="5" fillId="0" borderId="1" xfId="0" quotePrefix="1" applyFont="1" applyBorder="1" applyAlignment="1">
      <alignment horizontal="center"/>
    </xf>
    <xf numFmtId="164" fontId="5" fillId="0" borderId="0" xfId="1" applyNumberFormat="1" applyFont="1"/>
    <xf numFmtId="0" fontId="5" fillId="0" borderId="0" xfId="0" applyFont="1" applyAlignment="1">
      <alignment horizontal="left"/>
    </xf>
    <xf numFmtId="0" fontId="5" fillId="0" borderId="3" xfId="0" applyFont="1" applyBorder="1"/>
    <xf numFmtId="164" fontId="5" fillId="0" borderId="3" xfId="1" applyNumberFormat="1" applyFont="1" applyBorder="1"/>
    <xf numFmtId="164" fontId="5" fillId="0" borderId="0" xfId="1" applyNumberFormat="1" applyFont="1" applyBorder="1"/>
    <xf numFmtId="164" fontId="5" fillId="0" borderId="0" xfId="1" applyNumberFormat="1" applyFont="1" applyFill="1" applyBorder="1"/>
    <xf numFmtId="0" fontId="5" fillId="0" borderId="2" xfId="0" applyFont="1" applyBorder="1"/>
    <xf numFmtId="164" fontId="5" fillId="0" borderId="2" xfId="1" applyNumberFormat="1" applyFont="1" applyBorder="1"/>
    <xf numFmtId="165" fontId="5" fillId="0" borderId="0" xfId="2" applyNumberFormat="1" applyFont="1"/>
    <xf numFmtId="165" fontId="5" fillId="0" borderId="0" xfId="2" applyNumberFormat="1" applyFont="1" applyFill="1"/>
    <xf numFmtId="164" fontId="5" fillId="0" borderId="0" xfId="0" applyNumberFormat="1" applyFont="1"/>
    <xf numFmtId="43" fontId="5" fillId="0" borderId="0" xfId="2" applyFont="1"/>
    <xf numFmtId="2" fontId="5" fillId="0" borderId="0" xfId="0" applyNumberFormat="1" applyFont="1" applyAlignment="1">
      <alignment horizontal="center"/>
    </xf>
    <xf numFmtId="164" fontId="5" fillId="0" borderId="0" xfId="1" applyNumberFormat="1" applyFont="1" applyFill="1"/>
    <xf numFmtId="0" fontId="5" fillId="0" borderId="0" xfId="0" applyFont="1" applyAlignment="1">
      <alignment horizontal="center" wrapText="1"/>
    </xf>
    <xf numFmtId="165" fontId="5" fillId="0" borderId="0" xfId="2" applyNumberFormat="1" applyFont="1" applyBorder="1"/>
    <xf numFmtId="0" fontId="2" fillId="0" borderId="0" xfId="0" applyFont="1" applyAlignment="1">
      <alignment horizontal="left" vertical="center"/>
    </xf>
    <xf numFmtId="0" fontId="4" fillId="0" borderId="0" xfId="0" applyFont="1"/>
    <xf numFmtId="0" fontId="2" fillId="0" borderId="4" xfId="0" applyFont="1" applyBorder="1" applyAlignment="1">
      <alignment horizontal="center"/>
    </xf>
    <xf numFmtId="164" fontId="5" fillId="0" borderId="3" xfId="1" applyNumberFormat="1" applyFont="1" applyFill="1" applyBorder="1"/>
    <xf numFmtId="165" fontId="2" fillId="0" borderId="0" xfId="2" applyNumberFormat="1" applyFont="1" applyFill="1"/>
    <xf numFmtId="2" fontId="2" fillId="0" borderId="0" xfId="0" applyNumberFormat="1" applyFont="1" applyAlignment="1">
      <alignment horizontal="center"/>
    </xf>
    <xf numFmtId="0" fontId="13" fillId="0" borderId="0" xfId="0" applyFont="1" applyAlignment="1">
      <alignment horizontal="center"/>
    </xf>
    <xf numFmtId="0" fontId="13" fillId="0" borderId="0" xfId="0" applyFont="1" applyAlignment="1">
      <alignment horizontal="right"/>
    </xf>
    <xf numFmtId="168" fontId="2" fillId="0" borderId="0" xfId="5" applyNumberFormat="1" applyFont="1"/>
    <xf numFmtId="0" fontId="2" fillId="0" borderId="3" xfId="0" applyFont="1" applyBorder="1"/>
    <xf numFmtId="168" fontId="2" fillId="0" borderId="3" xfId="5" applyNumberFormat="1" applyFont="1" applyBorder="1"/>
    <xf numFmtId="168" fontId="2" fillId="0" borderId="3" xfId="5" applyNumberFormat="1" applyFont="1" applyBorder="1" applyProtection="1"/>
    <xf numFmtId="0" fontId="9" fillId="0" borderId="0" xfId="0" applyFont="1" applyAlignment="1">
      <alignment horizontal="left"/>
    </xf>
    <xf numFmtId="14" fontId="2" fillId="0" borderId="0" xfId="0" applyNumberFormat="1" applyFont="1" applyAlignment="1">
      <alignment horizontal="center"/>
    </xf>
    <xf numFmtId="0" fontId="2" fillId="0" borderId="2" xfId="0" applyFont="1" applyBorder="1" applyAlignment="1">
      <alignment horizontal="center"/>
    </xf>
    <xf numFmtId="0" fontId="2" fillId="0" borderId="0" xfId="0" applyFont="1" applyAlignment="1">
      <alignment horizontal="center" vertical="center"/>
    </xf>
    <xf numFmtId="0" fontId="14" fillId="0" borderId="0" xfId="0" applyFont="1"/>
    <xf numFmtId="0" fontId="2" fillId="0" borderId="0" xfId="0" applyFont="1" applyAlignment="1">
      <alignment horizontal="left"/>
    </xf>
    <xf numFmtId="43" fontId="14" fillId="0" borderId="0" xfId="2" applyFont="1"/>
    <xf numFmtId="41" fontId="14" fillId="0" borderId="0" xfId="2" applyNumberFormat="1" applyFont="1"/>
    <xf numFmtId="164" fontId="2" fillId="0" borderId="0" xfId="1" applyNumberFormat="1" applyFont="1" applyBorder="1" applyProtection="1"/>
    <xf numFmtId="168" fontId="2" fillId="0" borderId="0" xfId="5" applyNumberFormat="1" applyFont="1" applyBorder="1" applyProtection="1"/>
    <xf numFmtId="37" fontId="2" fillId="0" borderId="24" xfId="0" applyNumberFormat="1" applyFont="1" applyBorder="1" applyAlignment="1">
      <alignment horizontal="center" wrapText="1"/>
    </xf>
    <xf numFmtId="0" fontId="2" fillId="0" borderId="0" xfId="0" applyFont="1" applyAlignment="1">
      <alignment horizontal="centerContinuous"/>
    </xf>
    <xf numFmtId="0" fontId="2" fillId="0" borderId="7" xfId="0" applyFont="1" applyBorder="1" applyAlignment="1">
      <alignment horizontal="centerContinuous"/>
    </xf>
    <xf numFmtId="0" fontId="2" fillId="0" borderId="0" xfId="0" applyFont="1" applyAlignment="1">
      <alignment horizontal="center" wrapText="1"/>
    </xf>
    <xf numFmtId="0" fontId="2" fillId="0" borderId="16" xfId="0" applyFont="1" applyBorder="1"/>
    <xf numFmtId="0" fontId="2" fillId="0" borderId="17" xfId="0" applyFont="1" applyBorder="1"/>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wrapText="1"/>
    </xf>
    <xf numFmtId="0" fontId="2" fillId="0" borderId="24" xfId="0" applyFont="1" applyBorder="1" applyAlignment="1">
      <alignment horizontal="center"/>
    </xf>
    <xf numFmtId="0" fontId="2" fillId="0" borderId="25" xfId="0" applyFont="1" applyBorder="1" applyAlignment="1">
      <alignment horizontal="center"/>
    </xf>
    <xf numFmtId="169" fontId="2" fillId="0" borderId="0" xfId="0" applyNumberFormat="1" applyFont="1" applyAlignment="1">
      <alignment horizontal="center"/>
    </xf>
    <xf numFmtId="0" fontId="2" fillId="0" borderId="26" xfId="0" applyFont="1" applyBorder="1" applyAlignment="1">
      <alignment horizontal="center"/>
    </xf>
    <xf numFmtId="0" fontId="2" fillId="0" borderId="23" xfId="0" applyFont="1" applyBorder="1" applyAlignment="1">
      <alignment horizontal="center"/>
    </xf>
    <xf numFmtId="169" fontId="2" fillId="0" borderId="0" xfId="0" applyNumberFormat="1" applyFont="1" applyAlignment="1">
      <alignment horizontal="center" wrapText="1"/>
    </xf>
    <xf numFmtId="0" fontId="14" fillId="0" borderId="0" xfId="0" applyFont="1" applyAlignment="1">
      <alignment horizontal="center"/>
    </xf>
    <xf numFmtId="0" fontId="2" fillId="4" borderId="0" xfId="0" applyFont="1" applyFill="1" applyAlignment="1">
      <alignment horizontal="centerContinuous"/>
    </xf>
    <xf numFmtId="0" fontId="2" fillId="4" borderId="0" xfId="0" applyFont="1" applyFill="1" applyAlignment="1">
      <alignment horizontal="center"/>
    </xf>
    <xf numFmtId="0" fontId="2" fillId="4" borderId="12" xfId="0" applyFont="1" applyFill="1" applyBorder="1" applyAlignment="1">
      <alignment horizontal="center" wrapText="1"/>
    </xf>
    <xf numFmtId="43" fontId="14" fillId="4" borderId="0" xfId="2" applyFont="1" applyFill="1"/>
    <xf numFmtId="0" fontId="2" fillId="4" borderId="0" xfId="0" applyFont="1" applyFill="1" applyAlignment="1">
      <alignment horizontal="center" wrapText="1"/>
    </xf>
    <xf numFmtId="0" fontId="14" fillId="0" borderId="3" xfId="0" applyFont="1" applyBorder="1"/>
    <xf numFmtId="0" fontId="14" fillId="0" borderId="3" xfId="0" applyFont="1" applyBorder="1" applyAlignment="1">
      <alignment horizontal="center"/>
    </xf>
    <xf numFmtId="43" fontId="14" fillId="0" borderId="3" xfId="2" applyFont="1" applyBorder="1"/>
    <xf numFmtId="41" fontId="14" fillId="0" borderId="3" xfId="2" applyNumberFormat="1" applyFont="1" applyBorder="1"/>
    <xf numFmtId="38" fontId="14" fillId="0" borderId="3" xfId="2" applyNumberFormat="1" applyFont="1" applyBorder="1"/>
    <xf numFmtId="38" fontId="2" fillId="0" borderId="3" xfId="2" applyNumberFormat="1" applyFont="1" applyBorder="1"/>
    <xf numFmtId="0" fontId="14" fillId="0" borderId="0" xfId="3" applyFont="1" applyAlignment="1">
      <alignment horizontal="right"/>
    </xf>
    <xf numFmtId="0" fontId="2" fillId="0" borderId="0" xfId="3" applyFont="1"/>
    <xf numFmtId="0" fontId="2" fillId="4" borderId="0" xfId="3" applyFont="1" applyFill="1" applyAlignment="1">
      <alignment horizontal="center"/>
    </xf>
    <xf numFmtId="0" fontId="2" fillId="0" borderId="1" xfId="0" applyFont="1" applyBorder="1" applyAlignment="1">
      <alignment horizontal="center"/>
    </xf>
    <xf numFmtId="170" fontId="2" fillId="0" borderId="1" xfId="0" quotePrefix="1" applyNumberFormat="1" applyFont="1" applyBorder="1" applyAlignment="1">
      <alignment horizontal="center"/>
    </xf>
    <xf numFmtId="0" fontId="2" fillId="0" borderId="8" xfId="0" applyFont="1" applyBorder="1" applyAlignment="1">
      <alignment horizontal="centerContinuous"/>
    </xf>
    <xf numFmtId="0" fontId="2" fillId="0" borderId="9" xfId="0" applyFont="1" applyBorder="1" applyAlignment="1">
      <alignment horizontal="centerContinuous"/>
    </xf>
    <xf numFmtId="1" fontId="2" fillId="0" borderId="0" xfId="2" applyNumberFormat="1" applyFont="1" applyAlignment="1">
      <alignment horizontal="center"/>
    </xf>
    <xf numFmtId="49" fontId="2" fillId="0" borderId="0" xfId="0" applyNumberFormat="1" applyFont="1" applyAlignment="1">
      <alignment horizontal="center"/>
    </xf>
    <xf numFmtId="43" fontId="2" fillId="0" borderId="0" xfId="2" applyFont="1"/>
    <xf numFmtId="43" fontId="2" fillId="4" borderId="0" xfId="2" applyFont="1" applyFill="1"/>
    <xf numFmtId="41" fontId="2" fillId="0" borderId="0" xfId="2" applyNumberFormat="1" applyFont="1"/>
    <xf numFmtId="41" fontId="2" fillId="0" borderId="0" xfId="2" applyNumberFormat="1" applyFont="1" applyFill="1"/>
    <xf numFmtId="2" fontId="2" fillId="0" borderId="0" xfId="0" applyNumberFormat="1" applyFont="1"/>
    <xf numFmtId="37" fontId="2" fillId="0" borderId="0" xfId="0" applyNumberFormat="1" applyFont="1"/>
    <xf numFmtId="164" fontId="2" fillId="0" borderId="0" xfId="1" applyNumberFormat="1" applyFont="1"/>
    <xf numFmtId="164" fontId="2" fillId="0" borderId="3" xfId="1" applyNumberFormat="1" applyFont="1" applyBorder="1"/>
    <xf numFmtId="0" fontId="2" fillId="0" borderId="0" xfId="0" applyFont="1" applyAlignment="1">
      <alignment horizontal="left" vertical="top" wrapText="1"/>
    </xf>
    <xf numFmtId="2" fontId="2" fillId="0" borderId="0" xfId="0" quotePrefix="1" applyNumberFormat="1" applyFont="1" applyAlignment="1">
      <alignment horizontal="center"/>
    </xf>
    <xf numFmtId="0" fontId="2" fillId="0" borderId="0" xfId="0" applyFont="1" applyAlignment="1">
      <alignment vertical="top" wrapText="1"/>
    </xf>
    <xf numFmtId="0" fontId="13" fillId="0" borderId="0" xfId="0" applyFont="1" applyAlignment="1">
      <alignment horizontal="left"/>
    </xf>
    <xf numFmtId="0" fontId="2"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xf>
    <xf numFmtId="43" fontId="14" fillId="0" borderId="0" xfId="2" applyFont="1" applyAlignment="1">
      <alignment vertical="center"/>
    </xf>
    <xf numFmtId="43" fontId="2" fillId="4" borderId="0" xfId="2" applyFont="1" applyFill="1" applyAlignment="1">
      <alignment vertical="center"/>
    </xf>
    <xf numFmtId="41" fontId="14" fillId="0" borderId="0" xfId="2" applyNumberFormat="1" applyFont="1" applyAlignment="1">
      <alignment vertical="center"/>
    </xf>
    <xf numFmtId="0" fontId="2" fillId="4" borderId="0" xfId="0" applyFont="1" applyFill="1" applyAlignment="1">
      <alignment horizontal="center" vertical="center" wrapText="1"/>
    </xf>
    <xf numFmtId="38" fontId="14" fillId="0" borderId="0" xfId="2" applyNumberFormat="1" applyFont="1" applyAlignment="1">
      <alignment vertical="center"/>
    </xf>
    <xf numFmtId="0" fontId="2" fillId="4" borderId="0" xfId="3" applyFont="1" applyFill="1" applyAlignment="1">
      <alignment horizontal="center" vertical="center"/>
    </xf>
    <xf numFmtId="164" fontId="2" fillId="0" borderId="0" xfId="1" applyNumberFormat="1" applyFont="1" applyAlignment="1">
      <alignment vertical="center"/>
    </xf>
    <xf numFmtId="0" fontId="2" fillId="0" borderId="2" xfId="0" applyFont="1" applyBorder="1" applyAlignment="1">
      <alignment horizontal="center" vertical="center"/>
    </xf>
    <xf numFmtId="164" fontId="2" fillId="0" borderId="3" xfId="1" applyNumberFormat="1" applyFont="1" applyBorder="1" applyAlignment="1" applyProtection="1">
      <alignment horizontal="center"/>
    </xf>
    <xf numFmtId="164" fontId="2" fillId="0" borderId="0" xfId="1" applyNumberFormat="1" applyFont="1" applyBorder="1" applyAlignment="1" applyProtection="1">
      <alignment horizontal="center"/>
    </xf>
    <xf numFmtId="164" fontId="2" fillId="0" borderId="0" xfId="0" applyNumberFormat="1" applyFont="1"/>
    <xf numFmtId="164" fontId="2" fillId="0" borderId="3" xfId="0" applyNumberFormat="1" applyFont="1" applyBorder="1"/>
    <xf numFmtId="164" fontId="2" fillId="0" borderId="2" xfId="1" applyNumberFormat="1" applyFont="1" applyBorder="1" applyAlignment="1" applyProtection="1">
      <alignment horizontal="center"/>
    </xf>
    <xf numFmtId="168" fontId="2" fillId="0" borderId="2" xfId="5" applyNumberFormat="1" applyFont="1" applyBorder="1" applyProtection="1"/>
    <xf numFmtId="164" fontId="2" fillId="0" borderId="2" xfId="1" applyNumberFormat="1" applyFont="1" applyBorder="1" applyAlignment="1" applyProtection="1"/>
    <xf numFmtId="0" fontId="2" fillId="0" borderId="0" xfId="0" applyFont="1" applyAlignment="1">
      <alignment wrapText="1"/>
    </xf>
    <xf numFmtId="0" fontId="13" fillId="0" borderId="0" xfId="0" applyFont="1" applyAlignment="1">
      <alignment horizontal="right" wrapText="1"/>
    </xf>
    <xf numFmtId="0" fontId="6" fillId="0" borderId="0" xfId="0" applyFont="1" applyAlignment="1">
      <alignment horizontal="center"/>
    </xf>
    <xf numFmtId="41" fontId="2" fillId="0" borderId="0" xfId="0" applyNumberFormat="1" applyFont="1"/>
    <xf numFmtId="164" fontId="2" fillId="0" borderId="27" xfId="1" applyNumberFormat="1" applyFont="1" applyBorder="1" applyAlignment="1" applyProtection="1">
      <alignment horizontal="center"/>
    </xf>
    <xf numFmtId="165" fontId="2" fillId="0" borderId="0" xfId="2" applyNumberFormat="1" applyFont="1"/>
    <xf numFmtId="0" fontId="2" fillId="0" borderId="0" xfId="0" quotePrefix="1" applyFont="1" applyAlignment="1">
      <alignment horizontal="left"/>
    </xf>
    <xf numFmtId="171" fontId="2" fillId="0" borderId="0" xfId="0" quotePrefix="1" applyNumberFormat="1" applyFont="1"/>
    <xf numFmtId="171" fontId="5" fillId="0" borderId="0" xfId="0" applyNumberFormat="1" applyFont="1"/>
    <xf numFmtId="14" fontId="2" fillId="0" borderId="0" xfId="0" quotePrefix="1" applyNumberFormat="1" applyFont="1" applyAlignment="1">
      <alignment horizontal="left"/>
    </xf>
    <xf numFmtId="37" fontId="7" fillId="0" borderId="0" xfId="4" applyNumberFormat="1" applyFont="1"/>
    <xf numFmtId="0" fontId="5" fillId="0" borderId="1" xfId="0" applyFont="1" applyBorder="1"/>
    <xf numFmtId="165" fontId="2" fillId="0" borderId="2" xfId="2" applyNumberFormat="1" applyFont="1" applyFill="1" applyBorder="1"/>
    <xf numFmtId="0" fontId="5" fillId="0" borderId="0" xfId="0" quotePrefix="1" applyFont="1" applyAlignment="1">
      <alignment horizontal="center"/>
    </xf>
    <xf numFmtId="0" fontId="5" fillId="0" borderId="0" xfId="0" applyFont="1" applyAlignment="1">
      <alignment vertical="center"/>
    </xf>
    <xf numFmtId="0" fontId="14" fillId="0" borderId="2" xfId="0" applyFont="1" applyBorder="1" applyAlignment="1">
      <alignment horizontal="center" vertical="center"/>
    </xf>
    <xf numFmtId="0" fontId="2" fillId="0" borderId="28" xfId="0" applyFont="1" applyBorder="1"/>
    <xf numFmtId="0" fontId="2" fillId="0" borderId="0" xfId="0" applyFont="1" applyAlignment="1">
      <alignment horizontal="right"/>
    </xf>
    <xf numFmtId="165" fontId="2" fillId="0" borderId="0" xfId="0" applyNumberFormat="1" applyFont="1"/>
    <xf numFmtId="170" fontId="2" fillId="0" borderId="0" xfId="0" quotePrefix="1" applyNumberFormat="1" applyFont="1" applyAlignment="1">
      <alignment horizontal="center"/>
    </xf>
    <xf numFmtId="0" fontId="2" fillId="2" borderId="0" xfId="0" applyFont="1" applyFill="1" applyAlignment="1">
      <alignment horizontal="center"/>
    </xf>
    <xf numFmtId="170" fontId="2" fillId="2" borderId="1" xfId="0" quotePrefix="1" applyNumberFormat="1" applyFont="1" applyFill="1" applyBorder="1" applyAlignment="1">
      <alignment horizontal="center"/>
    </xf>
    <xf numFmtId="0" fontId="4" fillId="0" borderId="0" xfId="0" applyFont="1" applyAlignment="1">
      <alignment horizontal="center"/>
    </xf>
    <xf numFmtId="165" fontId="2" fillId="0" borderId="3" xfId="2" applyNumberFormat="1" applyFont="1" applyFill="1" applyBorder="1"/>
    <xf numFmtId="0" fontId="8" fillId="0" borderId="0" xfId="0" applyFont="1" applyAlignment="1">
      <alignment horizontal="right"/>
    </xf>
    <xf numFmtId="0" fontId="0" fillId="0" borderId="0" xfId="0" applyAlignment="1">
      <alignment horizontal="center"/>
    </xf>
    <xf numFmtId="0" fontId="7" fillId="0" borderId="0" xfId="4" applyFont="1" applyAlignment="1">
      <alignment horizontal="centerContinuous"/>
    </xf>
    <xf numFmtId="0" fontId="7" fillId="0" borderId="0" xfId="4" applyFont="1" applyAlignment="1">
      <alignment horizontal="right"/>
    </xf>
    <xf numFmtId="0" fontId="7" fillId="0" borderId="0" xfId="4" applyFont="1"/>
    <xf numFmtId="0" fontId="11" fillId="0" borderId="0" xfId="4" applyFont="1"/>
    <xf numFmtId="0" fontId="7" fillId="0" borderId="0" xfId="4" applyFont="1" applyAlignment="1">
      <alignment horizontal="center"/>
    </xf>
    <xf numFmtId="0" fontId="11" fillId="0" borderId="0" xfId="4" applyFont="1" applyAlignment="1">
      <alignment horizontal="center"/>
    </xf>
    <xf numFmtId="2" fontId="7" fillId="0" borderId="0" xfId="4" applyNumberFormat="1" applyFont="1" applyAlignment="1">
      <alignment horizontal="center"/>
    </xf>
    <xf numFmtId="0" fontId="12" fillId="0" borderId="0" xfId="4" applyFont="1" applyAlignment="1">
      <alignment horizontal="centerContinuous"/>
    </xf>
    <xf numFmtId="0" fontId="7" fillId="0" borderId="1" xfId="4" applyFont="1" applyBorder="1" applyAlignment="1">
      <alignment horizontal="center" wrapText="1"/>
    </xf>
    <xf numFmtId="0" fontId="11" fillId="0" borderId="1" xfId="4" applyFont="1" applyBorder="1" applyAlignment="1">
      <alignment horizontal="center" wrapText="1"/>
    </xf>
    <xf numFmtId="0" fontId="12" fillId="0" borderId="0" xfId="4" applyFont="1"/>
    <xf numFmtId="165" fontId="7" fillId="0" borderId="0" xfId="2" applyNumberFormat="1" applyFont="1" applyFill="1"/>
    <xf numFmtId="37" fontId="7" fillId="0" borderId="1" xfId="4" applyNumberFormat="1" applyFont="1" applyBorder="1"/>
    <xf numFmtId="0" fontId="7" fillId="0" borderId="5" xfId="4" applyFont="1" applyBorder="1"/>
    <xf numFmtId="37" fontId="7" fillId="0" borderId="5" xfId="4" applyNumberFormat="1" applyFont="1" applyBorder="1"/>
    <xf numFmtId="37" fontId="7" fillId="0" borderId="0" xfId="4" applyNumberFormat="1" applyFont="1" applyAlignment="1">
      <alignment horizontal="right"/>
    </xf>
    <xf numFmtId="0" fontId="7" fillId="0" borderId="6" xfId="4" applyFont="1" applyBorder="1"/>
    <xf numFmtId="37" fontId="7" fillId="0" borderId="6" xfId="4" applyNumberFormat="1" applyFont="1" applyBorder="1"/>
    <xf numFmtId="0" fontId="18" fillId="0" borderId="0" xfId="4" applyFont="1" applyAlignment="1">
      <alignment horizontal="centerContinuous"/>
    </xf>
    <xf numFmtId="0" fontId="7" fillId="0" borderId="1" xfId="4" applyFont="1" applyBorder="1" applyAlignment="1">
      <alignment horizontal="right"/>
    </xf>
    <xf numFmtId="0" fontId="5" fillId="0" borderId="2" xfId="0" applyFont="1" applyBorder="1" applyAlignment="1">
      <alignment horizontal="center" vertical="center"/>
    </xf>
    <xf numFmtId="0" fontId="5" fillId="0" borderId="2" xfId="0" applyFont="1" applyBorder="1" applyAlignment="1">
      <alignment vertical="center"/>
    </xf>
    <xf numFmtId="165" fontId="5" fillId="0" borderId="2" xfId="2" applyNumberFormat="1" applyFont="1" applyBorder="1" applyAlignment="1">
      <alignment vertical="center"/>
    </xf>
    <xf numFmtId="168" fontId="2" fillId="0" borderId="3" xfId="5" applyNumberFormat="1" applyFont="1" applyFill="1" applyBorder="1" applyProtection="1"/>
    <xf numFmtId="0" fontId="14" fillId="0" borderId="1" xfId="0" applyFont="1" applyBorder="1" applyAlignment="1">
      <alignment horizontal="center"/>
    </xf>
    <xf numFmtId="170" fontId="14" fillId="0" borderId="1" xfId="0" quotePrefix="1" applyNumberFormat="1" applyFont="1" applyBorder="1" applyAlignment="1">
      <alignment horizontal="center"/>
    </xf>
    <xf numFmtId="0" fontId="17" fillId="0" borderId="0" xfId="0" applyFont="1"/>
    <xf numFmtId="165" fontId="2" fillId="0" borderId="0" xfId="2" applyNumberFormat="1" applyFont="1" applyProtection="1"/>
    <xf numFmtId="0" fontId="19" fillId="0" borderId="0" xfId="0" applyFont="1" applyAlignment="1">
      <alignment horizontal="left"/>
    </xf>
    <xf numFmtId="0" fontId="19" fillId="0" borderId="0" xfId="0" applyFont="1"/>
    <xf numFmtId="165" fontId="4" fillId="0" borderId="0" xfId="2" applyNumberFormat="1" applyFont="1" applyFill="1" applyAlignment="1"/>
    <xf numFmtId="165" fontId="4" fillId="0" borderId="0" xfId="2" applyNumberFormat="1" applyFont="1" applyFill="1" applyAlignment="1">
      <alignment horizontal="center"/>
    </xf>
    <xf numFmtId="165" fontId="2" fillId="0" borderId="3" xfId="2" applyNumberFormat="1" applyFont="1" applyBorder="1" applyProtection="1"/>
    <xf numFmtId="165" fontId="0" fillId="0" borderId="0" xfId="2" applyNumberFormat="1" applyFont="1" applyFill="1"/>
    <xf numFmtId="165" fontId="2" fillId="0" borderId="0" xfId="2" applyNumberFormat="1" applyFont="1" applyFill="1" applyProtection="1"/>
    <xf numFmtId="165" fontId="2" fillId="0" borderId="0" xfId="2" applyNumberFormat="1" applyFont="1" applyBorder="1" applyProtection="1"/>
    <xf numFmtId="165" fontId="2" fillId="0" borderId="2" xfId="2" applyNumberFormat="1" applyFont="1" applyBorder="1" applyProtection="1"/>
    <xf numFmtId="164" fontId="2" fillId="0" borderId="0" xfId="1" applyNumberFormat="1" applyFont="1" applyAlignment="1">
      <alignment horizontal="center" wrapText="1"/>
    </xf>
    <xf numFmtId="164" fontId="2" fillId="0" borderId="0" xfId="1" applyNumberFormat="1" applyFont="1" applyAlignment="1">
      <alignment horizontal="center"/>
    </xf>
    <xf numFmtId="165" fontId="14" fillId="0" borderId="3" xfId="2" applyNumberFormat="1" applyFont="1" applyBorder="1"/>
    <xf numFmtId="43" fontId="2" fillId="0" borderId="0" xfId="2" applyFont="1" applyFill="1"/>
    <xf numFmtId="43" fontId="2" fillId="0" borderId="0" xfId="2" applyFont="1" applyFill="1" applyBorder="1"/>
    <xf numFmtId="43" fontId="2" fillId="0" borderId="0" xfId="0" applyNumberFormat="1" applyFont="1"/>
    <xf numFmtId="0" fontId="14" fillId="0" borderId="0" xfId="0" applyFont="1" applyAlignment="1">
      <alignment horizontal="right"/>
    </xf>
    <xf numFmtId="10" fontId="2" fillId="0" borderId="0" xfId="5" applyNumberFormat="1" applyFont="1" applyAlignment="1">
      <alignment horizontal="right"/>
    </xf>
    <xf numFmtId="0" fontId="13" fillId="0" borderId="0" xfId="0" applyFont="1"/>
    <xf numFmtId="165" fontId="2" fillId="0" borderId="28" xfId="2" applyNumberFormat="1" applyFont="1" applyFill="1" applyBorder="1"/>
    <xf numFmtId="10" fontId="2" fillId="0" borderId="0" xfId="5" applyNumberFormat="1" applyFont="1" applyFill="1"/>
    <xf numFmtId="0" fontId="4" fillId="0" borderId="0" xfId="0" quotePrefix="1" applyFont="1" applyAlignment="1">
      <alignment horizontal="center"/>
    </xf>
    <xf numFmtId="40" fontId="5" fillId="0" borderId="0" xfId="2" applyNumberFormat="1" applyFont="1" applyFill="1" applyBorder="1"/>
    <xf numFmtId="0" fontId="4" fillId="0" borderId="0" xfId="0" applyFont="1" applyAlignment="1">
      <alignment horizontal="center" wrapText="1"/>
    </xf>
    <xf numFmtId="0" fontId="5" fillId="0" borderId="1" xfId="0" applyFont="1" applyBorder="1" applyAlignment="1">
      <alignment horizontal="left"/>
    </xf>
    <xf numFmtId="0" fontId="21" fillId="0" borderId="0" xfId="0" applyFont="1"/>
    <xf numFmtId="0" fontId="5" fillId="0" borderId="3" xfId="0" applyFont="1" applyBorder="1" applyAlignment="1">
      <alignment horizontal="left"/>
    </xf>
    <xf numFmtId="44" fontId="2" fillId="0" borderId="0" xfId="1" applyFont="1"/>
    <xf numFmtId="43" fontId="14" fillId="0" borderId="0" xfId="2" applyFont="1" applyBorder="1"/>
    <xf numFmtId="41" fontId="14" fillId="0" borderId="0" xfId="2" applyNumberFormat="1" applyFont="1" applyBorder="1"/>
    <xf numFmtId="38" fontId="14" fillId="0" borderId="0" xfId="2" applyNumberFormat="1" applyFont="1" applyBorder="1"/>
    <xf numFmtId="164" fontId="2" fillId="0" borderId="0" xfId="1" applyNumberFormat="1" applyFont="1" applyBorder="1"/>
    <xf numFmtId="44" fontId="5" fillId="0" borderId="0" xfId="1" applyFont="1"/>
    <xf numFmtId="44" fontId="5" fillId="0" borderId="0" xfId="1" applyFont="1" applyBorder="1"/>
    <xf numFmtId="164" fontId="4" fillId="0" borderId="0" xfId="0" quotePrefix="1" applyNumberFormat="1" applyFont="1" applyAlignment="1">
      <alignment horizontal="center"/>
    </xf>
    <xf numFmtId="43" fontId="2" fillId="0" borderId="27" xfId="2" applyFont="1" applyFill="1" applyBorder="1"/>
    <xf numFmtId="164" fontId="5" fillId="0" borderId="3" xfId="0" quotePrefix="1" applyNumberFormat="1" applyFont="1" applyBorder="1" applyAlignment="1">
      <alignment horizontal="center"/>
    </xf>
    <xf numFmtId="10" fontId="5" fillId="0" borderId="0" xfId="5" applyNumberFormat="1" applyFont="1" applyFill="1" applyBorder="1"/>
    <xf numFmtId="165" fontId="4" fillId="0" borderId="0" xfId="2" applyNumberFormat="1" applyFont="1" applyBorder="1"/>
    <xf numFmtId="9" fontId="2" fillId="0" borderId="0" xfId="5" applyFont="1"/>
    <xf numFmtId="10" fontId="2" fillId="0" borderId="0" xfId="5" applyNumberFormat="1" applyFont="1" applyFill="1" applyAlignment="1">
      <alignment horizontal="right"/>
    </xf>
    <xf numFmtId="17" fontId="2" fillId="0" borderId="0" xfId="0" applyNumberFormat="1" applyFont="1" applyAlignment="1">
      <alignment horizontal="center"/>
    </xf>
    <xf numFmtId="172" fontId="5" fillId="0" borderId="0" xfId="5" applyNumberFormat="1" applyFont="1"/>
    <xf numFmtId="17" fontId="2" fillId="4" borderId="0" xfId="0" applyNumberFormat="1" applyFont="1" applyFill="1" applyAlignment="1">
      <alignment horizontal="center"/>
    </xf>
    <xf numFmtId="0" fontId="4" fillId="0" borderId="0" xfId="0" applyFont="1" applyAlignment="1">
      <alignment horizontal="left"/>
    </xf>
    <xf numFmtId="164" fontId="2" fillId="0" borderId="0" xfId="1" quotePrefix="1" applyNumberFormat="1" applyFont="1" applyFill="1" applyBorder="1" applyAlignment="1">
      <alignment horizontal="center"/>
    </xf>
    <xf numFmtId="164" fontId="2" fillId="0" borderId="3" xfId="1" quotePrefix="1" applyNumberFormat="1" applyFont="1" applyFill="1" applyBorder="1" applyAlignment="1">
      <alignment horizontal="center"/>
    </xf>
    <xf numFmtId="164" fontId="5" fillId="0" borderId="1" xfId="1" applyNumberFormat="1" applyFont="1" applyBorder="1"/>
    <xf numFmtId="164" fontId="5" fillId="0" borderId="1" xfId="0" applyNumberFormat="1" applyFont="1" applyBorder="1"/>
    <xf numFmtId="16" fontId="5" fillId="0" borderId="0" xfId="0" quotePrefix="1" applyNumberFormat="1" applyFont="1" applyAlignment="1">
      <alignment horizontal="left"/>
    </xf>
    <xf numFmtId="14" fontId="0" fillId="0" borderId="0" xfId="0" applyNumberFormat="1"/>
    <xf numFmtId="0" fontId="5" fillId="0" borderId="0" xfId="0" quotePrefix="1" applyFont="1" applyAlignment="1">
      <alignment horizontal="left"/>
    </xf>
    <xf numFmtId="14" fontId="2" fillId="0" borderId="0" xfId="0" applyNumberFormat="1" applyFont="1"/>
    <xf numFmtId="172" fontId="0" fillId="0" borderId="0" xfId="5" applyNumberFormat="1" applyFont="1" applyFill="1"/>
    <xf numFmtId="10" fontId="2" fillId="0" borderId="0" xfId="5" applyNumberFormat="1" applyFont="1" applyFill="1" applyBorder="1" applyProtection="1"/>
    <xf numFmtId="168" fontId="2" fillId="0" borderId="0" xfId="5" applyNumberFormat="1" applyFont="1" applyFill="1" applyBorder="1" applyProtection="1"/>
    <xf numFmtId="0" fontId="14" fillId="0" borderId="1" xfId="0" applyFont="1" applyBorder="1"/>
    <xf numFmtId="0" fontId="14" fillId="0" borderId="0" xfId="3" applyFont="1" applyAlignment="1">
      <alignment horizontal="center"/>
    </xf>
    <xf numFmtId="165" fontId="2" fillId="0" borderId="0" xfId="5" applyNumberFormat="1" applyFont="1" applyFill="1"/>
    <xf numFmtId="165" fontId="2" fillId="0" borderId="27" xfId="2" applyNumberFormat="1" applyFont="1" applyFill="1" applyBorder="1"/>
    <xf numFmtId="164" fontId="2" fillId="0" borderId="0" xfId="1" applyNumberFormat="1" applyFont="1" applyFill="1" applyAlignment="1">
      <alignment horizontal="right"/>
    </xf>
    <xf numFmtId="0" fontId="14" fillId="0" borderId="0" xfId="3" applyFont="1"/>
    <xf numFmtId="0" fontId="2" fillId="0" borderId="1" xfId="0" quotePrefix="1" applyFont="1" applyBorder="1" applyAlignment="1">
      <alignment horizontal="center"/>
    </xf>
    <xf numFmtId="164" fontId="2" fillId="0" borderId="0" xfId="1" applyNumberFormat="1" applyFont="1" applyFill="1" applyBorder="1"/>
    <xf numFmtId="164" fontId="2" fillId="0" borderId="2" xfId="0" applyNumberFormat="1" applyFont="1" applyBorder="1"/>
    <xf numFmtId="164" fontId="2" fillId="0" borderId="2" xfId="1" applyNumberFormat="1" applyFont="1" applyBorder="1"/>
    <xf numFmtId="41" fontId="2" fillId="3" borderId="0" xfId="0" applyNumberFormat="1" applyFont="1" applyFill="1"/>
    <xf numFmtId="164" fontId="2" fillId="3" borderId="0" xfId="1" applyNumberFormat="1" applyFont="1" applyFill="1" applyBorder="1"/>
    <xf numFmtId="0" fontId="2" fillId="0" borderId="3" xfId="0" applyFont="1" applyBorder="1" applyAlignment="1">
      <alignment horizontal="right"/>
    </xf>
    <xf numFmtId="41" fontId="2" fillId="0" borderId="3" xfId="0" applyNumberFormat="1" applyFont="1" applyBorder="1"/>
    <xf numFmtId="168" fontId="2" fillId="0" borderId="0" xfId="0" applyNumberFormat="1" applyFont="1"/>
    <xf numFmtId="10" fontId="2" fillId="0" borderId="0" xfId="0" applyNumberFormat="1" applyFont="1"/>
    <xf numFmtId="0" fontId="2" fillId="0" borderId="28" xfId="0" applyFont="1" applyBorder="1" applyAlignment="1">
      <alignment horizontal="right"/>
    </xf>
    <xf numFmtId="41" fontId="2" fillId="0" borderId="28" xfId="0" applyNumberFormat="1" applyFont="1" applyBorder="1"/>
    <xf numFmtId="41" fontId="2" fillId="0" borderId="2" xfId="0" applyNumberFormat="1" applyFont="1" applyBorder="1"/>
    <xf numFmtId="41" fontId="14" fillId="0" borderId="2" xfId="0" applyNumberFormat="1" applyFont="1" applyBorder="1"/>
    <xf numFmtId="165" fontId="2" fillId="3" borderId="0" xfId="0" applyNumberFormat="1" applyFont="1" applyFill="1"/>
    <xf numFmtId="0" fontId="2" fillId="3" borderId="0" xfId="0" applyFont="1" applyFill="1"/>
    <xf numFmtId="165" fontId="2" fillId="0" borderId="3" xfId="2" applyNumberFormat="1" applyFont="1" applyBorder="1"/>
    <xf numFmtId="165" fontId="2" fillId="0" borderId="0" xfId="2" applyNumberFormat="1" applyFont="1" applyBorder="1"/>
    <xf numFmtId="166" fontId="2" fillId="0" borderId="0" xfId="1" applyNumberFormat="1" applyFont="1" applyBorder="1"/>
    <xf numFmtId="167" fontId="2" fillId="0" borderId="0" xfId="2" applyNumberFormat="1" applyFont="1" applyBorder="1"/>
    <xf numFmtId="0" fontId="2" fillId="0" borderId="4" xfId="0" applyFont="1" applyBorder="1"/>
    <xf numFmtId="164" fontId="2" fillId="0" borderId="4" xfId="1" applyNumberFormat="1" applyFont="1" applyBorder="1"/>
    <xf numFmtId="164" fontId="14" fillId="0" borderId="1" xfId="1" applyNumberFormat="1" applyFont="1" applyBorder="1" applyAlignment="1">
      <alignment horizontal="right"/>
    </xf>
    <xf numFmtId="164" fontId="2" fillId="0" borderId="1" xfId="1" applyNumberFormat="1" applyFont="1" applyBorder="1" applyAlignment="1">
      <alignment horizontal="right"/>
    </xf>
    <xf numFmtId="164" fontId="2" fillId="0" borderId="0" xfId="1" applyNumberFormat="1" applyFont="1" applyFill="1"/>
    <xf numFmtId="0" fontId="6" fillId="0" borderId="0" xfId="0" applyFont="1" applyAlignment="1">
      <alignment horizontal="right"/>
    </xf>
    <xf numFmtId="0" fontId="14" fillId="0" borderId="0" xfId="0" applyFont="1" applyAlignment="1">
      <alignment horizontal="left"/>
    </xf>
    <xf numFmtId="0" fontId="22" fillId="0" borderId="0" xfId="0" applyFont="1"/>
    <xf numFmtId="14" fontId="22" fillId="0" borderId="0" xfId="0" applyNumberFormat="1" applyFont="1"/>
    <xf numFmtId="4" fontId="22" fillId="0" borderId="0" xfId="0" applyNumberFormat="1" applyFont="1"/>
    <xf numFmtId="164" fontId="2" fillId="0" borderId="0" xfId="1" applyNumberFormat="1" applyFont="1" applyProtection="1"/>
    <xf numFmtId="10" fontId="2" fillId="0" borderId="0" xfId="5" applyNumberFormat="1" applyFont="1"/>
    <xf numFmtId="10" fontId="2" fillId="0" borderId="3" xfId="5" applyNumberFormat="1" applyFont="1" applyBorder="1"/>
    <xf numFmtId="0" fontId="7"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1" xfId="0" applyFont="1" applyBorder="1" applyAlignment="1">
      <alignment horizontal="center"/>
    </xf>
    <xf numFmtId="0" fontId="18" fillId="0" borderId="1" xfId="0" applyFont="1" applyBorder="1" applyAlignment="1">
      <alignment horizontal="center" wrapText="1"/>
    </xf>
    <xf numFmtId="0" fontId="7" fillId="0" borderId="0" xfId="0" applyFont="1" applyAlignment="1">
      <alignment horizontal="center"/>
    </xf>
    <xf numFmtId="44" fontId="7" fillId="0" borderId="0" xfId="1" applyFont="1" applyFill="1" applyAlignment="1">
      <alignment horizontal="center"/>
    </xf>
    <xf numFmtId="44" fontId="7" fillId="0" borderId="0" xfId="1" applyFont="1" applyFill="1"/>
    <xf numFmtId="44" fontId="7" fillId="0" borderId="0" xfId="0" applyNumberFormat="1" applyFont="1"/>
    <xf numFmtId="43" fontId="7" fillId="0" borderId="0" xfId="2" applyFont="1"/>
    <xf numFmtId="43" fontId="7" fillId="0" borderId="0" xfId="2" applyFont="1" applyFill="1"/>
    <xf numFmtId="0" fontId="7" fillId="0" borderId="3" xfId="0" applyFont="1" applyBorder="1" applyAlignment="1">
      <alignment horizontal="center"/>
    </xf>
    <xf numFmtId="44" fontId="7" fillId="0" borderId="3" xfId="1" applyFont="1" applyFill="1" applyBorder="1"/>
    <xf numFmtId="0" fontId="7" fillId="0" borderId="3" xfId="0" applyFont="1" applyBorder="1"/>
    <xf numFmtId="44" fontId="7" fillId="0" borderId="3" xfId="0" applyNumberFormat="1" applyFont="1" applyBorder="1"/>
    <xf numFmtId="0" fontId="7" fillId="0" borderId="0" xfId="0" applyFont="1" applyAlignment="1">
      <alignment horizontal="right"/>
    </xf>
    <xf numFmtId="0" fontId="18" fillId="0" borderId="0" xfId="0" applyFont="1" applyAlignment="1">
      <alignment horizontal="right"/>
    </xf>
    <xf numFmtId="44" fontId="18" fillId="0" borderId="0" xfId="0" applyNumberFormat="1" applyFont="1"/>
    <xf numFmtId="0" fontId="4" fillId="0" borderId="0" xfId="0" applyFont="1" applyAlignment="1">
      <alignment horizontal="center"/>
    </xf>
    <xf numFmtId="0" fontId="18" fillId="0" borderId="0" xfId="4" applyFont="1" applyAlignment="1">
      <alignment horizontal="center"/>
    </xf>
    <xf numFmtId="0" fontId="14" fillId="0" borderId="0" xfId="3" applyFont="1" applyAlignment="1">
      <alignment horizontal="center"/>
    </xf>
    <xf numFmtId="0" fontId="6" fillId="0" borderId="0" xfId="0" applyFont="1" applyAlignment="1">
      <alignment horizontal="center"/>
    </xf>
    <xf numFmtId="0" fontId="2" fillId="0" borderId="0" xfId="0" applyFont="1" applyAlignment="1">
      <alignment horizontal="left" vertical="top" wrapText="1"/>
    </xf>
    <xf numFmtId="0" fontId="4" fillId="0" borderId="0" xfId="3" applyFont="1" applyAlignment="1">
      <alignment horizontal="center"/>
    </xf>
    <xf numFmtId="0" fontId="5" fillId="0" borderId="0" xfId="0" applyFont="1" applyAlignment="1">
      <alignment horizontal="left" vertical="top" wrapText="1"/>
    </xf>
    <xf numFmtId="0" fontId="2" fillId="0" borderId="1" xfId="0" applyFont="1" applyBorder="1" applyAlignment="1">
      <alignment horizontal="center"/>
    </xf>
    <xf numFmtId="0" fontId="2" fillId="0" borderId="0" xfId="0" applyFont="1" applyAlignment="1">
      <alignment horizontal="center" wrapText="1"/>
    </xf>
    <xf numFmtId="164" fontId="2" fillId="0" borderId="3" xfId="1" applyNumberFormat="1" applyFont="1" applyBorder="1" applyAlignment="1" applyProtection="1">
      <alignment horizontal="center"/>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8" xfId="0" quotePrefix="1" applyFont="1" applyBorder="1" applyAlignment="1">
      <alignment horizontal="left" wrapText="1"/>
    </xf>
    <xf numFmtId="0" fontId="2" fillId="0" borderId="19" xfId="0" quotePrefix="1" applyFont="1" applyBorder="1" applyAlignment="1">
      <alignment horizontal="left" wrapText="1"/>
    </xf>
    <xf numFmtId="164" fontId="2" fillId="0" borderId="2" xfId="1" applyNumberFormat="1" applyFont="1" applyBorder="1" applyAlignment="1" applyProtection="1">
      <alignment horizontal="center"/>
    </xf>
    <xf numFmtId="0" fontId="2" fillId="0" borderId="0" xfId="0" applyFont="1" applyAlignment="1">
      <alignment horizontal="left" wrapText="1"/>
    </xf>
    <xf numFmtId="0" fontId="5" fillId="5" borderId="0" xfId="0" applyFont="1" applyFill="1"/>
    <xf numFmtId="0" fontId="21" fillId="5" borderId="0" xfId="0" applyFont="1" applyFill="1" applyAlignment="1">
      <alignment horizontal="right"/>
    </xf>
    <xf numFmtId="0" fontId="5" fillId="5" borderId="0" xfId="0" applyFont="1" applyFill="1" applyAlignment="1">
      <alignment horizontal="center"/>
    </xf>
    <xf numFmtId="165" fontId="5" fillId="5" borderId="0" xfId="2" applyNumberFormat="1" applyFont="1" applyFill="1"/>
    <xf numFmtId="2" fontId="5" fillId="5" borderId="0" xfId="0" applyNumberFormat="1" applyFont="1" applyFill="1" applyAlignment="1">
      <alignment horizontal="center"/>
    </xf>
    <xf numFmtId="165" fontId="2" fillId="5" borderId="0" xfId="2" applyNumberFormat="1" applyFont="1" applyFill="1"/>
    <xf numFmtId="164" fontId="2" fillId="0" borderId="2" xfId="0" applyNumberFormat="1" applyFont="1" applyBorder="1" applyAlignment="1">
      <alignment vertical="center"/>
    </xf>
    <xf numFmtId="164" fontId="14" fillId="0" borderId="27" xfId="0" applyNumberFormat="1" applyFont="1" applyBorder="1"/>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center"/>
    </xf>
    <xf numFmtId="164" fontId="14" fillId="0" borderId="1" xfId="0" applyNumberFormat="1" applyFont="1" applyBorder="1" applyAlignment="1">
      <alignment horizontal="center"/>
    </xf>
    <xf numFmtId="164" fontId="4" fillId="0" borderId="0" xfId="0" applyNumberFormat="1" applyFont="1" applyAlignment="1">
      <alignment horizontal="center"/>
    </xf>
    <xf numFmtId="164" fontId="14" fillId="0" borderId="0" xfId="0" applyNumberFormat="1" applyFont="1" applyAlignment="1">
      <alignment horizontal="center"/>
    </xf>
    <xf numFmtId="164" fontId="14" fillId="0" borderId="0" xfId="0" applyNumberFormat="1" applyFont="1"/>
    <xf numFmtId="44" fontId="5" fillId="0" borderId="0" xfId="0" applyNumberFormat="1" applyFont="1"/>
    <xf numFmtId="0" fontId="6" fillId="0" borderId="0" xfId="0" applyFont="1" applyAlignment="1">
      <alignment horizontal="left"/>
    </xf>
    <xf numFmtId="14" fontId="5" fillId="0" borderId="0" xfId="0" applyNumberFormat="1" applyFont="1" applyAlignment="1">
      <alignment horizontal="left"/>
    </xf>
    <xf numFmtId="37" fontId="7" fillId="5" borderId="0" xfId="4" applyNumberFormat="1" applyFont="1" applyFill="1"/>
    <xf numFmtId="9" fontId="2" fillId="0" borderId="0" xfId="5" applyFont="1" applyAlignment="1">
      <alignment horizontal="right"/>
    </xf>
  </cellXfs>
  <cellStyles count="9">
    <cellStyle name="Comma" xfId="2" builtinId="3"/>
    <cellStyle name="Comma 2" xfId="6" xr:uid="{00000000-0005-0000-0000-000001000000}"/>
    <cellStyle name="Currency" xfId="1" builtinId="4"/>
    <cellStyle name="Currency 2" xfId="7" xr:uid="{00000000-0005-0000-0000-000003000000}"/>
    <cellStyle name="Normal" xfId="0" builtinId="0"/>
    <cellStyle name="Normal 2" xfId="3" xr:uid="{00000000-0005-0000-0000-000005000000}"/>
    <cellStyle name="Normal 3" xfId="4" xr:uid="{00000000-0005-0000-0000-000006000000}"/>
    <cellStyle name="Normal 4" xfId="8" xr:uid="{00000000-0005-0000-0000-000007000000}"/>
    <cellStyle name="Percent" xfId="5" builtinId="5"/>
  </cellStyles>
  <dxfs count="0"/>
  <tableStyles count="0" defaultTableStyle="TableStyleMedium2" defaultPivotStyle="PivotStyleLight16"/>
  <colors>
    <mruColors>
      <color rgb="FF66FF33"/>
      <color rgb="FF70F098"/>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B316F-25FA-46CB-B606-A70B15489A97}">
  <sheetPr>
    <tabColor theme="9" tint="0.79998168889431442"/>
    <pageSetUpPr fitToPage="1"/>
  </sheetPr>
  <dimension ref="A1:L67"/>
  <sheetViews>
    <sheetView tabSelected="1" view="pageBreakPreview" zoomScaleNormal="75" zoomScaleSheetLayoutView="100" workbookViewId="0">
      <selection activeCell="I17" sqref="I17"/>
    </sheetView>
  </sheetViews>
  <sheetFormatPr defaultColWidth="9.140625" defaultRowHeight="12.75"/>
  <cols>
    <col min="1" max="1" width="9.140625" style="1"/>
    <col min="2" max="2" width="35.42578125" style="2" customWidth="1"/>
    <col min="3" max="3" width="13.5703125" style="2" bestFit="1" customWidth="1"/>
    <col min="4" max="4" width="11.140625" style="2" bestFit="1" customWidth="1"/>
    <col min="5" max="5" width="13.5703125" style="2" bestFit="1" customWidth="1"/>
    <col min="6" max="6" width="15.28515625" style="2" bestFit="1" customWidth="1"/>
    <col min="7" max="7" width="13.28515625" style="2" bestFit="1" customWidth="1"/>
    <col min="8" max="8" width="15.140625" style="2" bestFit="1" customWidth="1"/>
    <col min="9" max="9" width="14.42578125" style="2" customWidth="1"/>
    <col min="10" max="10" width="9.140625" style="2"/>
    <col min="11" max="11" width="14.42578125" style="2" bestFit="1" customWidth="1"/>
    <col min="12" max="12" width="16.85546875" style="2" customWidth="1"/>
    <col min="13" max="16384" width="9.140625" style="2"/>
  </cols>
  <sheetData>
    <row r="1" spans="1:12">
      <c r="A1" s="46" t="s">
        <v>29</v>
      </c>
      <c r="B1" s="46"/>
      <c r="C1" s="46"/>
      <c r="D1" s="46"/>
      <c r="E1" s="46"/>
      <c r="F1" s="307" t="s">
        <v>514</v>
      </c>
    </row>
    <row r="2" spans="1:12">
      <c r="A2" s="46" t="s">
        <v>356</v>
      </c>
      <c r="B2" s="46"/>
      <c r="C2" s="46"/>
      <c r="D2" s="46"/>
      <c r="E2" s="46"/>
      <c r="F2" s="189"/>
    </row>
    <row r="3" spans="1:12">
      <c r="A3" s="46" t="s">
        <v>446</v>
      </c>
      <c r="B3" s="46"/>
      <c r="C3" s="46"/>
      <c r="D3" s="46"/>
      <c r="E3" s="46"/>
      <c r="F3" s="233"/>
      <c r="G3" s="125"/>
      <c r="H3" s="125"/>
    </row>
    <row r="4" spans="1:12">
      <c r="A4" s="69"/>
      <c r="E4" s="189"/>
      <c r="F4" s="213"/>
    </row>
    <row r="5" spans="1:12">
      <c r="A5" s="69"/>
      <c r="E5" s="189"/>
      <c r="F5" s="190"/>
      <c r="H5" s="212"/>
    </row>
    <row r="6" spans="1:12">
      <c r="C6" s="69" t="s">
        <v>130</v>
      </c>
      <c r="D6" s="69" t="s">
        <v>129</v>
      </c>
      <c r="E6" s="69" t="s">
        <v>126</v>
      </c>
      <c r="F6" s="69" t="s">
        <v>127</v>
      </c>
      <c r="H6" s="212"/>
    </row>
    <row r="7" spans="1:12">
      <c r="A7" s="69" t="s">
        <v>0</v>
      </c>
      <c r="B7" s="69" t="s">
        <v>1</v>
      </c>
      <c r="C7" s="69" t="s">
        <v>125</v>
      </c>
      <c r="D7" s="69" t="s">
        <v>15</v>
      </c>
      <c r="E7" s="69" t="s">
        <v>358</v>
      </c>
      <c r="F7" s="69" t="s">
        <v>358</v>
      </c>
      <c r="H7" s="212"/>
    </row>
    <row r="8" spans="1:12" s="46" customFormat="1">
      <c r="A8" s="170" t="s">
        <v>21</v>
      </c>
      <c r="B8" s="171">
        <v>1</v>
      </c>
      <c r="C8" s="171">
        <f>B8+1</f>
        <v>2</v>
      </c>
      <c r="D8" s="171">
        <f>C8+1</f>
        <v>3</v>
      </c>
      <c r="E8" s="171" t="s">
        <v>25</v>
      </c>
      <c r="F8" s="171" t="s">
        <v>58</v>
      </c>
      <c r="H8" s="212"/>
      <c r="I8" s="2"/>
      <c r="J8" s="2"/>
      <c r="K8" s="2"/>
    </row>
    <row r="9" spans="1:12">
      <c r="A9" s="1">
        <v>1</v>
      </c>
      <c r="B9" s="191" t="s">
        <v>87</v>
      </c>
      <c r="C9" s="138"/>
      <c r="H9" s="212"/>
    </row>
    <row r="10" spans="1:12">
      <c r="A10" s="1">
        <f>A9+1</f>
        <v>2</v>
      </c>
      <c r="B10" s="2" t="s">
        <v>248</v>
      </c>
      <c r="C10" s="34">
        <v>25671962.059999999</v>
      </c>
      <c r="D10" s="34">
        <f>'Adj List'!D7+'Adj List'!D8+'Adj List'!D11</f>
        <v>-4932637</v>
      </c>
      <c r="E10" s="34">
        <f>C10+D10</f>
        <v>20739325.059999999</v>
      </c>
      <c r="F10" s="34">
        <f>E10+E50</f>
        <v>24132031.799662389</v>
      </c>
      <c r="H10" s="212"/>
      <c r="L10" s="46"/>
    </row>
    <row r="11" spans="1:12">
      <c r="A11" s="1">
        <f t="shared" ref="A11:A54" si="0">A10+1</f>
        <v>3</v>
      </c>
      <c r="B11" s="2" t="s">
        <v>118</v>
      </c>
      <c r="C11" s="34">
        <v>890206.94</v>
      </c>
      <c r="D11" s="34"/>
      <c r="E11" s="34">
        <f>C11+D11</f>
        <v>890206.94</v>
      </c>
      <c r="F11" s="34">
        <f>E11</f>
        <v>890206.94</v>
      </c>
      <c r="H11" s="212"/>
    </row>
    <row r="12" spans="1:12">
      <c r="A12" s="1">
        <f t="shared" si="0"/>
        <v>4</v>
      </c>
      <c r="B12" s="39" t="s">
        <v>247</v>
      </c>
      <c r="C12" s="143">
        <f t="shared" ref="C12:F12" si="1">SUM(C10:C11)</f>
        <v>26562169</v>
      </c>
      <c r="D12" s="143">
        <f t="shared" si="1"/>
        <v>-4932637</v>
      </c>
      <c r="E12" s="143">
        <f t="shared" si="1"/>
        <v>21629532</v>
      </c>
      <c r="F12" s="143">
        <f t="shared" si="1"/>
        <v>25022238.73966239</v>
      </c>
      <c r="G12" s="138"/>
      <c r="H12" s="212"/>
      <c r="L12" s="46"/>
    </row>
    <row r="13" spans="1:12">
      <c r="A13" s="1">
        <f t="shared" si="0"/>
        <v>5</v>
      </c>
      <c r="C13" s="34"/>
      <c r="D13" s="34"/>
      <c r="E13" s="34"/>
      <c r="F13" s="34"/>
      <c r="G13" s="138"/>
      <c r="H13" s="212"/>
    </row>
    <row r="14" spans="1:12">
      <c r="A14" s="1">
        <f t="shared" si="0"/>
        <v>6</v>
      </c>
      <c r="B14" s="191" t="s">
        <v>88</v>
      </c>
      <c r="C14" s="34"/>
      <c r="D14" s="34"/>
      <c r="E14" s="34"/>
      <c r="F14" s="34"/>
      <c r="G14" s="138"/>
      <c r="H14" s="212"/>
      <c r="L14" s="46"/>
    </row>
    <row r="15" spans="1:12">
      <c r="A15" s="1">
        <f t="shared" si="0"/>
        <v>7</v>
      </c>
      <c r="B15" s="2" t="s">
        <v>89</v>
      </c>
      <c r="C15" s="34">
        <v>17827633</v>
      </c>
      <c r="D15" s="34">
        <f>'Adj List'!E7+'Adj List'!E8+'Adj List'!E11</f>
        <v>-4641296.3499999996</v>
      </c>
      <c r="E15" s="34">
        <f>C15+D15</f>
        <v>13186336.65</v>
      </c>
      <c r="F15" s="34">
        <f>E15</f>
        <v>13186336.65</v>
      </c>
      <c r="G15" s="138"/>
      <c r="H15" s="212"/>
    </row>
    <row r="16" spans="1:12">
      <c r="A16" s="1">
        <f t="shared" si="0"/>
        <v>8</v>
      </c>
      <c r="B16" s="2" t="s">
        <v>90</v>
      </c>
      <c r="C16" s="34">
        <v>1371665</v>
      </c>
      <c r="D16" s="34">
        <v>0</v>
      </c>
      <c r="E16" s="34">
        <f t="shared" ref="E16:E21" si="2">C16+D16</f>
        <v>1371665</v>
      </c>
      <c r="F16" s="34">
        <f t="shared" ref="F16:F21" si="3">E16</f>
        <v>1371665</v>
      </c>
      <c r="G16" s="138"/>
      <c r="H16" s="212"/>
      <c r="L16" s="46"/>
    </row>
    <row r="17" spans="1:12">
      <c r="A17" s="1">
        <f t="shared" si="0"/>
        <v>9</v>
      </c>
      <c r="B17" s="2" t="s">
        <v>91</v>
      </c>
      <c r="C17" s="34">
        <v>2426456</v>
      </c>
      <c r="D17" s="34">
        <f>'Adj List'!E18</f>
        <v>698995.7</v>
      </c>
      <c r="E17" s="34">
        <f t="shared" si="2"/>
        <v>3125451.7</v>
      </c>
      <c r="F17" s="34">
        <f t="shared" si="3"/>
        <v>3125451.7</v>
      </c>
      <c r="G17" s="138"/>
      <c r="H17" s="212"/>
    </row>
    <row r="18" spans="1:12">
      <c r="A18" s="1">
        <f t="shared" si="0"/>
        <v>10</v>
      </c>
      <c r="B18" s="2" t="s">
        <v>92</v>
      </c>
      <c r="C18" s="34">
        <v>1114800</v>
      </c>
      <c r="D18" s="34">
        <v>0</v>
      </c>
      <c r="E18" s="34">
        <f t="shared" si="2"/>
        <v>1114800</v>
      </c>
      <c r="F18" s="34">
        <f t="shared" si="3"/>
        <v>1114800</v>
      </c>
      <c r="G18" s="138"/>
      <c r="H18" s="212"/>
      <c r="L18" s="46"/>
    </row>
    <row r="19" spans="1:12">
      <c r="A19" s="1">
        <f t="shared" si="0"/>
        <v>11</v>
      </c>
      <c r="B19" s="2" t="s">
        <v>93</v>
      </c>
      <c r="C19" s="34">
        <v>126436</v>
      </c>
      <c r="D19" s="34">
        <v>0</v>
      </c>
      <c r="E19" s="34">
        <f t="shared" si="2"/>
        <v>126436</v>
      </c>
      <c r="F19" s="34">
        <f t="shared" si="3"/>
        <v>126436</v>
      </c>
      <c r="G19" s="138"/>
      <c r="H19" s="212"/>
    </row>
    <row r="20" spans="1:12">
      <c r="A20" s="1">
        <f t="shared" si="0"/>
        <v>12</v>
      </c>
      <c r="B20" s="2" t="s">
        <v>94</v>
      </c>
      <c r="C20" s="34">
        <v>39</v>
      </c>
      <c r="D20" s="34">
        <v>0</v>
      </c>
      <c r="E20" s="34">
        <f t="shared" si="2"/>
        <v>39</v>
      </c>
      <c r="F20" s="34">
        <f t="shared" si="3"/>
        <v>39</v>
      </c>
      <c r="G20" s="138"/>
      <c r="H20" s="212"/>
    </row>
    <row r="21" spans="1:12">
      <c r="A21" s="1">
        <f t="shared" si="0"/>
        <v>13</v>
      </c>
      <c r="B21" s="2" t="s">
        <v>95</v>
      </c>
      <c r="C21" s="34">
        <v>1607355</v>
      </c>
      <c r="D21" s="311">
        <f>'Adj List'!E12+'Adj List'!E13+'Adj List'!E14+'Adj List'!E15+'Adj List'!E16+'Adj List'!E17</f>
        <v>34985.879662387386</v>
      </c>
      <c r="E21" s="34">
        <f t="shared" si="2"/>
        <v>1642340.8796623873</v>
      </c>
      <c r="F21" s="34">
        <f t="shared" si="3"/>
        <v>1642340.8796623873</v>
      </c>
      <c r="G21" s="138"/>
      <c r="H21" s="212"/>
    </row>
    <row r="22" spans="1:12">
      <c r="A22" s="1">
        <f t="shared" si="0"/>
        <v>14</v>
      </c>
      <c r="B22" s="39" t="s">
        <v>96</v>
      </c>
      <c r="C22" s="143">
        <f>SUM(C15:C21)</f>
        <v>24474384</v>
      </c>
      <c r="D22" s="143">
        <f t="shared" ref="D22:F22" si="4">SUM(D15:D21)</f>
        <v>-3907314.7703376119</v>
      </c>
      <c r="E22" s="143">
        <f>SUM(E15:E21)</f>
        <v>20567069.229662389</v>
      </c>
      <c r="F22" s="143">
        <f t="shared" si="4"/>
        <v>20567069.229662389</v>
      </c>
      <c r="G22" s="138"/>
      <c r="H22" s="212"/>
    </row>
    <row r="23" spans="1:12">
      <c r="A23" s="1">
        <f t="shared" si="0"/>
        <v>15</v>
      </c>
      <c r="C23" s="34"/>
      <c r="D23" s="34"/>
      <c r="E23" s="34"/>
      <c r="F23" s="34"/>
      <c r="G23" s="138"/>
      <c r="H23" s="212"/>
    </row>
    <row r="24" spans="1:12">
      <c r="A24" s="1">
        <f t="shared" si="0"/>
        <v>16</v>
      </c>
      <c r="B24" s="2" t="s">
        <v>97</v>
      </c>
      <c r="C24" s="34">
        <v>2629280</v>
      </c>
      <c r="D24" s="34">
        <f>'Adj List'!E9</f>
        <v>376017.31000000006</v>
      </c>
      <c r="E24" s="34">
        <f>C24+D24</f>
        <v>3005297.31</v>
      </c>
      <c r="F24" s="34">
        <f t="shared" ref="F24:F28" si="5">E24</f>
        <v>3005297.31</v>
      </c>
      <c r="G24" s="138"/>
      <c r="H24" s="212"/>
    </row>
    <row r="25" spans="1:12">
      <c r="A25" s="1">
        <f t="shared" si="0"/>
        <v>17</v>
      </c>
      <c r="B25" s="2" t="s">
        <v>98</v>
      </c>
      <c r="C25" s="34">
        <v>25966</v>
      </c>
      <c r="D25" s="34"/>
      <c r="E25" s="34">
        <f>C25+D25</f>
        <v>25966</v>
      </c>
      <c r="F25" s="34">
        <f t="shared" si="5"/>
        <v>25966</v>
      </c>
      <c r="G25" s="138"/>
      <c r="H25" s="212"/>
    </row>
    <row r="26" spans="1:12">
      <c r="A26" s="1">
        <f t="shared" si="0"/>
        <v>18</v>
      </c>
      <c r="B26" s="2" t="s">
        <v>85</v>
      </c>
      <c r="C26" s="34">
        <v>778919</v>
      </c>
      <c r="D26" s="34">
        <f>'Adj List'!E19</f>
        <v>119118.10000000009</v>
      </c>
      <c r="E26" s="34">
        <f>C26+D26</f>
        <v>898037.10000000009</v>
      </c>
      <c r="F26" s="34">
        <f t="shared" si="5"/>
        <v>898037.10000000009</v>
      </c>
      <c r="G26" s="138"/>
      <c r="H26" s="212"/>
    </row>
    <row r="27" spans="1:12">
      <c r="A27" s="1">
        <f t="shared" si="0"/>
        <v>19</v>
      </c>
      <c r="B27" s="2" t="s">
        <v>99</v>
      </c>
      <c r="C27" s="34">
        <v>176158</v>
      </c>
      <c r="D27" s="34"/>
      <c r="E27" s="34">
        <f>C27+D27</f>
        <v>176158</v>
      </c>
      <c r="F27" s="34">
        <f t="shared" si="5"/>
        <v>176158</v>
      </c>
      <c r="G27" s="138"/>
      <c r="H27" s="212"/>
    </row>
    <row r="28" spans="1:12">
      <c r="A28" s="1">
        <f t="shared" si="0"/>
        <v>20</v>
      </c>
      <c r="B28" s="2" t="s">
        <v>100</v>
      </c>
      <c r="C28" s="34">
        <v>14010</v>
      </c>
      <c r="D28" s="34"/>
      <c r="E28" s="34">
        <f>C28+D28</f>
        <v>14010</v>
      </c>
      <c r="F28" s="34">
        <f t="shared" si="5"/>
        <v>14010</v>
      </c>
      <c r="G28" s="138"/>
      <c r="H28" s="212"/>
    </row>
    <row r="29" spans="1:12">
      <c r="A29" s="1">
        <f t="shared" si="0"/>
        <v>21</v>
      </c>
      <c r="C29" s="34"/>
      <c r="D29" s="34"/>
      <c r="E29" s="34"/>
      <c r="F29" s="34"/>
      <c r="G29" s="138"/>
      <c r="H29" s="212"/>
    </row>
    <row r="30" spans="1:12">
      <c r="A30" s="1">
        <f t="shared" si="0"/>
        <v>22</v>
      </c>
      <c r="B30" s="136" t="s">
        <v>36</v>
      </c>
      <c r="C30" s="192">
        <f t="shared" ref="C30:F30" si="6">SUM(C22:C28)</f>
        <v>28098717</v>
      </c>
      <c r="D30" s="192">
        <f t="shared" si="6"/>
        <v>-3412179.3603376118</v>
      </c>
      <c r="E30" s="192">
        <f t="shared" si="6"/>
        <v>24686537.639662389</v>
      </c>
      <c r="F30" s="192">
        <f t="shared" si="6"/>
        <v>24686537.639662389</v>
      </c>
      <c r="G30" s="138"/>
      <c r="H30" s="212"/>
    </row>
    <row r="31" spans="1:12">
      <c r="A31" s="1">
        <f t="shared" si="0"/>
        <v>23</v>
      </c>
      <c r="C31" s="34"/>
      <c r="D31" s="34"/>
      <c r="E31" s="34"/>
      <c r="F31" s="34"/>
      <c r="G31" s="138"/>
      <c r="H31" s="212"/>
    </row>
    <row r="32" spans="1:12" ht="13.5" thickBot="1">
      <c r="A32" s="1">
        <f t="shared" si="0"/>
        <v>24</v>
      </c>
      <c r="B32" s="3" t="s">
        <v>101</v>
      </c>
      <c r="C32" s="132">
        <f t="shared" ref="C32:F32" si="7">C12-C30</f>
        <v>-1536548</v>
      </c>
      <c r="D32" s="132">
        <f t="shared" si="7"/>
        <v>-1520457.6396623882</v>
      </c>
      <c r="E32" s="132">
        <f t="shared" si="7"/>
        <v>-3057005.6396623887</v>
      </c>
      <c r="F32" s="132">
        <f t="shared" si="7"/>
        <v>335701.10000000149</v>
      </c>
      <c r="G32" s="138"/>
      <c r="H32" s="212"/>
    </row>
    <row r="33" spans="1:8" ht="13.5" thickTop="1">
      <c r="A33" s="1">
        <f t="shared" si="0"/>
        <v>25</v>
      </c>
      <c r="C33" s="34"/>
      <c r="D33" s="34"/>
      <c r="E33" s="34"/>
      <c r="F33" s="34"/>
      <c r="G33" s="138"/>
      <c r="H33" s="212"/>
    </row>
    <row r="34" spans="1:8">
      <c r="A34" s="1">
        <f t="shared" si="0"/>
        <v>26</v>
      </c>
      <c r="B34" s="2" t="s">
        <v>37</v>
      </c>
      <c r="C34" s="34">
        <v>297572</v>
      </c>
      <c r="D34" s="34"/>
      <c r="E34" s="34">
        <f>C34+D34</f>
        <v>297572</v>
      </c>
      <c r="F34" s="34">
        <f t="shared" ref="F34:F37" si="8">E34</f>
        <v>297572</v>
      </c>
      <c r="G34" s="138"/>
      <c r="H34" s="212"/>
    </row>
    <row r="35" spans="1:8">
      <c r="A35" s="1" t="s">
        <v>359</v>
      </c>
      <c r="B35" s="2" t="s">
        <v>360</v>
      </c>
      <c r="C35" s="34">
        <v>0</v>
      </c>
      <c r="D35" s="34"/>
      <c r="E35" s="34">
        <f>C35+D35</f>
        <v>0</v>
      </c>
      <c r="F35" s="34">
        <f t="shared" si="8"/>
        <v>0</v>
      </c>
      <c r="G35" s="138"/>
      <c r="H35" s="212"/>
    </row>
    <row r="36" spans="1:8">
      <c r="A36" s="1">
        <f>A34+1</f>
        <v>27</v>
      </c>
      <c r="B36" s="2" t="s">
        <v>38</v>
      </c>
      <c r="C36" s="34">
        <v>141740</v>
      </c>
      <c r="D36" s="34"/>
      <c r="E36" s="34">
        <f>C36+D36</f>
        <v>141740</v>
      </c>
      <c r="F36" s="34">
        <f t="shared" si="8"/>
        <v>141740</v>
      </c>
      <c r="G36" s="138"/>
      <c r="H36" s="212"/>
    </row>
    <row r="37" spans="1:8">
      <c r="A37" s="1">
        <f t="shared" si="0"/>
        <v>28</v>
      </c>
      <c r="B37" s="2" t="s">
        <v>34</v>
      </c>
      <c r="C37" s="34">
        <v>412311</v>
      </c>
      <c r="D37" s="34">
        <f>'Adj List'!F10</f>
        <v>-412311</v>
      </c>
      <c r="E37" s="34">
        <f>C37+D37</f>
        <v>0</v>
      </c>
      <c r="F37" s="34">
        <f t="shared" si="8"/>
        <v>0</v>
      </c>
      <c r="G37" s="138"/>
      <c r="H37" s="212"/>
    </row>
    <row r="38" spans="1:8">
      <c r="A38" s="1">
        <f t="shared" si="0"/>
        <v>29</v>
      </c>
      <c r="B38" s="2" t="s">
        <v>102</v>
      </c>
      <c r="C38" s="34">
        <v>123024</v>
      </c>
      <c r="D38" s="34"/>
      <c r="E38" s="34">
        <f>C38+D38</f>
        <v>123024</v>
      </c>
      <c r="F38" s="34">
        <f>E38</f>
        <v>123024</v>
      </c>
      <c r="G38" s="138"/>
      <c r="H38" s="212"/>
    </row>
    <row r="39" spans="1:8">
      <c r="A39" s="1">
        <f t="shared" si="0"/>
        <v>30</v>
      </c>
      <c r="C39" s="34"/>
      <c r="D39" s="34"/>
      <c r="E39" s="34"/>
      <c r="F39" s="34"/>
      <c r="G39" s="138"/>
      <c r="H39" s="212"/>
    </row>
    <row r="40" spans="1:8" ht="13.5" thickBot="1">
      <c r="A40" s="1">
        <f t="shared" si="0"/>
        <v>31</v>
      </c>
      <c r="B40" s="3" t="s">
        <v>103</v>
      </c>
      <c r="C40" s="132">
        <f t="shared" ref="C40:E40" si="9">C32+SUM(C34:C38)</f>
        <v>-561901</v>
      </c>
      <c r="D40" s="132">
        <f t="shared" si="9"/>
        <v>-1932768.6396623882</v>
      </c>
      <c r="E40" s="132">
        <f t="shared" si="9"/>
        <v>-2494669.6396623887</v>
      </c>
      <c r="F40" s="132">
        <f t="shared" ref="F40" si="10">F32+SUM(F34:F38)</f>
        <v>898037.10000000149</v>
      </c>
      <c r="G40" s="138"/>
      <c r="H40" s="212"/>
    </row>
    <row r="41" spans="1:8" ht="13.5" thickTop="1">
      <c r="A41" s="1">
        <f t="shared" si="0"/>
        <v>32</v>
      </c>
      <c r="C41" s="34"/>
      <c r="D41" s="34"/>
      <c r="E41" s="34"/>
      <c r="F41" s="34"/>
      <c r="G41" s="138"/>
      <c r="H41" s="212"/>
    </row>
    <row r="42" spans="1:8">
      <c r="A42" s="1">
        <f t="shared" si="0"/>
        <v>33</v>
      </c>
      <c r="B42" s="2" t="s">
        <v>249</v>
      </c>
      <c r="C42" s="34">
        <v>46904</v>
      </c>
      <c r="D42" s="34"/>
      <c r="E42" s="34">
        <f>C42+D42</f>
        <v>46904</v>
      </c>
      <c r="F42" s="34">
        <f>E42</f>
        <v>46904</v>
      </c>
      <c r="G42" s="138"/>
      <c r="H42" s="212"/>
    </row>
    <row r="43" spans="1:8">
      <c r="A43" s="1">
        <f t="shared" si="0"/>
        <v>34</v>
      </c>
      <c r="B43" s="2" t="s">
        <v>105</v>
      </c>
      <c r="C43" s="186">
        <f>(C32+C42+C26)/C26</f>
        <v>-0.91245046018905684</v>
      </c>
      <c r="D43" s="34"/>
      <c r="E43" s="186">
        <f>(E32+E42+E26)/E26</f>
        <v>-2.3518678010768022</v>
      </c>
      <c r="F43" s="187">
        <f>(F32+F42+F26)/F26</f>
        <v>1.426045984069034</v>
      </c>
      <c r="G43" s="90"/>
      <c r="H43" s="212"/>
    </row>
    <row r="44" spans="1:8">
      <c r="A44" s="1">
        <f t="shared" si="0"/>
        <v>35</v>
      </c>
      <c r="B44" s="2" t="s">
        <v>86</v>
      </c>
      <c r="C44" s="186">
        <f>(C40+C26)/C26</f>
        <v>0.27861433602210245</v>
      </c>
      <c r="D44" s="34"/>
      <c r="E44" s="186">
        <f>(E40+E26)/E26</f>
        <v>-1.7779137851458346</v>
      </c>
      <c r="F44" s="208">
        <f>(F40+F26)/F26</f>
        <v>2.0000000000000018</v>
      </c>
      <c r="G44" s="90"/>
      <c r="H44" s="212"/>
    </row>
    <row r="45" spans="1:8">
      <c r="A45" s="1">
        <f t="shared" si="0"/>
        <v>36</v>
      </c>
      <c r="B45" s="2" t="s">
        <v>104</v>
      </c>
      <c r="C45" s="186">
        <f>(C26+C40-C37)/C26</f>
        <v>-0.25072311755137566</v>
      </c>
      <c r="D45" s="34"/>
      <c r="E45" s="186">
        <f>(E26+E40-E37)/E26</f>
        <v>-1.7779137851458346</v>
      </c>
      <c r="F45" s="186">
        <f>(F26+F40-F37)/F26</f>
        <v>2.0000000000000018</v>
      </c>
      <c r="G45" s="90"/>
      <c r="H45" s="212"/>
    </row>
    <row r="46" spans="1:8">
      <c r="A46" s="1">
        <f t="shared" si="0"/>
        <v>37</v>
      </c>
      <c r="G46" s="138"/>
      <c r="H46" s="212"/>
    </row>
    <row r="47" spans="1:8">
      <c r="A47" s="1">
        <f t="shared" si="0"/>
        <v>38</v>
      </c>
      <c r="B47" s="2" t="s">
        <v>245</v>
      </c>
      <c r="C47" s="186">
        <v>2</v>
      </c>
      <c r="D47" s="34"/>
      <c r="E47" s="186">
        <f>C47</f>
        <v>2</v>
      </c>
      <c r="F47" s="186">
        <v>2</v>
      </c>
      <c r="G47" s="138"/>
      <c r="H47" s="212"/>
    </row>
    <row r="48" spans="1:8">
      <c r="A48" s="1">
        <f t="shared" si="0"/>
        <v>39</v>
      </c>
      <c r="B48" s="2" t="s">
        <v>246</v>
      </c>
      <c r="C48" s="34">
        <f>C47*C26-C26</f>
        <v>778919</v>
      </c>
      <c r="D48" s="34"/>
      <c r="E48" s="34">
        <f>E47*E26-E26</f>
        <v>898037.10000000009</v>
      </c>
      <c r="F48" s="34">
        <f>F47*F26-F26</f>
        <v>898037.10000000009</v>
      </c>
      <c r="G48" s="138"/>
      <c r="H48" s="212"/>
    </row>
    <row r="49" spans="1:9">
      <c r="A49" s="1">
        <f t="shared" si="0"/>
        <v>40</v>
      </c>
      <c r="B49" s="2" t="s">
        <v>361</v>
      </c>
      <c r="C49" s="34">
        <f>C30+C48</f>
        <v>28877636</v>
      </c>
      <c r="D49" s="34"/>
      <c r="E49" s="34">
        <f>E30+E48</f>
        <v>25584574.73966239</v>
      </c>
      <c r="F49" s="34">
        <f>F30+F48</f>
        <v>25584574.73966239</v>
      </c>
      <c r="G49" s="138"/>
      <c r="H49" s="212"/>
    </row>
    <row r="50" spans="1:9">
      <c r="A50" s="1">
        <f t="shared" si="0"/>
        <v>41</v>
      </c>
      <c r="B50" s="2" t="s">
        <v>362</v>
      </c>
      <c r="C50" s="34">
        <f>C48-C40</f>
        <v>1340820</v>
      </c>
      <c r="D50" s="34"/>
      <c r="E50" s="232">
        <f>E48-E40</f>
        <v>3392706.7396623888</v>
      </c>
      <c r="F50" s="34">
        <f>F48-F40</f>
        <v>-1.3969838619232178E-9</v>
      </c>
      <c r="G50" s="138"/>
      <c r="H50" s="212"/>
    </row>
    <row r="51" spans="1:9">
      <c r="A51" s="1">
        <f t="shared" si="0"/>
        <v>42</v>
      </c>
      <c r="B51" s="2" t="s">
        <v>363</v>
      </c>
      <c r="C51" s="193"/>
      <c r="D51" s="137"/>
      <c r="E51" s="187">
        <f>ROUND(E45-C47,2)</f>
        <v>-3.78</v>
      </c>
      <c r="F51" s="187">
        <f>ROUND(F45-E47,2)</f>
        <v>0</v>
      </c>
      <c r="G51" s="138"/>
      <c r="H51" s="212"/>
    </row>
    <row r="52" spans="1:9">
      <c r="A52" s="1">
        <f t="shared" si="0"/>
        <v>43</v>
      </c>
      <c r="G52" s="90"/>
      <c r="H52" s="325" t="s">
        <v>652</v>
      </c>
      <c r="I52" s="137" t="s">
        <v>653</v>
      </c>
    </row>
    <row r="53" spans="1:9">
      <c r="A53" s="1">
        <f t="shared" si="0"/>
        <v>44</v>
      </c>
      <c r="B53" s="2" t="s">
        <v>513</v>
      </c>
      <c r="F53" s="231">
        <f>E50</f>
        <v>3392706.7396623888</v>
      </c>
      <c r="H53" s="96">
        <v>3458483</v>
      </c>
      <c r="I53" s="138">
        <f>F53-H53</f>
        <v>-65776.260337611195</v>
      </c>
    </row>
    <row r="54" spans="1:9">
      <c r="A54" s="1">
        <f t="shared" si="0"/>
        <v>45</v>
      </c>
      <c r="B54" s="2" t="s">
        <v>513</v>
      </c>
      <c r="F54" s="38">
        <f>E50/C10</f>
        <v>0.13215611380746911</v>
      </c>
      <c r="H54" s="212"/>
    </row>
    <row r="55" spans="1:9">
      <c r="F55" s="193"/>
      <c r="H55" s="212"/>
    </row>
    <row r="56" spans="1:9">
      <c r="H56" s="212"/>
    </row>
    <row r="57" spans="1:9">
      <c r="F57" s="193"/>
      <c r="H57" s="212"/>
    </row>
    <row r="58" spans="1:9">
      <c r="H58" s="212"/>
    </row>
    <row r="59" spans="1:9">
      <c r="F59" s="193"/>
      <c r="H59" s="212"/>
    </row>
    <row r="60" spans="1:9">
      <c r="H60" s="212"/>
    </row>
    <row r="61" spans="1:9">
      <c r="F61" s="193"/>
      <c r="H61" s="212"/>
    </row>
    <row r="62" spans="1:9">
      <c r="H62" s="212"/>
    </row>
    <row r="63" spans="1:9">
      <c r="F63" s="193"/>
      <c r="H63" s="212"/>
    </row>
    <row r="65" spans="6:6">
      <c r="F65" s="193"/>
    </row>
    <row r="67" spans="6:6">
      <c r="F67" s="193"/>
    </row>
  </sheetData>
  <pageMargins left="0.7" right="0.7" top="0.75" bottom="0.75" header="0.3" footer="0.3"/>
  <pageSetup scale="92" orientation="portrait" r:id="rId1"/>
  <headerFooter>
    <oddFooter>&amp;RExhibit  JW-2
Page &amp;P of &amp;N</oddFooter>
  </headerFooter>
  <ignoredErrors>
    <ignoredError sqref="E8 F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28"/>
  <sheetViews>
    <sheetView view="pageBreakPreview" zoomScaleNormal="100" zoomScaleSheetLayoutView="100" workbookViewId="0">
      <selection activeCell="B67" sqref="B67"/>
    </sheetView>
  </sheetViews>
  <sheetFormatPr defaultColWidth="9.140625" defaultRowHeight="12.75"/>
  <cols>
    <col min="1" max="1" width="5.85546875" style="11" customWidth="1"/>
    <col min="2" max="2" width="2.28515625" style="11" customWidth="1"/>
    <col min="3" max="3" width="37.7109375" style="11" bestFit="1" customWidth="1"/>
    <col min="4" max="4" width="2.42578125" style="11" customWidth="1"/>
    <col min="5" max="5" width="15.7109375" style="11" customWidth="1"/>
    <col min="6" max="16384" width="9.140625" style="11"/>
  </cols>
  <sheetData>
    <row r="1" spans="1:5">
      <c r="E1" s="5" t="s">
        <v>135</v>
      </c>
    </row>
    <row r="2" spans="1:5" ht="20.25" customHeight="1">
      <c r="E2" s="5"/>
    </row>
    <row r="3" spans="1:5">
      <c r="A3" s="291" t="s">
        <v>29</v>
      </c>
      <c r="B3" s="291"/>
      <c r="C3" s="291"/>
      <c r="D3" s="291"/>
      <c r="E3" s="291"/>
    </row>
    <row r="4" spans="1:5">
      <c r="A4" s="291" t="str">
        <f>RevReq!A3</f>
        <v>For the 12 Months Ended December 31, 2023</v>
      </c>
      <c r="B4" s="291"/>
      <c r="C4" s="291"/>
      <c r="D4" s="291"/>
      <c r="E4" s="291"/>
    </row>
    <row r="6" spans="1:5" s="6" customFormat="1" ht="15" customHeight="1">
      <c r="A6" s="289" t="str">
        <f>'Adj List'!C12</f>
        <v>Rate Case Expenses</v>
      </c>
      <c r="B6" s="289"/>
      <c r="C6" s="289"/>
      <c r="D6" s="289"/>
      <c r="E6" s="289"/>
    </row>
    <row r="8" spans="1:5">
      <c r="A8" s="10" t="s">
        <v>0</v>
      </c>
      <c r="C8" s="10" t="s">
        <v>44</v>
      </c>
      <c r="D8" s="10"/>
      <c r="E8" s="10" t="s">
        <v>24</v>
      </c>
    </row>
    <row r="9" spans="1:5">
      <c r="A9" s="12" t="s">
        <v>21</v>
      </c>
      <c r="C9" s="13" t="s">
        <v>18</v>
      </c>
      <c r="D9" s="13"/>
      <c r="E9" s="13" t="s">
        <v>20</v>
      </c>
    </row>
    <row r="10" spans="1:5">
      <c r="A10" s="10"/>
    </row>
    <row r="11" spans="1:5">
      <c r="A11" s="10">
        <v>1</v>
      </c>
      <c r="C11" s="15" t="s">
        <v>365</v>
      </c>
      <c r="E11" s="27">
        <v>50000</v>
      </c>
    </row>
    <row r="12" spans="1:5">
      <c r="A12" s="10">
        <f>A11+1</f>
        <v>2</v>
      </c>
      <c r="C12" s="15" t="s">
        <v>124</v>
      </c>
      <c r="E12" s="27">
        <v>20000</v>
      </c>
    </row>
    <row r="13" spans="1:5">
      <c r="A13" s="10">
        <f t="shared" ref="A13:A25" si="0">A12+1</f>
        <v>3</v>
      </c>
      <c r="C13" s="15" t="s">
        <v>46</v>
      </c>
      <c r="D13" s="1"/>
      <c r="E13" s="27">
        <v>5000</v>
      </c>
    </row>
    <row r="14" spans="1:5">
      <c r="A14" s="10">
        <f t="shared" si="0"/>
        <v>4</v>
      </c>
      <c r="C14" s="15" t="s">
        <v>47</v>
      </c>
      <c r="D14" s="1"/>
      <c r="E14" s="27">
        <v>1000</v>
      </c>
    </row>
    <row r="15" spans="1:5">
      <c r="A15" s="10">
        <f t="shared" si="0"/>
        <v>5</v>
      </c>
      <c r="C15" s="16" t="s">
        <v>22</v>
      </c>
      <c r="D15" s="4"/>
      <c r="E15" s="33">
        <f>SUM(E11:E14)</f>
        <v>76000</v>
      </c>
    </row>
    <row r="16" spans="1:5">
      <c r="A16" s="10">
        <f t="shared" si="0"/>
        <v>6</v>
      </c>
      <c r="D16" s="2"/>
    </row>
    <row r="17" spans="1:5">
      <c r="A17" s="10">
        <f t="shared" si="0"/>
        <v>7</v>
      </c>
      <c r="C17" s="2" t="s">
        <v>48</v>
      </c>
      <c r="D17" s="2"/>
      <c r="E17" s="19">
        <f>E15</f>
        <v>76000</v>
      </c>
    </row>
    <row r="18" spans="1:5">
      <c r="A18" s="10">
        <f t="shared" si="0"/>
        <v>8</v>
      </c>
      <c r="C18" s="2" t="s">
        <v>49</v>
      </c>
      <c r="D18" s="2"/>
      <c r="E18" s="19">
        <v>3</v>
      </c>
    </row>
    <row r="19" spans="1:5">
      <c r="A19" s="10">
        <f t="shared" si="0"/>
        <v>9</v>
      </c>
      <c r="C19" s="2" t="s">
        <v>51</v>
      </c>
      <c r="D19" s="2"/>
      <c r="E19" s="19">
        <f>E17/E18</f>
        <v>25333.333333333332</v>
      </c>
    </row>
    <row r="20" spans="1:5">
      <c r="A20" s="10">
        <f t="shared" si="0"/>
        <v>10</v>
      </c>
      <c r="C20" s="2"/>
      <c r="D20" s="2"/>
      <c r="E20" s="19"/>
    </row>
    <row r="21" spans="1:5">
      <c r="A21" s="10">
        <f t="shared" si="0"/>
        <v>11</v>
      </c>
      <c r="C21" s="2" t="s">
        <v>39</v>
      </c>
      <c r="D21" s="2"/>
      <c r="E21" s="19">
        <v>0</v>
      </c>
    </row>
    <row r="22" spans="1:5">
      <c r="A22" s="10">
        <f t="shared" si="0"/>
        <v>12</v>
      </c>
      <c r="C22" s="2"/>
      <c r="D22" s="2"/>
    </row>
    <row r="23" spans="1:5">
      <c r="A23" s="10">
        <f t="shared" si="0"/>
        <v>13</v>
      </c>
      <c r="C23" s="2" t="s">
        <v>40</v>
      </c>
      <c r="E23" s="14">
        <f>E19</f>
        <v>25333.333333333332</v>
      </c>
    </row>
    <row r="24" spans="1:5">
      <c r="A24" s="10">
        <f t="shared" si="0"/>
        <v>14</v>
      </c>
      <c r="C24" s="2"/>
    </row>
    <row r="25" spans="1:5" ht="13.5" thickBot="1">
      <c r="A25" s="10">
        <f t="shared" si="0"/>
        <v>15</v>
      </c>
      <c r="C25" s="3" t="s">
        <v>15</v>
      </c>
      <c r="D25" s="20"/>
      <c r="E25" s="21">
        <f>ROUND(E23-E21,2)</f>
        <v>25333.33</v>
      </c>
    </row>
    <row r="26" spans="1:5" ht="13.5" thickTop="1"/>
    <row r="28" spans="1:5" ht="30" customHeight="1">
      <c r="C28" s="292" t="s">
        <v>52</v>
      </c>
      <c r="D28" s="292"/>
      <c r="E28" s="292"/>
    </row>
  </sheetData>
  <mergeCells count="4">
    <mergeCell ref="C28:E28"/>
    <mergeCell ref="A3:E3"/>
    <mergeCell ref="A4:E4"/>
    <mergeCell ref="A6:E6"/>
  </mergeCells>
  <printOptions horizontalCentered="1"/>
  <pageMargins left="1" right="0.75" top="0.75" bottom="0.5" header="0.5" footer="0.5"/>
  <pageSetup orientation="portrait" r:id="rId1"/>
  <headerFooter alignWithMargins="0">
    <oddFooter>&amp;RExhibit JW-2
Page &amp;P of &amp;N</oddFooter>
  </headerFooter>
  <ignoredErrors>
    <ignoredError sqref="C9:E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9"/>
  <sheetViews>
    <sheetView view="pageBreakPreview" zoomScaleNormal="100" zoomScaleSheetLayoutView="100" workbookViewId="0">
      <selection activeCell="B67" sqref="B67"/>
    </sheetView>
  </sheetViews>
  <sheetFormatPr defaultColWidth="9.140625" defaultRowHeight="12.75"/>
  <cols>
    <col min="1" max="1" width="5.85546875" style="11" customWidth="1"/>
    <col min="2" max="3" width="2.28515625" style="11" customWidth="1"/>
    <col min="4" max="4" width="12.5703125" style="11" customWidth="1"/>
    <col min="5" max="5" width="17.28515625" style="11" customWidth="1"/>
    <col min="6" max="6" width="16" style="11" customWidth="1"/>
    <col min="7" max="7" width="10.140625" style="11" bestFit="1" customWidth="1"/>
    <col min="8" max="8" width="30" style="11" customWidth="1"/>
    <col min="9" max="9" width="12.140625" style="11" customWidth="1"/>
    <col min="10" max="10" width="12" style="11" customWidth="1"/>
    <col min="11" max="17" width="9.140625" style="11"/>
    <col min="18" max="18" width="16.7109375" style="11" bestFit="1" customWidth="1"/>
    <col min="19" max="16384" width="9.140625" style="11"/>
  </cols>
  <sheetData>
    <row r="1" spans="1:10">
      <c r="H1" s="5" t="s">
        <v>136</v>
      </c>
    </row>
    <row r="2" spans="1:10" ht="20.25" customHeight="1">
      <c r="J2" s="5"/>
    </row>
    <row r="3" spans="1:10">
      <c r="A3" s="291" t="s">
        <v>29</v>
      </c>
      <c r="B3" s="291"/>
      <c r="C3" s="291"/>
      <c r="D3" s="291"/>
      <c r="E3" s="291"/>
      <c r="F3" s="291"/>
      <c r="G3" s="291"/>
      <c r="H3" s="291"/>
      <c r="I3" s="7"/>
      <c r="J3" s="7"/>
    </row>
    <row r="4" spans="1:10">
      <c r="A4" s="291" t="str">
        <f>RevReq!A3</f>
        <v>For the 12 Months Ended December 31, 2023</v>
      </c>
      <c r="B4" s="291"/>
      <c r="C4" s="291"/>
      <c r="D4" s="291"/>
      <c r="E4" s="291"/>
      <c r="F4" s="291"/>
      <c r="G4" s="291"/>
      <c r="H4" s="291"/>
      <c r="I4" s="7"/>
      <c r="J4" s="7"/>
    </row>
    <row r="6" spans="1:10" s="6" customFormat="1" ht="15" customHeight="1">
      <c r="A6" s="289" t="str">
        <f>'Adj List'!C13</f>
        <v>Donations &amp; Promotional Advertising</v>
      </c>
      <c r="B6" s="289"/>
      <c r="C6" s="289"/>
      <c r="D6" s="289"/>
      <c r="E6" s="289"/>
      <c r="F6" s="289"/>
      <c r="G6" s="289"/>
      <c r="H6" s="289"/>
      <c r="I6" s="8"/>
      <c r="J6" s="8"/>
    </row>
    <row r="8" spans="1:10">
      <c r="A8" s="10" t="s">
        <v>0</v>
      </c>
      <c r="D8" s="10" t="s">
        <v>44</v>
      </c>
      <c r="G8" s="10" t="s">
        <v>45</v>
      </c>
      <c r="H8" s="10" t="s">
        <v>24</v>
      </c>
    </row>
    <row r="9" spans="1:10">
      <c r="A9" s="12" t="s">
        <v>21</v>
      </c>
      <c r="D9" s="13" t="s">
        <v>18</v>
      </c>
      <c r="E9" s="131"/>
      <c r="F9" s="131"/>
      <c r="G9" s="13" t="s">
        <v>20</v>
      </c>
      <c r="H9" s="13" t="s">
        <v>25</v>
      </c>
    </row>
    <row r="10" spans="1:10">
      <c r="A10" s="10"/>
    </row>
    <row r="11" spans="1:10">
      <c r="A11" s="10"/>
      <c r="D11" s="2"/>
      <c r="H11" s="2"/>
    </row>
    <row r="12" spans="1:10">
      <c r="A12" s="10">
        <v>1</v>
      </c>
      <c r="D12" s="2" t="s">
        <v>32</v>
      </c>
      <c r="G12" s="35">
        <v>426.1</v>
      </c>
      <c r="H12" s="259">
        <v>14010</v>
      </c>
    </row>
    <row r="13" spans="1:10">
      <c r="A13" s="10">
        <f>A12+1</f>
        <v>2</v>
      </c>
      <c r="D13" s="2" t="s">
        <v>181</v>
      </c>
      <c r="G13" s="35">
        <v>913</v>
      </c>
      <c r="H13" s="236">
        <v>40</v>
      </c>
    </row>
    <row r="14" spans="1:10">
      <c r="A14" s="10">
        <f t="shared" ref="A14:A20" si="0">A13+1</f>
        <v>3</v>
      </c>
      <c r="D14" s="2" t="s">
        <v>182</v>
      </c>
      <c r="G14" s="35">
        <v>930.1</v>
      </c>
      <c r="H14" s="236">
        <v>988</v>
      </c>
    </row>
    <row r="15" spans="1:10">
      <c r="A15" s="10">
        <f t="shared" si="0"/>
        <v>4</v>
      </c>
      <c r="G15" s="26"/>
      <c r="H15" s="26"/>
    </row>
    <row r="16" spans="1:10">
      <c r="A16" s="10">
        <f t="shared" si="0"/>
        <v>5</v>
      </c>
      <c r="D16" s="39" t="s">
        <v>39</v>
      </c>
      <c r="E16" s="16"/>
      <c r="F16" s="16"/>
      <c r="G16" s="39"/>
      <c r="H16" s="33">
        <f>SUM(H12:H15)</f>
        <v>15038</v>
      </c>
    </row>
    <row r="17" spans="1:13">
      <c r="A17" s="10">
        <f t="shared" si="0"/>
        <v>6</v>
      </c>
      <c r="D17" s="2"/>
      <c r="G17" s="2"/>
    </row>
    <row r="18" spans="1:13">
      <c r="A18" s="10">
        <f t="shared" si="0"/>
        <v>7</v>
      </c>
      <c r="D18" s="2" t="s">
        <v>40</v>
      </c>
      <c r="H18" s="14">
        <v>0</v>
      </c>
    </row>
    <row r="19" spans="1:13">
      <c r="A19" s="10">
        <f t="shared" si="0"/>
        <v>8</v>
      </c>
      <c r="D19" s="2"/>
    </row>
    <row r="20" spans="1:13" ht="13.5" thickBot="1">
      <c r="A20" s="10">
        <f t="shared" si="0"/>
        <v>9</v>
      </c>
      <c r="D20" s="3" t="s">
        <v>15</v>
      </c>
      <c r="E20" s="20"/>
      <c r="F20" s="20"/>
      <c r="G20" s="20"/>
      <c r="H20" s="21">
        <f>ROUND(H18-H16,2)</f>
        <v>-15038</v>
      </c>
    </row>
    <row r="21" spans="1:13" ht="13.5" thickTop="1">
      <c r="G21" s="10"/>
    </row>
    <row r="23" spans="1:13" ht="30" customHeight="1">
      <c r="C23" s="292" t="s">
        <v>254</v>
      </c>
      <c r="D23" s="292"/>
      <c r="E23" s="292"/>
      <c r="F23" s="292"/>
      <c r="G23" s="292"/>
      <c r="H23" s="292"/>
      <c r="I23" s="9"/>
      <c r="J23" s="9"/>
    </row>
    <row r="24" spans="1:13">
      <c r="A24" s="10"/>
      <c r="C24" s="129"/>
      <c r="D24" s="47"/>
      <c r="E24" s="47"/>
      <c r="F24" s="47"/>
      <c r="G24" s="127"/>
      <c r="H24" s="126"/>
      <c r="I24" s="126"/>
      <c r="K24" s="128"/>
      <c r="L24" s="128"/>
      <c r="M24" s="128"/>
    </row>
    <row r="25" spans="1:13">
      <c r="A25" s="10"/>
      <c r="C25" s="129"/>
      <c r="D25" s="47"/>
      <c r="E25" s="47"/>
      <c r="F25" s="47"/>
      <c r="G25" s="127"/>
      <c r="H25" s="126"/>
      <c r="I25" s="126"/>
      <c r="K25" s="128"/>
      <c r="L25" s="128"/>
      <c r="M25" s="128"/>
    </row>
    <row r="26" spans="1:13">
      <c r="A26" s="10"/>
      <c r="C26" s="129"/>
      <c r="D26" s="47"/>
      <c r="E26" s="47"/>
      <c r="F26" s="47"/>
      <c r="G26" s="127"/>
      <c r="H26" s="126"/>
      <c r="I26" s="126"/>
      <c r="K26" s="128"/>
      <c r="L26" s="128"/>
      <c r="M26" s="128"/>
    </row>
    <row r="27" spans="1:13">
      <c r="A27" s="10"/>
      <c r="C27" s="129"/>
      <c r="D27" s="47"/>
      <c r="E27" s="47"/>
      <c r="F27" s="47"/>
      <c r="G27" s="127"/>
      <c r="H27" s="126"/>
      <c r="I27" s="126"/>
      <c r="K27" s="128"/>
      <c r="L27" s="128"/>
      <c r="M27" s="128"/>
    </row>
    <row r="28" spans="1:13">
      <c r="A28" s="10"/>
      <c r="C28" s="129"/>
      <c r="D28" s="47"/>
      <c r="E28" s="47"/>
      <c r="F28" s="47"/>
      <c r="G28" s="127"/>
      <c r="H28" s="126"/>
      <c r="I28" s="126"/>
    </row>
    <row r="29" spans="1:13">
      <c r="C29" s="129"/>
      <c r="D29" s="47"/>
      <c r="E29" s="47"/>
      <c r="F29" s="47"/>
      <c r="G29" s="127"/>
      <c r="H29" s="126"/>
      <c r="I29" s="126"/>
    </row>
  </sheetData>
  <mergeCells count="4">
    <mergeCell ref="C23:H23"/>
    <mergeCell ref="A3:H3"/>
    <mergeCell ref="A4:H4"/>
    <mergeCell ref="A6:H6"/>
  </mergeCells>
  <printOptions horizontalCentered="1"/>
  <pageMargins left="1" right="0.75" top="0.75" bottom="0.5" header="0.5" footer="0.5"/>
  <pageSetup scale="88" orientation="portrait" r:id="rId1"/>
  <headerFooter alignWithMargins="0">
    <oddFooter>&amp;RExhibit JW-2
Page &amp;P of &amp;N</oddFooter>
  </headerFooter>
  <ignoredErrors>
    <ignoredError sqref="G9:H9 D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9"/>
  <sheetViews>
    <sheetView view="pageBreakPreview" zoomScaleNormal="100" zoomScaleSheetLayoutView="100" workbookViewId="0">
      <selection activeCell="B67" sqref="B67"/>
    </sheetView>
  </sheetViews>
  <sheetFormatPr defaultColWidth="9.140625" defaultRowHeight="12.75"/>
  <cols>
    <col min="1" max="1" width="5.85546875" style="1" customWidth="1"/>
    <col min="2" max="2" width="2.28515625" style="2" customWidth="1"/>
    <col min="3" max="3" width="7.7109375" style="1" customWidth="1"/>
    <col min="4" max="4" width="11.7109375" style="1" customWidth="1"/>
    <col min="5" max="5" width="33.28515625" style="2" bestFit="1" customWidth="1"/>
    <col min="6" max="6" width="21.28515625" style="2" customWidth="1"/>
    <col min="7" max="7" width="12.140625" style="2" bestFit="1" customWidth="1"/>
    <col min="8" max="8" width="12.5703125" style="2" customWidth="1"/>
    <col min="9" max="9" width="12.28515625" style="2" customWidth="1"/>
    <col min="10" max="10" width="12.42578125" style="2" customWidth="1"/>
    <col min="11" max="11" width="9.140625" style="2"/>
    <col min="12" max="12" width="12" style="2" customWidth="1"/>
    <col min="13" max="13" width="11.42578125" style="2" customWidth="1"/>
    <col min="14" max="14" width="10.42578125" style="2" customWidth="1"/>
    <col min="15" max="16384" width="9.140625" style="2"/>
  </cols>
  <sheetData>
    <row r="1" spans="1:9">
      <c r="D1" s="230"/>
      <c r="G1" s="81" t="s">
        <v>28</v>
      </c>
    </row>
    <row r="2" spans="1:9" ht="20.25" customHeight="1">
      <c r="D2" s="230"/>
      <c r="F2" s="81"/>
    </row>
    <row r="3" spans="1:9">
      <c r="A3" s="288" t="s">
        <v>29</v>
      </c>
      <c r="B3" s="288"/>
      <c r="C3" s="288"/>
      <c r="D3" s="288"/>
      <c r="E3" s="288"/>
      <c r="F3" s="288"/>
      <c r="G3" s="288"/>
      <c r="H3" s="234"/>
      <c r="I3" s="234"/>
    </row>
    <row r="4" spans="1:9">
      <c r="A4" s="288" t="s">
        <v>30</v>
      </c>
      <c r="B4" s="288"/>
      <c r="C4" s="288"/>
      <c r="D4" s="288"/>
      <c r="E4" s="288"/>
      <c r="F4" s="288"/>
      <c r="G4" s="288"/>
      <c r="H4" s="234"/>
      <c r="I4" s="234"/>
    </row>
    <row r="6" spans="1:9" s="82" customFormat="1" ht="15" customHeight="1">
      <c r="A6" s="289" t="s">
        <v>54</v>
      </c>
      <c r="B6" s="289"/>
      <c r="C6" s="289"/>
      <c r="D6" s="289"/>
      <c r="E6" s="289"/>
      <c r="F6" s="289"/>
      <c r="G6" s="289"/>
      <c r="H6" s="8"/>
      <c r="I6" s="8"/>
    </row>
    <row r="7" spans="1:9">
      <c r="H7" s="1"/>
    </row>
    <row r="8" spans="1:9">
      <c r="A8" s="122" t="s">
        <v>21</v>
      </c>
      <c r="B8" s="8"/>
      <c r="C8" s="122"/>
      <c r="D8" s="122" t="s">
        <v>44</v>
      </c>
      <c r="E8" s="8"/>
      <c r="F8" s="8"/>
      <c r="G8" s="260" t="s">
        <v>473</v>
      </c>
    </row>
    <row r="10" spans="1:9">
      <c r="A10" s="1">
        <v>1</v>
      </c>
      <c r="C10" s="47"/>
      <c r="D10" s="261" t="s">
        <v>39</v>
      </c>
      <c r="G10" s="259">
        <v>62451</v>
      </c>
    </row>
    <row r="11" spans="1:9">
      <c r="A11" s="1">
        <v>2</v>
      </c>
    </row>
    <row r="12" spans="1:9">
      <c r="A12" s="1">
        <v>3</v>
      </c>
      <c r="D12" s="261" t="s">
        <v>471</v>
      </c>
    </row>
    <row r="13" spans="1:9">
      <c r="A13" s="1">
        <v>4</v>
      </c>
    </row>
    <row r="14" spans="1:9">
      <c r="A14" s="1">
        <v>5</v>
      </c>
      <c r="D14" s="43" t="s">
        <v>50</v>
      </c>
      <c r="E14" s="2" t="s">
        <v>470</v>
      </c>
      <c r="F14" s="2" t="s">
        <v>508</v>
      </c>
      <c r="G14" s="259">
        <v>13739.73</v>
      </c>
    </row>
    <row r="15" spans="1:9">
      <c r="A15" s="1">
        <v>6</v>
      </c>
      <c r="D15" s="43" t="s">
        <v>50</v>
      </c>
      <c r="E15" s="2" t="s">
        <v>470</v>
      </c>
      <c r="F15" s="2" t="s">
        <v>509</v>
      </c>
      <c r="G15" s="259">
        <v>40539</v>
      </c>
    </row>
    <row r="16" spans="1:9">
      <c r="A16" s="1">
        <v>10</v>
      </c>
      <c r="D16" s="43">
        <v>45249</v>
      </c>
      <c r="E16" s="2" t="s">
        <v>472</v>
      </c>
      <c r="F16" s="47">
        <v>1320</v>
      </c>
      <c r="G16" s="259">
        <v>206.88</v>
      </c>
    </row>
    <row r="17" spans="1:18">
      <c r="A17" s="1">
        <v>10</v>
      </c>
      <c r="D17" s="43">
        <v>45279</v>
      </c>
      <c r="E17" s="2" t="s">
        <v>480</v>
      </c>
      <c r="F17" s="47">
        <v>1320</v>
      </c>
      <c r="G17" s="259">
        <v>81.08</v>
      </c>
    </row>
    <row r="18" spans="1:18">
      <c r="A18" s="1">
        <v>11</v>
      </c>
      <c r="D18" s="4" t="s">
        <v>22</v>
      </c>
      <c r="E18" s="39"/>
      <c r="F18" s="39"/>
      <c r="G18" s="116">
        <f>SUM(G14:G17)</f>
        <v>54566.689999999995</v>
      </c>
    </row>
    <row r="19" spans="1:18">
      <c r="A19" s="1">
        <v>12</v>
      </c>
    </row>
    <row r="20" spans="1:18">
      <c r="A20" s="1">
        <v>13</v>
      </c>
      <c r="D20" s="69" t="s">
        <v>15</v>
      </c>
      <c r="G20" s="115">
        <f>-G18</f>
        <v>-54566.689999999995</v>
      </c>
    </row>
    <row r="23" spans="1:18" ht="30" customHeight="1">
      <c r="C23" s="290" t="s">
        <v>55</v>
      </c>
      <c r="D23" s="290"/>
      <c r="E23" s="290"/>
      <c r="F23" s="290"/>
      <c r="G23" s="100"/>
      <c r="H23" s="100"/>
    </row>
    <row r="28" spans="1:18" ht="15">
      <c r="D28" s="262"/>
      <c r="E28" s="262"/>
      <c r="F28" s="262"/>
      <c r="G28" s="262"/>
      <c r="H28" s="262"/>
      <c r="I28" s="262"/>
      <c r="J28" s="262"/>
      <c r="K28" s="262"/>
      <c r="L28" s="262"/>
      <c r="M28" s="262"/>
      <c r="N28" s="262"/>
      <c r="O28" s="262"/>
      <c r="P28" s="262"/>
      <c r="Q28" s="262"/>
      <c r="R28" s="262"/>
    </row>
    <row r="29" spans="1:18" ht="15">
      <c r="D29" s="262"/>
      <c r="E29" s="262"/>
      <c r="F29" s="262"/>
      <c r="G29" s="262"/>
      <c r="H29" s="263"/>
      <c r="I29" s="262"/>
      <c r="J29" s="264"/>
      <c r="K29" s="262"/>
      <c r="L29" s="263"/>
      <c r="M29" s="263"/>
      <c r="N29" s="262"/>
      <c r="O29" s="262"/>
      <c r="P29" s="264"/>
      <c r="Q29" s="264"/>
      <c r="R29" s="262"/>
    </row>
    <row r="30" spans="1:18" ht="15">
      <c r="D30" s="262"/>
      <c r="E30" s="262"/>
      <c r="F30" s="262"/>
      <c r="G30" s="262"/>
      <c r="H30" s="263"/>
      <c r="I30" s="262"/>
      <c r="J30" s="264"/>
      <c r="K30" s="262"/>
      <c r="L30" s="263"/>
      <c r="M30" s="263"/>
      <c r="N30" s="262"/>
      <c r="O30" s="262"/>
      <c r="P30" s="264"/>
      <c r="Q30" s="264"/>
      <c r="R30" s="262"/>
    </row>
    <row r="31" spans="1:18" ht="15">
      <c r="D31" s="262"/>
      <c r="E31" s="262"/>
      <c r="F31" s="262"/>
      <c r="G31" s="262"/>
      <c r="H31" s="263"/>
      <c r="I31" s="262"/>
      <c r="J31" s="262"/>
      <c r="K31" s="262"/>
      <c r="L31" s="263"/>
      <c r="M31" s="263"/>
      <c r="N31" s="262"/>
      <c r="O31" s="262"/>
      <c r="P31" s="262"/>
      <c r="Q31" s="262"/>
      <c r="R31" s="262"/>
    </row>
    <row r="32" spans="1:18" ht="15">
      <c r="D32" s="262"/>
      <c r="E32" s="262"/>
      <c r="F32" s="262"/>
      <c r="G32" s="262"/>
      <c r="H32" s="263"/>
      <c r="I32" s="262"/>
      <c r="J32" s="264"/>
      <c r="K32" s="262"/>
      <c r="L32" s="263"/>
      <c r="M32" s="263"/>
      <c r="N32" s="262"/>
      <c r="O32" s="262"/>
      <c r="P32" s="264"/>
      <c r="Q32" s="264"/>
      <c r="R32" s="262"/>
    </row>
    <row r="33" spans="4:18" ht="15">
      <c r="D33" s="262"/>
      <c r="E33" s="262"/>
      <c r="F33" s="262"/>
      <c r="G33" s="262"/>
      <c r="H33" s="263"/>
      <c r="I33" s="262"/>
      <c r="J33" s="262"/>
      <c r="K33" s="262"/>
      <c r="L33" s="263"/>
      <c r="M33" s="263"/>
      <c r="N33" s="262"/>
      <c r="O33" s="262"/>
      <c r="P33" s="262"/>
      <c r="Q33" s="262"/>
      <c r="R33" s="262"/>
    </row>
    <row r="34" spans="4:18" ht="15">
      <c r="D34" s="262"/>
      <c r="E34" s="262"/>
      <c r="F34" s="262"/>
      <c r="G34" s="262"/>
      <c r="H34" s="263"/>
      <c r="I34" s="262"/>
      <c r="J34" s="264"/>
      <c r="K34" s="262"/>
      <c r="L34" s="263"/>
      <c r="M34" s="263"/>
      <c r="N34" s="262"/>
      <c r="O34" s="262"/>
      <c r="P34" s="264"/>
      <c r="Q34" s="264"/>
      <c r="R34" s="262"/>
    </row>
    <row r="35" spans="4:18" ht="15">
      <c r="D35" s="262"/>
      <c r="E35" s="262"/>
      <c r="F35" s="262"/>
      <c r="G35" s="262"/>
      <c r="H35" s="263"/>
      <c r="I35" s="262"/>
      <c r="J35" s="264"/>
      <c r="K35" s="262"/>
      <c r="L35" s="263"/>
      <c r="M35" s="263"/>
      <c r="N35" s="262"/>
      <c r="O35" s="262"/>
      <c r="P35" s="264"/>
      <c r="Q35" s="264"/>
      <c r="R35" s="262"/>
    </row>
    <row r="36" spans="4:18" ht="15">
      <c r="D36" s="262"/>
      <c r="E36" s="262"/>
      <c r="F36" s="262"/>
      <c r="G36" s="262"/>
      <c r="H36" s="263"/>
      <c r="I36" s="262"/>
      <c r="J36" s="264"/>
      <c r="K36" s="262"/>
      <c r="L36" s="263"/>
      <c r="M36" s="263"/>
      <c r="N36" s="262"/>
      <c r="O36" s="262"/>
      <c r="P36" s="264"/>
      <c r="Q36" s="264"/>
      <c r="R36" s="262"/>
    </row>
    <row r="37" spans="4:18" ht="15">
      <c r="D37" s="262"/>
      <c r="E37" s="262"/>
      <c r="F37" s="262"/>
      <c r="G37" s="262"/>
      <c r="H37" s="263"/>
      <c r="I37" s="262"/>
      <c r="J37" s="264"/>
      <c r="K37" s="262"/>
      <c r="L37" s="263"/>
      <c r="M37" s="263"/>
      <c r="N37" s="262"/>
      <c r="O37" s="262"/>
      <c r="P37" s="264"/>
      <c r="Q37" s="264"/>
      <c r="R37" s="262"/>
    </row>
    <row r="38" spans="4:18" ht="15">
      <c r="D38" s="262"/>
      <c r="E38" s="262"/>
      <c r="F38" s="262"/>
      <c r="G38" s="262"/>
      <c r="H38" s="263"/>
      <c r="I38" s="262"/>
      <c r="J38" s="264"/>
      <c r="K38" s="262"/>
      <c r="L38" s="263"/>
      <c r="M38" s="263"/>
      <c r="N38" s="262"/>
      <c r="O38" s="262"/>
      <c r="P38" s="264"/>
      <c r="Q38" s="264"/>
      <c r="R38" s="262"/>
    </row>
    <row r="39" spans="4:18" ht="15">
      <c r="D39" s="262"/>
      <c r="E39" s="262"/>
      <c r="F39" s="262"/>
      <c r="G39" s="262"/>
      <c r="H39" s="263"/>
      <c r="I39" s="262"/>
      <c r="J39" s="264"/>
      <c r="K39" s="262"/>
      <c r="L39" s="263"/>
      <c r="M39" s="263"/>
      <c r="N39" s="262"/>
      <c r="O39" s="262"/>
      <c r="P39" s="264"/>
      <c r="Q39" s="264"/>
      <c r="R39" s="262"/>
    </row>
    <row r="40" spans="4:18" ht="15">
      <c r="D40" s="262"/>
      <c r="E40" s="262"/>
      <c r="F40" s="262"/>
      <c r="G40" s="262"/>
      <c r="H40" s="263"/>
      <c r="I40" s="262"/>
      <c r="J40" s="264"/>
      <c r="K40" s="262"/>
      <c r="L40" s="263"/>
      <c r="M40" s="263"/>
      <c r="N40" s="262"/>
      <c r="O40" s="262"/>
      <c r="P40" s="264"/>
      <c r="Q40" s="264"/>
      <c r="R40" s="262"/>
    </row>
    <row r="41" spans="4:18" ht="15">
      <c r="D41" s="262"/>
      <c r="E41" s="262"/>
      <c r="F41" s="262"/>
      <c r="G41" s="262"/>
      <c r="H41" s="263"/>
      <c r="I41" s="262"/>
      <c r="J41" s="264"/>
      <c r="K41" s="262"/>
      <c r="L41" s="263"/>
      <c r="M41" s="263"/>
      <c r="N41" s="262"/>
      <c r="O41" s="262"/>
      <c r="P41" s="264"/>
      <c r="Q41" s="264"/>
      <c r="R41" s="262"/>
    </row>
    <row r="42" spans="4:18" ht="15">
      <c r="D42" s="262"/>
      <c r="E42" s="262"/>
      <c r="F42" s="262"/>
      <c r="G42" s="262"/>
      <c r="H42" s="262"/>
      <c r="I42" s="262"/>
      <c r="J42" s="264"/>
      <c r="K42" s="262"/>
      <c r="L42" s="262"/>
      <c r="M42" s="262"/>
      <c r="N42" s="262"/>
      <c r="O42" s="262"/>
      <c r="P42" s="262"/>
      <c r="Q42" s="262"/>
      <c r="R42" s="262"/>
    </row>
    <row r="43" spans="4:18" ht="15">
      <c r="D43" s="262"/>
      <c r="E43" s="262"/>
      <c r="F43" s="262"/>
      <c r="G43" s="262"/>
      <c r="H43" s="263"/>
      <c r="I43" s="262"/>
      <c r="J43" s="262"/>
      <c r="K43" s="262"/>
      <c r="L43" s="263"/>
      <c r="M43" s="263"/>
      <c r="N43" s="262"/>
      <c r="O43" s="262"/>
      <c r="P43" s="262"/>
      <c r="Q43" s="262"/>
      <c r="R43" s="262"/>
    </row>
    <row r="44" spans="4:18" ht="15">
      <c r="D44" s="262"/>
      <c r="E44" s="262"/>
      <c r="F44" s="262"/>
      <c r="G44" s="262"/>
      <c r="H44" s="263"/>
      <c r="I44" s="262"/>
      <c r="J44" s="264"/>
      <c r="K44" s="262"/>
      <c r="L44" s="263"/>
      <c r="M44" s="263"/>
      <c r="N44" s="262"/>
      <c r="O44" s="262"/>
      <c r="P44" s="264"/>
      <c r="Q44" s="264"/>
      <c r="R44" s="262"/>
    </row>
    <row r="45" spans="4:18" ht="15">
      <c r="D45" s="262"/>
      <c r="E45" s="262"/>
      <c r="F45" s="262"/>
      <c r="G45" s="262"/>
      <c r="H45" s="263"/>
      <c r="I45" s="262"/>
      <c r="J45" s="262"/>
      <c r="K45" s="262"/>
      <c r="L45" s="263"/>
      <c r="M45" s="263"/>
      <c r="N45" s="262"/>
      <c r="O45" s="262"/>
      <c r="P45" s="262"/>
      <c r="Q45" s="262"/>
      <c r="R45" s="262"/>
    </row>
    <row r="46" spans="4:18" ht="15">
      <c r="D46" s="262"/>
      <c r="E46" s="262"/>
      <c r="F46" s="262"/>
      <c r="G46" s="262"/>
      <c r="H46" s="263"/>
      <c r="I46" s="262"/>
      <c r="J46" s="262"/>
      <c r="K46" s="262"/>
      <c r="L46" s="263"/>
      <c r="M46" s="263"/>
      <c r="N46" s="262"/>
      <c r="O46" s="262"/>
      <c r="P46" s="262"/>
      <c r="Q46" s="262"/>
      <c r="R46" s="262"/>
    </row>
    <row r="47" spans="4:18" ht="15">
      <c r="D47" s="262"/>
      <c r="E47" s="262"/>
      <c r="F47" s="262"/>
      <c r="G47" s="262"/>
      <c r="H47" s="263"/>
      <c r="I47" s="262"/>
      <c r="J47" s="262"/>
      <c r="K47" s="262"/>
      <c r="L47" s="263"/>
      <c r="M47" s="263"/>
      <c r="N47" s="262"/>
      <c r="O47" s="262"/>
      <c r="P47" s="262"/>
      <c r="Q47" s="262"/>
      <c r="R47" s="262"/>
    </row>
    <row r="48" spans="4:18" ht="15">
      <c r="D48" s="262"/>
      <c r="E48" s="262"/>
      <c r="F48" s="262"/>
      <c r="G48" s="262"/>
      <c r="H48" s="263"/>
      <c r="I48" s="262"/>
      <c r="J48" s="262"/>
      <c r="K48" s="262"/>
      <c r="L48" s="263"/>
      <c r="M48" s="263"/>
      <c r="N48" s="262"/>
      <c r="O48" s="262"/>
      <c r="P48" s="262"/>
      <c r="Q48" s="262"/>
      <c r="R48" s="262"/>
    </row>
    <row r="49" spans="4:18" ht="15">
      <c r="D49" s="262"/>
      <c r="E49" s="262"/>
      <c r="F49" s="262"/>
      <c r="G49" s="262"/>
      <c r="H49" s="263"/>
      <c r="I49" s="262"/>
      <c r="J49" s="264"/>
      <c r="K49" s="262"/>
      <c r="L49" s="263"/>
      <c r="M49" s="263"/>
      <c r="N49" s="262"/>
      <c r="O49" s="262"/>
      <c r="P49" s="264"/>
      <c r="Q49" s="264"/>
      <c r="R49" s="262"/>
    </row>
    <row r="50" spans="4:18" ht="15">
      <c r="D50" s="262"/>
      <c r="E50" s="262"/>
      <c r="F50" s="262"/>
      <c r="G50" s="262"/>
      <c r="H50" s="263"/>
      <c r="I50" s="262"/>
      <c r="J50" s="264"/>
      <c r="K50" s="262"/>
      <c r="L50" s="263"/>
      <c r="M50" s="263"/>
      <c r="N50" s="262"/>
      <c r="O50" s="262"/>
      <c r="P50" s="264"/>
      <c r="Q50" s="264"/>
      <c r="R50" s="262"/>
    </row>
    <row r="51" spans="4:18" ht="15">
      <c r="D51" s="262"/>
      <c r="E51" s="262"/>
      <c r="F51" s="262"/>
      <c r="G51" s="262"/>
      <c r="H51" s="263"/>
      <c r="I51" s="262"/>
      <c r="J51" s="264"/>
      <c r="K51" s="262"/>
      <c r="L51" s="263"/>
      <c r="M51" s="263"/>
      <c r="N51" s="262"/>
      <c r="O51" s="262"/>
      <c r="P51" s="264"/>
      <c r="Q51" s="264"/>
      <c r="R51" s="262"/>
    </row>
    <row r="52" spans="4:18" ht="15">
      <c r="D52" s="262"/>
      <c r="E52" s="262"/>
      <c r="F52" s="262"/>
      <c r="G52" s="262"/>
      <c r="H52" s="263"/>
      <c r="I52" s="262"/>
      <c r="J52" s="264"/>
      <c r="K52" s="262"/>
      <c r="L52" s="263"/>
      <c r="M52" s="263"/>
      <c r="N52" s="262"/>
      <c r="O52" s="262"/>
      <c r="P52" s="264"/>
      <c r="Q52" s="264"/>
      <c r="R52" s="262"/>
    </row>
    <row r="53" spans="4:18" ht="15">
      <c r="D53" s="262"/>
      <c r="E53" s="262"/>
      <c r="F53" s="262"/>
      <c r="G53" s="262"/>
      <c r="H53" s="263"/>
      <c r="I53" s="262"/>
      <c r="J53" s="264"/>
      <c r="K53" s="262"/>
      <c r="L53" s="263"/>
      <c r="M53" s="263"/>
      <c r="N53" s="262"/>
      <c r="O53" s="262"/>
      <c r="P53" s="264"/>
      <c r="Q53" s="264"/>
      <c r="R53" s="262"/>
    </row>
    <row r="54" spans="4:18" ht="15">
      <c r="D54" s="262"/>
      <c r="E54" s="262"/>
      <c r="F54" s="262"/>
      <c r="G54" s="262"/>
      <c r="H54" s="263"/>
      <c r="I54" s="262"/>
      <c r="J54" s="264"/>
      <c r="K54" s="262"/>
      <c r="L54" s="263"/>
      <c r="M54" s="263"/>
      <c r="N54" s="262"/>
      <c r="O54" s="262"/>
      <c r="P54" s="264"/>
      <c r="Q54" s="264"/>
      <c r="R54" s="262"/>
    </row>
    <row r="55" spans="4:18" ht="15">
      <c r="D55" s="262"/>
      <c r="E55" s="262"/>
      <c r="F55" s="262"/>
      <c r="G55" s="262"/>
      <c r="H55" s="263"/>
      <c r="I55" s="262"/>
      <c r="J55" s="264"/>
      <c r="K55" s="262"/>
      <c r="L55" s="263"/>
      <c r="M55" s="263"/>
      <c r="N55" s="262"/>
      <c r="O55" s="262"/>
      <c r="P55" s="264"/>
      <c r="Q55" s="264"/>
      <c r="R55" s="262"/>
    </row>
    <row r="56" spans="4:18" ht="15">
      <c r="D56" s="262"/>
      <c r="E56" s="262"/>
      <c r="F56" s="262"/>
      <c r="G56" s="262"/>
      <c r="H56" s="263"/>
      <c r="I56" s="262"/>
      <c r="J56" s="264"/>
      <c r="K56" s="262"/>
      <c r="L56" s="263"/>
      <c r="M56" s="263"/>
      <c r="N56" s="262"/>
      <c r="O56" s="262"/>
      <c r="P56" s="264"/>
      <c r="Q56" s="264"/>
      <c r="R56" s="262"/>
    </row>
    <row r="57" spans="4:18" ht="15">
      <c r="D57" s="262"/>
      <c r="E57" s="262"/>
      <c r="F57" s="262"/>
      <c r="G57" s="262"/>
      <c r="H57" s="263"/>
      <c r="I57" s="262"/>
      <c r="J57" s="264"/>
      <c r="K57" s="262"/>
      <c r="L57" s="263"/>
      <c r="M57" s="263"/>
      <c r="N57" s="262"/>
      <c r="O57" s="262"/>
      <c r="P57" s="264"/>
      <c r="Q57" s="264"/>
      <c r="R57" s="262"/>
    </row>
    <row r="58" spans="4:18" ht="15">
      <c r="D58" s="262"/>
      <c r="E58" s="262"/>
      <c r="F58" s="262"/>
      <c r="G58" s="262"/>
      <c r="H58" s="263"/>
      <c r="I58" s="262"/>
      <c r="J58" s="264"/>
      <c r="K58" s="262"/>
      <c r="L58" s="263"/>
      <c r="M58" s="263"/>
      <c r="N58" s="262"/>
      <c r="O58" s="262"/>
      <c r="P58" s="264"/>
      <c r="Q58" s="264"/>
      <c r="R58" s="262"/>
    </row>
    <row r="62" spans="4:18" ht="15">
      <c r="D62" s="262"/>
      <c r="E62" s="262"/>
      <c r="F62" s="262"/>
      <c r="G62" s="262"/>
      <c r="H62" s="262"/>
      <c r="I62" s="262"/>
      <c r="J62" s="262"/>
      <c r="K62" s="262"/>
      <c r="L62" s="262"/>
      <c r="M62" s="262"/>
      <c r="N62" s="262"/>
      <c r="O62" s="262"/>
      <c r="P62" s="262"/>
      <c r="Q62" s="262"/>
      <c r="R62" s="262"/>
    </row>
    <row r="63" spans="4:18" ht="15">
      <c r="D63" s="262"/>
      <c r="E63" s="262"/>
      <c r="F63" s="262"/>
      <c r="G63" s="262"/>
      <c r="H63" s="263"/>
      <c r="I63" s="262"/>
      <c r="J63" s="262"/>
      <c r="K63" s="262"/>
      <c r="L63" s="262"/>
      <c r="M63" s="263"/>
      <c r="N63" s="262"/>
      <c r="O63" s="262"/>
      <c r="P63" s="262"/>
      <c r="Q63" s="262"/>
      <c r="R63" s="262"/>
    </row>
    <row r="64" spans="4:18" ht="15">
      <c r="D64" s="262"/>
      <c r="E64" s="262"/>
      <c r="F64" s="262"/>
      <c r="G64" s="262"/>
      <c r="H64" s="263"/>
      <c r="I64" s="262"/>
      <c r="J64" s="262"/>
      <c r="K64" s="262"/>
      <c r="L64" s="263"/>
      <c r="M64" s="263"/>
      <c r="N64" s="262"/>
      <c r="O64" s="262"/>
      <c r="P64" s="262"/>
      <c r="Q64" s="262"/>
      <c r="R64" s="262"/>
    </row>
    <row r="65" spans="4:18" ht="15">
      <c r="D65" s="262"/>
      <c r="E65" s="262"/>
      <c r="F65" s="262"/>
      <c r="G65" s="262"/>
      <c r="H65" s="263"/>
      <c r="I65" s="262"/>
      <c r="J65" s="262"/>
      <c r="K65" s="262"/>
      <c r="L65" s="263"/>
      <c r="M65" s="263"/>
      <c r="N65" s="262"/>
      <c r="O65" s="262"/>
      <c r="P65" s="262"/>
      <c r="Q65" s="262"/>
      <c r="R65" s="262"/>
    </row>
    <row r="66" spans="4:18" ht="15">
      <c r="D66" s="262"/>
      <c r="E66" s="262"/>
      <c r="F66" s="262"/>
      <c r="G66" s="262"/>
      <c r="H66" s="263"/>
      <c r="I66" s="262"/>
      <c r="J66" s="262"/>
      <c r="K66" s="262"/>
      <c r="L66" s="263"/>
      <c r="M66" s="263"/>
      <c r="N66" s="262"/>
      <c r="O66" s="262"/>
      <c r="P66" s="262"/>
      <c r="Q66" s="262"/>
      <c r="R66" s="262"/>
    </row>
    <row r="67" spans="4:18" ht="15">
      <c r="D67" s="262"/>
      <c r="E67" s="262"/>
      <c r="F67" s="262"/>
      <c r="G67" s="262"/>
      <c r="H67" s="263"/>
      <c r="I67" s="262"/>
      <c r="J67" s="262"/>
      <c r="K67" s="262"/>
      <c r="L67" s="263"/>
      <c r="M67" s="263"/>
      <c r="N67" s="262"/>
      <c r="O67" s="262"/>
      <c r="P67" s="262"/>
      <c r="Q67" s="262"/>
      <c r="R67" s="262"/>
    </row>
    <row r="68" spans="4:18" ht="15">
      <c r="D68" s="262"/>
      <c r="E68" s="262"/>
      <c r="F68" s="262"/>
      <c r="G68" s="262"/>
      <c r="H68" s="263"/>
      <c r="I68" s="262"/>
      <c r="J68" s="262"/>
      <c r="K68" s="262"/>
      <c r="L68" s="263"/>
      <c r="M68" s="263"/>
      <c r="N68" s="262"/>
      <c r="O68" s="262"/>
      <c r="P68" s="262"/>
      <c r="Q68" s="262"/>
      <c r="R68" s="262"/>
    </row>
    <row r="69" spans="4:18" ht="15">
      <c r="D69" s="262"/>
      <c r="E69" s="262"/>
      <c r="F69" s="262"/>
      <c r="G69" s="262"/>
      <c r="H69" s="263"/>
      <c r="I69" s="262"/>
      <c r="J69" s="262"/>
      <c r="K69" s="262"/>
      <c r="L69" s="263"/>
      <c r="M69" s="263"/>
      <c r="N69" s="262"/>
      <c r="O69" s="262"/>
      <c r="P69" s="262"/>
      <c r="Q69" s="264"/>
      <c r="R69" s="264"/>
    </row>
    <row r="70" spans="4:18" ht="15">
      <c r="D70" s="262"/>
      <c r="E70" s="262"/>
      <c r="F70" s="262"/>
      <c r="G70" s="262"/>
      <c r="H70" s="262"/>
      <c r="I70" s="262"/>
      <c r="J70" s="262"/>
      <c r="K70" s="262"/>
      <c r="L70" s="262"/>
      <c r="M70" s="262"/>
      <c r="N70" s="262"/>
      <c r="O70" s="262"/>
      <c r="P70" s="262"/>
      <c r="Q70" s="262"/>
      <c r="R70" s="262"/>
    </row>
    <row r="71" spans="4:18" ht="15">
      <c r="D71" s="262"/>
      <c r="E71" s="262"/>
      <c r="F71" s="262"/>
      <c r="G71" s="262"/>
      <c r="H71" s="263"/>
      <c r="I71" s="262"/>
      <c r="J71" s="262"/>
      <c r="K71" s="262"/>
      <c r="L71" s="263"/>
      <c r="M71" s="263"/>
      <c r="N71" s="262"/>
      <c r="O71" s="262"/>
      <c r="P71" s="262"/>
      <c r="Q71" s="264"/>
      <c r="R71" s="264"/>
    </row>
    <row r="72" spans="4:18" ht="15">
      <c r="D72" s="262"/>
      <c r="E72" s="262"/>
      <c r="F72" s="262"/>
      <c r="G72" s="262"/>
      <c r="H72" s="263"/>
      <c r="I72" s="262"/>
      <c r="J72" s="262"/>
      <c r="K72" s="262"/>
      <c r="L72" s="263"/>
      <c r="M72" s="263"/>
      <c r="N72" s="262"/>
      <c r="O72" s="262"/>
      <c r="P72" s="262"/>
      <c r="Q72" s="264"/>
      <c r="R72" s="264"/>
    </row>
    <row r="73" spans="4:18" ht="15">
      <c r="D73" s="262"/>
      <c r="E73" s="262"/>
      <c r="F73" s="262"/>
      <c r="G73" s="262"/>
      <c r="H73" s="263"/>
      <c r="I73" s="262"/>
      <c r="J73" s="262"/>
      <c r="K73" s="262"/>
      <c r="L73" s="263"/>
      <c r="M73" s="263"/>
      <c r="N73" s="262"/>
      <c r="O73" s="262"/>
      <c r="P73" s="262"/>
      <c r="Q73" s="264"/>
      <c r="R73" s="264"/>
    </row>
    <row r="74" spans="4:18" ht="15">
      <c r="D74" s="262"/>
      <c r="E74" s="262"/>
      <c r="F74" s="262"/>
      <c r="G74" s="262"/>
      <c r="H74" s="263"/>
      <c r="I74" s="262"/>
      <c r="J74" s="262"/>
      <c r="K74" s="262"/>
      <c r="L74" s="263"/>
      <c r="M74" s="263"/>
      <c r="N74" s="262"/>
      <c r="O74" s="262"/>
      <c r="P74" s="262"/>
      <c r="Q74" s="264"/>
      <c r="R74" s="264"/>
    </row>
    <row r="75" spans="4:18" ht="15">
      <c r="D75" s="262"/>
      <c r="E75" s="262"/>
      <c r="F75" s="262"/>
      <c r="G75" s="262"/>
      <c r="H75" s="263"/>
      <c r="I75" s="262"/>
      <c r="J75" s="262"/>
      <c r="K75" s="262"/>
      <c r="L75" s="263"/>
      <c r="M75" s="263"/>
      <c r="N75" s="262"/>
      <c r="O75" s="262"/>
      <c r="P75" s="262"/>
      <c r="Q75" s="264"/>
      <c r="R75" s="264"/>
    </row>
    <row r="76" spans="4:18" ht="15">
      <c r="D76" s="262"/>
      <c r="E76" s="262"/>
      <c r="F76" s="262"/>
      <c r="G76" s="262"/>
      <c r="H76" s="263"/>
      <c r="I76" s="262"/>
      <c r="J76" s="262"/>
      <c r="K76" s="262"/>
      <c r="L76" s="263"/>
      <c r="M76" s="263"/>
      <c r="N76" s="262"/>
      <c r="O76" s="262"/>
      <c r="P76" s="262"/>
      <c r="Q76" s="262"/>
      <c r="R76" s="262"/>
    </row>
    <row r="77" spans="4:18" ht="15">
      <c r="D77" s="262"/>
      <c r="E77" s="262"/>
      <c r="F77" s="262"/>
      <c r="G77" s="262"/>
      <c r="H77" s="263"/>
      <c r="I77" s="262"/>
      <c r="J77" s="262"/>
      <c r="K77" s="262"/>
      <c r="L77" s="263"/>
      <c r="M77" s="263"/>
      <c r="N77" s="262"/>
      <c r="O77" s="262"/>
      <c r="P77" s="262"/>
      <c r="Q77" s="262"/>
      <c r="R77" s="262"/>
    </row>
    <row r="78" spans="4:18" ht="15">
      <c r="D78" s="262"/>
      <c r="E78" s="262"/>
      <c r="F78" s="262"/>
      <c r="G78" s="262"/>
      <c r="H78" s="263"/>
      <c r="I78" s="262"/>
      <c r="J78" s="262"/>
      <c r="K78" s="262"/>
      <c r="L78" s="263"/>
      <c r="M78" s="263"/>
      <c r="N78" s="262"/>
      <c r="O78" s="262"/>
      <c r="P78" s="262"/>
      <c r="Q78" s="262"/>
      <c r="R78" s="262"/>
    </row>
    <row r="79" spans="4:18" ht="15">
      <c r="D79" s="262"/>
      <c r="E79" s="262"/>
      <c r="F79" s="262"/>
      <c r="G79" s="262"/>
      <c r="H79" s="262"/>
      <c r="I79" s="262"/>
      <c r="J79" s="264"/>
      <c r="K79" s="262"/>
      <c r="L79" s="262"/>
      <c r="M79" s="262"/>
      <c r="N79" s="262"/>
      <c r="O79" s="262"/>
      <c r="P79" s="262"/>
      <c r="Q79" s="262"/>
      <c r="R79" s="262"/>
    </row>
  </sheetData>
  <mergeCells count="4">
    <mergeCell ref="A3:G3"/>
    <mergeCell ref="A4:G4"/>
    <mergeCell ref="A6:G6"/>
    <mergeCell ref="C23:F23"/>
  </mergeCells>
  <phoneticPr fontId="20" type="noConversion"/>
  <printOptions horizontalCentered="1"/>
  <pageMargins left="1" right="0.75" top="0.75" bottom="0.5" header="0.5" footer="0.5"/>
  <pageSetup scale="91" orientation="portrait" r:id="rId1"/>
  <headerFooter alignWithMargins="0">
    <oddFooter>&amp;RExhibit JW-2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P330"/>
  <sheetViews>
    <sheetView view="pageBreakPreview" topLeftCell="A36" zoomScaleNormal="75" zoomScaleSheetLayoutView="100" workbookViewId="0">
      <selection activeCell="J14" sqref="J14"/>
    </sheetView>
  </sheetViews>
  <sheetFormatPr defaultColWidth="9.140625" defaultRowHeight="12.75"/>
  <cols>
    <col min="1" max="1" width="5.85546875" style="11" customWidth="1"/>
    <col min="2" max="2" width="13.28515625" style="15" customWidth="1"/>
    <col min="3" max="3" width="22.5703125" style="11" customWidth="1"/>
    <col min="4" max="4" width="49.140625" style="11" bestFit="1" customWidth="1"/>
    <col min="5" max="5" width="15.7109375" style="11" bestFit="1" customWidth="1"/>
    <col min="6" max="6" width="9.7109375" style="11" bestFit="1" customWidth="1"/>
    <col min="7" max="7" width="11.140625" style="11" customWidth="1"/>
    <col min="8" max="8" width="12.7109375" style="11" bestFit="1" customWidth="1"/>
    <col min="9" max="9" width="11.28515625" style="11" bestFit="1" customWidth="1"/>
    <col min="10" max="10" width="12.28515625" style="11" bestFit="1" customWidth="1"/>
    <col min="11" max="12" width="7.5703125" style="11" bestFit="1" customWidth="1"/>
    <col min="13" max="13" width="8.28515625" style="11" bestFit="1" customWidth="1"/>
    <col min="14" max="14" width="10.5703125" style="11" bestFit="1" customWidth="1"/>
    <col min="15" max="15" width="12.7109375" style="25" customWidth="1"/>
    <col min="16" max="16" width="11.5703125" style="11" bestFit="1" customWidth="1"/>
    <col min="17" max="16384" width="9.140625" style="11"/>
  </cols>
  <sheetData>
    <row r="1" spans="1:15">
      <c r="G1" s="5" t="s">
        <v>137</v>
      </c>
    </row>
    <row r="2" spans="1:15" ht="20.25" customHeight="1">
      <c r="E2" s="5"/>
      <c r="F2" s="306"/>
      <c r="G2" s="307" t="s">
        <v>514</v>
      </c>
    </row>
    <row r="3" spans="1:15">
      <c r="A3" s="291" t="s">
        <v>29</v>
      </c>
      <c r="B3" s="291"/>
      <c r="C3" s="291"/>
      <c r="D3" s="291"/>
      <c r="E3" s="291"/>
      <c r="F3" s="291"/>
      <c r="G3" s="291"/>
      <c r="H3" s="7"/>
      <c r="I3" s="7"/>
      <c r="J3" s="7"/>
      <c r="K3" s="7"/>
      <c r="L3" s="7"/>
      <c r="M3" s="7"/>
      <c r="N3" s="7"/>
      <c r="O3" s="7"/>
    </row>
    <row r="4" spans="1:15">
      <c r="A4" s="291" t="s">
        <v>30</v>
      </c>
      <c r="B4" s="291"/>
      <c r="C4" s="291"/>
      <c r="D4" s="291"/>
      <c r="E4" s="291"/>
      <c r="F4" s="291"/>
      <c r="G4" s="291"/>
      <c r="H4" s="7"/>
      <c r="I4" s="7"/>
      <c r="J4" s="7"/>
      <c r="K4" s="7"/>
      <c r="L4" s="7"/>
      <c r="M4" s="7"/>
      <c r="N4" s="7"/>
      <c r="O4" s="7"/>
    </row>
    <row r="6" spans="1:15" s="6" customFormat="1" ht="15" customHeight="1">
      <c r="A6" s="289" t="s">
        <v>131</v>
      </c>
      <c r="B6" s="289"/>
      <c r="C6" s="289"/>
      <c r="D6" s="289"/>
      <c r="E6" s="289"/>
      <c r="F6" s="289"/>
      <c r="G6" s="289"/>
      <c r="H6" s="8"/>
      <c r="I6" s="8"/>
      <c r="J6" s="8"/>
      <c r="K6" s="8"/>
      <c r="L6" s="8"/>
      <c r="M6" s="8"/>
      <c r="N6" s="8"/>
      <c r="O6" s="8"/>
    </row>
    <row r="7" spans="1:15" s="6" customFormat="1" ht="15" customHeight="1">
      <c r="A7" s="122"/>
      <c r="B7" s="322"/>
      <c r="C7" s="122"/>
      <c r="D7" s="122"/>
      <c r="E7" s="122"/>
      <c r="O7" s="25"/>
    </row>
    <row r="8" spans="1:15">
      <c r="A8" s="314" t="s">
        <v>21</v>
      </c>
      <c r="B8" s="314" t="s">
        <v>516</v>
      </c>
      <c r="C8" s="315" t="s">
        <v>517</v>
      </c>
      <c r="D8" s="315" t="s">
        <v>518</v>
      </c>
      <c r="E8" s="315" t="s">
        <v>519</v>
      </c>
      <c r="F8" s="316" t="s">
        <v>473</v>
      </c>
      <c r="G8" s="317" t="s">
        <v>15</v>
      </c>
      <c r="O8" s="11"/>
    </row>
    <row r="9" spans="1:15">
      <c r="A9" s="15"/>
      <c r="E9" s="10"/>
      <c r="F9" s="24"/>
      <c r="G9" s="115"/>
      <c r="O9" s="11"/>
    </row>
    <row r="10" spans="1:15">
      <c r="A10" s="15"/>
      <c r="B10" s="15" t="s">
        <v>520</v>
      </c>
      <c r="E10" s="10"/>
      <c r="F10" s="24"/>
      <c r="G10" s="115"/>
      <c r="O10" s="11"/>
    </row>
    <row r="11" spans="1:15">
      <c r="A11" s="217"/>
      <c r="B11" s="217"/>
      <c r="C11" s="142"/>
      <c r="D11" s="142"/>
      <c r="E11" s="142"/>
      <c r="F11" s="318"/>
      <c r="G11" s="319"/>
      <c r="O11" s="11"/>
    </row>
    <row r="12" spans="1:15">
      <c r="A12" s="15">
        <v>1</v>
      </c>
      <c r="B12" s="323">
        <v>44950</v>
      </c>
      <c r="C12" s="11" t="s">
        <v>521</v>
      </c>
      <c r="D12" s="11" t="s">
        <v>522</v>
      </c>
      <c r="E12" s="10">
        <v>850</v>
      </c>
      <c r="F12" s="24">
        <v>900</v>
      </c>
      <c r="G12" s="115"/>
      <c r="O12" s="11"/>
    </row>
    <row r="13" spans="1:15">
      <c r="A13" s="15">
        <f>A12+1</f>
        <v>2</v>
      </c>
      <c r="B13" s="323">
        <v>44950</v>
      </c>
      <c r="C13" s="11" t="s">
        <v>523</v>
      </c>
      <c r="D13" s="11" t="s">
        <v>524</v>
      </c>
      <c r="E13" s="10">
        <v>849</v>
      </c>
      <c r="F13" s="24">
        <v>900</v>
      </c>
      <c r="G13" s="115"/>
      <c r="O13" s="11"/>
    </row>
    <row r="14" spans="1:15">
      <c r="A14" s="15">
        <f t="shared" ref="A14:A77" si="0">A13+1</f>
        <v>3</v>
      </c>
      <c r="B14" s="323">
        <v>44950</v>
      </c>
      <c r="C14" s="11" t="s">
        <v>525</v>
      </c>
      <c r="D14" s="11" t="s">
        <v>526</v>
      </c>
      <c r="E14" s="10">
        <v>854</v>
      </c>
      <c r="F14" s="24">
        <v>900</v>
      </c>
      <c r="G14" s="115"/>
      <c r="O14" s="11"/>
    </row>
    <row r="15" spans="1:15">
      <c r="A15" s="15">
        <f t="shared" si="0"/>
        <v>4</v>
      </c>
      <c r="B15" s="323">
        <v>44950</v>
      </c>
      <c r="C15" s="11" t="s">
        <v>527</v>
      </c>
      <c r="D15" s="11" t="s">
        <v>528</v>
      </c>
      <c r="E15" s="10">
        <v>855</v>
      </c>
      <c r="F15" s="24">
        <v>900</v>
      </c>
      <c r="G15" s="115"/>
      <c r="O15" s="11"/>
    </row>
    <row r="16" spans="1:15">
      <c r="A16" s="15">
        <f t="shared" si="0"/>
        <v>5</v>
      </c>
      <c r="B16" s="323">
        <v>44950</v>
      </c>
      <c r="C16" s="11" t="s">
        <v>529</v>
      </c>
      <c r="D16" s="11" t="s">
        <v>530</v>
      </c>
      <c r="E16" s="10">
        <v>853</v>
      </c>
      <c r="F16" s="24">
        <v>900</v>
      </c>
      <c r="G16" s="115"/>
      <c r="O16" s="11"/>
    </row>
    <row r="17" spans="1:15">
      <c r="A17" s="15">
        <f t="shared" si="0"/>
        <v>6</v>
      </c>
      <c r="B17" s="323">
        <v>44950</v>
      </c>
      <c r="C17" s="11" t="s">
        <v>531</v>
      </c>
      <c r="D17" s="11" t="s">
        <v>532</v>
      </c>
      <c r="E17" s="10">
        <v>852</v>
      </c>
      <c r="F17" s="24">
        <v>900</v>
      </c>
      <c r="G17" s="115"/>
      <c r="O17" s="11"/>
    </row>
    <row r="18" spans="1:15">
      <c r="A18" s="15">
        <f t="shared" si="0"/>
        <v>7</v>
      </c>
      <c r="B18" s="323">
        <v>44950</v>
      </c>
      <c r="C18" s="11" t="s">
        <v>533</v>
      </c>
      <c r="D18" s="11" t="s">
        <v>534</v>
      </c>
      <c r="E18" s="10">
        <v>851</v>
      </c>
      <c r="F18" s="24">
        <v>900</v>
      </c>
      <c r="G18" s="115"/>
      <c r="O18" s="11"/>
    </row>
    <row r="19" spans="1:15">
      <c r="A19" s="15">
        <f t="shared" si="0"/>
        <v>8</v>
      </c>
      <c r="B19" s="323">
        <v>44978</v>
      </c>
      <c r="C19" s="11" t="s">
        <v>521</v>
      </c>
      <c r="D19" s="11" t="s">
        <v>522</v>
      </c>
      <c r="E19" s="10">
        <v>963</v>
      </c>
      <c r="F19" s="24">
        <v>900</v>
      </c>
      <c r="G19" s="115"/>
      <c r="O19" s="11"/>
    </row>
    <row r="20" spans="1:15">
      <c r="A20" s="15">
        <f t="shared" si="0"/>
        <v>9</v>
      </c>
      <c r="B20" s="323">
        <v>44978</v>
      </c>
      <c r="C20" s="11" t="s">
        <v>523</v>
      </c>
      <c r="D20" s="11" t="s">
        <v>524</v>
      </c>
      <c r="E20" s="10">
        <v>962</v>
      </c>
      <c r="F20" s="24">
        <v>900</v>
      </c>
      <c r="G20" s="115"/>
      <c r="O20" s="11"/>
    </row>
    <row r="21" spans="1:15">
      <c r="A21" s="15">
        <f t="shared" si="0"/>
        <v>10</v>
      </c>
      <c r="B21" s="323">
        <v>44978</v>
      </c>
      <c r="C21" s="11" t="s">
        <v>525</v>
      </c>
      <c r="D21" s="11" t="s">
        <v>526</v>
      </c>
      <c r="E21" s="10">
        <v>967</v>
      </c>
      <c r="F21" s="24">
        <v>900</v>
      </c>
      <c r="G21" s="115"/>
      <c r="O21" s="11"/>
    </row>
    <row r="22" spans="1:15">
      <c r="A22" s="15">
        <f t="shared" si="0"/>
        <v>11</v>
      </c>
      <c r="B22" s="323">
        <v>44978</v>
      </c>
      <c r="C22" s="11" t="s">
        <v>527</v>
      </c>
      <c r="D22" s="11" t="s">
        <v>528</v>
      </c>
      <c r="E22" s="10">
        <v>968</v>
      </c>
      <c r="F22" s="24">
        <v>900</v>
      </c>
      <c r="G22" s="115"/>
      <c r="O22" s="11"/>
    </row>
    <row r="23" spans="1:15">
      <c r="A23" s="15">
        <f t="shared" si="0"/>
        <v>12</v>
      </c>
      <c r="B23" s="323">
        <v>44978</v>
      </c>
      <c r="C23" s="11" t="s">
        <v>529</v>
      </c>
      <c r="D23" s="11" t="s">
        <v>530</v>
      </c>
      <c r="E23" s="10">
        <v>966</v>
      </c>
      <c r="F23" s="24">
        <v>900</v>
      </c>
      <c r="G23" s="115"/>
      <c r="O23" s="11"/>
    </row>
    <row r="24" spans="1:15">
      <c r="A24" s="15">
        <f t="shared" si="0"/>
        <v>13</v>
      </c>
      <c r="B24" s="323">
        <v>44978</v>
      </c>
      <c r="C24" s="11" t="s">
        <v>531</v>
      </c>
      <c r="D24" s="11" t="s">
        <v>532</v>
      </c>
      <c r="E24" s="10">
        <v>965</v>
      </c>
      <c r="F24" s="24">
        <v>900</v>
      </c>
      <c r="G24" s="115"/>
      <c r="O24" s="11"/>
    </row>
    <row r="25" spans="1:15">
      <c r="A25" s="15">
        <f t="shared" si="0"/>
        <v>14</v>
      </c>
      <c r="B25" s="323">
        <v>44978</v>
      </c>
      <c r="C25" s="11" t="s">
        <v>533</v>
      </c>
      <c r="D25" s="11" t="s">
        <v>534</v>
      </c>
      <c r="E25" s="10">
        <v>964</v>
      </c>
      <c r="F25" s="24">
        <v>900</v>
      </c>
      <c r="G25" s="115"/>
      <c r="O25" s="11"/>
    </row>
    <row r="26" spans="1:15">
      <c r="A26" s="15">
        <f t="shared" si="0"/>
        <v>15</v>
      </c>
      <c r="B26" s="323">
        <v>44990</v>
      </c>
      <c r="C26" s="11" t="s">
        <v>521</v>
      </c>
      <c r="D26" s="11" t="s">
        <v>535</v>
      </c>
      <c r="E26" s="10">
        <v>67087</v>
      </c>
      <c r="F26" s="24">
        <v>1210.74</v>
      </c>
      <c r="G26" s="115">
        <f>-F26</f>
        <v>-1210.74</v>
      </c>
      <c r="O26" s="11"/>
    </row>
    <row r="27" spans="1:15">
      <c r="A27" s="15">
        <f t="shared" si="0"/>
        <v>16</v>
      </c>
      <c r="B27" s="323">
        <v>44990</v>
      </c>
      <c r="C27" s="11" t="s">
        <v>525</v>
      </c>
      <c r="D27" s="11" t="s">
        <v>535</v>
      </c>
      <c r="E27" s="10">
        <v>67097</v>
      </c>
      <c r="F27" s="24">
        <v>1215.72</v>
      </c>
      <c r="G27" s="115">
        <f>-F27</f>
        <v>-1215.72</v>
      </c>
      <c r="O27" s="11"/>
    </row>
    <row r="28" spans="1:15">
      <c r="A28" s="15">
        <f t="shared" si="0"/>
        <v>17</v>
      </c>
      <c r="B28" s="323">
        <v>45006</v>
      </c>
      <c r="C28" s="11" t="s">
        <v>521</v>
      </c>
      <c r="D28" s="11" t="s">
        <v>522</v>
      </c>
      <c r="E28" s="10">
        <v>1076</v>
      </c>
      <c r="F28" s="24">
        <v>900</v>
      </c>
      <c r="G28" s="115"/>
      <c r="O28" s="11"/>
    </row>
    <row r="29" spans="1:15">
      <c r="A29" s="15">
        <f t="shared" si="0"/>
        <v>18</v>
      </c>
      <c r="B29" s="323">
        <v>45006</v>
      </c>
      <c r="C29" s="11" t="s">
        <v>523</v>
      </c>
      <c r="D29" s="11" t="s">
        <v>524</v>
      </c>
      <c r="E29" s="10">
        <v>1075</v>
      </c>
      <c r="F29" s="24">
        <v>900</v>
      </c>
      <c r="G29" s="115"/>
      <c r="O29" s="11"/>
    </row>
    <row r="30" spans="1:15">
      <c r="A30" s="15">
        <f t="shared" si="0"/>
        <v>19</v>
      </c>
      <c r="B30" s="323">
        <v>45006</v>
      </c>
      <c r="C30" s="11" t="s">
        <v>525</v>
      </c>
      <c r="D30" s="11" t="s">
        <v>526</v>
      </c>
      <c r="E30" s="10">
        <v>1080</v>
      </c>
      <c r="F30" s="24">
        <v>900</v>
      </c>
      <c r="G30" s="115"/>
      <c r="O30" s="11"/>
    </row>
    <row r="31" spans="1:15">
      <c r="A31" s="15">
        <f t="shared" si="0"/>
        <v>20</v>
      </c>
      <c r="B31" s="323">
        <v>45006</v>
      </c>
      <c r="C31" s="11" t="s">
        <v>527</v>
      </c>
      <c r="D31" s="11" t="s">
        <v>528</v>
      </c>
      <c r="E31" s="10">
        <v>1081</v>
      </c>
      <c r="F31" s="24">
        <v>900</v>
      </c>
      <c r="G31" s="115"/>
      <c r="O31" s="11"/>
    </row>
    <row r="32" spans="1:15">
      <c r="A32" s="15">
        <f t="shared" si="0"/>
        <v>21</v>
      </c>
      <c r="B32" s="323">
        <v>45006</v>
      </c>
      <c r="C32" s="11" t="s">
        <v>529</v>
      </c>
      <c r="D32" s="11" t="s">
        <v>530</v>
      </c>
      <c r="E32" s="10">
        <v>1079</v>
      </c>
      <c r="F32" s="24">
        <v>900</v>
      </c>
      <c r="G32" s="115"/>
      <c r="O32" s="11"/>
    </row>
    <row r="33" spans="1:15">
      <c r="A33" s="15">
        <f t="shared" si="0"/>
        <v>22</v>
      </c>
      <c r="B33" s="323">
        <v>45006</v>
      </c>
      <c r="C33" s="11" t="s">
        <v>531</v>
      </c>
      <c r="D33" s="11" t="s">
        <v>532</v>
      </c>
      <c r="E33" s="10">
        <v>1078</v>
      </c>
      <c r="F33" s="24">
        <v>900</v>
      </c>
      <c r="G33" s="115"/>
      <c r="O33" s="11"/>
    </row>
    <row r="34" spans="1:15">
      <c r="A34" s="15">
        <f t="shared" si="0"/>
        <v>23</v>
      </c>
      <c r="B34" s="323">
        <v>45006</v>
      </c>
      <c r="C34" s="11" t="s">
        <v>533</v>
      </c>
      <c r="D34" s="11" t="s">
        <v>534</v>
      </c>
      <c r="E34" s="10">
        <v>1077</v>
      </c>
      <c r="F34" s="24">
        <v>900</v>
      </c>
      <c r="G34" s="115"/>
      <c r="O34" s="11"/>
    </row>
    <row r="35" spans="1:15">
      <c r="A35" s="15">
        <f t="shared" si="0"/>
        <v>24</v>
      </c>
      <c r="B35" s="323">
        <v>45041</v>
      </c>
      <c r="C35" s="11" t="s">
        <v>521</v>
      </c>
      <c r="D35" s="11" t="s">
        <v>522</v>
      </c>
      <c r="E35" s="10">
        <v>1188</v>
      </c>
      <c r="F35" s="24">
        <v>900</v>
      </c>
      <c r="G35" s="115"/>
      <c r="O35" s="11"/>
    </row>
    <row r="36" spans="1:15">
      <c r="A36" s="15">
        <f t="shared" si="0"/>
        <v>25</v>
      </c>
      <c r="B36" s="323">
        <v>45041</v>
      </c>
      <c r="C36" s="11" t="s">
        <v>523</v>
      </c>
      <c r="D36" s="11" t="s">
        <v>524</v>
      </c>
      <c r="E36" s="10">
        <v>1187</v>
      </c>
      <c r="F36" s="24">
        <v>900</v>
      </c>
      <c r="G36" s="115"/>
      <c r="O36" s="11"/>
    </row>
    <row r="37" spans="1:15">
      <c r="A37" s="15">
        <f t="shared" si="0"/>
        <v>26</v>
      </c>
      <c r="B37" s="323">
        <v>45041</v>
      </c>
      <c r="C37" s="11" t="s">
        <v>525</v>
      </c>
      <c r="D37" s="11" t="s">
        <v>526</v>
      </c>
      <c r="E37" s="10">
        <v>1192</v>
      </c>
      <c r="F37" s="24">
        <v>900</v>
      </c>
      <c r="G37" s="115"/>
      <c r="O37" s="11"/>
    </row>
    <row r="38" spans="1:15">
      <c r="A38" s="15">
        <f t="shared" si="0"/>
        <v>27</v>
      </c>
      <c r="B38" s="323">
        <v>45041</v>
      </c>
      <c r="C38" s="11" t="s">
        <v>527</v>
      </c>
      <c r="D38" s="11" t="s">
        <v>528</v>
      </c>
      <c r="E38" s="10">
        <v>1193</v>
      </c>
      <c r="F38" s="24">
        <v>900</v>
      </c>
      <c r="G38" s="115"/>
      <c r="O38" s="11"/>
    </row>
    <row r="39" spans="1:15">
      <c r="A39" s="15">
        <f t="shared" si="0"/>
        <v>28</v>
      </c>
      <c r="B39" s="323">
        <v>45041</v>
      </c>
      <c r="C39" s="11" t="s">
        <v>529</v>
      </c>
      <c r="D39" s="11" t="s">
        <v>530</v>
      </c>
      <c r="E39" s="10">
        <v>1191</v>
      </c>
      <c r="F39" s="24">
        <v>900</v>
      </c>
      <c r="G39" s="115"/>
      <c r="O39" s="11"/>
    </row>
    <row r="40" spans="1:15">
      <c r="A40" s="15">
        <f t="shared" si="0"/>
        <v>29</v>
      </c>
      <c r="B40" s="323">
        <v>45041</v>
      </c>
      <c r="C40" s="11" t="s">
        <v>531</v>
      </c>
      <c r="D40" s="11" t="s">
        <v>532</v>
      </c>
      <c r="E40" s="10">
        <v>1190</v>
      </c>
      <c r="F40" s="24">
        <v>900</v>
      </c>
      <c r="G40" s="115"/>
      <c r="O40" s="11"/>
    </row>
    <row r="41" spans="1:15">
      <c r="A41" s="15">
        <f t="shared" si="0"/>
        <v>30</v>
      </c>
      <c r="B41" s="323">
        <v>45041</v>
      </c>
      <c r="C41" s="11" t="s">
        <v>533</v>
      </c>
      <c r="D41" s="11" t="s">
        <v>534</v>
      </c>
      <c r="E41" s="10">
        <v>1189</v>
      </c>
      <c r="F41" s="24">
        <v>900</v>
      </c>
      <c r="G41" s="115"/>
      <c r="O41" s="11"/>
    </row>
    <row r="42" spans="1:15">
      <c r="A42" s="15">
        <f t="shared" si="0"/>
        <v>31</v>
      </c>
      <c r="B42" s="323">
        <v>45062</v>
      </c>
      <c r="C42" s="11" t="s">
        <v>521</v>
      </c>
      <c r="D42" s="11" t="s">
        <v>536</v>
      </c>
      <c r="E42" s="10">
        <v>1301</v>
      </c>
      <c r="F42" s="24">
        <v>900</v>
      </c>
      <c r="G42" s="115"/>
      <c r="O42" s="11"/>
    </row>
    <row r="43" spans="1:15">
      <c r="A43" s="15">
        <f t="shared" si="0"/>
        <v>32</v>
      </c>
      <c r="B43" s="323">
        <v>45062</v>
      </c>
      <c r="C43" s="11" t="s">
        <v>523</v>
      </c>
      <c r="D43" s="11" t="s">
        <v>537</v>
      </c>
      <c r="E43" s="10"/>
      <c r="F43" s="24">
        <v>900</v>
      </c>
      <c r="G43" s="115"/>
      <c r="O43" s="11"/>
    </row>
    <row r="44" spans="1:15">
      <c r="A44" s="15">
        <f t="shared" si="0"/>
        <v>33</v>
      </c>
      <c r="B44" s="323">
        <v>45062</v>
      </c>
      <c r="C44" s="11" t="s">
        <v>525</v>
      </c>
      <c r="D44" s="11" t="s">
        <v>538</v>
      </c>
      <c r="E44" s="10">
        <v>1305</v>
      </c>
      <c r="F44" s="24">
        <v>900</v>
      </c>
      <c r="G44" s="115"/>
      <c r="O44" s="11"/>
    </row>
    <row r="45" spans="1:15">
      <c r="A45" s="15">
        <f t="shared" si="0"/>
        <v>34</v>
      </c>
      <c r="B45" s="323">
        <v>45062</v>
      </c>
      <c r="C45" s="11" t="s">
        <v>527</v>
      </c>
      <c r="D45" s="11" t="s">
        <v>539</v>
      </c>
      <c r="E45" s="10">
        <v>1306</v>
      </c>
      <c r="F45" s="24">
        <v>900</v>
      </c>
      <c r="G45" s="115"/>
      <c r="O45" s="11"/>
    </row>
    <row r="46" spans="1:15">
      <c r="A46" s="15">
        <f t="shared" si="0"/>
        <v>35</v>
      </c>
      <c r="B46" s="323">
        <v>45062</v>
      </c>
      <c r="C46" s="11" t="s">
        <v>529</v>
      </c>
      <c r="D46" s="11" t="s">
        <v>540</v>
      </c>
      <c r="E46" s="10">
        <v>1304</v>
      </c>
      <c r="F46" s="24">
        <v>900</v>
      </c>
      <c r="G46" s="115"/>
      <c r="O46" s="11"/>
    </row>
    <row r="47" spans="1:15">
      <c r="A47" s="15">
        <f t="shared" si="0"/>
        <v>36</v>
      </c>
      <c r="B47" s="323">
        <v>45062</v>
      </c>
      <c r="C47" s="11" t="s">
        <v>531</v>
      </c>
      <c r="D47" s="11" t="s">
        <v>541</v>
      </c>
      <c r="E47" s="10">
        <v>1303</v>
      </c>
      <c r="F47" s="24">
        <v>900</v>
      </c>
      <c r="G47" s="115"/>
      <c r="O47" s="11"/>
    </row>
    <row r="48" spans="1:15">
      <c r="A48" s="15">
        <f t="shared" si="0"/>
        <v>37</v>
      </c>
      <c r="B48" s="323">
        <v>45062</v>
      </c>
      <c r="C48" s="11" t="s">
        <v>533</v>
      </c>
      <c r="D48" s="11" t="s">
        <v>542</v>
      </c>
      <c r="E48" s="10">
        <v>1302</v>
      </c>
      <c r="F48" s="24">
        <v>900</v>
      </c>
      <c r="G48" s="115"/>
      <c r="O48" s="11"/>
    </row>
    <row r="49" spans="1:15">
      <c r="A49" s="15">
        <f t="shared" si="0"/>
        <v>38</v>
      </c>
      <c r="B49" s="323">
        <v>45062</v>
      </c>
      <c r="C49" s="11" t="s">
        <v>523</v>
      </c>
      <c r="D49" s="11" t="s">
        <v>537</v>
      </c>
      <c r="E49" s="10"/>
      <c r="F49" s="24">
        <v>-900</v>
      </c>
      <c r="G49" s="115"/>
      <c r="O49" s="11"/>
    </row>
    <row r="50" spans="1:15">
      <c r="A50" s="15">
        <f t="shared" si="0"/>
        <v>39</v>
      </c>
      <c r="B50" s="323">
        <v>45062</v>
      </c>
      <c r="C50" s="11" t="s">
        <v>523</v>
      </c>
      <c r="D50" s="11" t="s">
        <v>543</v>
      </c>
      <c r="E50" s="10">
        <v>1300</v>
      </c>
      <c r="F50" s="24">
        <v>900</v>
      </c>
      <c r="G50" s="115"/>
      <c r="O50" s="11"/>
    </row>
    <row r="51" spans="1:15">
      <c r="A51" s="15">
        <f t="shared" si="0"/>
        <v>40</v>
      </c>
      <c r="B51" s="323">
        <v>45069</v>
      </c>
      <c r="C51" s="11" t="s">
        <v>521</v>
      </c>
      <c r="D51" s="11" t="s">
        <v>522</v>
      </c>
      <c r="E51" s="10">
        <v>1308</v>
      </c>
      <c r="F51" s="24">
        <v>900</v>
      </c>
      <c r="G51" s="115"/>
      <c r="O51" s="11"/>
    </row>
    <row r="52" spans="1:15">
      <c r="A52" s="15">
        <f t="shared" si="0"/>
        <v>41</v>
      </c>
      <c r="B52" s="323">
        <v>45069</v>
      </c>
      <c r="C52" s="11" t="s">
        <v>523</v>
      </c>
      <c r="D52" s="11" t="s">
        <v>524</v>
      </c>
      <c r="E52" s="10">
        <v>1307</v>
      </c>
      <c r="F52" s="24">
        <v>900</v>
      </c>
      <c r="G52" s="115"/>
      <c r="O52" s="11"/>
    </row>
    <row r="53" spans="1:15">
      <c r="A53" s="15">
        <f t="shared" si="0"/>
        <v>42</v>
      </c>
      <c r="B53" s="323">
        <v>45069</v>
      </c>
      <c r="C53" s="11" t="s">
        <v>525</v>
      </c>
      <c r="D53" s="11" t="s">
        <v>526</v>
      </c>
      <c r="E53" s="10">
        <v>1312</v>
      </c>
      <c r="F53" s="24">
        <v>900</v>
      </c>
      <c r="G53" s="115"/>
      <c r="O53" s="11"/>
    </row>
    <row r="54" spans="1:15">
      <c r="A54" s="15">
        <f t="shared" si="0"/>
        <v>43</v>
      </c>
      <c r="B54" s="323">
        <v>45069</v>
      </c>
      <c r="C54" s="11" t="s">
        <v>527</v>
      </c>
      <c r="D54" s="11" t="s">
        <v>528</v>
      </c>
      <c r="E54" s="10">
        <v>1313</v>
      </c>
      <c r="F54" s="24">
        <v>900</v>
      </c>
      <c r="G54" s="115"/>
      <c r="O54" s="11"/>
    </row>
    <row r="55" spans="1:15">
      <c r="A55" s="15">
        <f t="shared" si="0"/>
        <v>44</v>
      </c>
      <c r="B55" s="323">
        <v>45069</v>
      </c>
      <c r="C55" s="11" t="s">
        <v>529</v>
      </c>
      <c r="D55" s="11" t="s">
        <v>530</v>
      </c>
      <c r="E55" s="10">
        <v>1311</v>
      </c>
      <c r="F55" s="24">
        <v>900</v>
      </c>
      <c r="G55" s="115"/>
      <c r="O55" s="11"/>
    </row>
    <row r="56" spans="1:15">
      <c r="A56" s="15">
        <f t="shared" si="0"/>
        <v>45</v>
      </c>
      <c r="B56" s="323">
        <v>45069</v>
      </c>
      <c r="C56" s="11" t="s">
        <v>531</v>
      </c>
      <c r="D56" s="11" t="s">
        <v>532</v>
      </c>
      <c r="E56" s="10">
        <v>1310</v>
      </c>
      <c r="F56" s="24">
        <v>900</v>
      </c>
      <c r="G56" s="115"/>
      <c r="O56" s="11"/>
    </row>
    <row r="57" spans="1:15">
      <c r="A57" s="15">
        <f t="shared" si="0"/>
        <v>46</v>
      </c>
      <c r="B57" s="323">
        <v>45069</v>
      </c>
      <c r="C57" s="11" t="s">
        <v>533</v>
      </c>
      <c r="D57" s="11" t="s">
        <v>534</v>
      </c>
      <c r="E57" s="10">
        <v>1309</v>
      </c>
      <c r="F57" s="24">
        <v>900</v>
      </c>
      <c r="G57" s="115"/>
      <c r="O57" s="11"/>
    </row>
    <row r="58" spans="1:15">
      <c r="A58" s="15">
        <f t="shared" si="0"/>
        <v>47</v>
      </c>
      <c r="B58" s="323">
        <v>45083</v>
      </c>
      <c r="D58" s="11" t="s">
        <v>544</v>
      </c>
      <c r="E58" s="10">
        <v>0</v>
      </c>
      <c r="F58" s="24">
        <v>-10.74</v>
      </c>
      <c r="G58" s="115"/>
      <c r="O58" s="11"/>
    </row>
    <row r="59" spans="1:15">
      <c r="A59" s="15">
        <f t="shared" si="0"/>
        <v>48</v>
      </c>
      <c r="B59" s="323">
        <v>45083</v>
      </c>
      <c r="D59" s="11" t="s">
        <v>545</v>
      </c>
      <c r="E59" s="10">
        <v>0</v>
      </c>
      <c r="F59" s="24">
        <v>-15.72</v>
      </c>
      <c r="G59" s="115"/>
      <c r="O59" s="11"/>
    </row>
    <row r="60" spans="1:15">
      <c r="A60" s="15">
        <f t="shared" si="0"/>
        <v>49</v>
      </c>
      <c r="B60" s="323">
        <v>45090</v>
      </c>
      <c r="C60" s="11" t="s">
        <v>533</v>
      </c>
      <c r="D60" s="11" t="s">
        <v>474</v>
      </c>
      <c r="E60" s="10"/>
      <c r="F60" s="24">
        <v>300</v>
      </c>
      <c r="G60" s="115">
        <f>-F60</f>
        <v>-300</v>
      </c>
      <c r="O60" s="11"/>
    </row>
    <row r="61" spans="1:15">
      <c r="A61" s="15">
        <f t="shared" si="0"/>
        <v>50</v>
      </c>
      <c r="B61" s="323">
        <v>45090</v>
      </c>
      <c r="C61" s="11" t="s">
        <v>525</v>
      </c>
      <c r="D61" s="11" t="s">
        <v>474</v>
      </c>
      <c r="E61" s="10">
        <v>67567</v>
      </c>
      <c r="F61" s="24">
        <v>300</v>
      </c>
      <c r="G61" s="115">
        <f>-F61</f>
        <v>-300</v>
      </c>
      <c r="O61" s="11"/>
    </row>
    <row r="62" spans="1:15">
      <c r="A62" s="15">
        <f t="shared" si="0"/>
        <v>51</v>
      </c>
      <c r="B62" s="323">
        <v>45090</v>
      </c>
      <c r="C62" s="11" t="s">
        <v>533</v>
      </c>
      <c r="D62" s="11" t="s">
        <v>546</v>
      </c>
      <c r="E62" s="10"/>
      <c r="F62" s="24">
        <v>-300</v>
      </c>
      <c r="G62" s="115"/>
      <c r="O62" s="11"/>
    </row>
    <row r="63" spans="1:15">
      <c r="A63" s="15">
        <f t="shared" si="0"/>
        <v>52</v>
      </c>
      <c r="B63" s="323">
        <v>45097</v>
      </c>
      <c r="C63" s="11" t="s">
        <v>521</v>
      </c>
      <c r="D63" s="11" t="s">
        <v>522</v>
      </c>
      <c r="E63" s="10">
        <v>1425</v>
      </c>
      <c r="F63" s="24">
        <v>900</v>
      </c>
      <c r="G63" s="115"/>
      <c r="O63" s="11"/>
    </row>
    <row r="64" spans="1:15">
      <c r="A64" s="15">
        <f t="shared" si="0"/>
        <v>53</v>
      </c>
      <c r="B64" s="323">
        <v>45097</v>
      </c>
      <c r="C64" s="11" t="s">
        <v>523</v>
      </c>
      <c r="D64" s="11" t="s">
        <v>524</v>
      </c>
      <c r="E64" s="10">
        <v>1424</v>
      </c>
      <c r="F64" s="24">
        <v>900</v>
      </c>
      <c r="G64" s="115"/>
      <c r="O64" s="11"/>
    </row>
    <row r="65" spans="1:15">
      <c r="A65" s="15">
        <f t="shared" si="0"/>
        <v>54</v>
      </c>
      <c r="B65" s="323">
        <v>45097</v>
      </c>
      <c r="C65" s="11" t="s">
        <v>525</v>
      </c>
      <c r="D65" s="11" t="s">
        <v>526</v>
      </c>
      <c r="E65" s="10">
        <v>1429</v>
      </c>
      <c r="F65" s="24">
        <v>900</v>
      </c>
      <c r="G65" s="115"/>
      <c r="O65" s="11"/>
    </row>
    <row r="66" spans="1:15">
      <c r="A66" s="15">
        <f t="shared" si="0"/>
        <v>55</v>
      </c>
      <c r="B66" s="323">
        <v>45097</v>
      </c>
      <c r="C66" s="11" t="s">
        <v>527</v>
      </c>
      <c r="D66" s="11" t="s">
        <v>528</v>
      </c>
      <c r="E66" s="10">
        <v>1430</v>
      </c>
      <c r="F66" s="24">
        <v>900</v>
      </c>
      <c r="G66" s="115"/>
      <c r="O66" s="11"/>
    </row>
    <row r="67" spans="1:15">
      <c r="A67" s="15">
        <f t="shared" si="0"/>
        <v>56</v>
      </c>
      <c r="B67" s="323">
        <v>45097</v>
      </c>
      <c r="C67" s="11" t="s">
        <v>529</v>
      </c>
      <c r="D67" s="11" t="s">
        <v>530</v>
      </c>
      <c r="E67" s="10">
        <v>1428</v>
      </c>
      <c r="F67" s="24">
        <v>900</v>
      </c>
      <c r="G67" s="115"/>
      <c r="O67" s="11"/>
    </row>
    <row r="68" spans="1:15">
      <c r="A68" s="15">
        <f t="shared" si="0"/>
        <v>57</v>
      </c>
      <c r="B68" s="323">
        <v>45097</v>
      </c>
      <c r="C68" s="11" t="s">
        <v>531</v>
      </c>
      <c r="D68" s="11" t="s">
        <v>532</v>
      </c>
      <c r="E68" s="10">
        <v>1427</v>
      </c>
      <c r="F68" s="24">
        <v>900</v>
      </c>
      <c r="G68" s="115"/>
      <c r="O68" s="11"/>
    </row>
    <row r="69" spans="1:15">
      <c r="A69" s="15">
        <f t="shared" si="0"/>
        <v>58</v>
      </c>
      <c r="B69" s="323">
        <v>45097</v>
      </c>
      <c r="C69" s="11" t="s">
        <v>533</v>
      </c>
      <c r="D69" s="11" t="s">
        <v>534</v>
      </c>
      <c r="E69" s="10">
        <v>1426</v>
      </c>
      <c r="F69" s="24">
        <v>900</v>
      </c>
      <c r="G69" s="115"/>
      <c r="O69" s="11"/>
    </row>
    <row r="70" spans="1:15">
      <c r="A70" s="15">
        <f t="shared" si="0"/>
        <v>59</v>
      </c>
      <c r="B70" s="323">
        <v>45132</v>
      </c>
      <c r="C70" s="11" t="s">
        <v>521</v>
      </c>
      <c r="D70" s="11" t="s">
        <v>522</v>
      </c>
      <c r="E70" s="10">
        <v>1593</v>
      </c>
      <c r="F70" s="24">
        <v>900</v>
      </c>
      <c r="G70" s="115"/>
      <c r="O70" s="11"/>
    </row>
    <row r="71" spans="1:15">
      <c r="A71" s="15">
        <f t="shared" si="0"/>
        <v>60</v>
      </c>
      <c r="B71" s="323">
        <v>45132</v>
      </c>
      <c r="C71" s="11" t="s">
        <v>523</v>
      </c>
      <c r="D71" s="11" t="s">
        <v>524</v>
      </c>
      <c r="E71" s="10">
        <v>1592</v>
      </c>
      <c r="F71" s="24">
        <v>900</v>
      </c>
      <c r="G71" s="115"/>
      <c r="O71" s="11"/>
    </row>
    <row r="72" spans="1:15">
      <c r="A72" s="15">
        <f t="shared" si="0"/>
        <v>61</v>
      </c>
      <c r="B72" s="323">
        <v>45132</v>
      </c>
      <c r="C72" s="11" t="s">
        <v>525</v>
      </c>
      <c r="D72" s="11" t="s">
        <v>526</v>
      </c>
      <c r="E72" s="10">
        <v>1597</v>
      </c>
      <c r="F72" s="24">
        <v>900</v>
      </c>
      <c r="G72" s="115"/>
      <c r="O72" s="11"/>
    </row>
    <row r="73" spans="1:15">
      <c r="A73" s="15">
        <f t="shared" si="0"/>
        <v>62</v>
      </c>
      <c r="B73" s="323">
        <v>45132</v>
      </c>
      <c r="C73" s="11" t="s">
        <v>527</v>
      </c>
      <c r="D73" s="11" t="s">
        <v>528</v>
      </c>
      <c r="E73" s="10">
        <v>1598</v>
      </c>
      <c r="F73" s="24">
        <v>900</v>
      </c>
      <c r="G73" s="115"/>
      <c r="O73" s="11"/>
    </row>
    <row r="74" spans="1:15">
      <c r="A74" s="15">
        <f t="shared" si="0"/>
        <v>63</v>
      </c>
      <c r="B74" s="323">
        <v>45132</v>
      </c>
      <c r="C74" s="11" t="s">
        <v>529</v>
      </c>
      <c r="D74" s="11" t="s">
        <v>530</v>
      </c>
      <c r="E74" s="10">
        <v>1596</v>
      </c>
      <c r="F74" s="24">
        <v>900</v>
      </c>
      <c r="G74" s="115"/>
      <c r="O74" s="11"/>
    </row>
    <row r="75" spans="1:15">
      <c r="A75" s="15">
        <f t="shared" si="0"/>
        <v>64</v>
      </c>
      <c r="B75" s="323">
        <v>45132</v>
      </c>
      <c r="C75" s="11" t="s">
        <v>531</v>
      </c>
      <c r="D75" s="11" t="s">
        <v>532</v>
      </c>
      <c r="E75" s="10">
        <v>1595</v>
      </c>
      <c r="F75" s="24">
        <v>900</v>
      </c>
      <c r="G75" s="115"/>
      <c r="O75" s="11"/>
    </row>
    <row r="76" spans="1:15">
      <c r="A76" s="15">
        <f t="shared" si="0"/>
        <v>65</v>
      </c>
      <c r="B76" s="323">
        <v>45132</v>
      </c>
      <c r="C76" s="11" t="s">
        <v>533</v>
      </c>
      <c r="D76" s="11" t="s">
        <v>534</v>
      </c>
      <c r="E76" s="10">
        <v>1594</v>
      </c>
      <c r="F76" s="24">
        <v>900</v>
      </c>
      <c r="G76" s="115"/>
      <c r="O76" s="11"/>
    </row>
    <row r="77" spans="1:15">
      <c r="A77" s="15">
        <f t="shared" si="0"/>
        <v>66</v>
      </c>
      <c r="B77" s="323">
        <v>45144</v>
      </c>
      <c r="C77" s="11" t="s">
        <v>523</v>
      </c>
      <c r="D77" s="11" t="s">
        <v>547</v>
      </c>
      <c r="E77" s="10">
        <v>67793</v>
      </c>
      <c r="F77" s="24">
        <v>900</v>
      </c>
      <c r="G77" s="115">
        <f>-F77</f>
        <v>-900</v>
      </c>
      <c r="O77" s="11"/>
    </row>
    <row r="78" spans="1:15">
      <c r="A78" s="15">
        <f t="shared" ref="A78:A141" si="1">A77+1</f>
        <v>67</v>
      </c>
      <c r="B78" s="323">
        <v>45144</v>
      </c>
      <c r="C78" s="11" t="s">
        <v>525</v>
      </c>
      <c r="D78" s="11" t="s">
        <v>547</v>
      </c>
      <c r="E78" s="10">
        <v>67797</v>
      </c>
      <c r="F78" s="24">
        <v>900</v>
      </c>
      <c r="G78" s="115">
        <f>-F78</f>
        <v>-900</v>
      </c>
      <c r="O78" s="11"/>
    </row>
    <row r="79" spans="1:15">
      <c r="A79" s="15">
        <f t="shared" si="1"/>
        <v>68</v>
      </c>
      <c r="B79" s="323">
        <v>45144</v>
      </c>
      <c r="C79" s="11" t="s">
        <v>521</v>
      </c>
      <c r="D79" s="11" t="s">
        <v>548</v>
      </c>
      <c r="E79" s="10">
        <v>67796</v>
      </c>
      <c r="F79" s="24">
        <v>900</v>
      </c>
      <c r="G79" s="115">
        <f>-F79</f>
        <v>-900</v>
      </c>
      <c r="O79" s="11"/>
    </row>
    <row r="80" spans="1:15">
      <c r="A80" s="15">
        <f t="shared" si="1"/>
        <v>69</v>
      </c>
      <c r="B80" s="323">
        <v>45160</v>
      </c>
      <c r="C80" s="11" t="s">
        <v>521</v>
      </c>
      <c r="D80" s="11" t="s">
        <v>522</v>
      </c>
      <c r="E80" s="10">
        <v>1712</v>
      </c>
      <c r="F80" s="24">
        <v>900</v>
      </c>
      <c r="G80" s="115"/>
      <c r="O80" s="11"/>
    </row>
    <row r="81" spans="1:15">
      <c r="A81" s="15">
        <f t="shared" si="1"/>
        <v>70</v>
      </c>
      <c r="B81" s="323">
        <v>45160</v>
      </c>
      <c r="C81" s="11" t="s">
        <v>523</v>
      </c>
      <c r="D81" s="11" t="s">
        <v>524</v>
      </c>
      <c r="E81" s="10">
        <v>1711</v>
      </c>
      <c r="F81" s="24">
        <v>900</v>
      </c>
      <c r="G81" s="115"/>
      <c r="O81" s="11"/>
    </row>
    <row r="82" spans="1:15">
      <c r="A82" s="15">
        <f t="shared" si="1"/>
        <v>71</v>
      </c>
      <c r="B82" s="323">
        <v>45160</v>
      </c>
      <c r="C82" s="11" t="s">
        <v>525</v>
      </c>
      <c r="D82" s="11" t="s">
        <v>526</v>
      </c>
      <c r="E82" s="10">
        <v>1716</v>
      </c>
      <c r="F82" s="24">
        <v>900</v>
      </c>
      <c r="G82" s="115"/>
      <c r="O82" s="11"/>
    </row>
    <row r="83" spans="1:15">
      <c r="A83" s="15">
        <f t="shared" si="1"/>
        <v>72</v>
      </c>
      <c r="B83" s="323">
        <v>45160</v>
      </c>
      <c r="C83" s="11" t="s">
        <v>527</v>
      </c>
      <c r="D83" s="11" t="s">
        <v>528</v>
      </c>
      <c r="E83" s="10">
        <v>1717</v>
      </c>
      <c r="F83" s="24">
        <v>900</v>
      </c>
      <c r="G83" s="115"/>
      <c r="O83" s="11"/>
    </row>
    <row r="84" spans="1:15">
      <c r="A84" s="15">
        <f t="shared" si="1"/>
        <v>73</v>
      </c>
      <c r="B84" s="323">
        <v>45160</v>
      </c>
      <c r="C84" s="11" t="s">
        <v>529</v>
      </c>
      <c r="D84" s="11" t="s">
        <v>530</v>
      </c>
      <c r="E84" s="10">
        <v>1715</v>
      </c>
      <c r="F84" s="24">
        <v>900</v>
      </c>
      <c r="G84" s="115"/>
      <c r="O84" s="11"/>
    </row>
    <row r="85" spans="1:15">
      <c r="A85" s="15">
        <f t="shared" si="1"/>
        <v>74</v>
      </c>
      <c r="B85" s="323">
        <v>45160</v>
      </c>
      <c r="C85" s="11" t="s">
        <v>531</v>
      </c>
      <c r="D85" s="11" t="s">
        <v>532</v>
      </c>
      <c r="E85" s="10">
        <v>1714</v>
      </c>
      <c r="F85" s="24">
        <v>900</v>
      </c>
      <c r="G85" s="115"/>
      <c r="O85" s="11"/>
    </row>
    <row r="86" spans="1:15">
      <c r="A86" s="15">
        <f t="shared" si="1"/>
        <v>75</v>
      </c>
      <c r="B86" s="323">
        <v>45160</v>
      </c>
      <c r="C86" s="11" t="s">
        <v>533</v>
      </c>
      <c r="D86" s="11" t="s">
        <v>534</v>
      </c>
      <c r="E86" s="10">
        <v>1713</v>
      </c>
      <c r="F86" s="24">
        <v>900</v>
      </c>
      <c r="G86" s="115"/>
      <c r="O86" s="11"/>
    </row>
    <row r="87" spans="1:15">
      <c r="A87" s="15">
        <f t="shared" si="1"/>
        <v>76</v>
      </c>
      <c r="B87" s="323">
        <v>45195</v>
      </c>
      <c r="C87" s="11" t="s">
        <v>521</v>
      </c>
      <c r="D87" s="11" t="s">
        <v>522</v>
      </c>
      <c r="E87" s="10">
        <v>1869</v>
      </c>
      <c r="F87" s="24">
        <v>900</v>
      </c>
      <c r="G87" s="115"/>
      <c r="O87" s="11"/>
    </row>
    <row r="88" spans="1:15">
      <c r="A88" s="15">
        <f t="shared" si="1"/>
        <v>77</v>
      </c>
      <c r="B88" s="323">
        <v>45195</v>
      </c>
      <c r="C88" s="11" t="s">
        <v>523</v>
      </c>
      <c r="D88" s="11" t="s">
        <v>524</v>
      </c>
      <c r="E88" s="10">
        <v>1868</v>
      </c>
      <c r="F88" s="24">
        <v>900</v>
      </c>
      <c r="G88" s="115"/>
      <c r="O88" s="11"/>
    </row>
    <row r="89" spans="1:15">
      <c r="A89" s="15">
        <f t="shared" si="1"/>
        <v>78</v>
      </c>
      <c r="B89" s="323">
        <v>45195</v>
      </c>
      <c r="C89" s="11" t="s">
        <v>525</v>
      </c>
      <c r="D89" s="11" t="s">
        <v>526</v>
      </c>
      <c r="E89" s="10">
        <v>1873</v>
      </c>
      <c r="F89" s="24">
        <v>900</v>
      </c>
      <c r="G89" s="115"/>
      <c r="O89" s="11"/>
    </row>
    <row r="90" spans="1:15">
      <c r="A90" s="15">
        <f t="shared" si="1"/>
        <v>79</v>
      </c>
      <c r="B90" s="323">
        <v>45195</v>
      </c>
      <c r="C90" s="11" t="s">
        <v>527</v>
      </c>
      <c r="D90" s="11" t="s">
        <v>528</v>
      </c>
      <c r="E90" s="10">
        <v>1874</v>
      </c>
      <c r="F90" s="24">
        <v>900</v>
      </c>
      <c r="G90" s="115"/>
      <c r="O90" s="11"/>
    </row>
    <row r="91" spans="1:15">
      <c r="A91" s="15">
        <f t="shared" si="1"/>
        <v>80</v>
      </c>
      <c r="B91" s="323">
        <v>45195</v>
      </c>
      <c r="C91" s="11" t="s">
        <v>529</v>
      </c>
      <c r="D91" s="11" t="s">
        <v>530</v>
      </c>
      <c r="E91" s="10">
        <v>1872</v>
      </c>
      <c r="F91" s="24">
        <v>900</v>
      </c>
      <c r="G91" s="115"/>
      <c r="O91" s="11"/>
    </row>
    <row r="92" spans="1:15">
      <c r="A92" s="15">
        <f t="shared" si="1"/>
        <v>81</v>
      </c>
      <c r="B92" s="323">
        <v>45195</v>
      </c>
      <c r="C92" s="11" t="s">
        <v>531</v>
      </c>
      <c r="D92" s="11" t="s">
        <v>532</v>
      </c>
      <c r="E92" s="10">
        <v>1871</v>
      </c>
      <c r="F92" s="24">
        <v>900</v>
      </c>
      <c r="G92" s="115"/>
      <c r="O92" s="11"/>
    </row>
    <row r="93" spans="1:15">
      <c r="A93" s="15">
        <f t="shared" si="1"/>
        <v>82</v>
      </c>
      <c r="B93" s="323">
        <v>45195</v>
      </c>
      <c r="C93" s="11" t="s">
        <v>533</v>
      </c>
      <c r="D93" s="11" t="s">
        <v>534</v>
      </c>
      <c r="E93" s="10">
        <v>1870</v>
      </c>
      <c r="F93" s="24">
        <v>900</v>
      </c>
      <c r="G93" s="115"/>
      <c r="O93" s="11"/>
    </row>
    <row r="94" spans="1:15">
      <c r="A94" s="15">
        <f t="shared" si="1"/>
        <v>83</v>
      </c>
      <c r="B94" s="323">
        <v>45207</v>
      </c>
      <c r="C94" s="11" t="s">
        <v>521</v>
      </c>
      <c r="D94" s="11" t="s">
        <v>475</v>
      </c>
      <c r="E94" s="10">
        <v>1980</v>
      </c>
      <c r="F94" s="24">
        <v>1200</v>
      </c>
      <c r="G94" s="115">
        <f>-F94</f>
        <v>-1200</v>
      </c>
      <c r="O94" s="11"/>
    </row>
    <row r="95" spans="1:15">
      <c r="A95" s="15">
        <f t="shared" si="1"/>
        <v>84</v>
      </c>
      <c r="B95" s="323">
        <v>45209</v>
      </c>
      <c r="C95" s="11" t="s">
        <v>525</v>
      </c>
      <c r="D95" s="11" t="s">
        <v>476</v>
      </c>
      <c r="E95" s="10">
        <v>1981</v>
      </c>
      <c r="F95" s="24">
        <v>1200</v>
      </c>
      <c r="G95" s="115">
        <f>-F95</f>
        <v>-1200</v>
      </c>
      <c r="O95" s="11"/>
    </row>
    <row r="96" spans="1:15">
      <c r="A96" s="15">
        <f t="shared" si="1"/>
        <v>85</v>
      </c>
      <c r="B96" s="323">
        <v>45223</v>
      </c>
      <c r="C96" s="11" t="s">
        <v>523</v>
      </c>
      <c r="D96" s="11" t="s">
        <v>524</v>
      </c>
      <c r="E96" s="10">
        <v>1982</v>
      </c>
      <c r="F96" s="24">
        <v>900</v>
      </c>
      <c r="G96" s="115"/>
      <c r="O96" s="11"/>
    </row>
    <row r="97" spans="1:15">
      <c r="A97" s="15">
        <f t="shared" si="1"/>
        <v>86</v>
      </c>
      <c r="B97" s="323">
        <v>45223</v>
      </c>
      <c r="C97" s="11" t="s">
        <v>525</v>
      </c>
      <c r="D97" s="11" t="s">
        <v>526</v>
      </c>
      <c r="E97" s="10">
        <v>1988</v>
      </c>
      <c r="F97" s="24">
        <v>900</v>
      </c>
      <c r="G97" s="115"/>
      <c r="O97" s="11"/>
    </row>
    <row r="98" spans="1:15">
      <c r="A98" s="15">
        <f t="shared" si="1"/>
        <v>87</v>
      </c>
      <c r="B98" s="323">
        <v>45223</v>
      </c>
      <c r="C98" s="11" t="s">
        <v>527</v>
      </c>
      <c r="D98" s="11" t="s">
        <v>528</v>
      </c>
      <c r="E98" s="10">
        <v>1989</v>
      </c>
      <c r="F98" s="24">
        <v>900</v>
      </c>
      <c r="G98" s="115"/>
      <c r="O98" s="11"/>
    </row>
    <row r="99" spans="1:15">
      <c r="A99" s="15">
        <f t="shared" si="1"/>
        <v>88</v>
      </c>
      <c r="B99" s="323">
        <v>45223</v>
      </c>
      <c r="C99" s="11" t="s">
        <v>529</v>
      </c>
      <c r="D99" s="11" t="s">
        <v>530</v>
      </c>
      <c r="E99" s="10">
        <v>1987</v>
      </c>
      <c r="F99" s="24">
        <v>900</v>
      </c>
      <c r="G99" s="115"/>
      <c r="O99" s="11"/>
    </row>
    <row r="100" spans="1:15">
      <c r="A100" s="15">
        <f t="shared" si="1"/>
        <v>89</v>
      </c>
      <c r="B100" s="323">
        <v>45223</v>
      </c>
      <c r="C100" s="11" t="s">
        <v>531</v>
      </c>
      <c r="D100" s="11" t="s">
        <v>532</v>
      </c>
      <c r="E100" s="10">
        <v>1986</v>
      </c>
      <c r="F100" s="24">
        <v>900</v>
      </c>
      <c r="G100" s="115"/>
      <c r="O100" s="11"/>
    </row>
    <row r="101" spans="1:15">
      <c r="A101" s="15">
        <f t="shared" si="1"/>
        <v>90</v>
      </c>
      <c r="B101" s="323">
        <v>45223</v>
      </c>
      <c r="C101" s="11" t="s">
        <v>533</v>
      </c>
      <c r="D101" s="11" t="s">
        <v>534</v>
      </c>
      <c r="E101" s="10">
        <v>1985</v>
      </c>
      <c r="F101" s="24">
        <v>900</v>
      </c>
      <c r="G101" s="115"/>
      <c r="O101" s="11"/>
    </row>
    <row r="102" spans="1:15">
      <c r="A102" s="15">
        <f t="shared" si="1"/>
        <v>91</v>
      </c>
      <c r="B102" s="323">
        <v>45223</v>
      </c>
      <c r="C102" s="11" t="s">
        <v>521</v>
      </c>
      <c r="D102" s="11" t="s">
        <v>549</v>
      </c>
      <c r="E102" s="10">
        <v>1984</v>
      </c>
      <c r="F102" s="24">
        <v>500</v>
      </c>
      <c r="G102" s="115"/>
      <c r="O102" s="11"/>
    </row>
    <row r="103" spans="1:15">
      <c r="A103" s="15">
        <f t="shared" si="1"/>
        <v>92</v>
      </c>
      <c r="B103" s="323">
        <v>45223</v>
      </c>
      <c r="C103" s="11" t="s">
        <v>550</v>
      </c>
      <c r="D103" s="11" t="s">
        <v>549</v>
      </c>
      <c r="E103" s="10">
        <v>1983</v>
      </c>
      <c r="F103" s="24">
        <v>400</v>
      </c>
      <c r="G103" s="115"/>
      <c r="O103" s="11"/>
    </row>
    <row r="104" spans="1:15">
      <c r="A104" s="15">
        <f t="shared" si="1"/>
        <v>93</v>
      </c>
      <c r="B104" s="323">
        <v>45245</v>
      </c>
      <c r="C104" s="11" t="s">
        <v>521</v>
      </c>
      <c r="D104" s="11" t="s">
        <v>551</v>
      </c>
      <c r="E104" s="10">
        <v>2096</v>
      </c>
      <c r="F104" s="24">
        <v>900</v>
      </c>
      <c r="G104" s="115"/>
      <c r="O104" s="11"/>
    </row>
    <row r="105" spans="1:15">
      <c r="A105" s="15">
        <f t="shared" si="1"/>
        <v>94</v>
      </c>
      <c r="B105" s="323">
        <v>45245</v>
      </c>
      <c r="C105" s="11" t="s">
        <v>523</v>
      </c>
      <c r="D105" s="11" t="s">
        <v>524</v>
      </c>
      <c r="E105" s="10">
        <v>2095</v>
      </c>
      <c r="F105" s="24">
        <v>900</v>
      </c>
      <c r="G105" s="115"/>
      <c r="O105" s="11"/>
    </row>
    <row r="106" spans="1:15">
      <c r="A106" s="15">
        <f t="shared" si="1"/>
        <v>95</v>
      </c>
      <c r="B106" s="323">
        <v>45245</v>
      </c>
      <c r="C106" s="11" t="s">
        <v>525</v>
      </c>
      <c r="D106" s="11" t="s">
        <v>526</v>
      </c>
      <c r="E106" s="10">
        <v>2100</v>
      </c>
      <c r="F106" s="24">
        <v>900</v>
      </c>
      <c r="G106" s="115"/>
      <c r="O106" s="11"/>
    </row>
    <row r="107" spans="1:15">
      <c r="A107" s="15">
        <f t="shared" si="1"/>
        <v>96</v>
      </c>
      <c r="B107" s="323">
        <v>45245</v>
      </c>
      <c r="C107" s="11" t="s">
        <v>527</v>
      </c>
      <c r="D107" s="11" t="s">
        <v>528</v>
      </c>
      <c r="E107" s="10">
        <v>2101</v>
      </c>
      <c r="F107" s="24">
        <v>900</v>
      </c>
      <c r="G107" s="115"/>
      <c r="O107" s="11"/>
    </row>
    <row r="108" spans="1:15">
      <c r="A108" s="15">
        <f t="shared" si="1"/>
        <v>97</v>
      </c>
      <c r="B108" s="323">
        <v>45245</v>
      </c>
      <c r="C108" s="11" t="s">
        <v>529</v>
      </c>
      <c r="D108" s="11" t="s">
        <v>530</v>
      </c>
      <c r="E108" s="10">
        <v>2099</v>
      </c>
      <c r="F108" s="24">
        <v>900</v>
      </c>
      <c r="G108" s="115"/>
      <c r="O108" s="11"/>
    </row>
    <row r="109" spans="1:15">
      <c r="A109" s="15">
        <f t="shared" si="1"/>
        <v>98</v>
      </c>
      <c r="B109" s="323">
        <v>45245</v>
      </c>
      <c r="C109" s="11" t="s">
        <v>531</v>
      </c>
      <c r="D109" s="11" t="s">
        <v>532</v>
      </c>
      <c r="E109" s="10">
        <v>2098</v>
      </c>
      <c r="F109" s="24">
        <v>900</v>
      </c>
      <c r="G109" s="115"/>
      <c r="O109" s="11"/>
    </row>
    <row r="110" spans="1:15">
      <c r="A110" s="15">
        <f t="shared" si="1"/>
        <v>99</v>
      </c>
      <c r="B110" s="323">
        <v>45245</v>
      </c>
      <c r="C110" s="11" t="s">
        <v>533</v>
      </c>
      <c r="D110" s="11" t="s">
        <v>534</v>
      </c>
      <c r="E110" s="10">
        <v>2097</v>
      </c>
      <c r="F110" s="24">
        <v>900</v>
      </c>
      <c r="G110" s="115"/>
      <c r="O110" s="11"/>
    </row>
    <row r="111" spans="1:15">
      <c r="A111" s="15">
        <f t="shared" si="1"/>
        <v>100</v>
      </c>
      <c r="B111" s="323">
        <v>45258</v>
      </c>
      <c r="C111" s="11" t="s">
        <v>521</v>
      </c>
      <c r="D111" s="11" t="s">
        <v>552</v>
      </c>
      <c r="E111" s="10">
        <v>2146</v>
      </c>
      <c r="F111" s="24">
        <v>900</v>
      </c>
      <c r="G111" s="115"/>
      <c r="O111" s="11"/>
    </row>
    <row r="112" spans="1:15">
      <c r="A112" s="15">
        <f t="shared" si="1"/>
        <v>101</v>
      </c>
      <c r="B112" s="323">
        <v>45258</v>
      </c>
      <c r="C112" s="11" t="s">
        <v>523</v>
      </c>
      <c r="D112" s="11" t="s">
        <v>553</v>
      </c>
      <c r="E112" s="10">
        <v>2145</v>
      </c>
      <c r="F112" s="24">
        <v>900</v>
      </c>
      <c r="G112" s="115"/>
      <c r="O112" s="11"/>
    </row>
    <row r="113" spans="1:15">
      <c r="A113" s="15">
        <f t="shared" si="1"/>
        <v>102</v>
      </c>
      <c r="B113" s="323">
        <v>45258</v>
      </c>
      <c r="C113" s="11" t="s">
        <v>525</v>
      </c>
      <c r="D113" s="11" t="s">
        <v>554</v>
      </c>
      <c r="E113" s="10">
        <v>2150</v>
      </c>
      <c r="F113" s="24">
        <v>900</v>
      </c>
      <c r="G113" s="115"/>
      <c r="O113" s="11"/>
    </row>
    <row r="114" spans="1:15">
      <c r="A114" s="15">
        <f t="shared" si="1"/>
        <v>103</v>
      </c>
      <c r="B114" s="323">
        <v>45258</v>
      </c>
      <c r="C114" s="11" t="s">
        <v>527</v>
      </c>
      <c r="D114" s="11" t="s">
        <v>555</v>
      </c>
      <c r="E114" s="10">
        <v>2151</v>
      </c>
      <c r="F114" s="24">
        <v>900</v>
      </c>
      <c r="G114" s="115"/>
      <c r="O114" s="11"/>
    </row>
    <row r="115" spans="1:15">
      <c r="A115" s="15">
        <f t="shared" si="1"/>
        <v>104</v>
      </c>
      <c r="B115" s="323">
        <v>45258</v>
      </c>
      <c r="C115" s="11" t="s">
        <v>529</v>
      </c>
      <c r="D115" s="11" t="s">
        <v>556</v>
      </c>
      <c r="E115" s="10">
        <v>2149</v>
      </c>
      <c r="F115" s="24">
        <v>900</v>
      </c>
      <c r="G115" s="115"/>
      <c r="O115" s="11"/>
    </row>
    <row r="116" spans="1:15">
      <c r="A116" s="15">
        <f t="shared" si="1"/>
        <v>105</v>
      </c>
      <c r="B116" s="323">
        <v>45258</v>
      </c>
      <c r="C116" s="11" t="s">
        <v>531</v>
      </c>
      <c r="D116" s="11" t="s">
        <v>557</v>
      </c>
      <c r="E116" s="10">
        <v>2148</v>
      </c>
      <c r="F116" s="24">
        <v>900</v>
      </c>
      <c r="G116" s="115"/>
      <c r="O116" s="11"/>
    </row>
    <row r="117" spans="1:15">
      <c r="A117" s="15">
        <f t="shared" si="1"/>
        <v>106</v>
      </c>
      <c r="B117" s="323">
        <v>45258</v>
      </c>
      <c r="C117" s="11" t="s">
        <v>533</v>
      </c>
      <c r="D117" s="11" t="s">
        <v>558</v>
      </c>
      <c r="E117" s="10">
        <v>2147</v>
      </c>
      <c r="F117" s="24">
        <v>900</v>
      </c>
      <c r="G117" s="115"/>
      <c r="O117" s="11"/>
    </row>
    <row r="118" spans="1:15">
      <c r="A118" s="15">
        <f t="shared" si="1"/>
        <v>107</v>
      </c>
      <c r="B118" s="323">
        <v>45281</v>
      </c>
      <c r="C118" s="11" t="s">
        <v>521</v>
      </c>
      <c r="D118" s="11" t="s">
        <v>522</v>
      </c>
      <c r="E118" s="10">
        <v>2259</v>
      </c>
      <c r="F118" s="24">
        <v>900</v>
      </c>
      <c r="G118" s="115"/>
      <c r="O118" s="11"/>
    </row>
    <row r="119" spans="1:15">
      <c r="A119" s="15">
        <f t="shared" si="1"/>
        <v>108</v>
      </c>
      <c r="B119" s="323">
        <v>45281</v>
      </c>
      <c r="C119" s="11" t="s">
        <v>523</v>
      </c>
      <c r="D119" s="11" t="s">
        <v>524</v>
      </c>
      <c r="E119" s="10">
        <v>2258</v>
      </c>
      <c r="F119" s="24">
        <v>900</v>
      </c>
      <c r="G119" s="115"/>
      <c r="O119" s="11"/>
    </row>
    <row r="120" spans="1:15">
      <c r="A120" s="15">
        <f t="shared" si="1"/>
        <v>109</v>
      </c>
      <c r="B120" s="323">
        <v>45281</v>
      </c>
      <c r="C120" s="11" t="s">
        <v>525</v>
      </c>
      <c r="D120" s="11" t="s">
        <v>526</v>
      </c>
      <c r="E120" s="10">
        <v>2263</v>
      </c>
      <c r="F120" s="24">
        <v>900</v>
      </c>
      <c r="G120" s="115"/>
      <c r="O120" s="11"/>
    </row>
    <row r="121" spans="1:15">
      <c r="A121" s="15">
        <f t="shared" si="1"/>
        <v>110</v>
      </c>
      <c r="B121" s="323">
        <v>45281</v>
      </c>
      <c r="C121" s="11" t="s">
        <v>527</v>
      </c>
      <c r="D121" s="11" t="s">
        <v>528</v>
      </c>
      <c r="E121" s="10">
        <v>2264</v>
      </c>
      <c r="F121" s="24">
        <v>900</v>
      </c>
      <c r="G121" s="115"/>
      <c r="O121" s="11"/>
    </row>
    <row r="122" spans="1:15">
      <c r="A122" s="15">
        <f t="shared" si="1"/>
        <v>111</v>
      </c>
      <c r="B122" s="323">
        <v>45281</v>
      </c>
      <c r="C122" s="11" t="s">
        <v>529</v>
      </c>
      <c r="D122" s="11" t="s">
        <v>530</v>
      </c>
      <c r="E122" s="10">
        <v>2262</v>
      </c>
      <c r="F122" s="24">
        <v>900</v>
      </c>
      <c r="G122" s="115"/>
      <c r="O122" s="11"/>
    </row>
    <row r="123" spans="1:15">
      <c r="A123" s="15">
        <f t="shared" si="1"/>
        <v>112</v>
      </c>
      <c r="B123" s="323">
        <v>45281</v>
      </c>
      <c r="C123" s="11" t="s">
        <v>531</v>
      </c>
      <c r="D123" s="11" t="s">
        <v>559</v>
      </c>
      <c r="E123" s="10">
        <v>2261</v>
      </c>
      <c r="F123" s="24">
        <v>900</v>
      </c>
      <c r="G123" s="115"/>
      <c r="O123" s="11"/>
    </row>
    <row r="124" spans="1:15">
      <c r="A124" s="15">
        <f t="shared" si="1"/>
        <v>113</v>
      </c>
      <c r="B124" s="323">
        <v>45281</v>
      </c>
      <c r="C124" s="11" t="s">
        <v>533</v>
      </c>
      <c r="D124" s="11" t="s">
        <v>558</v>
      </c>
      <c r="E124" s="10">
        <v>2260</v>
      </c>
      <c r="F124" s="24">
        <v>900</v>
      </c>
      <c r="G124" s="115"/>
      <c r="O124" s="11"/>
    </row>
    <row r="125" spans="1:15">
      <c r="A125" s="15">
        <f t="shared" si="1"/>
        <v>114</v>
      </c>
      <c r="E125" s="10"/>
      <c r="F125" s="24"/>
      <c r="G125" s="115"/>
      <c r="O125" s="11"/>
    </row>
    <row r="126" spans="1:15">
      <c r="A126" s="15">
        <f t="shared" si="1"/>
        <v>115</v>
      </c>
      <c r="B126" s="15" t="s">
        <v>560</v>
      </c>
      <c r="E126" s="10"/>
      <c r="F126" s="24"/>
      <c r="G126" s="115"/>
      <c r="O126" s="11"/>
    </row>
    <row r="127" spans="1:15">
      <c r="A127" s="15">
        <f t="shared" si="1"/>
        <v>116</v>
      </c>
      <c r="E127" s="10"/>
      <c r="F127" s="24"/>
      <c r="G127" s="115"/>
      <c r="O127" s="11"/>
    </row>
    <row r="128" spans="1:15">
      <c r="A128" s="15">
        <f t="shared" si="1"/>
        <v>117</v>
      </c>
      <c r="B128" s="314" t="s">
        <v>516</v>
      </c>
      <c r="C128" s="315" t="s">
        <v>517</v>
      </c>
      <c r="D128" s="315" t="s">
        <v>518</v>
      </c>
      <c r="E128" s="315" t="s">
        <v>519</v>
      </c>
      <c r="F128" s="316" t="s">
        <v>473</v>
      </c>
      <c r="G128" s="115"/>
      <c r="O128" s="11"/>
    </row>
    <row r="129" spans="1:15">
      <c r="A129" s="15">
        <f t="shared" si="1"/>
        <v>118</v>
      </c>
      <c r="B129" s="323">
        <v>44950</v>
      </c>
      <c r="C129" s="11" t="s">
        <v>521</v>
      </c>
      <c r="D129" s="11" t="s">
        <v>561</v>
      </c>
      <c r="E129" s="10">
        <v>850</v>
      </c>
      <c r="F129" s="24">
        <v>10.74</v>
      </c>
      <c r="G129" s="115"/>
      <c r="O129" s="11"/>
    </row>
    <row r="130" spans="1:15">
      <c r="A130" s="15">
        <f t="shared" si="1"/>
        <v>119</v>
      </c>
      <c r="B130" s="323">
        <v>44950</v>
      </c>
      <c r="C130" s="11" t="s">
        <v>523</v>
      </c>
      <c r="D130" s="11" t="s">
        <v>562</v>
      </c>
      <c r="E130" s="10">
        <v>849</v>
      </c>
      <c r="F130" s="24">
        <v>26.2</v>
      </c>
      <c r="G130" s="115"/>
      <c r="O130" s="11"/>
    </row>
    <row r="131" spans="1:15">
      <c r="A131" s="15">
        <f t="shared" si="1"/>
        <v>120</v>
      </c>
      <c r="B131" s="323">
        <v>44950</v>
      </c>
      <c r="C131" s="11" t="s">
        <v>525</v>
      </c>
      <c r="D131" s="11" t="s">
        <v>563</v>
      </c>
      <c r="E131" s="10">
        <v>854</v>
      </c>
      <c r="F131" s="24">
        <v>15.72</v>
      </c>
      <c r="G131" s="115"/>
      <c r="O131" s="11"/>
    </row>
    <row r="132" spans="1:15">
      <c r="A132" s="15">
        <f t="shared" si="1"/>
        <v>121</v>
      </c>
      <c r="B132" s="323">
        <v>44950</v>
      </c>
      <c r="C132" s="11" t="s">
        <v>527</v>
      </c>
      <c r="D132" s="11" t="s">
        <v>564</v>
      </c>
      <c r="E132" s="10">
        <v>855</v>
      </c>
      <c r="F132" s="24">
        <v>28.82</v>
      </c>
      <c r="G132" s="115"/>
      <c r="O132" s="11"/>
    </row>
    <row r="133" spans="1:15">
      <c r="A133" s="15">
        <f t="shared" si="1"/>
        <v>122</v>
      </c>
      <c r="B133" s="323">
        <v>44950</v>
      </c>
      <c r="C133" s="11" t="s">
        <v>529</v>
      </c>
      <c r="D133" s="11" t="s">
        <v>565</v>
      </c>
      <c r="E133" s="10">
        <v>853</v>
      </c>
      <c r="F133" s="24">
        <v>18.34</v>
      </c>
      <c r="G133" s="115"/>
      <c r="O133" s="11"/>
    </row>
    <row r="134" spans="1:15">
      <c r="A134" s="15">
        <f t="shared" si="1"/>
        <v>123</v>
      </c>
      <c r="B134" s="323">
        <v>44950</v>
      </c>
      <c r="C134" s="11" t="s">
        <v>531</v>
      </c>
      <c r="D134" s="11" t="s">
        <v>566</v>
      </c>
      <c r="E134" s="10">
        <v>852</v>
      </c>
      <c r="F134" s="24">
        <v>18.34</v>
      </c>
      <c r="G134" s="115"/>
      <c r="O134" s="11"/>
    </row>
    <row r="135" spans="1:15">
      <c r="A135" s="15">
        <f t="shared" si="1"/>
        <v>124</v>
      </c>
      <c r="B135" s="323">
        <v>44950</v>
      </c>
      <c r="C135" s="11" t="s">
        <v>533</v>
      </c>
      <c r="D135" s="11" t="s">
        <v>567</v>
      </c>
      <c r="E135" s="10">
        <v>851</v>
      </c>
      <c r="F135" s="24">
        <v>11.66</v>
      </c>
      <c r="G135" s="115"/>
      <c r="O135" s="11"/>
    </row>
    <row r="136" spans="1:15">
      <c r="A136" s="15">
        <f t="shared" si="1"/>
        <v>125</v>
      </c>
      <c r="B136" s="323">
        <v>44978</v>
      </c>
      <c r="C136" s="11" t="s">
        <v>521</v>
      </c>
      <c r="D136" s="11" t="s">
        <v>561</v>
      </c>
      <c r="E136" s="10">
        <v>963</v>
      </c>
      <c r="F136" s="24">
        <v>10.74</v>
      </c>
      <c r="G136" s="115"/>
      <c r="O136" s="11"/>
    </row>
    <row r="137" spans="1:15">
      <c r="A137" s="15">
        <f t="shared" si="1"/>
        <v>126</v>
      </c>
      <c r="B137" s="323">
        <v>44978</v>
      </c>
      <c r="C137" s="11" t="s">
        <v>523</v>
      </c>
      <c r="D137" s="11" t="s">
        <v>562</v>
      </c>
      <c r="E137" s="10">
        <v>962</v>
      </c>
      <c r="F137" s="24">
        <v>26.2</v>
      </c>
      <c r="G137" s="115"/>
      <c r="O137" s="11"/>
    </row>
    <row r="138" spans="1:15">
      <c r="A138" s="15">
        <f t="shared" si="1"/>
        <v>127</v>
      </c>
      <c r="B138" s="323">
        <v>44978</v>
      </c>
      <c r="C138" s="11" t="s">
        <v>525</v>
      </c>
      <c r="D138" s="11" t="s">
        <v>563</v>
      </c>
      <c r="E138" s="10">
        <v>967</v>
      </c>
      <c r="F138" s="24">
        <v>15.72</v>
      </c>
      <c r="G138" s="115"/>
      <c r="O138" s="11"/>
    </row>
    <row r="139" spans="1:15">
      <c r="A139" s="15">
        <f t="shared" si="1"/>
        <v>128</v>
      </c>
      <c r="B139" s="323">
        <v>44978</v>
      </c>
      <c r="C139" s="11" t="s">
        <v>527</v>
      </c>
      <c r="D139" s="11" t="s">
        <v>564</v>
      </c>
      <c r="E139" s="10">
        <v>968</v>
      </c>
      <c r="F139" s="24">
        <v>28.82</v>
      </c>
      <c r="G139" s="115"/>
      <c r="O139" s="11"/>
    </row>
    <row r="140" spans="1:15">
      <c r="A140" s="15">
        <f t="shared" si="1"/>
        <v>129</v>
      </c>
      <c r="B140" s="323">
        <v>44978</v>
      </c>
      <c r="C140" s="11" t="s">
        <v>529</v>
      </c>
      <c r="D140" s="11" t="s">
        <v>565</v>
      </c>
      <c r="E140" s="10">
        <v>966</v>
      </c>
      <c r="F140" s="24">
        <v>18.34</v>
      </c>
      <c r="G140" s="115"/>
      <c r="O140" s="11"/>
    </row>
    <row r="141" spans="1:15">
      <c r="A141" s="15">
        <f t="shared" si="1"/>
        <v>130</v>
      </c>
      <c r="B141" s="323">
        <v>44978</v>
      </c>
      <c r="C141" s="11" t="s">
        <v>531</v>
      </c>
      <c r="D141" s="11" t="s">
        <v>566</v>
      </c>
      <c r="E141" s="10">
        <v>965</v>
      </c>
      <c r="F141" s="24">
        <v>18.34</v>
      </c>
      <c r="G141" s="115"/>
      <c r="O141" s="11"/>
    </row>
    <row r="142" spans="1:15">
      <c r="A142" s="15">
        <f t="shared" ref="A142:A205" si="2">A141+1</f>
        <v>131</v>
      </c>
      <c r="B142" s="323">
        <v>44978</v>
      </c>
      <c r="C142" s="11" t="s">
        <v>533</v>
      </c>
      <c r="D142" s="11" t="s">
        <v>567</v>
      </c>
      <c r="E142" s="10">
        <v>964</v>
      </c>
      <c r="F142" s="24">
        <v>11.66</v>
      </c>
      <c r="G142" s="115"/>
      <c r="O142" s="11"/>
    </row>
    <row r="143" spans="1:15">
      <c r="A143" s="15">
        <f t="shared" si="2"/>
        <v>132</v>
      </c>
      <c r="B143" s="323">
        <v>45006</v>
      </c>
      <c r="C143" s="11" t="s">
        <v>521</v>
      </c>
      <c r="D143" s="11" t="s">
        <v>561</v>
      </c>
      <c r="E143" s="10">
        <v>1076</v>
      </c>
      <c r="F143" s="24">
        <v>10.74</v>
      </c>
      <c r="G143" s="115"/>
      <c r="O143" s="11"/>
    </row>
    <row r="144" spans="1:15">
      <c r="A144" s="15">
        <f t="shared" si="2"/>
        <v>133</v>
      </c>
      <c r="B144" s="323">
        <v>45006</v>
      </c>
      <c r="C144" s="11" t="s">
        <v>523</v>
      </c>
      <c r="D144" s="11" t="s">
        <v>562</v>
      </c>
      <c r="E144" s="10">
        <v>1075</v>
      </c>
      <c r="F144" s="24">
        <v>26.2</v>
      </c>
      <c r="G144" s="115"/>
      <c r="O144" s="11"/>
    </row>
    <row r="145" spans="1:15">
      <c r="A145" s="15">
        <f t="shared" si="2"/>
        <v>134</v>
      </c>
      <c r="B145" s="323">
        <v>45006</v>
      </c>
      <c r="C145" s="11" t="s">
        <v>525</v>
      </c>
      <c r="D145" s="11" t="s">
        <v>563</v>
      </c>
      <c r="E145" s="10">
        <v>1080</v>
      </c>
      <c r="F145" s="24">
        <v>15.72</v>
      </c>
      <c r="G145" s="115"/>
      <c r="O145" s="11"/>
    </row>
    <row r="146" spans="1:15">
      <c r="A146" s="15">
        <f t="shared" si="2"/>
        <v>135</v>
      </c>
      <c r="B146" s="323">
        <v>45006</v>
      </c>
      <c r="C146" s="11" t="s">
        <v>527</v>
      </c>
      <c r="D146" s="11" t="s">
        <v>564</v>
      </c>
      <c r="E146" s="10">
        <v>1081</v>
      </c>
      <c r="F146" s="24">
        <v>28.82</v>
      </c>
      <c r="G146" s="115"/>
      <c r="O146" s="11"/>
    </row>
    <row r="147" spans="1:15">
      <c r="A147" s="15">
        <f t="shared" si="2"/>
        <v>136</v>
      </c>
      <c r="B147" s="323">
        <v>45006</v>
      </c>
      <c r="C147" s="11" t="s">
        <v>529</v>
      </c>
      <c r="D147" s="11" t="s">
        <v>565</v>
      </c>
      <c r="E147" s="10">
        <v>1079</v>
      </c>
      <c r="F147" s="24">
        <v>18.34</v>
      </c>
      <c r="G147" s="115"/>
      <c r="O147" s="11"/>
    </row>
    <row r="148" spans="1:15">
      <c r="A148" s="15">
        <f t="shared" si="2"/>
        <v>137</v>
      </c>
      <c r="B148" s="323">
        <v>45006</v>
      </c>
      <c r="C148" s="11" t="s">
        <v>531</v>
      </c>
      <c r="D148" s="11" t="s">
        <v>566</v>
      </c>
      <c r="E148" s="10">
        <v>1078</v>
      </c>
      <c r="F148" s="24">
        <v>18.34</v>
      </c>
      <c r="G148" s="115"/>
      <c r="O148" s="11"/>
    </row>
    <row r="149" spans="1:15">
      <c r="A149" s="15">
        <f t="shared" si="2"/>
        <v>138</v>
      </c>
      <c r="B149" s="323">
        <v>45006</v>
      </c>
      <c r="C149" s="11" t="s">
        <v>533</v>
      </c>
      <c r="D149" s="11" t="s">
        <v>567</v>
      </c>
      <c r="E149" s="10">
        <v>1077</v>
      </c>
      <c r="F149" s="24">
        <v>11.66</v>
      </c>
      <c r="G149" s="115"/>
      <c r="O149" s="11"/>
    </row>
    <row r="150" spans="1:15">
      <c r="A150" s="15">
        <f t="shared" si="2"/>
        <v>139</v>
      </c>
      <c r="B150" s="323">
        <v>45041</v>
      </c>
      <c r="C150" s="11" t="s">
        <v>521</v>
      </c>
      <c r="D150" s="11" t="s">
        <v>561</v>
      </c>
      <c r="E150" s="10">
        <v>1188</v>
      </c>
      <c r="F150" s="24">
        <v>10.74</v>
      </c>
      <c r="G150" s="115"/>
      <c r="O150" s="11"/>
    </row>
    <row r="151" spans="1:15">
      <c r="A151" s="15">
        <f t="shared" si="2"/>
        <v>140</v>
      </c>
      <c r="B151" s="323">
        <v>45041</v>
      </c>
      <c r="C151" s="11" t="s">
        <v>523</v>
      </c>
      <c r="D151" s="11" t="s">
        <v>562</v>
      </c>
      <c r="E151" s="10">
        <v>1187</v>
      </c>
      <c r="F151" s="24">
        <v>26.2</v>
      </c>
      <c r="G151" s="115"/>
      <c r="O151" s="11"/>
    </row>
    <row r="152" spans="1:15">
      <c r="A152" s="15">
        <f t="shared" si="2"/>
        <v>141</v>
      </c>
      <c r="B152" s="323">
        <v>45041</v>
      </c>
      <c r="C152" s="11" t="s">
        <v>525</v>
      </c>
      <c r="D152" s="11" t="s">
        <v>563</v>
      </c>
      <c r="E152" s="10">
        <v>1192</v>
      </c>
      <c r="F152" s="24">
        <v>15.72</v>
      </c>
      <c r="G152" s="115"/>
      <c r="O152" s="11"/>
    </row>
    <row r="153" spans="1:15">
      <c r="A153" s="15">
        <f t="shared" si="2"/>
        <v>142</v>
      </c>
      <c r="B153" s="323">
        <v>45041</v>
      </c>
      <c r="C153" s="11" t="s">
        <v>527</v>
      </c>
      <c r="D153" s="11" t="s">
        <v>564</v>
      </c>
      <c r="E153" s="10">
        <v>1193</v>
      </c>
      <c r="F153" s="24">
        <v>28.82</v>
      </c>
      <c r="G153" s="115"/>
      <c r="O153" s="11"/>
    </row>
    <row r="154" spans="1:15">
      <c r="A154" s="15">
        <f t="shared" si="2"/>
        <v>143</v>
      </c>
      <c r="B154" s="323">
        <v>45041</v>
      </c>
      <c r="C154" s="11" t="s">
        <v>529</v>
      </c>
      <c r="D154" s="11" t="s">
        <v>565</v>
      </c>
      <c r="E154" s="10">
        <v>1191</v>
      </c>
      <c r="F154" s="24">
        <v>18.34</v>
      </c>
      <c r="G154" s="115"/>
      <c r="O154" s="11"/>
    </row>
    <row r="155" spans="1:15">
      <c r="A155" s="15">
        <f t="shared" si="2"/>
        <v>144</v>
      </c>
      <c r="B155" s="323">
        <v>45041</v>
      </c>
      <c r="C155" s="11" t="s">
        <v>531</v>
      </c>
      <c r="D155" s="11" t="s">
        <v>566</v>
      </c>
      <c r="E155" s="10">
        <v>1190</v>
      </c>
      <c r="F155" s="24">
        <v>18.34</v>
      </c>
      <c r="G155" s="115"/>
      <c r="O155" s="11"/>
    </row>
    <row r="156" spans="1:15">
      <c r="A156" s="15">
        <f t="shared" si="2"/>
        <v>145</v>
      </c>
      <c r="B156" s="323">
        <v>45041</v>
      </c>
      <c r="C156" s="11" t="s">
        <v>533</v>
      </c>
      <c r="D156" s="11" t="s">
        <v>567</v>
      </c>
      <c r="E156" s="10">
        <v>1189</v>
      </c>
      <c r="F156" s="24">
        <v>11.66</v>
      </c>
      <c r="G156" s="115"/>
      <c r="O156" s="11"/>
    </row>
    <row r="157" spans="1:15">
      <c r="A157" s="15">
        <f t="shared" si="2"/>
        <v>146</v>
      </c>
      <c r="B157" s="323">
        <v>45062</v>
      </c>
      <c r="C157" s="11" t="s">
        <v>521</v>
      </c>
      <c r="D157" s="11" t="s">
        <v>568</v>
      </c>
      <c r="E157" s="10">
        <v>1301</v>
      </c>
      <c r="F157" s="24">
        <v>10.74</v>
      </c>
      <c r="G157" s="115"/>
      <c r="O157" s="11"/>
    </row>
    <row r="158" spans="1:15">
      <c r="A158" s="15">
        <f t="shared" si="2"/>
        <v>147</v>
      </c>
      <c r="B158" s="323">
        <v>45062</v>
      </c>
      <c r="C158" s="11" t="s">
        <v>523</v>
      </c>
      <c r="D158" s="11" t="s">
        <v>569</v>
      </c>
      <c r="E158" s="10"/>
      <c r="F158" s="24">
        <v>28.2</v>
      </c>
      <c r="G158" s="115"/>
      <c r="O158" s="11"/>
    </row>
    <row r="159" spans="1:15">
      <c r="A159" s="15">
        <f t="shared" si="2"/>
        <v>148</v>
      </c>
      <c r="B159" s="323">
        <v>45062</v>
      </c>
      <c r="C159" s="11" t="s">
        <v>525</v>
      </c>
      <c r="D159" s="11" t="s">
        <v>570</v>
      </c>
      <c r="E159" s="10">
        <v>1305</v>
      </c>
      <c r="F159" s="24">
        <v>15.72</v>
      </c>
      <c r="G159" s="115"/>
      <c r="O159" s="11"/>
    </row>
    <row r="160" spans="1:15">
      <c r="A160" s="15">
        <f t="shared" si="2"/>
        <v>149</v>
      </c>
      <c r="B160" s="323">
        <v>45062</v>
      </c>
      <c r="C160" s="11" t="s">
        <v>527</v>
      </c>
      <c r="D160" s="11" t="s">
        <v>571</v>
      </c>
      <c r="E160" s="10">
        <v>1306</v>
      </c>
      <c r="F160" s="24">
        <v>28.82</v>
      </c>
      <c r="G160" s="115"/>
      <c r="O160" s="11"/>
    </row>
    <row r="161" spans="1:15">
      <c r="A161" s="15">
        <f t="shared" si="2"/>
        <v>150</v>
      </c>
      <c r="B161" s="323">
        <v>45062</v>
      </c>
      <c r="C161" s="11" t="s">
        <v>529</v>
      </c>
      <c r="D161" s="11" t="s">
        <v>572</v>
      </c>
      <c r="E161" s="10">
        <v>1304</v>
      </c>
      <c r="F161" s="24">
        <v>18.34</v>
      </c>
      <c r="G161" s="115"/>
      <c r="O161" s="11"/>
    </row>
    <row r="162" spans="1:15">
      <c r="A162" s="15">
        <f t="shared" si="2"/>
        <v>151</v>
      </c>
      <c r="B162" s="323">
        <v>45062</v>
      </c>
      <c r="C162" s="11" t="s">
        <v>531</v>
      </c>
      <c r="D162" s="11" t="s">
        <v>573</v>
      </c>
      <c r="E162" s="10">
        <v>1303</v>
      </c>
      <c r="F162" s="24">
        <v>18.34</v>
      </c>
      <c r="G162" s="115"/>
      <c r="O162" s="11"/>
    </row>
    <row r="163" spans="1:15">
      <c r="A163" s="15">
        <f t="shared" si="2"/>
        <v>152</v>
      </c>
      <c r="B163" s="323">
        <v>45062</v>
      </c>
      <c r="C163" s="11" t="s">
        <v>533</v>
      </c>
      <c r="D163" s="11" t="s">
        <v>574</v>
      </c>
      <c r="E163" s="10">
        <v>1302</v>
      </c>
      <c r="F163" s="24">
        <v>11.66</v>
      </c>
      <c r="G163" s="115"/>
      <c r="O163" s="11"/>
    </row>
    <row r="164" spans="1:15">
      <c r="A164" s="15">
        <f t="shared" si="2"/>
        <v>153</v>
      </c>
      <c r="B164" s="323">
        <v>45062</v>
      </c>
      <c r="C164" s="11" t="s">
        <v>523</v>
      </c>
      <c r="D164" s="11" t="s">
        <v>569</v>
      </c>
      <c r="E164" s="10"/>
      <c r="F164" s="24">
        <v>-28.2</v>
      </c>
      <c r="G164" s="115"/>
      <c r="O164" s="11"/>
    </row>
    <row r="165" spans="1:15">
      <c r="A165" s="15">
        <f t="shared" si="2"/>
        <v>154</v>
      </c>
      <c r="B165" s="323">
        <v>45062</v>
      </c>
      <c r="C165" s="11" t="s">
        <v>523</v>
      </c>
      <c r="D165" s="11" t="s">
        <v>575</v>
      </c>
      <c r="E165" s="10">
        <v>1300</v>
      </c>
      <c r="F165" s="24">
        <v>26.2</v>
      </c>
      <c r="G165" s="115"/>
      <c r="O165" s="11"/>
    </row>
    <row r="166" spans="1:15">
      <c r="A166" s="15">
        <f t="shared" si="2"/>
        <v>155</v>
      </c>
      <c r="B166" s="323">
        <v>45069</v>
      </c>
      <c r="C166" s="11" t="s">
        <v>521</v>
      </c>
      <c r="D166" s="11" t="s">
        <v>561</v>
      </c>
      <c r="E166" s="10">
        <v>1308</v>
      </c>
      <c r="F166" s="24">
        <v>10.74</v>
      </c>
      <c r="G166" s="115"/>
      <c r="O166" s="11"/>
    </row>
    <row r="167" spans="1:15">
      <c r="A167" s="15">
        <f t="shared" si="2"/>
        <v>156</v>
      </c>
      <c r="B167" s="323">
        <v>45069</v>
      </c>
      <c r="C167" s="11" t="s">
        <v>523</v>
      </c>
      <c r="D167" s="11" t="s">
        <v>562</v>
      </c>
      <c r="E167" s="10">
        <v>1307</v>
      </c>
      <c r="F167" s="24">
        <v>26.2</v>
      </c>
      <c r="G167" s="115"/>
      <c r="O167" s="11"/>
    </row>
    <row r="168" spans="1:15">
      <c r="A168" s="15">
        <f t="shared" si="2"/>
        <v>157</v>
      </c>
      <c r="B168" s="323">
        <v>45069</v>
      </c>
      <c r="C168" s="11" t="s">
        <v>525</v>
      </c>
      <c r="D168" s="11" t="s">
        <v>563</v>
      </c>
      <c r="E168" s="10">
        <v>1312</v>
      </c>
      <c r="F168" s="24">
        <v>15.72</v>
      </c>
      <c r="G168" s="115"/>
      <c r="O168" s="11"/>
    </row>
    <row r="169" spans="1:15">
      <c r="A169" s="15">
        <f t="shared" si="2"/>
        <v>158</v>
      </c>
      <c r="B169" s="323">
        <v>45069</v>
      </c>
      <c r="C169" s="11" t="s">
        <v>527</v>
      </c>
      <c r="D169" s="11" t="s">
        <v>564</v>
      </c>
      <c r="E169" s="10">
        <v>1313</v>
      </c>
      <c r="F169" s="24">
        <v>28.82</v>
      </c>
      <c r="G169" s="115"/>
      <c r="O169" s="11"/>
    </row>
    <row r="170" spans="1:15">
      <c r="A170" s="15">
        <f t="shared" si="2"/>
        <v>159</v>
      </c>
      <c r="B170" s="323">
        <v>45069</v>
      </c>
      <c r="C170" s="11" t="s">
        <v>529</v>
      </c>
      <c r="D170" s="11" t="s">
        <v>565</v>
      </c>
      <c r="E170" s="10">
        <v>1311</v>
      </c>
      <c r="F170" s="24">
        <v>18.34</v>
      </c>
      <c r="G170" s="115"/>
      <c r="O170" s="11"/>
    </row>
    <row r="171" spans="1:15">
      <c r="A171" s="15">
        <f t="shared" si="2"/>
        <v>160</v>
      </c>
      <c r="B171" s="323">
        <v>45069</v>
      </c>
      <c r="C171" s="11" t="s">
        <v>531</v>
      </c>
      <c r="D171" s="11" t="s">
        <v>566</v>
      </c>
      <c r="E171" s="10">
        <v>1310</v>
      </c>
      <c r="F171" s="24">
        <v>18.34</v>
      </c>
      <c r="G171" s="115"/>
      <c r="O171" s="11"/>
    </row>
    <row r="172" spans="1:15">
      <c r="A172" s="15">
        <f t="shared" si="2"/>
        <v>161</v>
      </c>
      <c r="B172" s="323">
        <v>45069</v>
      </c>
      <c r="C172" s="11" t="s">
        <v>533</v>
      </c>
      <c r="D172" s="11" t="s">
        <v>567</v>
      </c>
      <c r="E172" s="10">
        <v>1309</v>
      </c>
      <c r="F172" s="24">
        <v>11.66</v>
      </c>
      <c r="G172" s="115"/>
      <c r="O172" s="11"/>
    </row>
    <row r="173" spans="1:15">
      <c r="A173" s="15">
        <f t="shared" si="2"/>
        <v>162</v>
      </c>
      <c r="B173" s="323">
        <v>45083</v>
      </c>
      <c r="D173" s="11" t="s">
        <v>544</v>
      </c>
      <c r="E173" s="10">
        <v>0</v>
      </c>
      <c r="F173" s="24">
        <v>10.74</v>
      </c>
      <c r="G173" s="115"/>
      <c r="O173" s="11"/>
    </row>
    <row r="174" spans="1:15">
      <c r="A174" s="15">
        <f t="shared" si="2"/>
        <v>163</v>
      </c>
      <c r="B174" s="323">
        <v>45083</v>
      </c>
      <c r="D174" s="11" t="s">
        <v>545</v>
      </c>
      <c r="E174" s="10">
        <v>0</v>
      </c>
      <c r="F174" s="24">
        <v>15.72</v>
      </c>
      <c r="G174" s="115"/>
      <c r="O174" s="11"/>
    </row>
    <row r="175" spans="1:15">
      <c r="A175" s="15">
        <f t="shared" si="2"/>
        <v>164</v>
      </c>
      <c r="B175" s="323">
        <v>45097</v>
      </c>
      <c r="C175" s="11" t="s">
        <v>521</v>
      </c>
      <c r="D175" s="11" t="s">
        <v>561</v>
      </c>
      <c r="E175" s="10">
        <v>1425</v>
      </c>
      <c r="F175" s="24">
        <v>10.74</v>
      </c>
      <c r="G175" s="115"/>
      <c r="O175" s="11"/>
    </row>
    <row r="176" spans="1:15">
      <c r="A176" s="15">
        <f t="shared" si="2"/>
        <v>165</v>
      </c>
      <c r="B176" s="323">
        <v>45097</v>
      </c>
      <c r="C176" s="11" t="s">
        <v>523</v>
      </c>
      <c r="D176" s="11" t="s">
        <v>562</v>
      </c>
      <c r="E176" s="10">
        <v>1424</v>
      </c>
      <c r="F176" s="24">
        <v>26.2</v>
      </c>
      <c r="G176" s="115"/>
      <c r="O176" s="11"/>
    </row>
    <row r="177" spans="1:15">
      <c r="A177" s="15">
        <f t="shared" si="2"/>
        <v>166</v>
      </c>
      <c r="B177" s="323">
        <v>45097</v>
      </c>
      <c r="C177" s="11" t="s">
        <v>525</v>
      </c>
      <c r="D177" s="11" t="s">
        <v>563</v>
      </c>
      <c r="E177" s="10">
        <v>1429</v>
      </c>
      <c r="F177" s="24">
        <v>15.72</v>
      </c>
      <c r="G177" s="115"/>
      <c r="O177" s="11"/>
    </row>
    <row r="178" spans="1:15">
      <c r="A178" s="15">
        <f t="shared" si="2"/>
        <v>167</v>
      </c>
      <c r="B178" s="323">
        <v>45097</v>
      </c>
      <c r="C178" s="11" t="s">
        <v>527</v>
      </c>
      <c r="D178" s="11" t="s">
        <v>564</v>
      </c>
      <c r="E178" s="10">
        <v>1430</v>
      </c>
      <c r="F178" s="24">
        <v>28.82</v>
      </c>
      <c r="G178" s="115"/>
      <c r="O178" s="11"/>
    </row>
    <row r="179" spans="1:15">
      <c r="A179" s="15">
        <f t="shared" si="2"/>
        <v>168</v>
      </c>
      <c r="B179" s="323">
        <v>45097</v>
      </c>
      <c r="C179" s="11" t="s">
        <v>529</v>
      </c>
      <c r="D179" s="11" t="s">
        <v>565</v>
      </c>
      <c r="E179" s="10">
        <v>1428</v>
      </c>
      <c r="F179" s="24">
        <v>18.34</v>
      </c>
      <c r="G179" s="115"/>
      <c r="O179" s="11"/>
    </row>
    <row r="180" spans="1:15">
      <c r="A180" s="15">
        <f t="shared" si="2"/>
        <v>169</v>
      </c>
      <c r="B180" s="323">
        <v>45097</v>
      </c>
      <c r="C180" s="11" t="s">
        <v>531</v>
      </c>
      <c r="D180" s="11" t="s">
        <v>566</v>
      </c>
      <c r="E180" s="10">
        <v>1427</v>
      </c>
      <c r="F180" s="24">
        <v>18.34</v>
      </c>
      <c r="G180" s="115"/>
      <c r="O180" s="11"/>
    </row>
    <row r="181" spans="1:15">
      <c r="A181" s="15">
        <f t="shared" si="2"/>
        <v>170</v>
      </c>
      <c r="B181" s="323">
        <v>45097</v>
      </c>
      <c r="C181" s="11" t="s">
        <v>533</v>
      </c>
      <c r="D181" s="11" t="s">
        <v>567</v>
      </c>
      <c r="E181" s="10">
        <v>1426</v>
      </c>
      <c r="F181" s="24">
        <v>11.66</v>
      </c>
      <c r="G181" s="115"/>
      <c r="O181" s="11"/>
    </row>
    <row r="182" spans="1:15">
      <c r="A182" s="15">
        <f t="shared" si="2"/>
        <v>171</v>
      </c>
      <c r="B182" s="323">
        <v>45132</v>
      </c>
      <c r="C182" s="11" t="s">
        <v>521</v>
      </c>
      <c r="D182" s="11" t="s">
        <v>561</v>
      </c>
      <c r="E182" s="10">
        <v>1593</v>
      </c>
      <c r="F182" s="24">
        <v>10.74</v>
      </c>
      <c r="G182" s="115"/>
      <c r="O182" s="11"/>
    </row>
    <row r="183" spans="1:15">
      <c r="A183" s="15">
        <f t="shared" si="2"/>
        <v>172</v>
      </c>
      <c r="B183" s="323">
        <v>45132</v>
      </c>
      <c r="C183" s="11" t="s">
        <v>523</v>
      </c>
      <c r="D183" s="11" t="s">
        <v>562</v>
      </c>
      <c r="E183" s="10">
        <v>1592</v>
      </c>
      <c r="F183" s="24">
        <v>26.2</v>
      </c>
      <c r="G183" s="115"/>
      <c r="O183" s="11"/>
    </row>
    <row r="184" spans="1:15">
      <c r="A184" s="15">
        <f t="shared" si="2"/>
        <v>173</v>
      </c>
      <c r="B184" s="323">
        <v>45132</v>
      </c>
      <c r="C184" s="11" t="s">
        <v>525</v>
      </c>
      <c r="D184" s="11" t="s">
        <v>563</v>
      </c>
      <c r="E184" s="10">
        <v>1597</v>
      </c>
      <c r="F184" s="24">
        <v>15.72</v>
      </c>
      <c r="G184" s="115"/>
      <c r="O184" s="11"/>
    </row>
    <row r="185" spans="1:15">
      <c r="A185" s="15">
        <f t="shared" si="2"/>
        <v>174</v>
      </c>
      <c r="B185" s="323">
        <v>45132</v>
      </c>
      <c r="C185" s="11" t="s">
        <v>527</v>
      </c>
      <c r="D185" s="11" t="s">
        <v>564</v>
      </c>
      <c r="E185" s="10">
        <v>1598</v>
      </c>
      <c r="F185" s="24">
        <v>28.82</v>
      </c>
      <c r="G185" s="115"/>
      <c r="O185" s="11"/>
    </row>
    <row r="186" spans="1:15">
      <c r="A186" s="15">
        <f t="shared" si="2"/>
        <v>175</v>
      </c>
      <c r="B186" s="323">
        <v>45132</v>
      </c>
      <c r="C186" s="11" t="s">
        <v>529</v>
      </c>
      <c r="D186" s="11" t="s">
        <v>565</v>
      </c>
      <c r="E186" s="10">
        <v>1596</v>
      </c>
      <c r="F186" s="24">
        <v>18.34</v>
      </c>
      <c r="G186" s="115"/>
      <c r="O186" s="11"/>
    </row>
    <row r="187" spans="1:15">
      <c r="A187" s="15">
        <f t="shared" si="2"/>
        <v>176</v>
      </c>
      <c r="B187" s="323">
        <v>45132</v>
      </c>
      <c r="C187" s="11" t="s">
        <v>531</v>
      </c>
      <c r="D187" s="11" t="s">
        <v>566</v>
      </c>
      <c r="E187" s="10">
        <v>1595</v>
      </c>
      <c r="F187" s="24">
        <v>18.34</v>
      </c>
      <c r="G187" s="115"/>
      <c r="O187" s="11"/>
    </row>
    <row r="188" spans="1:15">
      <c r="A188" s="15">
        <f t="shared" si="2"/>
        <v>177</v>
      </c>
      <c r="B188" s="323">
        <v>45132</v>
      </c>
      <c r="C188" s="11" t="s">
        <v>533</v>
      </c>
      <c r="D188" s="11" t="s">
        <v>567</v>
      </c>
      <c r="E188" s="10">
        <v>1594</v>
      </c>
      <c r="F188" s="24">
        <v>11.66</v>
      </c>
      <c r="G188" s="115"/>
      <c r="O188" s="11"/>
    </row>
    <row r="189" spans="1:15">
      <c r="A189" s="15">
        <f t="shared" si="2"/>
        <v>178</v>
      </c>
      <c r="B189" s="323">
        <v>45144</v>
      </c>
      <c r="C189" s="11" t="s">
        <v>523</v>
      </c>
      <c r="D189" s="11" t="s">
        <v>547</v>
      </c>
      <c r="E189" s="10">
        <v>67793</v>
      </c>
      <c r="F189" s="24">
        <v>26.2</v>
      </c>
      <c r="G189" s="115">
        <f>-F189</f>
        <v>-26.2</v>
      </c>
      <c r="O189" s="11"/>
    </row>
    <row r="190" spans="1:15">
      <c r="A190" s="15">
        <f t="shared" si="2"/>
        <v>179</v>
      </c>
      <c r="B190" s="323">
        <v>45144</v>
      </c>
      <c r="C190" s="11" t="s">
        <v>525</v>
      </c>
      <c r="D190" s="11" t="s">
        <v>547</v>
      </c>
      <c r="E190" s="10">
        <v>67797</v>
      </c>
      <c r="F190" s="24">
        <v>15.72</v>
      </c>
      <c r="G190" s="115">
        <f>-F190</f>
        <v>-15.72</v>
      </c>
      <c r="O190" s="11"/>
    </row>
    <row r="191" spans="1:15">
      <c r="A191" s="15">
        <f t="shared" si="2"/>
        <v>180</v>
      </c>
      <c r="B191" s="323">
        <v>45144</v>
      </c>
      <c r="C191" s="11" t="s">
        <v>521</v>
      </c>
      <c r="D191" s="11" t="s">
        <v>576</v>
      </c>
      <c r="E191" s="10">
        <v>67796</v>
      </c>
      <c r="F191" s="24">
        <v>10.74</v>
      </c>
      <c r="G191" s="115">
        <f>-F191</f>
        <v>-10.74</v>
      </c>
      <c r="O191" s="11"/>
    </row>
    <row r="192" spans="1:15">
      <c r="A192" s="15">
        <f t="shared" si="2"/>
        <v>181</v>
      </c>
      <c r="B192" s="323">
        <v>45160</v>
      </c>
      <c r="C192" s="11" t="s">
        <v>521</v>
      </c>
      <c r="D192" s="11" t="s">
        <v>561</v>
      </c>
      <c r="E192" s="10">
        <v>1712</v>
      </c>
      <c r="F192" s="24">
        <v>10.74</v>
      </c>
      <c r="G192" s="115"/>
      <c r="O192" s="11"/>
    </row>
    <row r="193" spans="1:15">
      <c r="A193" s="15">
        <f t="shared" si="2"/>
        <v>182</v>
      </c>
      <c r="B193" s="323">
        <v>45160</v>
      </c>
      <c r="C193" s="11" t="s">
        <v>523</v>
      </c>
      <c r="D193" s="11" t="s">
        <v>562</v>
      </c>
      <c r="E193" s="10">
        <v>1711</v>
      </c>
      <c r="F193" s="24">
        <v>26.2</v>
      </c>
      <c r="G193" s="115"/>
      <c r="O193" s="11"/>
    </row>
    <row r="194" spans="1:15">
      <c r="A194" s="15">
        <f t="shared" si="2"/>
        <v>183</v>
      </c>
      <c r="B194" s="323">
        <v>45160</v>
      </c>
      <c r="C194" s="11" t="s">
        <v>525</v>
      </c>
      <c r="D194" s="11" t="s">
        <v>563</v>
      </c>
      <c r="E194" s="10">
        <v>1716</v>
      </c>
      <c r="F194" s="24">
        <v>15.72</v>
      </c>
      <c r="G194" s="115"/>
      <c r="O194" s="11"/>
    </row>
    <row r="195" spans="1:15">
      <c r="A195" s="15">
        <f t="shared" si="2"/>
        <v>184</v>
      </c>
      <c r="B195" s="323">
        <v>45160</v>
      </c>
      <c r="C195" s="11" t="s">
        <v>527</v>
      </c>
      <c r="D195" s="11" t="s">
        <v>564</v>
      </c>
      <c r="E195" s="10">
        <v>1717</v>
      </c>
      <c r="F195" s="24">
        <v>28.82</v>
      </c>
      <c r="G195" s="115"/>
      <c r="O195" s="11"/>
    </row>
    <row r="196" spans="1:15">
      <c r="A196" s="15">
        <f t="shared" si="2"/>
        <v>185</v>
      </c>
      <c r="B196" s="323">
        <v>45160</v>
      </c>
      <c r="C196" s="11" t="s">
        <v>529</v>
      </c>
      <c r="D196" s="11" t="s">
        <v>565</v>
      </c>
      <c r="E196" s="10">
        <v>1715</v>
      </c>
      <c r="F196" s="24">
        <v>18.34</v>
      </c>
      <c r="G196" s="115"/>
      <c r="O196" s="11"/>
    </row>
    <row r="197" spans="1:15">
      <c r="A197" s="15">
        <f t="shared" si="2"/>
        <v>186</v>
      </c>
      <c r="B197" s="323">
        <v>45160</v>
      </c>
      <c r="C197" s="11" t="s">
        <v>531</v>
      </c>
      <c r="D197" s="11" t="s">
        <v>566</v>
      </c>
      <c r="E197" s="10">
        <v>1714</v>
      </c>
      <c r="F197" s="24">
        <v>18.34</v>
      </c>
      <c r="G197" s="115"/>
      <c r="O197" s="11"/>
    </row>
    <row r="198" spans="1:15">
      <c r="A198" s="15">
        <f t="shared" si="2"/>
        <v>187</v>
      </c>
      <c r="B198" s="323">
        <v>45160</v>
      </c>
      <c r="C198" s="11" t="s">
        <v>533</v>
      </c>
      <c r="D198" s="11" t="s">
        <v>567</v>
      </c>
      <c r="E198" s="10">
        <v>1713</v>
      </c>
      <c r="F198" s="24">
        <v>11.66</v>
      </c>
      <c r="G198" s="115"/>
      <c r="O198" s="11"/>
    </row>
    <row r="199" spans="1:15">
      <c r="A199" s="15">
        <f t="shared" si="2"/>
        <v>188</v>
      </c>
      <c r="B199" s="323">
        <v>45195</v>
      </c>
      <c r="C199" s="11" t="s">
        <v>521</v>
      </c>
      <c r="D199" s="11" t="s">
        <v>561</v>
      </c>
      <c r="E199" s="10">
        <v>1869</v>
      </c>
      <c r="F199" s="24">
        <v>10.74</v>
      </c>
      <c r="G199" s="115"/>
      <c r="O199" s="11"/>
    </row>
    <row r="200" spans="1:15">
      <c r="A200" s="15">
        <f t="shared" si="2"/>
        <v>189</v>
      </c>
      <c r="B200" s="323">
        <v>45195</v>
      </c>
      <c r="C200" s="11" t="s">
        <v>523</v>
      </c>
      <c r="D200" s="11" t="s">
        <v>562</v>
      </c>
      <c r="E200" s="10">
        <v>1868</v>
      </c>
      <c r="F200" s="24">
        <v>26.2</v>
      </c>
      <c r="G200" s="115"/>
      <c r="O200" s="11"/>
    </row>
    <row r="201" spans="1:15">
      <c r="A201" s="15">
        <f t="shared" si="2"/>
        <v>190</v>
      </c>
      <c r="B201" s="323">
        <v>45195</v>
      </c>
      <c r="C201" s="11" t="s">
        <v>525</v>
      </c>
      <c r="D201" s="11" t="s">
        <v>563</v>
      </c>
      <c r="E201" s="10">
        <v>1873</v>
      </c>
      <c r="F201" s="24">
        <v>15.72</v>
      </c>
      <c r="G201" s="115"/>
      <c r="O201" s="11"/>
    </row>
    <row r="202" spans="1:15">
      <c r="A202" s="15">
        <f t="shared" si="2"/>
        <v>191</v>
      </c>
      <c r="B202" s="323">
        <v>45195</v>
      </c>
      <c r="C202" s="11" t="s">
        <v>527</v>
      </c>
      <c r="D202" s="11" t="s">
        <v>564</v>
      </c>
      <c r="E202" s="10">
        <v>1874</v>
      </c>
      <c r="F202" s="24">
        <v>28.82</v>
      </c>
      <c r="G202" s="115"/>
      <c r="O202" s="11"/>
    </row>
    <row r="203" spans="1:15">
      <c r="A203" s="15">
        <f t="shared" si="2"/>
        <v>192</v>
      </c>
      <c r="B203" s="323">
        <v>45195</v>
      </c>
      <c r="C203" s="11" t="s">
        <v>529</v>
      </c>
      <c r="D203" s="11" t="s">
        <v>565</v>
      </c>
      <c r="E203" s="10">
        <v>1872</v>
      </c>
      <c r="F203" s="24">
        <v>18.34</v>
      </c>
      <c r="G203" s="115"/>
      <c r="O203" s="11"/>
    </row>
    <row r="204" spans="1:15">
      <c r="A204" s="15">
        <f t="shared" si="2"/>
        <v>193</v>
      </c>
      <c r="B204" s="323">
        <v>45195</v>
      </c>
      <c r="C204" s="11" t="s">
        <v>531</v>
      </c>
      <c r="D204" s="11" t="s">
        <v>566</v>
      </c>
      <c r="E204" s="10">
        <v>1871</v>
      </c>
      <c r="F204" s="24">
        <v>18.34</v>
      </c>
      <c r="G204" s="115"/>
      <c r="O204" s="11"/>
    </row>
    <row r="205" spans="1:15">
      <c r="A205" s="15">
        <f t="shared" si="2"/>
        <v>194</v>
      </c>
      <c r="B205" s="323">
        <v>45195</v>
      </c>
      <c r="C205" s="11" t="s">
        <v>533</v>
      </c>
      <c r="D205" s="11" t="s">
        <v>567</v>
      </c>
      <c r="E205" s="10">
        <v>1870</v>
      </c>
      <c r="F205" s="24">
        <v>11.66</v>
      </c>
      <c r="G205" s="115"/>
      <c r="O205" s="11"/>
    </row>
    <row r="206" spans="1:15">
      <c r="A206" s="15">
        <f t="shared" ref="A206:A269" si="3">A205+1</f>
        <v>195</v>
      </c>
      <c r="B206" s="323">
        <v>45223</v>
      </c>
      <c r="C206" s="11" t="s">
        <v>523</v>
      </c>
      <c r="D206" s="11" t="s">
        <v>562</v>
      </c>
      <c r="E206" s="10">
        <v>1982</v>
      </c>
      <c r="F206" s="24">
        <v>26.2</v>
      </c>
      <c r="G206" s="115"/>
      <c r="O206" s="11"/>
    </row>
    <row r="207" spans="1:15">
      <c r="A207" s="15">
        <f t="shared" si="3"/>
        <v>196</v>
      </c>
      <c r="B207" s="323">
        <v>45223</v>
      </c>
      <c r="C207" s="11" t="s">
        <v>525</v>
      </c>
      <c r="D207" s="11" t="s">
        <v>563</v>
      </c>
      <c r="E207" s="10">
        <v>1988</v>
      </c>
      <c r="F207" s="24">
        <v>15.72</v>
      </c>
      <c r="G207" s="115"/>
      <c r="O207" s="11"/>
    </row>
    <row r="208" spans="1:15">
      <c r="A208" s="15">
        <f t="shared" si="3"/>
        <v>197</v>
      </c>
      <c r="B208" s="323">
        <v>45223</v>
      </c>
      <c r="C208" s="11" t="s">
        <v>527</v>
      </c>
      <c r="D208" s="11" t="s">
        <v>564</v>
      </c>
      <c r="E208" s="10">
        <v>1989</v>
      </c>
      <c r="F208" s="24">
        <v>28.82</v>
      </c>
      <c r="G208" s="115"/>
      <c r="O208" s="11"/>
    </row>
    <row r="209" spans="1:15">
      <c r="A209" s="15">
        <f t="shared" si="3"/>
        <v>198</v>
      </c>
      <c r="B209" s="323">
        <v>45223</v>
      </c>
      <c r="C209" s="11" t="s">
        <v>529</v>
      </c>
      <c r="D209" s="11" t="s">
        <v>565</v>
      </c>
      <c r="E209" s="10">
        <v>1987</v>
      </c>
      <c r="F209" s="24">
        <v>18.34</v>
      </c>
      <c r="G209" s="115"/>
      <c r="O209" s="11"/>
    </row>
    <row r="210" spans="1:15">
      <c r="A210" s="15">
        <f t="shared" si="3"/>
        <v>199</v>
      </c>
      <c r="B210" s="323">
        <v>45223</v>
      </c>
      <c r="C210" s="11" t="s">
        <v>531</v>
      </c>
      <c r="D210" s="11" t="s">
        <v>566</v>
      </c>
      <c r="E210" s="10">
        <v>1986</v>
      </c>
      <c r="F210" s="24">
        <v>18.34</v>
      </c>
      <c r="G210" s="115"/>
      <c r="O210" s="11"/>
    </row>
    <row r="211" spans="1:15">
      <c r="A211" s="15">
        <f t="shared" si="3"/>
        <v>200</v>
      </c>
      <c r="B211" s="323">
        <v>45223</v>
      </c>
      <c r="C211" s="11" t="s">
        <v>533</v>
      </c>
      <c r="D211" s="11" t="s">
        <v>567</v>
      </c>
      <c r="E211" s="10">
        <v>1985</v>
      </c>
      <c r="F211" s="24">
        <v>11.66</v>
      </c>
      <c r="G211" s="115"/>
      <c r="O211" s="11"/>
    </row>
    <row r="212" spans="1:15">
      <c r="A212" s="15">
        <f t="shared" si="3"/>
        <v>201</v>
      </c>
      <c r="B212" s="323">
        <v>45223</v>
      </c>
      <c r="C212" s="11" t="s">
        <v>521</v>
      </c>
      <c r="D212" s="11" t="s">
        <v>577</v>
      </c>
      <c r="E212" s="10">
        <v>1984</v>
      </c>
      <c r="F212" s="24">
        <v>10.74</v>
      </c>
      <c r="G212" s="115"/>
      <c r="O212" s="11"/>
    </row>
    <row r="213" spans="1:15">
      <c r="A213" s="15">
        <f t="shared" si="3"/>
        <v>202</v>
      </c>
      <c r="B213" s="323">
        <v>45245</v>
      </c>
      <c r="C213" s="11" t="s">
        <v>521</v>
      </c>
      <c r="D213" s="11" t="s">
        <v>578</v>
      </c>
      <c r="E213" s="10">
        <v>2096</v>
      </c>
      <c r="F213" s="24">
        <v>10.74</v>
      </c>
      <c r="G213" s="115"/>
      <c r="O213" s="11"/>
    </row>
    <row r="214" spans="1:15">
      <c r="A214" s="15">
        <f t="shared" si="3"/>
        <v>203</v>
      </c>
      <c r="B214" s="323">
        <v>45245</v>
      </c>
      <c r="C214" s="11" t="s">
        <v>523</v>
      </c>
      <c r="D214" s="11" t="s">
        <v>562</v>
      </c>
      <c r="E214" s="10">
        <v>2095</v>
      </c>
      <c r="F214" s="24">
        <v>26.2</v>
      </c>
      <c r="G214" s="115"/>
      <c r="O214" s="11"/>
    </row>
    <row r="215" spans="1:15">
      <c r="A215" s="15">
        <f t="shared" si="3"/>
        <v>204</v>
      </c>
      <c r="B215" s="323">
        <v>45245</v>
      </c>
      <c r="C215" s="11" t="s">
        <v>525</v>
      </c>
      <c r="D215" s="11" t="s">
        <v>563</v>
      </c>
      <c r="E215" s="10">
        <v>2100</v>
      </c>
      <c r="F215" s="24">
        <v>15.72</v>
      </c>
      <c r="G215" s="115"/>
      <c r="O215" s="11"/>
    </row>
    <row r="216" spans="1:15">
      <c r="A216" s="15">
        <f t="shared" si="3"/>
        <v>205</v>
      </c>
      <c r="B216" s="323">
        <v>45245</v>
      </c>
      <c r="C216" s="11" t="s">
        <v>527</v>
      </c>
      <c r="D216" s="11" t="s">
        <v>564</v>
      </c>
      <c r="E216" s="10">
        <v>2101</v>
      </c>
      <c r="F216" s="24">
        <v>28.82</v>
      </c>
      <c r="G216" s="115"/>
      <c r="O216" s="11"/>
    </row>
    <row r="217" spans="1:15">
      <c r="A217" s="15">
        <f t="shared" si="3"/>
        <v>206</v>
      </c>
      <c r="B217" s="323">
        <v>45245</v>
      </c>
      <c r="C217" s="11" t="s">
        <v>529</v>
      </c>
      <c r="D217" s="11" t="s">
        <v>565</v>
      </c>
      <c r="E217" s="10">
        <v>2099</v>
      </c>
      <c r="F217" s="24">
        <v>18.34</v>
      </c>
      <c r="G217" s="115"/>
      <c r="O217" s="11"/>
    </row>
    <row r="218" spans="1:15">
      <c r="A218" s="15">
        <f t="shared" si="3"/>
        <v>207</v>
      </c>
      <c r="B218" s="323">
        <v>45245</v>
      </c>
      <c r="C218" s="11" t="s">
        <v>531</v>
      </c>
      <c r="D218" s="11" t="s">
        <v>566</v>
      </c>
      <c r="E218" s="10">
        <v>2098</v>
      </c>
      <c r="F218" s="24">
        <v>18.34</v>
      </c>
      <c r="G218" s="115"/>
      <c r="O218" s="11"/>
    </row>
    <row r="219" spans="1:15">
      <c r="A219" s="15">
        <f t="shared" si="3"/>
        <v>208</v>
      </c>
      <c r="B219" s="323">
        <v>45245</v>
      </c>
      <c r="C219" s="11" t="s">
        <v>533</v>
      </c>
      <c r="D219" s="11" t="s">
        <v>567</v>
      </c>
      <c r="E219" s="10">
        <v>2097</v>
      </c>
      <c r="F219" s="24">
        <v>11.66</v>
      </c>
      <c r="G219" s="115"/>
      <c r="O219" s="11"/>
    </row>
    <row r="220" spans="1:15">
      <c r="A220" s="15">
        <f t="shared" si="3"/>
        <v>209</v>
      </c>
      <c r="B220" s="323">
        <v>45258</v>
      </c>
      <c r="C220" s="11" t="s">
        <v>521</v>
      </c>
      <c r="D220" s="11" t="s">
        <v>579</v>
      </c>
      <c r="E220" s="10">
        <v>2146</v>
      </c>
      <c r="F220" s="24">
        <v>10.74</v>
      </c>
      <c r="G220" s="115"/>
      <c r="O220" s="11"/>
    </row>
    <row r="221" spans="1:15">
      <c r="A221" s="15">
        <f t="shared" si="3"/>
        <v>210</v>
      </c>
      <c r="B221" s="323">
        <v>45258</v>
      </c>
      <c r="C221" s="11" t="s">
        <v>523</v>
      </c>
      <c r="D221" s="11" t="s">
        <v>580</v>
      </c>
      <c r="E221" s="10">
        <v>2145</v>
      </c>
      <c r="F221" s="24">
        <v>26.2</v>
      </c>
      <c r="G221" s="115"/>
      <c r="O221" s="11"/>
    </row>
    <row r="222" spans="1:15">
      <c r="A222" s="15">
        <f t="shared" si="3"/>
        <v>211</v>
      </c>
      <c r="B222" s="323">
        <v>45258</v>
      </c>
      <c r="C222" s="11" t="s">
        <v>525</v>
      </c>
      <c r="D222" s="11" t="s">
        <v>581</v>
      </c>
      <c r="E222" s="10">
        <v>2150</v>
      </c>
      <c r="F222" s="24">
        <v>15.72</v>
      </c>
      <c r="G222" s="115"/>
      <c r="O222" s="11"/>
    </row>
    <row r="223" spans="1:15">
      <c r="A223" s="15">
        <f t="shared" si="3"/>
        <v>212</v>
      </c>
      <c r="B223" s="323">
        <v>45258</v>
      </c>
      <c r="C223" s="11" t="s">
        <v>527</v>
      </c>
      <c r="D223" s="11" t="s">
        <v>582</v>
      </c>
      <c r="E223" s="10">
        <v>2151</v>
      </c>
      <c r="F223" s="24">
        <v>28.82</v>
      </c>
      <c r="G223" s="115"/>
      <c r="O223" s="11"/>
    </row>
    <row r="224" spans="1:15">
      <c r="A224" s="15">
        <f t="shared" si="3"/>
        <v>213</v>
      </c>
      <c r="B224" s="323">
        <v>45258</v>
      </c>
      <c r="C224" s="11" t="s">
        <v>529</v>
      </c>
      <c r="D224" s="11" t="s">
        <v>583</v>
      </c>
      <c r="E224" s="10">
        <v>2149</v>
      </c>
      <c r="F224" s="24">
        <v>18.34</v>
      </c>
      <c r="G224" s="115"/>
      <c r="O224" s="11"/>
    </row>
    <row r="225" spans="1:15">
      <c r="A225" s="15">
        <f t="shared" si="3"/>
        <v>214</v>
      </c>
      <c r="B225" s="323">
        <v>45258</v>
      </c>
      <c r="C225" s="11" t="s">
        <v>531</v>
      </c>
      <c r="D225" s="11" t="s">
        <v>584</v>
      </c>
      <c r="E225" s="10">
        <v>2148</v>
      </c>
      <c r="F225" s="24">
        <v>18.34</v>
      </c>
      <c r="G225" s="115"/>
      <c r="O225" s="11"/>
    </row>
    <row r="226" spans="1:15">
      <c r="A226" s="15">
        <f t="shared" si="3"/>
        <v>215</v>
      </c>
      <c r="B226" s="323">
        <v>45258</v>
      </c>
      <c r="C226" s="11" t="s">
        <v>533</v>
      </c>
      <c r="D226" s="11" t="s">
        <v>585</v>
      </c>
      <c r="E226" s="10">
        <v>2147</v>
      </c>
      <c r="F226" s="24">
        <v>11.66</v>
      </c>
      <c r="G226" s="115"/>
      <c r="O226" s="11"/>
    </row>
    <row r="227" spans="1:15">
      <c r="A227" s="15">
        <f t="shared" si="3"/>
        <v>216</v>
      </c>
      <c r="B227" s="323">
        <v>45281</v>
      </c>
      <c r="C227" s="11" t="s">
        <v>521</v>
      </c>
      <c r="D227" s="11" t="s">
        <v>586</v>
      </c>
      <c r="E227" s="10">
        <v>2259</v>
      </c>
      <c r="F227" s="24">
        <v>10.74</v>
      </c>
      <c r="G227" s="115"/>
      <c r="O227" s="11"/>
    </row>
    <row r="228" spans="1:15">
      <c r="A228" s="15">
        <f t="shared" si="3"/>
        <v>217</v>
      </c>
      <c r="B228" s="323">
        <v>45281</v>
      </c>
      <c r="C228" s="11" t="s">
        <v>523</v>
      </c>
      <c r="D228" s="11" t="s">
        <v>562</v>
      </c>
      <c r="E228" s="10">
        <v>2258</v>
      </c>
      <c r="F228" s="24">
        <v>26.2</v>
      </c>
      <c r="G228" s="115"/>
      <c r="O228" s="11"/>
    </row>
    <row r="229" spans="1:15">
      <c r="A229" s="15">
        <f t="shared" si="3"/>
        <v>218</v>
      </c>
      <c r="B229" s="323">
        <v>45281</v>
      </c>
      <c r="C229" s="11" t="s">
        <v>525</v>
      </c>
      <c r="D229" s="11" t="s">
        <v>563</v>
      </c>
      <c r="E229" s="10">
        <v>2263</v>
      </c>
      <c r="F229" s="24">
        <v>15.72</v>
      </c>
      <c r="G229" s="115"/>
      <c r="O229" s="11"/>
    </row>
    <row r="230" spans="1:15">
      <c r="A230" s="15">
        <f t="shared" si="3"/>
        <v>219</v>
      </c>
      <c r="B230" s="323">
        <v>45281</v>
      </c>
      <c r="C230" s="11" t="s">
        <v>527</v>
      </c>
      <c r="D230" s="11" t="s">
        <v>587</v>
      </c>
      <c r="E230" s="10">
        <v>2264</v>
      </c>
      <c r="F230" s="24">
        <v>28.82</v>
      </c>
      <c r="G230" s="115"/>
      <c r="O230" s="11"/>
    </row>
    <row r="231" spans="1:15">
      <c r="A231" s="15">
        <f t="shared" si="3"/>
        <v>220</v>
      </c>
      <c r="B231" s="323">
        <v>45281</v>
      </c>
      <c r="C231" s="11" t="s">
        <v>529</v>
      </c>
      <c r="D231" s="11" t="s">
        <v>588</v>
      </c>
      <c r="E231" s="10">
        <v>2262</v>
      </c>
      <c r="F231" s="24">
        <v>18.34</v>
      </c>
      <c r="G231" s="115"/>
      <c r="O231" s="11"/>
    </row>
    <row r="232" spans="1:15">
      <c r="A232" s="15">
        <f t="shared" si="3"/>
        <v>221</v>
      </c>
      <c r="B232" s="323">
        <v>45281</v>
      </c>
      <c r="C232" s="11" t="s">
        <v>531</v>
      </c>
      <c r="D232" s="11" t="s">
        <v>589</v>
      </c>
      <c r="E232" s="10">
        <v>2261</v>
      </c>
      <c r="F232" s="24">
        <v>18.34</v>
      </c>
      <c r="G232" s="115"/>
      <c r="O232" s="11"/>
    </row>
    <row r="233" spans="1:15">
      <c r="A233" s="15">
        <f t="shared" si="3"/>
        <v>222</v>
      </c>
      <c r="B233" s="323">
        <v>45281</v>
      </c>
      <c r="C233" s="11" t="s">
        <v>533</v>
      </c>
      <c r="D233" s="11" t="s">
        <v>585</v>
      </c>
      <c r="E233" s="10">
        <v>2260</v>
      </c>
      <c r="F233" s="24">
        <v>11.66</v>
      </c>
      <c r="G233" s="115"/>
      <c r="O233" s="11"/>
    </row>
    <row r="234" spans="1:15">
      <c r="A234" s="15">
        <f t="shared" si="3"/>
        <v>223</v>
      </c>
      <c r="E234" s="10"/>
      <c r="F234" s="24"/>
      <c r="G234" s="115"/>
      <c r="O234" s="11"/>
    </row>
    <row r="235" spans="1:15">
      <c r="A235" s="15">
        <f t="shared" si="3"/>
        <v>224</v>
      </c>
      <c r="B235" s="15" t="s">
        <v>590</v>
      </c>
      <c r="E235" s="10"/>
      <c r="F235" s="24"/>
      <c r="G235" s="115"/>
      <c r="O235" s="11"/>
    </row>
    <row r="236" spans="1:15">
      <c r="A236" s="15">
        <f t="shared" si="3"/>
        <v>225</v>
      </c>
      <c r="E236" s="10"/>
      <c r="F236" s="24"/>
      <c r="G236" s="115"/>
      <c r="O236" s="11"/>
    </row>
    <row r="237" spans="1:15">
      <c r="A237" s="15">
        <f t="shared" si="3"/>
        <v>226</v>
      </c>
      <c r="B237" s="314" t="s">
        <v>516</v>
      </c>
      <c r="C237" s="315" t="s">
        <v>517</v>
      </c>
      <c r="D237" s="315" t="s">
        <v>518</v>
      </c>
      <c r="E237" s="315" t="s">
        <v>591</v>
      </c>
      <c r="F237" s="316" t="s">
        <v>473</v>
      </c>
      <c r="G237" s="115"/>
      <c r="O237" s="11"/>
    </row>
    <row r="238" spans="1:15">
      <c r="A238" s="15">
        <f t="shared" si="3"/>
        <v>227</v>
      </c>
      <c r="B238" s="323">
        <v>44927</v>
      </c>
      <c r="C238" s="11" t="s">
        <v>592</v>
      </c>
      <c r="D238" s="11" t="s">
        <v>593</v>
      </c>
      <c r="E238" s="10">
        <v>66765</v>
      </c>
      <c r="F238" s="24">
        <v>10.8</v>
      </c>
      <c r="G238" s="115"/>
      <c r="O238" s="11"/>
    </row>
    <row r="239" spans="1:15">
      <c r="A239" s="15">
        <f t="shared" si="3"/>
        <v>228</v>
      </c>
      <c r="B239" s="323">
        <v>44945</v>
      </c>
      <c r="C239" s="11" t="s">
        <v>594</v>
      </c>
      <c r="D239" s="11" t="s">
        <v>595</v>
      </c>
      <c r="E239" s="10">
        <v>66964</v>
      </c>
      <c r="F239" s="24">
        <v>990</v>
      </c>
      <c r="G239" s="115">
        <f>-F239</f>
        <v>-990</v>
      </c>
      <c r="O239" s="11"/>
    </row>
    <row r="240" spans="1:15">
      <c r="A240" s="15">
        <f t="shared" si="3"/>
        <v>229</v>
      </c>
      <c r="B240" s="323">
        <v>44945</v>
      </c>
      <c r="C240" s="11" t="s">
        <v>594</v>
      </c>
      <c r="D240" s="11" t="s">
        <v>477</v>
      </c>
      <c r="E240" s="10">
        <v>66964</v>
      </c>
      <c r="F240" s="24">
        <v>990</v>
      </c>
      <c r="G240" s="115">
        <f>-F240</f>
        <v>-990</v>
      </c>
      <c r="O240" s="11"/>
    </row>
    <row r="241" spans="1:15">
      <c r="A241" s="15">
        <f t="shared" si="3"/>
        <v>230</v>
      </c>
      <c r="B241" s="323">
        <v>44957</v>
      </c>
      <c r="D241" s="11" t="s">
        <v>596</v>
      </c>
      <c r="E241" s="10">
        <v>0</v>
      </c>
      <c r="F241" s="24">
        <v>907.2</v>
      </c>
      <c r="G241" s="115"/>
      <c r="O241" s="11"/>
    </row>
    <row r="242" spans="1:15">
      <c r="A242" s="15">
        <f t="shared" si="3"/>
        <v>231</v>
      </c>
      <c r="B242" s="323">
        <v>44958</v>
      </c>
      <c r="C242" s="11" t="s">
        <v>592</v>
      </c>
      <c r="D242" s="11" t="s">
        <v>593</v>
      </c>
      <c r="E242" s="10">
        <v>66929</v>
      </c>
      <c r="F242" s="24">
        <v>10.8</v>
      </c>
      <c r="G242" s="115"/>
      <c r="O242" s="11"/>
    </row>
    <row r="243" spans="1:15">
      <c r="A243" s="15">
        <f t="shared" si="3"/>
        <v>232</v>
      </c>
      <c r="B243" s="323">
        <v>44973</v>
      </c>
      <c r="C243" s="11" t="s">
        <v>594</v>
      </c>
      <c r="D243" s="11" t="s">
        <v>597</v>
      </c>
      <c r="E243" s="10">
        <v>67086</v>
      </c>
      <c r="F243" s="24">
        <v>354.92</v>
      </c>
      <c r="G243" s="115">
        <f>-F243</f>
        <v>-354.92</v>
      </c>
      <c r="O243" s="11"/>
    </row>
    <row r="244" spans="1:15">
      <c r="A244" s="15">
        <f t="shared" si="3"/>
        <v>233</v>
      </c>
      <c r="B244" s="323">
        <v>44973</v>
      </c>
      <c r="C244" s="11" t="s">
        <v>594</v>
      </c>
      <c r="D244" s="11" t="s">
        <v>598</v>
      </c>
      <c r="E244" s="10">
        <v>67086</v>
      </c>
      <c r="F244" s="24">
        <v>479.38</v>
      </c>
      <c r="G244" s="115">
        <f>-F244</f>
        <v>-479.38</v>
      </c>
      <c r="O244" s="11"/>
    </row>
    <row r="245" spans="1:15">
      <c r="A245" s="15">
        <f t="shared" si="3"/>
        <v>234</v>
      </c>
      <c r="B245" s="323">
        <v>44973</v>
      </c>
      <c r="C245" s="11" t="s">
        <v>594</v>
      </c>
      <c r="D245" s="11" t="s">
        <v>599</v>
      </c>
      <c r="E245" s="10">
        <v>67086</v>
      </c>
      <c r="F245" s="24">
        <v>352.86</v>
      </c>
      <c r="G245" s="115">
        <f>-F245</f>
        <v>-352.86</v>
      </c>
      <c r="O245" s="11"/>
    </row>
    <row r="246" spans="1:15">
      <c r="A246" s="15">
        <f t="shared" si="3"/>
        <v>235</v>
      </c>
      <c r="B246" s="323">
        <v>44973</v>
      </c>
      <c r="C246" s="11" t="s">
        <v>594</v>
      </c>
      <c r="D246" s="11" t="s">
        <v>600</v>
      </c>
      <c r="E246" s="10">
        <v>67086</v>
      </c>
      <c r="F246" s="24">
        <v>344.98</v>
      </c>
      <c r="G246" s="115"/>
      <c r="O246" s="11"/>
    </row>
    <row r="247" spans="1:15">
      <c r="A247" s="15">
        <f t="shared" si="3"/>
        <v>236</v>
      </c>
      <c r="B247" s="323">
        <v>44973</v>
      </c>
      <c r="C247" s="11" t="s">
        <v>594</v>
      </c>
      <c r="D247" s="11" t="s">
        <v>600</v>
      </c>
      <c r="E247" s="10">
        <v>67086</v>
      </c>
      <c r="F247" s="24">
        <v>72.08</v>
      </c>
      <c r="G247" s="115"/>
      <c r="O247" s="11"/>
    </row>
    <row r="248" spans="1:15">
      <c r="A248" s="15">
        <f t="shared" si="3"/>
        <v>237</v>
      </c>
      <c r="B248" s="323">
        <v>44985</v>
      </c>
      <c r="D248" s="11" t="s">
        <v>596</v>
      </c>
      <c r="E248" s="10">
        <v>0</v>
      </c>
      <c r="F248" s="24">
        <v>907.2</v>
      </c>
      <c r="G248" s="115"/>
      <c r="O248" s="11"/>
    </row>
    <row r="249" spans="1:15">
      <c r="A249" s="15">
        <f t="shared" si="3"/>
        <v>238</v>
      </c>
      <c r="B249" s="323">
        <v>44986</v>
      </c>
      <c r="C249" s="11" t="s">
        <v>592</v>
      </c>
      <c r="D249" s="11" t="s">
        <v>593</v>
      </c>
      <c r="E249" s="10">
        <v>67056</v>
      </c>
      <c r="F249" s="24">
        <v>10.8</v>
      </c>
      <c r="G249" s="115"/>
      <c r="O249" s="11"/>
    </row>
    <row r="250" spans="1:15">
      <c r="A250" s="15">
        <f t="shared" si="3"/>
        <v>239</v>
      </c>
      <c r="B250" s="323">
        <v>45008</v>
      </c>
      <c r="C250" s="11" t="s">
        <v>601</v>
      </c>
      <c r="D250" s="11" t="s">
        <v>602</v>
      </c>
      <c r="E250" s="10">
        <v>67189</v>
      </c>
      <c r="F250" s="24">
        <v>18.66</v>
      </c>
      <c r="G250" s="115"/>
      <c r="O250" s="11"/>
    </row>
    <row r="251" spans="1:15">
      <c r="A251" s="15">
        <f t="shared" si="3"/>
        <v>240</v>
      </c>
      <c r="B251" s="323">
        <v>45016</v>
      </c>
      <c r="C251" s="11" t="s">
        <v>594</v>
      </c>
      <c r="D251" s="11" t="s">
        <v>603</v>
      </c>
      <c r="E251" s="10">
        <v>67243</v>
      </c>
      <c r="F251" s="24">
        <v>106</v>
      </c>
      <c r="G251" s="115"/>
      <c r="O251" s="11"/>
    </row>
    <row r="252" spans="1:15">
      <c r="A252" s="15">
        <f t="shared" si="3"/>
        <v>241</v>
      </c>
      <c r="B252" s="323">
        <v>45016</v>
      </c>
      <c r="C252" s="11" t="s">
        <v>594</v>
      </c>
      <c r="D252" s="11" t="s">
        <v>604</v>
      </c>
      <c r="E252" s="10">
        <v>67243</v>
      </c>
      <c r="F252" s="24">
        <v>27.52</v>
      </c>
      <c r="G252" s="115"/>
      <c r="O252" s="11"/>
    </row>
    <row r="253" spans="1:15">
      <c r="A253" s="15">
        <f t="shared" si="3"/>
        <v>242</v>
      </c>
      <c r="B253" s="323">
        <v>45016</v>
      </c>
      <c r="C253" s="11" t="s">
        <v>594</v>
      </c>
      <c r="D253" s="11" t="s">
        <v>605</v>
      </c>
      <c r="E253" s="10">
        <v>67243</v>
      </c>
      <c r="F253" s="24">
        <v>252.33</v>
      </c>
      <c r="G253" s="115"/>
      <c r="O253" s="11"/>
    </row>
    <row r="254" spans="1:15">
      <c r="A254" s="15">
        <f t="shared" si="3"/>
        <v>243</v>
      </c>
      <c r="B254" s="323">
        <v>45016</v>
      </c>
      <c r="C254" s="11" t="s">
        <v>594</v>
      </c>
      <c r="D254" s="11" t="s">
        <v>606</v>
      </c>
      <c r="E254" s="10">
        <v>67243</v>
      </c>
      <c r="F254" s="24">
        <v>17.23</v>
      </c>
      <c r="G254" s="115"/>
      <c r="O254" s="11"/>
    </row>
    <row r="255" spans="1:15">
      <c r="A255" s="15">
        <f t="shared" si="3"/>
        <v>244</v>
      </c>
      <c r="B255" s="323">
        <v>45016</v>
      </c>
      <c r="C255" s="11" t="s">
        <v>594</v>
      </c>
      <c r="D255" s="11" t="s">
        <v>607</v>
      </c>
      <c r="E255" s="10">
        <v>67243</v>
      </c>
      <c r="F255" s="24">
        <v>251.67</v>
      </c>
      <c r="G255" s="115"/>
      <c r="O255" s="11"/>
    </row>
    <row r="256" spans="1:15">
      <c r="A256" s="15">
        <f t="shared" si="3"/>
        <v>245</v>
      </c>
      <c r="B256" s="323">
        <v>45016</v>
      </c>
      <c r="C256" s="11" t="s">
        <v>594</v>
      </c>
      <c r="D256" s="11" t="s">
        <v>598</v>
      </c>
      <c r="E256" s="10">
        <v>67243</v>
      </c>
      <c r="F256" s="24">
        <v>1062.58</v>
      </c>
      <c r="G256" s="115">
        <f t="shared" ref="G256:G261" si="4">-F256</f>
        <v>-1062.58</v>
      </c>
      <c r="O256" s="11"/>
    </row>
    <row r="257" spans="1:15">
      <c r="A257" s="15">
        <f t="shared" si="3"/>
        <v>246</v>
      </c>
      <c r="B257" s="323">
        <v>45016</v>
      </c>
      <c r="C257" s="11" t="s">
        <v>594</v>
      </c>
      <c r="D257" s="11" t="s">
        <v>598</v>
      </c>
      <c r="E257" s="10">
        <v>67243</v>
      </c>
      <c r="F257" s="24">
        <v>126.52</v>
      </c>
      <c r="G257" s="115">
        <f t="shared" si="4"/>
        <v>-126.52</v>
      </c>
      <c r="O257" s="11"/>
    </row>
    <row r="258" spans="1:15">
      <c r="A258" s="15">
        <f t="shared" si="3"/>
        <v>247</v>
      </c>
      <c r="B258" s="323">
        <v>45016</v>
      </c>
      <c r="C258" s="11" t="s">
        <v>594</v>
      </c>
      <c r="D258" s="11" t="s">
        <v>608</v>
      </c>
      <c r="E258" s="10">
        <v>67243</v>
      </c>
      <c r="F258" s="24">
        <v>901.4</v>
      </c>
      <c r="G258" s="115">
        <f t="shared" si="4"/>
        <v>-901.4</v>
      </c>
      <c r="O258" s="11"/>
    </row>
    <row r="259" spans="1:15">
      <c r="A259" s="15">
        <f t="shared" si="3"/>
        <v>248</v>
      </c>
      <c r="B259" s="323">
        <v>45016</v>
      </c>
      <c r="C259" s="11" t="s">
        <v>594</v>
      </c>
      <c r="D259" s="11" t="s">
        <v>609</v>
      </c>
      <c r="E259" s="10">
        <v>67243</v>
      </c>
      <c r="F259" s="24">
        <v>251.67</v>
      </c>
      <c r="G259" s="115">
        <f t="shared" si="4"/>
        <v>-251.67</v>
      </c>
      <c r="O259" s="11"/>
    </row>
    <row r="260" spans="1:15">
      <c r="A260" s="15">
        <f t="shared" si="3"/>
        <v>249</v>
      </c>
      <c r="B260" s="323">
        <v>45016</v>
      </c>
      <c r="C260" s="11" t="s">
        <v>594</v>
      </c>
      <c r="D260" s="11" t="s">
        <v>599</v>
      </c>
      <c r="E260" s="10">
        <v>67243</v>
      </c>
      <c r="F260" s="24">
        <v>713.72</v>
      </c>
      <c r="G260" s="115">
        <f t="shared" si="4"/>
        <v>-713.72</v>
      </c>
      <c r="O260" s="11"/>
    </row>
    <row r="261" spans="1:15">
      <c r="A261" s="15">
        <f t="shared" si="3"/>
        <v>250</v>
      </c>
      <c r="B261" s="323">
        <v>45016</v>
      </c>
      <c r="C261" s="11" t="s">
        <v>594</v>
      </c>
      <c r="D261" s="11" t="s">
        <v>610</v>
      </c>
      <c r="E261" s="10">
        <v>67243</v>
      </c>
      <c r="F261" s="24">
        <v>901.4</v>
      </c>
      <c r="G261" s="115">
        <f t="shared" si="4"/>
        <v>-901.4</v>
      </c>
      <c r="O261" s="11"/>
    </row>
    <row r="262" spans="1:15">
      <c r="A262" s="15">
        <f t="shared" si="3"/>
        <v>251</v>
      </c>
      <c r="B262" s="323">
        <v>45016</v>
      </c>
      <c r="D262" s="11" t="s">
        <v>596</v>
      </c>
      <c r="E262" s="10">
        <v>0</v>
      </c>
      <c r="F262" s="24">
        <v>907.2</v>
      </c>
      <c r="G262" s="115"/>
      <c r="O262" s="11"/>
    </row>
    <row r="263" spans="1:15">
      <c r="A263" s="15">
        <f t="shared" si="3"/>
        <v>252</v>
      </c>
      <c r="B263" s="323">
        <v>45017</v>
      </c>
      <c r="C263" s="11" t="s">
        <v>592</v>
      </c>
      <c r="D263" s="11" t="s">
        <v>593</v>
      </c>
      <c r="E263" s="10">
        <v>67204</v>
      </c>
      <c r="F263" s="24">
        <v>10.8</v>
      </c>
      <c r="G263" s="115"/>
      <c r="O263" s="11"/>
    </row>
    <row r="264" spans="1:15">
      <c r="A264" s="15">
        <f t="shared" si="3"/>
        <v>253</v>
      </c>
      <c r="B264" s="323">
        <v>45028</v>
      </c>
      <c r="C264" s="11" t="s">
        <v>525</v>
      </c>
      <c r="D264" s="11" t="s">
        <v>611</v>
      </c>
      <c r="E264" s="10">
        <v>67284</v>
      </c>
      <c r="F264" s="24">
        <v>95</v>
      </c>
      <c r="G264" s="115">
        <f t="shared" ref="G264:G267" si="5">-F264</f>
        <v>-95</v>
      </c>
      <c r="O264" s="11"/>
    </row>
    <row r="265" spans="1:15">
      <c r="A265" s="15">
        <f t="shared" si="3"/>
        <v>254</v>
      </c>
      <c r="B265" s="323">
        <v>45034</v>
      </c>
      <c r="C265" s="11" t="s">
        <v>594</v>
      </c>
      <c r="D265" s="11" t="s">
        <v>612</v>
      </c>
      <c r="E265" s="10">
        <v>67387</v>
      </c>
      <c r="F265" s="24">
        <v>126.52</v>
      </c>
      <c r="G265" s="115">
        <f t="shared" si="5"/>
        <v>-126.52</v>
      </c>
      <c r="O265" s="11"/>
    </row>
    <row r="266" spans="1:15">
      <c r="A266" s="15">
        <f t="shared" si="3"/>
        <v>255</v>
      </c>
      <c r="B266" s="323">
        <v>45034</v>
      </c>
      <c r="C266" s="11" t="s">
        <v>594</v>
      </c>
      <c r="D266" s="11" t="s">
        <v>613</v>
      </c>
      <c r="E266" s="10">
        <v>67387</v>
      </c>
      <c r="F266" s="24">
        <v>446.41</v>
      </c>
      <c r="G266" s="115">
        <f t="shared" si="5"/>
        <v>-446.41</v>
      </c>
      <c r="O266" s="11"/>
    </row>
    <row r="267" spans="1:15">
      <c r="A267" s="15">
        <f t="shared" si="3"/>
        <v>256</v>
      </c>
      <c r="B267" s="323">
        <v>45034</v>
      </c>
      <c r="C267" s="11" t="s">
        <v>594</v>
      </c>
      <c r="D267" s="11" t="s">
        <v>614</v>
      </c>
      <c r="E267" s="10">
        <v>67387</v>
      </c>
      <c r="F267" s="24">
        <v>446.41</v>
      </c>
      <c r="G267" s="115">
        <f t="shared" si="5"/>
        <v>-446.41</v>
      </c>
      <c r="O267" s="11"/>
    </row>
    <row r="268" spans="1:15">
      <c r="A268" s="15">
        <f t="shared" si="3"/>
        <v>257</v>
      </c>
      <c r="B268" s="323">
        <v>45034</v>
      </c>
      <c r="C268" s="11" t="s">
        <v>594</v>
      </c>
      <c r="D268" s="11" t="s">
        <v>615</v>
      </c>
      <c r="E268" s="10">
        <v>67387</v>
      </c>
      <c r="F268" s="24">
        <v>316.37</v>
      </c>
      <c r="G268" s="115"/>
      <c r="O268" s="11"/>
    </row>
    <row r="269" spans="1:15">
      <c r="A269" s="15">
        <f t="shared" si="3"/>
        <v>258</v>
      </c>
      <c r="B269" s="323">
        <v>45046</v>
      </c>
      <c r="D269" s="11" t="s">
        <v>596</v>
      </c>
      <c r="E269" s="10">
        <v>0</v>
      </c>
      <c r="F269" s="24">
        <v>690.14</v>
      </c>
      <c r="G269" s="115"/>
      <c r="O269" s="11"/>
    </row>
    <row r="270" spans="1:15">
      <c r="A270" s="15">
        <f t="shared" ref="A270:A327" si="6">A269+1</f>
        <v>259</v>
      </c>
      <c r="B270" s="323">
        <v>45047</v>
      </c>
      <c r="C270" s="11" t="s">
        <v>592</v>
      </c>
      <c r="D270" s="11" t="s">
        <v>593</v>
      </c>
      <c r="E270" s="10">
        <v>67344</v>
      </c>
      <c r="F270" s="24">
        <v>10.8</v>
      </c>
      <c r="G270" s="115"/>
      <c r="O270" s="11"/>
    </row>
    <row r="271" spans="1:15">
      <c r="A271" s="15">
        <f t="shared" si="6"/>
        <v>260</v>
      </c>
      <c r="B271" s="323">
        <v>45065</v>
      </c>
      <c r="C271" s="11" t="s">
        <v>594</v>
      </c>
      <c r="D271" s="11" t="s">
        <v>616</v>
      </c>
      <c r="E271" s="10">
        <v>67520</v>
      </c>
      <c r="F271" s="24">
        <v>150.88999999999999</v>
      </c>
      <c r="G271" s="115">
        <f>-F271</f>
        <v>-150.88999999999999</v>
      </c>
      <c r="O271" s="11"/>
    </row>
    <row r="272" spans="1:15">
      <c r="A272" s="15">
        <f t="shared" si="6"/>
        <v>261</v>
      </c>
      <c r="B272" s="323">
        <v>45077</v>
      </c>
      <c r="C272" s="11" t="s">
        <v>617</v>
      </c>
      <c r="D272" s="11" t="s">
        <v>618</v>
      </c>
      <c r="E272" s="10">
        <v>67564</v>
      </c>
      <c r="F272" s="24">
        <v>84.17</v>
      </c>
      <c r="G272" s="115"/>
      <c r="O272" s="11"/>
    </row>
    <row r="273" spans="1:15">
      <c r="A273" s="15">
        <f t="shared" si="6"/>
        <v>262</v>
      </c>
      <c r="B273" s="323">
        <v>45077</v>
      </c>
      <c r="D273" s="11" t="s">
        <v>596</v>
      </c>
      <c r="E273" s="10">
        <v>0</v>
      </c>
      <c r="F273" s="24">
        <v>690.14</v>
      </c>
      <c r="G273" s="115"/>
      <c r="O273" s="11"/>
    </row>
    <row r="274" spans="1:15">
      <c r="A274" s="15">
        <f t="shared" si="6"/>
        <v>263</v>
      </c>
      <c r="B274" s="323">
        <v>45078</v>
      </c>
      <c r="C274" s="11" t="s">
        <v>592</v>
      </c>
      <c r="D274" s="11" t="s">
        <v>593</v>
      </c>
      <c r="E274" s="10">
        <v>67480</v>
      </c>
      <c r="F274" s="24">
        <v>10.8</v>
      </c>
      <c r="G274" s="115"/>
      <c r="O274" s="11"/>
    </row>
    <row r="275" spans="1:15">
      <c r="A275" s="15">
        <f t="shared" si="6"/>
        <v>264</v>
      </c>
      <c r="B275" s="323">
        <v>45095</v>
      </c>
      <c r="C275" s="11" t="s">
        <v>594</v>
      </c>
      <c r="D275" s="11" t="s">
        <v>619</v>
      </c>
      <c r="E275" s="10">
        <v>67668</v>
      </c>
      <c r="F275" s="24">
        <v>191.8</v>
      </c>
      <c r="G275" s="115"/>
      <c r="O275" s="11"/>
    </row>
    <row r="276" spans="1:15">
      <c r="A276" s="15">
        <f t="shared" si="6"/>
        <v>265</v>
      </c>
      <c r="B276" s="323">
        <v>45095</v>
      </c>
      <c r="C276" s="11" t="s">
        <v>594</v>
      </c>
      <c r="D276" s="11" t="s">
        <v>620</v>
      </c>
      <c r="E276" s="10">
        <v>67668</v>
      </c>
      <c r="F276" s="24">
        <v>126.52</v>
      </c>
      <c r="G276" s="115">
        <f>-F276</f>
        <v>-126.52</v>
      </c>
      <c r="O276" s="11"/>
    </row>
    <row r="277" spans="1:15">
      <c r="A277" s="15">
        <f t="shared" si="6"/>
        <v>266</v>
      </c>
      <c r="B277" s="323">
        <v>45107</v>
      </c>
      <c r="D277" s="11" t="s">
        <v>621</v>
      </c>
      <c r="E277" s="10">
        <v>0</v>
      </c>
      <c r="F277" s="24">
        <v>-8.1</v>
      </c>
      <c r="G277" s="115"/>
      <c r="O277" s="11"/>
    </row>
    <row r="278" spans="1:15">
      <c r="A278" s="15">
        <f t="shared" si="6"/>
        <v>267</v>
      </c>
      <c r="B278" s="323">
        <v>45107</v>
      </c>
      <c r="D278" s="11" t="s">
        <v>596</v>
      </c>
      <c r="E278" s="10">
        <v>0</v>
      </c>
      <c r="F278" s="24">
        <v>690.14</v>
      </c>
      <c r="G278" s="115"/>
      <c r="O278" s="11"/>
    </row>
    <row r="279" spans="1:15">
      <c r="A279" s="15">
        <f t="shared" si="6"/>
        <v>268</v>
      </c>
      <c r="B279" s="323">
        <v>45108</v>
      </c>
      <c r="C279" s="11" t="s">
        <v>592</v>
      </c>
      <c r="D279" s="11" t="s">
        <v>593</v>
      </c>
      <c r="E279" s="10">
        <v>67625</v>
      </c>
      <c r="F279" s="24">
        <v>10.8</v>
      </c>
      <c r="G279" s="115"/>
      <c r="O279" s="11"/>
    </row>
    <row r="280" spans="1:15">
      <c r="A280" s="15">
        <f t="shared" si="6"/>
        <v>269</v>
      </c>
      <c r="B280" s="323">
        <v>45126</v>
      </c>
      <c r="C280" s="11" t="s">
        <v>594</v>
      </c>
      <c r="D280" s="11" t="s">
        <v>622</v>
      </c>
      <c r="E280" s="10">
        <v>67782</v>
      </c>
      <c r="F280" s="24">
        <v>97.48</v>
      </c>
      <c r="G280" s="115"/>
      <c r="O280" s="11"/>
    </row>
    <row r="281" spans="1:15">
      <c r="A281" s="15">
        <f t="shared" si="6"/>
        <v>270</v>
      </c>
      <c r="B281" s="323">
        <v>45126</v>
      </c>
      <c r="C281" s="11" t="s">
        <v>594</v>
      </c>
      <c r="D281" s="11" t="s">
        <v>598</v>
      </c>
      <c r="E281" s="10">
        <v>67782</v>
      </c>
      <c r="F281" s="24">
        <v>126.52</v>
      </c>
      <c r="G281" s="115">
        <f>-F281</f>
        <v>-126.52</v>
      </c>
      <c r="O281" s="11"/>
    </row>
    <row r="282" spans="1:15">
      <c r="A282" s="15">
        <f t="shared" si="6"/>
        <v>271</v>
      </c>
      <c r="B282" s="323">
        <v>45126</v>
      </c>
      <c r="C282" s="11" t="s">
        <v>594</v>
      </c>
      <c r="D282" s="11" t="s">
        <v>623</v>
      </c>
      <c r="E282" s="10">
        <v>67782</v>
      </c>
      <c r="F282" s="24">
        <v>543.07000000000005</v>
      </c>
      <c r="G282" s="115"/>
      <c r="O282" s="11"/>
    </row>
    <row r="283" spans="1:15">
      <c r="A283" s="15">
        <f t="shared" si="6"/>
        <v>272</v>
      </c>
      <c r="B283" s="323">
        <v>45138</v>
      </c>
      <c r="D283" s="11" t="s">
        <v>596</v>
      </c>
      <c r="E283" s="10">
        <v>0</v>
      </c>
      <c r="F283" s="24">
        <v>690.14</v>
      </c>
      <c r="G283" s="115"/>
      <c r="O283" s="11"/>
    </row>
    <row r="284" spans="1:15">
      <c r="A284" s="15">
        <f t="shared" si="6"/>
        <v>273</v>
      </c>
      <c r="B284" s="323">
        <v>45139</v>
      </c>
      <c r="C284" s="11" t="s">
        <v>592</v>
      </c>
      <c r="D284" s="11" t="s">
        <v>593</v>
      </c>
      <c r="E284" s="10">
        <v>67752</v>
      </c>
      <c r="F284" s="24">
        <v>10.8</v>
      </c>
      <c r="G284" s="115"/>
      <c r="O284" s="11"/>
    </row>
    <row r="285" spans="1:15">
      <c r="A285" s="15">
        <f t="shared" si="6"/>
        <v>274</v>
      </c>
      <c r="B285" s="323">
        <v>45158</v>
      </c>
      <c r="C285" s="11" t="s">
        <v>594</v>
      </c>
      <c r="D285" s="11" t="s">
        <v>619</v>
      </c>
      <c r="E285" s="10">
        <v>67929</v>
      </c>
      <c r="F285" s="24">
        <v>125.28</v>
      </c>
      <c r="G285" s="115"/>
      <c r="O285" s="11"/>
    </row>
    <row r="286" spans="1:15">
      <c r="A286" s="15">
        <f t="shared" si="6"/>
        <v>275</v>
      </c>
      <c r="B286" s="323">
        <v>45158</v>
      </c>
      <c r="C286" s="11" t="s">
        <v>594</v>
      </c>
      <c r="D286" s="11" t="s">
        <v>598</v>
      </c>
      <c r="E286" s="10">
        <v>67929</v>
      </c>
      <c r="F286" s="24">
        <v>401.62</v>
      </c>
      <c r="G286" s="115">
        <f t="shared" ref="G286:G291" si="7">-F286</f>
        <v>-401.62</v>
      </c>
      <c r="O286" s="11"/>
    </row>
    <row r="287" spans="1:15">
      <c r="A287" s="15">
        <f t="shared" si="6"/>
        <v>276</v>
      </c>
      <c r="B287" s="323">
        <v>45158</v>
      </c>
      <c r="C287" s="11" t="s">
        <v>594</v>
      </c>
      <c r="D287" s="11" t="s">
        <v>624</v>
      </c>
      <c r="E287" s="10">
        <v>67929</v>
      </c>
      <c r="F287" s="24">
        <v>161.15</v>
      </c>
      <c r="G287" s="115">
        <f t="shared" si="7"/>
        <v>-161.15</v>
      </c>
      <c r="O287" s="11"/>
    </row>
    <row r="288" spans="1:15">
      <c r="A288" s="15">
        <f t="shared" si="6"/>
        <v>277</v>
      </c>
      <c r="B288" s="323">
        <v>45158</v>
      </c>
      <c r="C288" s="11" t="s">
        <v>594</v>
      </c>
      <c r="D288" s="11" t="s">
        <v>625</v>
      </c>
      <c r="E288" s="10">
        <v>67929</v>
      </c>
      <c r="F288" s="24">
        <v>161.15</v>
      </c>
      <c r="G288" s="115">
        <f t="shared" si="7"/>
        <v>-161.15</v>
      </c>
      <c r="O288" s="11"/>
    </row>
    <row r="289" spans="1:15">
      <c r="A289" s="15">
        <f t="shared" si="6"/>
        <v>278</v>
      </c>
      <c r="B289" s="323">
        <v>45158</v>
      </c>
      <c r="C289" s="11" t="s">
        <v>594</v>
      </c>
      <c r="D289" s="11" t="s">
        <v>626</v>
      </c>
      <c r="E289" s="10">
        <v>67929</v>
      </c>
      <c r="F289" s="24">
        <v>401.62</v>
      </c>
      <c r="G289" s="115">
        <f t="shared" si="7"/>
        <v>-401.62</v>
      </c>
      <c r="O289" s="11"/>
    </row>
    <row r="290" spans="1:15">
      <c r="A290" s="15">
        <f t="shared" si="6"/>
        <v>279</v>
      </c>
      <c r="B290" s="323">
        <v>45158</v>
      </c>
      <c r="C290" s="11" t="s">
        <v>594</v>
      </c>
      <c r="D290" s="11" t="s">
        <v>627</v>
      </c>
      <c r="E290" s="10">
        <v>67929</v>
      </c>
      <c r="F290" s="24">
        <v>161.15</v>
      </c>
      <c r="G290" s="115">
        <f t="shared" si="7"/>
        <v>-161.15</v>
      </c>
      <c r="O290" s="11"/>
    </row>
    <row r="291" spans="1:15">
      <c r="A291" s="15">
        <f t="shared" si="6"/>
        <v>280</v>
      </c>
      <c r="B291" s="323">
        <v>45158</v>
      </c>
      <c r="C291" s="11" t="s">
        <v>594</v>
      </c>
      <c r="D291" s="11" t="s">
        <v>628</v>
      </c>
      <c r="E291" s="10">
        <v>67929</v>
      </c>
      <c r="F291" s="24">
        <v>401.62</v>
      </c>
      <c r="G291" s="115">
        <f t="shared" si="7"/>
        <v>-401.62</v>
      </c>
      <c r="O291" s="11"/>
    </row>
    <row r="292" spans="1:15">
      <c r="A292" s="15">
        <f t="shared" si="6"/>
        <v>281</v>
      </c>
      <c r="B292" s="323">
        <v>45158</v>
      </c>
      <c r="C292" s="11" t="s">
        <v>594</v>
      </c>
      <c r="D292" s="11" t="s">
        <v>629</v>
      </c>
      <c r="E292" s="10">
        <v>67929</v>
      </c>
      <c r="F292" s="24">
        <v>334.17</v>
      </c>
      <c r="G292" s="115"/>
      <c r="O292" s="11"/>
    </row>
    <row r="293" spans="1:15">
      <c r="A293" s="15">
        <f t="shared" si="6"/>
        <v>282</v>
      </c>
      <c r="B293" s="323">
        <v>45161</v>
      </c>
      <c r="C293" s="11" t="s">
        <v>630</v>
      </c>
      <c r="D293" s="11" t="s">
        <v>631</v>
      </c>
      <c r="E293" s="10">
        <v>67957</v>
      </c>
      <c r="F293" s="24">
        <v>301</v>
      </c>
      <c r="G293" s="115">
        <f>-F293</f>
        <v>-301</v>
      </c>
      <c r="O293" s="11"/>
    </row>
    <row r="294" spans="1:15">
      <c r="A294" s="15">
        <f t="shared" si="6"/>
        <v>283</v>
      </c>
      <c r="B294" s="323">
        <v>45169</v>
      </c>
      <c r="D294" s="11" t="s">
        <v>596</v>
      </c>
      <c r="E294" s="10">
        <v>0</v>
      </c>
      <c r="F294" s="24">
        <v>690.14</v>
      </c>
      <c r="G294" s="115"/>
      <c r="O294" s="11"/>
    </row>
    <row r="295" spans="1:15">
      <c r="A295" s="15">
        <f t="shared" si="6"/>
        <v>284</v>
      </c>
      <c r="B295" s="323">
        <v>45170</v>
      </c>
      <c r="C295" s="11" t="s">
        <v>592</v>
      </c>
      <c r="D295" s="11" t="s">
        <v>593</v>
      </c>
      <c r="E295" s="10">
        <v>67900</v>
      </c>
      <c r="F295" s="24">
        <v>10.8</v>
      </c>
      <c r="G295" s="115"/>
      <c r="O295" s="11"/>
    </row>
    <row r="296" spans="1:15">
      <c r="A296" s="15">
        <f t="shared" si="6"/>
        <v>285</v>
      </c>
      <c r="B296" s="323">
        <v>45187</v>
      </c>
      <c r="C296" s="11" t="s">
        <v>594</v>
      </c>
      <c r="D296" s="11" t="s">
        <v>632</v>
      </c>
      <c r="E296" s="10">
        <v>68058</v>
      </c>
      <c r="F296" s="24">
        <v>370.45</v>
      </c>
      <c r="G296" s="115"/>
      <c r="O296" s="11"/>
    </row>
    <row r="297" spans="1:15">
      <c r="A297" s="15">
        <f t="shared" si="6"/>
        <v>286</v>
      </c>
      <c r="B297" s="323">
        <v>45187</v>
      </c>
      <c r="C297" s="11" t="s">
        <v>594</v>
      </c>
      <c r="D297" s="11" t="s">
        <v>619</v>
      </c>
      <c r="E297" s="10">
        <v>68058</v>
      </c>
      <c r="F297" s="24">
        <v>95.3</v>
      </c>
      <c r="G297" s="115"/>
      <c r="O297" s="11"/>
    </row>
    <row r="298" spans="1:15">
      <c r="A298" s="15">
        <f t="shared" si="6"/>
        <v>287</v>
      </c>
      <c r="B298" s="323">
        <v>45187</v>
      </c>
      <c r="C298" s="11" t="s">
        <v>594</v>
      </c>
      <c r="D298" s="11" t="s">
        <v>633</v>
      </c>
      <c r="E298" s="10">
        <v>68058</v>
      </c>
      <c r="F298" s="24">
        <v>549</v>
      </c>
      <c r="G298" s="115"/>
      <c r="O298" s="11"/>
    </row>
    <row r="299" spans="1:15">
      <c r="A299" s="15">
        <f t="shared" si="6"/>
        <v>288</v>
      </c>
      <c r="B299" s="323">
        <v>45187</v>
      </c>
      <c r="C299" s="11" t="s">
        <v>594</v>
      </c>
      <c r="D299" s="11" t="s">
        <v>634</v>
      </c>
      <c r="E299" s="10">
        <v>68058</v>
      </c>
      <c r="F299" s="24">
        <v>549</v>
      </c>
      <c r="G299" s="115"/>
      <c r="O299" s="11"/>
    </row>
    <row r="300" spans="1:15">
      <c r="A300" s="15">
        <f t="shared" si="6"/>
        <v>289</v>
      </c>
      <c r="B300" s="323">
        <v>45199</v>
      </c>
      <c r="D300" s="11" t="s">
        <v>596</v>
      </c>
      <c r="E300" s="10">
        <v>0</v>
      </c>
      <c r="F300" s="24">
        <v>690.14</v>
      </c>
      <c r="G300" s="115"/>
      <c r="O300" s="11"/>
    </row>
    <row r="301" spans="1:15">
      <c r="A301" s="15">
        <f t="shared" si="6"/>
        <v>290</v>
      </c>
      <c r="B301" s="323">
        <v>45200</v>
      </c>
      <c r="C301" s="11" t="s">
        <v>592</v>
      </c>
      <c r="D301" s="11" t="s">
        <v>593</v>
      </c>
      <c r="E301" s="10">
        <v>68018</v>
      </c>
      <c r="F301" s="24">
        <v>10.8</v>
      </c>
      <c r="G301" s="115"/>
      <c r="O301" s="11"/>
    </row>
    <row r="302" spans="1:15">
      <c r="A302" s="15">
        <f t="shared" si="6"/>
        <v>291</v>
      </c>
      <c r="B302" s="323">
        <v>45218</v>
      </c>
      <c r="C302" s="11" t="s">
        <v>594</v>
      </c>
      <c r="D302" s="11" t="s">
        <v>635</v>
      </c>
      <c r="E302" s="10">
        <v>68193</v>
      </c>
      <c r="F302" s="24">
        <v>268.39999999999998</v>
      </c>
      <c r="G302" s="115">
        <f t="shared" ref="G302:G304" si="8">-F302</f>
        <v>-268.39999999999998</v>
      </c>
      <c r="O302" s="11"/>
    </row>
    <row r="303" spans="1:15">
      <c r="A303" s="15">
        <f t="shared" si="6"/>
        <v>292</v>
      </c>
      <c r="B303" s="323">
        <v>45218</v>
      </c>
      <c r="C303" s="11" t="s">
        <v>594</v>
      </c>
      <c r="D303" s="11" t="s">
        <v>598</v>
      </c>
      <c r="E303" s="10">
        <v>68193</v>
      </c>
      <c r="F303" s="24">
        <v>779.07</v>
      </c>
      <c r="G303" s="115">
        <f t="shared" si="8"/>
        <v>-779.07</v>
      </c>
      <c r="O303" s="11"/>
    </row>
    <row r="304" spans="1:15">
      <c r="A304" s="15">
        <f t="shared" si="6"/>
        <v>293</v>
      </c>
      <c r="B304" s="323">
        <v>45218</v>
      </c>
      <c r="C304" s="11" t="s">
        <v>594</v>
      </c>
      <c r="D304" s="11" t="s">
        <v>636</v>
      </c>
      <c r="E304" s="10">
        <v>68193</v>
      </c>
      <c r="F304" s="24">
        <v>268.39999999999998</v>
      </c>
      <c r="G304" s="115">
        <f t="shared" si="8"/>
        <v>-268.39999999999998</v>
      </c>
      <c r="O304" s="11"/>
    </row>
    <row r="305" spans="1:15">
      <c r="A305" s="15">
        <f t="shared" si="6"/>
        <v>294</v>
      </c>
      <c r="B305" s="323">
        <v>45218</v>
      </c>
      <c r="C305" s="11" t="s">
        <v>594</v>
      </c>
      <c r="D305" s="11" t="s">
        <v>637</v>
      </c>
      <c r="E305" s="10">
        <v>68193</v>
      </c>
      <c r="F305" s="24">
        <v>324.39</v>
      </c>
      <c r="G305" s="115"/>
      <c r="O305" s="11"/>
    </row>
    <row r="306" spans="1:15">
      <c r="A306" s="15">
        <f t="shared" si="6"/>
        <v>295</v>
      </c>
      <c r="B306" s="323">
        <v>45223</v>
      </c>
      <c r="D306" s="11" t="s">
        <v>638</v>
      </c>
      <c r="E306" s="10">
        <v>0</v>
      </c>
      <c r="F306" s="24">
        <v>-5.4</v>
      </c>
      <c r="G306" s="115"/>
      <c r="O306" s="11"/>
    </row>
    <row r="307" spans="1:15">
      <c r="A307" s="15">
        <f t="shared" si="6"/>
        <v>296</v>
      </c>
      <c r="B307" s="323">
        <v>45230</v>
      </c>
      <c r="D307" s="11" t="s">
        <v>596</v>
      </c>
      <c r="E307" s="10">
        <v>0</v>
      </c>
      <c r="F307" s="24">
        <v>690.13</v>
      </c>
      <c r="G307" s="115"/>
      <c r="O307" s="11"/>
    </row>
    <row r="308" spans="1:15">
      <c r="A308" s="15">
        <f t="shared" si="6"/>
        <v>297</v>
      </c>
      <c r="B308" s="323">
        <v>45231</v>
      </c>
      <c r="C308" s="11" t="s">
        <v>592</v>
      </c>
      <c r="D308" s="11" t="s">
        <v>593</v>
      </c>
      <c r="E308" s="10">
        <v>68160</v>
      </c>
      <c r="F308" s="24">
        <v>10.8</v>
      </c>
      <c r="G308" s="115"/>
      <c r="O308" s="11"/>
    </row>
    <row r="309" spans="1:15">
      <c r="A309" s="15">
        <f t="shared" si="6"/>
        <v>298</v>
      </c>
      <c r="B309" s="323">
        <v>45243</v>
      </c>
      <c r="C309" s="11" t="s">
        <v>639</v>
      </c>
      <c r="D309" s="11" t="s">
        <v>640</v>
      </c>
      <c r="E309" s="10">
        <v>68218</v>
      </c>
      <c r="F309" s="24">
        <v>427.5</v>
      </c>
      <c r="G309" s="115">
        <f t="shared" ref="G309:G310" si="9">-F309</f>
        <v>-427.5</v>
      </c>
      <c r="O309" s="11"/>
    </row>
    <row r="310" spans="1:15">
      <c r="A310" s="15">
        <f t="shared" si="6"/>
        <v>299</v>
      </c>
      <c r="B310" s="323">
        <v>45249</v>
      </c>
      <c r="C310" s="11" t="s">
        <v>594</v>
      </c>
      <c r="D310" s="11" t="s">
        <v>478</v>
      </c>
      <c r="E310" s="10">
        <v>68325</v>
      </c>
      <c r="F310" s="24">
        <v>1247.7</v>
      </c>
      <c r="G310" s="115">
        <f t="shared" si="9"/>
        <v>-1247.7</v>
      </c>
      <c r="O310" s="11"/>
    </row>
    <row r="311" spans="1:15">
      <c r="A311" s="15">
        <f t="shared" si="6"/>
        <v>300</v>
      </c>
      <c r="B311" s="323">
        <v>45249</v>
      </c>
      <c r="C311" s="11" t="s">
        <v>594</v>
      </c>
      <c r="D311" s="11" t="s">
        <v>641</v>
      </c>
      <c r="E311" s="10">
        <v>68325</v>
      </c>
      <c r="F311" s="24">
        <v>229.97</v>
      </c>
      <c r="G311" s="115"/>
      <c r="O311" s="11"/>
    </row>
    <row r="312" spans="1:15">
      <c r="A312" s="15">
        <f t="shared" si="6"/>
        <v>301</v>
      </c>
      <c r="B312" s="323">
        <v>45249</v>
      </c>
      <c r="C312" s="11" t="s">
        <v>594</v>
      </c>
      <c r="D312" s="11" t="s">
        <v>642</v>
      </c>
      <c r="E312" s="10">
        <v>68325</v>
      </c>
      <c r="F312" s="24">
        <v>567.21</v>
      </c>
      <c r="G312" s="115"/>
      <c r="O312" s="11"/>
    </row>
    <row r="313" spans="1:15">
      <c r="A313" s="15">
        <f t="shared" si="6"/>
        <v>302</v>
      </c>
      <c r="B313" s="323">
        <v>45249</v>
      </c>
      <c r="C313" s="11" t="s">
        <v>594</v>
      </c>
      <c r="D313" s="11" t="s">
        <v>479</v>
      </c>
      <c r="E313" s="10">
        <v>68325</v>
      </c>
      <c r="F313" s="24">
        <v>206.88</v>
      </c>
      <c r="G313" s="115">
        <f>-F313</f>
        <v>-206.88</v>
      </c>
      <c r="O313" s="11"/>
    </row>
    <row r="314" spans="1:15">
      <c r="A314" s="15">
        <f t="shared" si="6"/>
        <v>303</v>
      </c>
      <c r="B314" s="323">
        <v>45260</v>
      </c>
      <c r="D314" s="11" t="s">
        <v>596</v>
      </c>
      <c r="E314" s="10">
        <v>0</v>
      </c>
      <c r="F314" s="24">
        <v>690.13</v>
      </c>
      <c r="G314" s="115"/>
      <c r="O314" s="11"/>
    </row>
    <row r="315" spans="1:15">
      <c r="A315" s="15">
        <f t="shared" si="6"/>
        <v>304</v>
      </c>
      <c r="B315" s="323">
        <v>45261</v>
      </c>
      <c r="C315" s="11" t="s">
        <v>592</v>
      </c>
      <c r="D315" s="11" t="s">
        <v>593</v>
      </c>
      <c r="E315" s="10">
        <v>68285</v>
      </c>
      <c r="F315" s="24">
        <v>10.8</v>
      </c>
      <c r="G315" s="115"/>
      <c r="O315" s="11"/>
    </row>
    <row r="316" spans="1:15">
      <c r="A316" s="15">
        <f t="shared" si="6"/>
        <v>305</v>
      </c>
      <c r="B316" s="323">
        <v>45279</v>
      </c>
      <c r="C316" s="11" t="s">
        <v>594</v>
      </c>
      <c r="D316" s="11" t="s">
        <v>643</v>
      </c>
      <c r="E316" s="10">
        <v>68498</v>
      </c>
      <c r="F316" s="24">
        <v>81.08</v>
      </c>
      <c r="G316" s="115">
        <f t="shared" ref="G316:G322" si="10">-F316</f>
        <v>-81.08</v>
      </c>
      <c r="O316" s="11"/>
    </row>
    <row r="317" spans="1:15">
      <c r="A317" s="15">
        <f t="shared" si="6"/>
        <v>306</v>
      </c>
      <c r="B317" s="323">
        <v>45279</v>
      </c>
      <c r="C317" s="11" t="s">
        <v>594</v>
      </c>
      <c r="D317" s="11" t="s">
        <v>598</v>
      </c>
      <c r="E317" s="10">
        <v>68498</v>
      </c>
      <c r="F317" s="24">
        <v>126.52</v>
      </c>
      <c r="G317" s="115">
        <f t="shared" si="10"/>
        <v>-126.52</v>
      </c>
      <c r="O317" s="11"/>
    </row>
    <row r="318" spans="1:15">
      <c r="A318" s="15">
        <f t="shared" si="6"/>
        <v>307</v>
      </c>
      <c r="B318" s="323">
        <v>45279</v>
      </c>
      <c r="C318" s="11" t="s">
        <v>594</v>
      </c>
      <c r="D318" s="11" t="s">
        <v>644</v>
      </c>
      <c r="E318" s="10">
        <v>68498</v>
      </c>
      <c r="F318" s="24">
        <v>81.08</v>
      </c>
      <c r="G318" s="115">
        <f t="shared" si="10"/>
        <v>-81.08</v>
      </c>
      <c r="O318" s="11"/>
    </row>
    <row r="319" spans="1:15">
      <c r="A319" s="15">
        <f t="shared" si="6"/>
        <v>308</v>
      </c>
      <c r="B319" s="323">
        <v>45279</v>
      </c>
      <c r="C319" s="11" t="s">
        <v>594</v>
      </c>
      <c r="D319" s="11" t="s">
        <v>645</v>
      </c>
      <c r="E319" s="10">
        <v>68498</v>
      </c>
      <c r="F319" s="24">
        <v>81.08</v>
      </c>
      <c r="G319" s="115">
        <f t="shared" si="10"/>
        <v>-81.08</v>
      </c>
      <c r="O319" s="11"/>
    </row>
    <row r="320" spans="1:15">
      <c r="A320" s="15">
        <f t="shared" si="6"/>
        <v>309</v>
      </c>
      <c r="B320" s="323">
        <v>45279</v>
      </c>
      <c r="C320" s="11" t="s">
        <v>594</v>
      </c>
      <c r="D320" s="11" t="s">
        <v>646</v>
      </c>
      <c r="E320" s="10">
        <v>68498</v>
      </c>
      <c r="F320" s="24">
        <v>81.08</v>
      </c>
      <c r="G320" s="115">
        <f t="shared" si="10"/>
        <v>-81.08</v>
      </c>
      <c r="O320" s="11"/>
    </row>
    <row r="321" spans="1:16">
      <c r="A321" s="15">
        <f t="shared" si="6"/>
        <v>310</v>
      </c>
      <c r="B321" s="323">
        <v>45279</v>
      </c>
      <c r="C321" s="11" t="s">
        <v>594</v>
      </c>
      <c r="D321" s="11" t="s">
        <v>647</v>
      </c>
      <c r="E321" s="10">
        <v>68498</v>
      </c>
      <c r="F321" s="24">
        <v>81.08</v>
      </c>
      <c r="G321" s="115">
        <f t="shared" si="10"/>
        <v>-81.08</v>
      </c>
      <c r="O321" s="11"/>
    </row>
    <row r="322" spans="1:16">
      <c r="A322" s="15">
        <f t="shared" si="6"/>
        <v>311</v>
      </c>
      <c r="B322" s="323">
        <v>45279</v>
      </c>
      <c r="C322" s="11" t="s">
        <v>594</v>
      </c>
      <c r="D322" s="11" t="s">
        <v>648</v>
      </c>
      <c r="E322" s="10">
        <v>68498</v>
      </c>
      <c r="F322" s="24">
        <v>81.08</v>
      </c>
      <c r="G322" s="115">
        <f t="shared" si="10"/>
        <v>-81.08</v>
      </c>
      <c r="O322" s="11"/>
    </row>
    <row r="323" spans="1:16">
      <c r="A323" s="15">
        <f t="shared" si="6"/>
        <v>312</v>
      </c>
      <c r="B323" s="323">
        <v>45279</v>
      </c>
      <c r="C323" s="11" t="s">
        <v>594</v>
      </c>
      <c r="D323" s="11" t="s">
        <v>649</v>
      </c>
      <c r="E323" s="10">
        <v>68498</v>
      </c>
      <c r="F323" s="24">
        <v>206.05</v>
      </c>
      <c r="G323" s="115"/>
      <c r="O323" s="11"/>
    </row>
    <row r="324" spans="1:16">
      <c r="A324" s="15">
        <f t="shared" si="6"/>
        <v>313</v>
      </c>
      <c r="B324" s="323">
        <v>45279</v>
      </c>
      <c r="C324" s="11" t="s">
        <v>594</v>
      </c>
      <c r="D324" s="11" t="s">
        <v>650</v>
      </c>
      <c r="E324" s="10">
        <v>68498</v>
      </c>
      <c r="F324" s="24">
        <v>81.08</v>
      </c>
      <c r="G324" s="115">
        <f>-F324</f>
        <v>-81.08</v>
      </c>
      <c r="O324" s="11"/>
    </row>
    <row r="325" spans="1:16">
      <c r="A325" s="15">
        <f t="shared" si="6"/>
        <v>314</v>
      </c>
      <c r="B325" s="323">
        <v>45291</v>
      </c>
      <c r="D325" s="11" t="s">
        <v>596</v>
      </c>
      <c r="E325" s="10">
        <v>0</v>
      </c>
      <c r="F325" s="24">
        <v>690.13</v>
      </c>
      <c r="G325" s="115"/>
      <c r="O325" s="11"/>
    </row>
    <row r="326" spans="1:16">
      <c r="A326" s="15">
        <f t="shared" si="6"/>
        <v>315</v>
      </c>
      <c r="E326" s="10"/>
      <c r="F326" s="24"/>
      <c r="G326" s="115"/>
      <c r="O326" s="11"/>
    </row>
    <row r="327" spans="1:16">
      <c r="A327" s="15">
        <f t="shared" si="6"/>
        <v>316</v>
      </c>
      <c r="E327" s="10" t="s">
        <v>14</v>
      </c>
      <c r="F327" s="24">
        <f>SUM(F12:F325)</f>
        <v>127143.77000000015</v>
      </c>
      <c r="G327" s="320">
        <f>SUM(G12:G325)</f>
        <v>-22703.180000000018</v>
      </c>
      <c r="J327" s="321"/>
      <c r="O327" s="11"/>
    </row>
    <row r="328" spans="1:16">
      <c r="A328" s="15"/>
      <c r="E328" s="10"/>
      <c r="F328" s="24"/>
      <c r="G328" s="115"/>
      <c r="O328" s="11"/>
    </row>
    <row r="329" spans="1:16">
      <c r="A329" s="15"/>
      <c r="E329" s="10"/>
      <c r="F329" s="24"/>
      <c r="G329" s="115"/>
      <c r="O329" s="11"/>
    </row>
    <row r="330" spans="1:16" ht="70.5" customHeight="1">
      <c r="A330" s="15"/>
      <c r="B330" s="292" t="s">
        <v>651</v>
      </c>
      <c r="C330" s="292"/>
      <c r="D330" s="292"/>
      <c r="E330" s="292"/>
      <c r="F330" s="292"/>
      <c r="G330" s="292"/>
      <c r="H330" s="9"/>
      <c r="I330" s="9"/>
      <c r="J330" s="9"/>
      <c r="K330" s="9"/>
      <c r="L330" s="9"/>
      <c r="M330" s="9"/>
      <c r="N330" s="9"/>
      <c r="O330" s="9"/>
      <c r="P330" s="9"/>
    </row>
  </sheetData>
  <mergeCells count="4">
    <mergeCell ref="A3:G3"/>
    <mergeCell ref="A4:G4"/>
    <mergeCell ref="A6:G6"/>
    <mergeCell ref="B330:G330"/>
  </mergeCells>
  <printOptions horizontalCentered="1"/>
  <pageMargins left="0.25" right="0.25" top="0.75" bottom="0.75" header="0.5" footer="0.25"/>
  <pageSetup scale="72" orientation="portrait" r:id="rId1"/>
  <headerFooter alignWithMargins="0">
    <oddFooter>&amp;RExhibit JW-2
Page &amp;P of &amp;N</oddFooter>
  </headerFooter>
  <colBreaks count="1" manualBreakCount="1">
    <brk id="10" max="32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FBDEB-1138-4E7C-9687-1A33B0EE1BD5}">
  <sheetPr>
    <tabColor theme="9" tint="0.79998168889431442"/>
  </sheetPr>
  <dimension ref="A1:AO149"/>
  <sheetViews>
    <sheetView view="pageBreakPreview" topLeftCell="A65" zoomScaleNormal="100" zoomScaleSheetLayoutView="100" workbookViewId="0">
      <selection activeCell="X92" sqref="X92"/>
    </sheetView>
  </sheetViews>
  <sheetFormatPr defaultColWidth="9.140625" defaultRowHeight="12.75"/>
  <cols>
    <col min="1" max="1" width="5.85546875" style="1" customWidth="1"/>
    <col min="2" max="2" width="1.28515625" style="2" customWidth="1"/>
    <col min="3" max="3" width="6.42578125" style="1" customWidth="1"/>
    <col min="4" max="4" width="8.85546875" style="1" customWidth="1"/>
    <col min="5" max="5" width="13.42578125" style="1" hidden="1" customWidth="1"/>
    <col min="6" max="6" width="4.5703125" style="1" customWidth="1"/>
    <col min="7" max="7" width="1.42578125" style="1" customWidth="1"/>
    <col min="8" max="8" width="16" style="2" customWidth="1"/>
    <col min="9" max="9" width="12.7109375" style="2" customWidth="1"/>
    <col min="10" max="10" width="10" style="2" customWidth="1"/>
    <col min="11" max="11" width="1.28515625" style="2" customWidth="1"/>
    <col min="12" max="12" width="13.28515625" style="2" customWidth="1"/>
    <col min="13" max="13" width="10.7109375" style="2" customWidth="1"/>
    <col min="14" max="14" width="9.7109375" style="2" customWidth="1"/>
    <col min="15" max="15" width="10.85546875" style="2" customWidth="1"/>
    <col min="16" max="16" width="14.5703125" style="2" customWidth="1"/>
    <col min="17" max="17" width="1.140625" style="2" customWidth="1"/>
    <col min="18" max="18" width="9.28515625" style="2" bestFit="1" customWidth="1"/>
    <col min="19" max="19" width="0.85546875" style="2" customWidth="1"/>
    <col min="20" max="20" width="12.85546875" style="2" customWidth="1"/>
    <col min="21" max="21" width="10.7109375" style="2" customWidth="1"/>
    <col min="22" max="22" width="9.42578125" style="2" customWidth="1"/>
    <col min="23" max="23" width="10" style="2" customWidth="1"/>
    <col min="24" max="24" width="13.7109375" style="2" customWidth="1"/>
    <col min="25" max="25" width="1" style="2" customWidth="1"/>
    <col min="26" max="26" width="15.42578125" style="2" customWidth="1"/>
    <col min="27" max="27" width="9.140625" style="2"/>
    <col min="28" max="28" width="12.85546875" style="96" bestFit="1" customWidth="1"/>
    <col min="29" max="16384" width="9.140625" style="2"/>
  </cols>
  <sheetData>
    <row r="1" spans="1:41">
      <c r="Z1" s="81" t="s">
        <v>138</v>
      </c>
    </row>
    <row r="2" spans="1:41" ht="17.25" customHeight="1">
      <c r="L2" s="81"/>
      <c r="Z2" s="307" t="s">
        <v>514</v>
      </c>
    </row>
    <row r="3" spans="1:41">
      <c r="A3" s="288" t="s">
        <v>29</v>
      </c>
      <c r="B3" s="288"/>
      <c r="C3" s="288"/>
      <c r="D3" s="288"/>
      <c r="E3" s="288"/>
      <c r="F3" s="288"/>
      <c r="G3" s="288"/>
      <c r="H3" s="288"/>
      <c r="I3" s="288"/>
      <c r="J3" s="288"/>
      <c r="K3" s="288"/>
      <c r="L3" s="288"/>
      <c r="M3" s="288"/>
      <c r="N3" s="288"/>
      <c r="O3" s="288"/>
      <c r="P3" s="288"/>
      <c r="Q3" s="288"/>
      <c r="R3" s="288"/>
      <c r="S3" s="288"/>
      <c r="T3" s="288"/>
      <c r="U3" s="288"/>
      <c r="V3" s="288"/>
      <c r="W3" s="288"/>
      <c r="X3" s="288"/>
      <c r="Y3" s="288"/>
      <c r="Z3" s="288"/>
    </row>
    <row r="4" spans="1:41">
      <c r="A4" s="288" t="s">
        <v>357</v>
      </c>
      <c r="B4" s="288"/>
      <c r="C4" s="288"/>
      <c r="D4" s="288"/>
      <c r="E4" s="288"/>
      <c r="F4" s="288"/>
      <c r="G4" s="288"/>
      <c r="H4" s="288"/>
      <c r="I4" s="288"/>
      <c r="J4" s="288"/>
      <c r="K4" s="288"/>
      <c r="L4" s="288"/>
      <c r="M4" s="288"/>
      <c r="N4" s="288"/>
      <c r="O4" s="288"/>
      <c r="P4" s="288"/>
      <c r="Q4" s="288"/>
      <c r="R4" s="288"/>
      <c r="S4" s="288"/>
      <c r="T4" s="288"/>
      <c r="U4" s="288"/>
      <c r="V4" s="288"/>
      <c r="W4" s="288"/>
      <c r="X4" s="288"/>
      <c r="Y4" s="288"/>
      <c r="Z4" s="288"/>
    </row>
    <row r="6" spans="1:41" s="82" customFormat="1" ht="18.75" customHeight="1">
      <c r="A6" s="289" t="s">
        <v>132</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B6" s="96"/>
    </row>
    <row r="7" spans="1:41" ht="7.5" customHeight="1">
      <c r="Y7" s="82"/>
    </row>
    <row r="8" spans="1:41" ht="27" customHeight="1">
      <c r="C8" s="293" t="s">
        <v>206</v>
      </c>
      <c r="D8" s="293"/>
      <c r="E8" s="293"/>
      <c r="F8" s="293"/>
      <c r="H8" s="293" t="s">
        <v>190</v>
      </c>
      <c r="I8" s="293"/>
      <c r="J8" s="293"/>
      <c r="L8" s="293" t="s">
        <v>187</v>
      </c>
      <c r="M8" s="293"/>
      <c r="N8" s="293"/>
      <c r="O8" s="293"/>
      <c r="P8" s="293"/>
      <c r="Q8" s="1"/>
      <c r="R8" s="294" t="s">
        <v>438</v>
      </c>
      <c r="T8" s="293" t="s">
        <v>201</v>
      </c>
      <c r="U8" s="293"/>
      <c r="V8" s="293"/>
      <c r="W8" s="293"/>
      <c r="X8" s="293"/>
      <c r="Y8" s="82"/>
      <c r="Z8" s="294" t="s">
        <v>208</v>
      </c>
    </row>
    <row r="9" spans="1:41" ht="16.5" customHeight="1">
      <c r="A9" s="1" t="s">
        <v>0</v>
      </c>
      <c r="C9" s="1" t="s">
        <v>200</v>
      </c>
      <c r="D9" s="1" t="s">
        <v>207</v>
      </c>
      <c r="E9" s="140" t="s">
        <v>260</v>
      </c>
      <c r="F9" s="1" t="s">
        <v>202</v>
      </c>
      <c r="H9" s="55" t="s">
        <v>195</v>
      </c>
      <c r="I9" s="55" t="s">
        <v>196</v>
      </c>
      <c r="J9" s="55" t="s">
        <v>211</v>
      </c>
      <c r="K9" s="1"/>
      <c r="L9" s="55" t="s">
        <v>195</v>
      </c>
      <c r="M9" s="55" t="s">
        <v>196</v>
      </c>
      <c r="N9" s="55" t="s">
        <v>211</v>
      </c>
      <c r="O9" s="55" t="s">
        <v>43</v>
      </c>
      <c r="P9" s="55" t="s">
        <v>50</v>
      </c>
      <c r="Q9" s="74"/>
      <c r="R9" s="294"/>
      <c r="S9" s="74"/>
      <c r="T9" s="55" t="s">
        <v>195</v>
      </c>
      <c r="U9" s="55" t="s">
        <v>196</v>
      </c>
      <c r="V9" s="55" t="s">
        <v>211</v>
      </c>
      <c r="W9" s="55" t="s">
        <v>43</v>
      </c>
      <c r="X9" s="55" t="s">
        <v>50</v>
      </c>
      <c r="Y9" s="83"/>
      <c r="Z9" s="294"/>
    </row>
    <row r="10" spans="1:41">
      <c r="A10" s="84" t="s">
        <v>21</v>
      </c>
      <c r="C10" s="85">
        <v>1</v>
      </c>
      <c r="D10" s="85">
        <f>C10+1</f>
        <v>2</v>
      </c>
      <c r="E10" s="141" t="s">
        <v>261</v>
      </c>
      <c r="F10" s="85">
        <f>D10+1</f>
        <v>3</v>
      </c>
      <c r="H10" s="85">
        <f>F10+1</f>
        <v>4</v>
      </c>
      <c r="I10" s="85">
        <f>H10+1</f>
        <v>5</v>
      </c>
      <c r="J10" s="85">
        <f>I10+1</f>
        <v>6</v>
      </c>
      <c r="K10" s="71"/>
      <c r="L10" s="85">
        <f>J10+1</f>
        <v>7</v>
      </c>
      <c r="M10" s="85">
        <f>L10+1</f>
        <v>8</v>
      </c>
      <c r="N10" s="85">
        <f>M10+1</f>
        <v>9</v>
      </c>
      <c r="O10" s="85">
        <f>N10+1</f>
        <v>10</v>
      </c>
      <c r="P10" s="85">
        <f>O10+1</f>
        <v>11</v>
      </c>
      <c r="Q10" s="74"/>
      <c r="R10" s="85">
        <f>P10+1</f>
        <v>12</v>
      </c>
      <c r="S10" s="74"/>
      <c r="T10" s="85">
        <f>R10+1</f>
        <v>13</v>
      </c>
      <c r="U10" s="85">
        <f>T10+1</f>
        <v>14</v>
      </c>
      <c r="V10" s="85">
        <f>U10+1</f>
        <v>15</v>
      </c>
      <c r="W10" s="85">
        <f>V10+1</f>
        <v>16</v>
      </c>
      <c r="X10" s="85">
        <f>W10+1</f>
        <v>17</v>
      </c>
      <c r="Y10" s="83"/>
      <c r="Z10" s="85">
        <f>X10+1</f>
        <v>18</v>
      </c>
    </row>
    <row r="11" spans="1:41">
      <c r="K11" s="71"/>
      <c r="Q11" s="74"/>
      <c r="S11" s="74"/>
      <c r="Y11" s="83"/>
    </row>
    <row r="12" spans="1:41" ht="20.100000000000001" hidden="1" customHeight="1" thickTop="1" thickBot="1">
      <c r="I12" s="53"/>
      <c r="J12" s="53"/>
      <c r="K12" s="70"/>
      <c r="L12" s="54" t="s">
        <v>187</v>
      </c>
      <c r="M12" s="86"/>
      <c r="N12" s="86"/>
      <c r="O12" s="86"/>
      <c r="P12" s="87"/>
      <c r="Q12" s="74"/>
      <c r="R12" s="55" t="s">
        <v>188</v>
      </c>
      <c r="S12" s="74"/>
      <c r="T12" s="296" t="s">
        <v>189</v>
      </c>
      <c r="U12" s="297"/>
      <c r="V12" s="297"/>
      <c r="W12" s="297"/>
      <c r="X12" s="298"/>
      <c r="Y12" s="83"/>
      <c r="AA12" s="55"/>
      <c r="AB12" s="183"/>
      <c r="AC12" s="55"/>
      <c r="AD12" s="55"/>
      <c r="AM12" s="38"/>
      <c r="AO12" s="38"/>
    </row>
    <row r="13" spans="1:41" ht="20.100000000000001" hidden="1" customHeight="1" thickTop="1" thickBot="1">
      <c r="D13" s="43"/>
      <c r="E13" s="43"/>
      <c r="F13" s="43"/>
      <c r="G13" s="43"/>
      <c r="H13" s="299" t="s">
        <v>190</v>
      </c>
      <c r="I13" s="300"/>
      <c r="J13" s="301"/>
      <c r="K13" s="71"/>
      <c r="L13" s="56"/>
      <c r="P13" s="57"/>
      <c r="Q13" s="74"/>
      <c r="R13" s="55" t="s">
        <v>106</v>
      </c>
      <c r="S13" s="74"/>
      <c r="T13" s="302" t="s">
        <v>191</v>
      </c>
      <c r="U13" s="303"/>
      <c r="V13" s="58"/>
      <c r="W13" s="58"/>
      <c r="X13" s="59"/>
      <c r="Y13" s="83"/>
      <c r="AA13" s="55"/>
      <c r="AB13" s="183"/>
      <c r="AC13" s="55"/>
      <c r="AD13" s="55"/>
      <c r="AE13" s="1"/>
      <c r="AF13" s="1"/>
      <c r="AG13" s="1"/>
      <c r="AH13" s="1"/>
      <c r="AI13" s="1"/>
      <c r="AM13" s="38"/>
      <c r="AO13" s="38"/>
    </row>
    <row r="14" spans="1:41" s="1" customFormat="1" ht="51.75" hidden="1" thickBot="1">
      <c r="C14" s="1" t="s">
        <v>200</v>
      </c>
      <c r="D14" s="1" t="s">
        <v>199</v>
      </c>
      <c r="E14" s="1" t="s">
        <v>199</v>
      </c>
      <c r="H14" s="60" t="s">
        <v>192</v>
      </c>
      <c r="I14" s="61" t="s">
        <v>193</v>
      </c>
      <c r="J14" s="62" t="s">
        <v>194</v>
      </c>
      <c r="K14" s="72"/>
      <c r="L14" s="60" t="s">
        <v>195</v>
      </c>
      <c r="M14" s="63" t="s">
        <v>196</v>
      </c>
      <c r="N14" s="62" t="s">
        <v>194</v>
      </c>
      <c r="O14" s="52" t="s">
        <v>197</v>
      </c>
      <c r="P14" s="64" t="s">
        <v>50</v>
      </c>
      <c r="Q14" s="74"/>
      <c r="R14" s="65" t="s">
        <v>198</v>
      </c>
      <c r="S14" s="74"/>
      <c r="T14" s="66" t="s">
        <v>195</v>
      </c>
      <c r="U14" s="66" t="s">
        <v>196</v>
      </c>
      <c r="V14" s="62" t="s">
        <v>194</v>
      </c>
      <c r="W14" s="52" t="s">
        <v>197</v>
      </c>
      <c r="X14" s="67" t="s">
        <v>50</v>
      </c>
      <c r="Y14" s="83"/>
      <c r="AA14" s="65"/>
      <c r="AB14" s="184"/>
      <c r="AD14" s="65"/>
      <c r="AE14" s="68"/>
      <c r="AF14" s="68"/>
      <c r="AG14" s="43"/>
      <c r="AH14" s="43"/>
      <c r="AI14" s="43"/>
      <c r="AL14" s="88"/>
      <c r="AN14" s="89"/>
    </row>
    <row r="15" spans="1:41">
      <c r="C15" s="8" t="s">
        <v>184</v>
      </c>
      <c r="F15" s="69"/>
      <c r="G15" s="69"/>
      <c r="H15" s="90"/>
      <c r="I15" s="90"/>
      <c r="J15" s="90"/>
      <c r="K15" s="91"/>
      <c r="L15" s="92"/>
      <c r="M15" s="92"/>
      <c r="N15" s="92"/>
      <c r="O15" s="92"/>
      <c r="P15" s="92"/>
      <c r="Q15" s="74"/>
      <c r="S15" s="74"/>
      <c r="Y15" s="83"/>
    </row>
    <row r="16" spans="1:41">
      <c r="A16" s="1">
        <f>A15+1</f>
        <v>1</v>
      </c>
      <c r="C16" s="1">
        <v>1</v>
      </c>
      <c r="D16" s="1" t="s">
        <v>262</v>
      </c>
      <c r="E16" s="10">
        <v>149</v>
      </c>
      <c r="H16" s="90">
        <v>2080</v>
      </c>
      <c r="I16" s="90">
        <v>0</v>
      </c>
      <c r="J16" s="90"/>
      <c r="K16" s="91"/>
      <c r="L16" s="92"/>
      <c r="M16" s="92">
        <v>0</v>
      </c>
      <c r="N16" s="92">
        <v>0</v>
      </c>
      <c r="O16" s="93">
        <v>1200</v>
      </c>
      <c r="P16" s="92">
        <f>SUM(L16:O16)</f>
        <v>1200</v>
      </c>
      <c r="Q16" s="74"/>
      <c r="R16" s="205">
        <v>59.62</v>
      </c>
      <c r="S16" s="74"/>
      <c r="T16" s="95">
        <f t="shared" ref="T16:T22" si="0">2080*R16</f>
        <v>124009.59999999999</v>
      </c>
      <c r="U16" s="95"/>
      <c r="V16" s="95" t="str">
        <f>IF(N16=0," ",+J16*R16)</f>
        <v xml:space="preserve"> </v>
      </c>
      <c r="W16" s="95"/>
      <c r="X16" s="95">
        <f t="shared" ref="X16:X22" si="1">SUM(T16:W16)</f>
        <v>124009.59999999999</v>
      </c>
      <c r="Y16" s="83"/>
      <c r="Z16" s="96">
        <f>X16-P16</f>
        <v>122809.59999999999</v>
      </c>
      <c r="AA16" s="188"/>
      <c r="AC16" s="115"/>
    </row>
    <row r="17" spans="1:29" ht="15.75" customHeight="1">
      <c r="A17" s="1">
        <f t="shared" ref="A17:A77" si="2">A16+1</f>
        <v>2</v>
      </c>
      <c r="C17" s="1">
        <v>1</v>
      </c>
      <c r="D17" s="1" t="s">
        <v>263</v>
      </c>
      <c r="E17" s="10">
        <v>16</v>
      </c>
      <c r="H17" s="90">
        <v>2080</v>
      </c>
      <c r="I17" s="90">
        <v>37.5</v>
      </c>
      <c r="J17" s="90"/>
      <c r="K17" s="91"/>
      <c r="L17" s="92">
        <f>106880.29-M17-N17-O17</f>
        <v>102897.59999999999</v>
      </c>
      <c r="M17" s="92">
        <v>2782.69</v>
      </c>
      <c r="N17" s="92"/>
      <c r="O17" s="93">
        <v>1200</v>
      </c>
      <c r="P17" s="92">
        <f t="shared" ref="P17:P23" si="3">SUM(L17:O17)</f>
        <v>106880.29</v>
      </c>
      <c r="Q17" s="74"/>
      <c r="R17" s="205">
        <v>49.47</v>
      </c>
      <c r="S17" s="74"/>
      <c r="T17" s="95">
        <f t="shared" si="0"/>
        <v>102897.59999999999</v>
      </c>
      <c r="U17" s="95"/>
      <c r="V17" s="95" t="str">
        <f t="shared" ref="V17:V22" si="4">IF(N17=0," ",+J17*R17)</f>
        <v xml:space="preserve"> </v>
      </c>
      <c r="W17" s="95"/>
      <c r="X17" s="95">
        <f t="shared" si="1"/>
        <v>102897.59999999999</v>
      </c>
      <c r="Y17" s="83"/>
      <c r="Z17" s="96">
        <f t="shared" ref="Z17:Z23" si="5">X17-P17</f>
        <v>-3982.6900000000023</v>
      </c>
      <c r="AA17" s="188"/>
      <c r="AC17" s="115"/>
    </row>
    <row r="18" spans="1:29" ht="15.75" customHeight="1">
      <c r="A18" s="1">
        <f t="shared" si="2"/>
        <v>3</v>
      </c>
      <c r="C18" s="1">
        <v>1</v>
      </c>
      <c r="D18" s="1" t="s">
        <v>264</v>
      </c>
      <c r="E18" s="10">
        <v>24</v>
      </c>
      <c r="H18" s="90">
        <v>2117.5</v>
      </c>
      <c r="I18" s="90"/>
      <c r="J18" s="90"/>
      <c r="K18" s="91"/>
      <c r="L18" s="92">
        <f>97016.89-M18-N18-O18</f>
        <v>95816.89</v>
      </c>
      <c r="M18" s="92"/>
      <c r="N18" s="92">
        <v>0</v>
      </c>
      <c r="O18" s="93">
        <v>1200</v>
      </c>
      <c r="P18" s="92">
        <f t="shared" si="3"/>
        <v>97016.89</v>
      </c>
      <c r="Q18" s="74"/>
      <c r="R18" s="205">
        <v>45.25</v>
      </c>
      <c r="S18" s="74"/>
      <c r="T18" s="95">
        <f t="shared" si="0"/>
        <v>94120</v>
      </c>
      <c r="U18" s="95"/>
      <c r="V18" s="95" t="str">
        <f t="shared" si="4"/>
        <v xml:space="preserve"> </v>
      </c>
      <c r="W18" s="95"/>
      <c r="X18" s="95">
        <f t="shared" si="1"/>
        <v>94120</v>
      </c>
      <c r="Y18" s="83"/>
      <c r="Z18" s="96">
        <f t="shared" si="5"/>
        <v>-2896.8899999999994</v>
      </c>
      <c r="AA18" s="188"/>
      <c r="AC18" s="115"/>
    </row>
    <row r="19" spans="1:29">
      <c r="A19" s="1">
        <f>A18+1</f>
        <v>4</v>
      </c>
      <c r="C19" s="1">
        <v>1</v>
      </c>
      <c r="D19" s="1" t="s">
        <v>265</v>
      </c>
      <c r="E19" s="10">
        <v>136</v>
      </c>
      <c r="H19" s="90">
        <v>2070</v>
      </c>
      <c r="I19" s="90">
        <v>10</v>
      </c>
      <c r="J19" s="90"/>
      <c r="K19" s="91"/>
      <c r="L19" s="92">
        <f>90312.9-M19-N19-O19</f>
        <v>88471.799999999988</v>
      </c>
      <c r="M19" s="92">
        <v>641.1</v>
      </c>
      <c r="N19" s="92"/>
      <c r="O19" s="93">
        <v>1200</v>
      </c>
      <c r="P19" s="92">
        <f t="shared" si="3"/>
        <v>90312.9</v>
      </c>
      <c r="Q19" s="74"/>
      <c r="R19" s="205">
        <v>42.74</v>
      </c>
      <c r="S19" s="74"/>
      <c r="T19" s="95">
        <f t="shared" si="0"/>
        <v>88899.199999999997</v>
      </c>
      <c r="U19" s="95"/>
      <c r="V19" s="95" t="str">
        <f t="shared" si="4"/>
        <v xml:space="preserve"> </v>
      </c>
      <c r="W19" s="95"/>
      <c r="X19" s="95">
        <f t="shared" si="1"/>
        <v>88899.199999999997</v>
      </c>
      <c r="Y19" s="83"/>
      <c r="Z19" s="96">
        <f t="shared" si="5"/>
        <v>-1413.6999999999971</v>
      </c>
      <c r="AA19" s="188"/>
      <c r="AC19" s="115"/>
    </row>
    <row r="20" spans="1:29">
      <c r="A20" s="1">
        <f t="shared" si="2"/>
        <v>5</v>
      </c>
      <c r="C20" s="1">
        <v>1</v>
      </c>
      <c r="D20" s="1" t="s">
        <v>266</v>
      </c>
      <c r="E20" s="10">
        <v>139</v>
      </c>
      <c r="H20" s="90">
        <v>2080</v>
      </c>
      <c r="I20" s="90">
        <v>140.5</v>
      </c>
      <c r="J20" s="90"/>
      <c r="K20" s="91"/>
      <c r="L20" s="92">
        <f>80620.38-M20-N20-O20</f>
        <v>72113.66</v>
      </c>
      <c r="M20" s="92">
        <v>7306.72</v>
      </c>
      <c r="N20" s="92"/>
      <c r="O20" s="93">
        <v>1200</v>
      </c>
      <c r="P20" s="92">
        <f t="shared" si="3"/>
        <v>80620.38</v>
      </c>
      <c r="Q20" s="74"/>
      <c r="R20" s="205">
        <v>34.67</v>
      </c>
      <c r="S20" s="74"/>
      <c r="T20" s="95">
        <f t="shared" si="0"/>
        <v>72113.600000000006</v>
      </c>
      <c r="U20" s="95"/>
      <c r="V20" s="95" t="str">
        <f t="shared" si="4"/>
        <v xml:space="preserve"> </v>
      </c>
      <c r="W20" s="95"/>
      <c r="X20" s="95">
        <f t="shared" si="1"/>
        <v>72113.600000000006</v>
      </c>
      <c r="Y20" s="83"/>
      <c r="Z20" s="96">
        <f t="shared" si="5"/>
        <v>-8506.7799999999988</v>
      </c>
      <c r="AA20" s="188"/>
      <c r="AC20" s="115"/>
    </row>
    <row r="21" spans="1:29">
      <c r="A21" s="1">
        <f t="shared" si="2"/>
        <v>6</v>
      </c>
      <c r="C21" s="1">
        <v>1</v>
      </c>
      <c r="D21" s="1" t="s">
        <v>269</v>
      </c>
      <c r="E21" s="10">
        <v>159</v>
      </c>
      <c r="H21" s="90">
        <v>2080</v>
      </c>
      <c r="I21" s="90">
        <v>29</v>
      </c>
      <c r="J21" s="90"/>
      <c r="K21" s="91"/>
      <c r="L21" s="92">
        <f>82147.82-M21-N21-O21</f>
        <v>79289.600000000006</v>
      </c>
      <c r="M21" s="92">
        <v>1658.22</v>
      </c>
      <c r="N21" s="92"/>
      <c r="O21" s="93">
        <v>1200</v>
      </c>
      <c r="P21" s="92">
        <f t="shared" si="3"/>
        <v>82147.820000000007</v>
      </c>
      <c r="Q21" s="74"/>
      <c r="R21" s="205">
        <v>38.119999999999997</v>
      </c>
      <c r="S21" s="74"/>
      <c r="T21" s="95">
        <f t="shared" si="0"/>
        <v>79289.599999999991</v>
      </c>
      <c r="U21" s="95"/>
      <c r="V21" s="95" t="str">
        <f t="shared" si="4"/>
        <v xml:space="preserve"> </v>
      </c>
      <c r="W21" s="95"/>
      <c r="X21" s="95">
        <f t="shared" si="1"/>
        <v>79289.599999999991</v>
      </c>
      <c r="Y21" s="83"/>
      <c r="Z21" s="96">
        <f t="shared" si="5"/>
        <v>-2858.2200000000157</v>
      </c>
      <c r="AA21" s="188"/>
      <c r="AC21" s="115"/>
    </row>
    <row r="22" spans="1:29">
      <c r="A22" s="1">
        <f t="shared" si="2"/>
        <v>7</v>
      </c>
      <c r="C22" s="1">
        <v>1</v>
      </c>
      <c r="D22" s="1" t="s">
        <v>267</v>
      </c>
      <c r="E22" s="10">
        <v>163</v>
      </c>
      <c r="H22" s="90">
        <v>2080</v>
      </c>
      <c r="I22" s="90"/>
      <c r="J22" s="90">
        <v>0</v>
      </c>
      <c r="K22" s="91"/>
      <c r="L22" s="92">
        <f>68779.23-M22-N22-O22</f>
        <v>67579.23</v>
      </c>
      <c r="M22" s="92"/>
      <c r="N22" s="92">
        <v>0</v>
      </c>
      <c r="O22" s="93">
        <v>1200</v>
      </c>
      <c r="P22" s="92">
        <f t="shared" si="3"/>
        <v>68779.23</v>
      </c>
      <c r="Q22" s="74"/>
      <c r="R22" s="205">
        <v>32.49</v>
      </c>
      <c r="S22" s="74"/>
      <c r="T22" s="95">
        <f t="shared" si="0"/>
        <v>67579.199999999997</v>
      </c>
      <c r="U22" s="95"/>
      <c r="V22" s="95" t="str">
        <f t="shared" si="4"/>
        <v xml:space="preserve"> </v>
      </c>
      <c r="W22" s="95"/>
      <c r="X22" s="95">
        <f t="shared" si="1"/>
        <v>67579.199999999997</v>
      </c>
      <c r="Y22" s="83"/>
      <c r="Z22" s="96">
        <f t="shared" si="5"/>
        <v>-1200.0299999999988</v>
      </c>
      <c r="AA22" s="188"/>
      <c r="AC22" s="115"/>
    </row>
    <row r="23" spans="1:29">
      <c r="A23" s="1">
        <f t="shared" si="2"/>
        <v>8</v>
      </c>
      <c r="C23" s="1">
        <v>1</v>
      </c>
      <c r="D23" s="1" t="s">
        <v>268</v>
      </c>
      <c r="E23" s="10">
        <v>172</v>
      </c>
      <c r="H23" s="90">
        <v>2080</v>
      </c>
      <c r="I23" s="90">
        <v>49</v>
      </c>
      <c r="J23" s="90">
        <v>0</v>
      </c>
      <c r="K23" s="91">
        <v>58512.57</v>
      </c>
      <c r="L23" s="92">
        <f>63673.04-M23-N23-O23</f>
        <v>60340.800000000003</v>
      </c>
      <c r="M23" s="92">
        <v>2132.2399999999998</v>
      </c>
      <c r="N23" s="92">
        <v>0</v>
      </c>
      <c r="O23" s="93">
        <v>1200</v>
      </c>
      <c r="P23" s="92">
        <f t="shared" si="3"/>
        <v>63673.04</v>
      </c>
      <c r="Q23" s="74"/>
      <c r="R23" s="205">
        <v>29.01</v>
      </c>
      <c r="S23" s="74"/>
      <c r="T23" s="95">
        <f>2080*R23</f>
        <v>60340.800000000003</v>
      </c>
      <c r="U23" s="95"/>
      <c r="V23" s="95" t="str">
        <f>IF(N23=0," ",+J23*R23)</f>
        <v xml:space="preserve"> </v>
      </c>
      <c r="W23" s="95"/>
      <c r="X23" s="95">
        <f>SUM(T23:W23)</f>
        <v>60340.800000000003</v>
      </c>
      <c r="Y23" s="83"/>
      <c r="Z23" s="96">
        <f t="shared" si="5"/>
        <v>-3332.239999999998</v>
      </c>
      <c r="AA23" s="188"/>
      <c r="AC23" s="115"/>
    </row>
    <row r="24" spans="1:29">
      <c r="A24" s="1" t="s">
        <v>426</v>
      </c>
      <c r="C24" s="4">
        <f>SUM(C16:C23)</f>
        <v>8</v>
      </c>
      <c r="D24" s="76" t="s">
        <v>22</v>
      </c>
      <c r="E24" s="76"/>
      <c r="F24" s="76"/>
      <c r="H24" s="77">
        <f>SUM(H16:H23)</f>
        <v>16667.5</v>
      </c>
      <c r="I24" s="77">
        <f t="shared" ref="I24:J24" si="6">SUM(I16:I23)</f>
        <v>266</v>
      </c>
      <c r="J24" s="77">
        <f t="shared" si="6"/>
        <v>0</v>
      </c>
      <c r="K24" s="91"/>
      <c r="L24" s="185">
        <f>SUM(L16:L23)</f>
        <v>566509.57999999996</v>
      </c>
      <c r="M24" s="78">
        <f t="shared" ref="M24:P24" si="7">SUM(M16:M23)</f>
        <v>14520.97</v>
      </c>
      <c r="N24" s="78">
        <f t="shared" si="7"/>
        <v>0</v>
      </c>
      <c r="O24" s="78">
        <f t="shared" si="7"/>
        <v>9600</v>
      </c>
      <c r="P24" s="78">
        <f t="shared" si="7"/>
        <v>590630.55000000005</v>
      </c>
      <c r="Q24" s="74"/>
      <c r="R24" s="75"/>
      <c r="S24" s="74"/>
      <c r="T24" s="79">
        <f>SUM(T16:T23)</f>
        <v>689249.6</v>
      </c>
      <c r="U24" s="79">
        <f>SUM(U16:U23)</f>
        <v>0</v>
      </c>
      <c r="V24" s="79">
        <f>SUM(V16:V23)</f>
        <v>0</v>
      </c>
      <c r="W24" s="79">
        <f>SUM(W16:W23)</f>
        <v>0</v>
      </c>
      <c r="X24" s="79">
        <f>SUM(X16:X23)</f>
        <v>689249.6</v>
      </c>
      <c r="Y24" s="83"/>
      <c r="Z24" s="97">
        <f>X24-P24</f>
        <v>98619.04999999993</v>
      </c>
      <c r="AA24" s="188"/>
      <c r="AC24" s="115"/>
    </row>
    <row r="25" spans="1:29">
      <c r="A25" s="1" t="s">
        <v>427</v>
      </c>
      <c r="H25" s="90"/>
      <c r="I25" s="90"/>
      <c r="J25" s="90"/>
      <c r="K25" s="91"/>
      <c r="L25" s="92"/>
      <c r="M25" s="92"/>
      <c r="N25" s="92"/>
      <c r="O25" s="92"/>
      <c r="P25" s="92"/>
      <c r="Q25" s="74"/>
      <c r="R25" s="94"/>
      <c r="S25" s="74"/>
      <c r="T25" s="94"/>
      <c r="U25" s="94"/>
      <c r="V25" s="94"/>
      <c r="W25" s="94"/>
      <c r="X25" s="94"/>
      <c r="Y25" s="83"/>
      <c r="AA25" s="188"/>
      <c r="AC25" s="115"/>
    </row>
    <row r="26" spans="1:29">
      <c r="A26" s="1" t="s">
        <v>427</v>
      </c>
      <c r="C26" s="8" t="s">
        <v>209</v>
      </c>
      <c r="F26" s="69"/>
      <c r="G26" s="69"/>
      <c r="H26" s="48"/>
      <c r="I26" s="48"/>
      <c r="J26" s="48"/>
      <c r="K26" s="73"/>
      <c r="L26" s="49"/>
      <c r="M26" s="49"/>
      <c r="N26" s="49"/>
      <c r="O26" s="49"/>
      <c r="P26" s="49"/>
      <c r="Q26" s="74"/>
      <c r="R26" s="46"/>
      <c r="S26" s="74"/>
      <c r="T26" s="46"/>
      <c r="U26" s="46"/>
      <c r="V26" s="46"/>
      <c r="W26" s="46"/>
      <c r="X26" s="46"/>
      <c r="Y26" s="83"/>
      <c r="AA26" s="188"/>
      <c r="AC26" s="115"/>
    </row>
    <row r="27" spans="1:29">
      <c r="A27" s="1">
        <v>9</v>
      </c>
      <c r="C27" s="1">
        <v>1</v>
      </c>
      <c r="D27" s="1" t="s">
        <v>270</v>
      </c>
      <c r="E27" s="10">
        <v>5</v>
      </c>
      <c r="H27" s="90">
        <v>1580</v>
      </c>
      <c r="I27" s="90">
        <v>98.5</v>
      </c>
      <c r="J27" s="90"/>
      <c r="K27" s="91"/>
      <c r="L27" s="92">
        <f>67493.89-M27-N27-O27</f>
        <v>60627.81</v>
      </c>
      <c r="M27" s="92">
        <v>5666.08</v>
      </c>
      <c r="N27" s="92">
        <v>0</v>
      </c>
      <c r="O27" s="92">
        <v>1200</v>
      </c>
      <c r="P27" s="92">
        <f>SUM(L27:O27)</f>
        <v>67493.89</v>
      </c>
      <c r="Q27" s="74"/>
      <c r="R27" s="205">
        <v>38.409999999999997</v>
      </c>
      <c r="S27" s="74"/>
      <c r="T27" s="95">
        <f t="shared" ref="T27:T61" si="8">2080*R27</f>
        <v>79892.799999999988</v>
      </c>
      <c r="U27" s="95">
        <f>(+I27*R27)*1.5</f>
        <v>5675.0774999999994</v>
      </c>
      <c r="V27" s="95" t="str">
        <f t="shared" ref="V27:V61" si="9">IF(N27=0," ",+J27*R27)</f>
        <v xml:space="preserve"> </v>
      </c>
      <c r="W27" s="95">
        <f t="shared" ref="W27:W61" si="10">IF(O27=0," ",+O27)</f>
        <v>1200</v>
      </c>
      <c r="X27" s="95">
        <f t="shared" ref="X27:X61" si="11">SUM(T27:W27)</f>
        <v>86767.877499999988</v>
      </c>
      <c r="Y27" s="83"/>
      <c r="Z27" s="96">
        <f>X27-P27</f>
        <v>19273.987499999988</v>
      </c>
      <c r="AA27" s="188"/>
      <c r="AC27" s="115"/>
    </row>
    <row r="28" spans="1:29">
      <c r="A28" s="1">
        <f t="shared" si="2"/>
        <v>10</v>
      </c>
      <c r="C28" s="1">
        <v>1</v>
      </c>
      <c r="D28" s="1" t="s">
        <v>271</v>
      </c>
      <c r="E28" s="10">
        <v>10</v>
      </c>
      <c r="H28" s="90">
        <v>2080</v>
      </c>
      <c r="I28" s="90">
        <v>1446</v>
      </c>
      <c r="J28" s="90"/>
      <c r="K28" s="91"/>
      <c r="L28" s="92">
        <f>163595.31-M28-N28-O28</f>
        <v>79500.009999999995</v>
      </c>
      <c r="M28" s="92">
        <v>82895.3</v>
      </c>
      <c r="N28" s="92"/>
      <c r="O28" s="92">
        <v>1200</v>
      </c>
      <c r="P28" s="92">
        <f t="shared" ref="P28:P61" si="12">SUM(L28:O28)</f>
        <v>163595.31</v>
      </c>
      <c r="Q28" s="74"/>
      <c r="R28" s="205">
        <v>38.25</v>
      </c>
      <c r="S28" s="74"/>
      <c r="T28" s="95">
        <f t="shared" si="8"/>
        <v>79560</v>
      </c>
      <c r="U28" s="95">
        <f t="shared" ref="U28:U61" si="13">(+I28*R28)*1.5</f>
        <v>82964.25</v>
      </c>
      <c r="V28" s="95" t="str">
        <f t="shared" si="9"/>
        <v xml:space="preserve"> </v>
      </c>
      <c r="W28" s="95">
        <f t="shared" si="10"/>
        <v>1200</v>
      </c>
      <c r="X28" s="95">
        <f t="shared" si="11"/>
        <v>163724.25</v>
      </c>
      <c r="Y28" s="83"/>
      <c r="Z28" s="96">
        <f>X28-P28</f>
        <v>128.94000000000233</v>
      </c>
      <c r="AA28" s="188"/>
      <c r="AC28" s="115"/>
    </row>
    <row r="29" spans="1:29">
      <c r="A29" s="1">
        <f t="shared" si="2"/>
        <v>11</v>
      </c>
      <c r="C29" s="1">
        <v>1</v>
      </c>
      <c r="D29" s="1" t="s">
        <v>272</v>
      </c>
      <c r="E29" s="10">
        <v>11</v>
      </c>
      <c r="H29" s="90">
        <v>2080</v>
      </c>
      <c r="I29" s="90">
        <v>840</v>
      </c>
      <c r="J29" s="90"/>
      <c r="K29" s="91"/>
      <c r="L29" s="92">
        <f>128864.27-M29-N29-O29</f>
        <v>79500</v>
      </c>
      <c r="M29" s="92">
        <v>48164.27</v>
      </c>
      <c r="N29" s="92"/>
      <c r="O29" s="92">
        <v>1200</v>
      </c>
      <c r="P29" s="92">
        <f t="shared" si="12"/>
        <v>128864.26999999999</v>
      </c>
      <c r="Q29" s="74"/>
      <c r="R29" s="205">
        <v>38.25</v>
      </c>
      <c r="S29" s="74"/>
      <c r="T29" s="95">
        <f t="shared" si="8"/>
        <v>79560</v>
      </c>
      <c r="U29" s="95">
        <f t="shared" si="13"/>
        <v>48195</v>
      </c>
      <c r="V29" s="95" t="str">
        <f t="shared" si="9"/>
        <v xml:space="preserve"> </v>
      </c>
      <c r="W29" s="95">
        <f t="shared" si="10"/>
        <v>1200</v>
      </c>
      <c r="X29" s="95">
        <f t="shared" si="11"/>
        <v>128955</v>
      </c>
      <c r="Y29" s="83"/>
      <c r="Z29" s="96">
        <f>X29-P29</f>
        <v>90.730000000010477</v>
      </c>
      <c r="AA29" s="188"/>
      <c r="AC29" s="115"/>
    </row>
    <row r="30" spans="1:29">
      <c r="A30" s="1">
        <f t="shared" si="2"/>
        <v>12</v>
      </c>
      <c r="C30" s="1">
        <v>1</v>
      </c>
      <c r="D30" s="1" t="s">
        <v>273</v>
      </c>
      <c r="E30" s="10">
        <v>25</v>
      </c>
      <c r="H30" s="90">
        <v>2081</v>
      </c>
      <c r="I30" s="90">
        <v>713</v>
      </c>
      <c r="J30" s="90"/>
      <c r="K30" s="91"/>
      <c r="L30" s="93">
        <f>128627.99-M30-N30-O30</f>
        <v>84178.880000000005</v>
      </c>
      <c r="M30" s="92">
        <v>43249.11</v>
      </c>
      <c r="N30" s="92"/>
      <c r="O30" s="92">
        <v>1200</v>
      </c>
      <c r="P30" s="92">
        <f>SUM(L30:O30)</f>
        <v>128627.99</v>
      </c>
      <c r="Q30" s="74"/>
      <c r="R30" s="205">
        <v>40.479999999999997</v>
      </c>
      <c r="S30" s="74"/>
      <c r="T30" s="95">
        <f t="shared" si="8"/>
        <v>84198.399999999994</v>
      </c>
      <c r="U30" s="95">
        <f t="shared" si="13"/>
        <v>43293.36</v>
      </c>
      <c r="V30" s="95" t="str">
        <f t="shared" si="9"/>
        <v xml:space="preserve"> </v>
      </c>
      <c r="W30" s="95">
        <f t="shared" si="10"/>
        <v>1200</v>
      </c>
      <c r="X30" s="95">
        <f t="shared" si="11"/>
        <v>128691.76</v>
      </c>
      <c r="Y30" s="83"/>
      <c r="Z30" s="96">
        <f t="shared" ref="Z30:Z64" si="14">X30-P30</f>
        <v>63.769999999989523</v>
      </c>
      <c r="AA30" s="188"/>
      <c r="AC30" s="115"/>
    </row>
    <row r="31" spans="1:29">
      <c r="A31" s="1">
        <f t="shared" si="2"/>
        <v>13</v>
      </c>
      <c r="C31" s="1">
        <v>1</v>
      </c>
      <c r="D31" s="1" t="s">
        <v>274</v>
      </c>
      <c r="E31" s="10">
        <v>38</v>
      </c>
      <c r="H31" s="90">
        <f>2380-I31-J31</f>
        <v>2065</v>
      </c>
      <c r="I31" s="90">
        <v>315</v>
      </c>
      <c r="J31" s="90"/>
      <c r="K31" s="91"/>
      <c r="L31" s="92">
        <f>101573.42-M31-N3-O31</f>
        <v>81788</v>
      </c>
      <c r="M31" s="92">
        <v>18585.419999999998</v>
      </c>
      <c r="N31" s="92"/>
      <c r="O31" s="92">
        <v>1200</v>
      </c>
      <c r="P31" s="92">
        <f t="shared" si="12"/>
        <v>101573.42</v>
      </c>
      <c r="Q31" s="74"/>
      <c r="R31" s="205">
        <v>39.35</v>
      </c>
      <c r="S31" s="74"/>
      <c r="T31" s="95">
        <f t="shared" si="8"/>
        <v>81848</v>
      </c>
      <c r="U31" s="95">
        <f t="shared" si="13"/>
        <v>18592.875</v>
      </c>
      <c r="V31" s="95" t="str">
        <f t="shared" si="9"/>
        <v xml:space="preserve"> </v>
      </c>
      <c r="W31" s="95">
        <f t="shared" si="10"/>
        <v>1200</v>
      </c>
      <c r="X31" s="95">
        <f t="shared" si="11"/>
        <v>101640.875</v>
      </c>
      <c r="Y31" s="83"/>
      <c r="Z31" s="96">
        <f t="shared" si="14"/>
        <v>67.455000000001746</v>
      </c>
      <c r="AA31" s="188"/>
      <c r="AC31" s="115"/>
    </row>
    <row r="32" spans="1:29">
      <c r="A32" s="1">
        <f t="shared" si="2"/>
        <v>14</v>
      </c>
      <c r="C32" s="1">
        <v>1</v>
      </c>
      <c r="D32" s="1" t="s">
        <v>275</v>
      </c>
      <c r="E32" s="10">
        <v>40</v>
      </c>
      <c r="H32" s="90">
        <v>2082</v>
      </c>
      <c r="I32" s="90">
        <v>57.5</v>
      </c>
      <c r="J32" s="90"/>
      <c r="K32" s="91"/>
      <c r="L32" s="96">
        <f>82340.98-M32-N32-O32</f>
        <v>77910.909999999989</v>
      </c>
      <c r="M32" s="92">
        <v>3230.07</v>
      </c>
      <c r="N32" s="92"/>
      <c r="O32" s="92">
        <v>1200</v>
      </c>
      <c r="P32" s="92">
        <f t="shared" si="12"/>
        <v>82340.98</v>
      </c>
      <c r="Q32" s="74"/>
      <c r="R32" s="205">
        <v>37.450000000000003</v>
      </c>
      <c r="S32" s="74"/>
      <c r="T32" s="95">
        <f t="shared" si="8"/>
        <v>77896</v>
      </c>
      <c r="U32" s="95">
        <f t="shared" si="13"/>
        <v>3230.0625</v>
      </c>
      <c r="V32" s="95" t="str">
        <f t="shared" si="9"/>
        <v xml:space="preserve"> </v>
      </c>
      <c r="W32" s="95">
        <f t="shared" si="10"/>
        <v>1200</v>
      </c>
      <c r="X32" s="95">
        <f t="shared" si="11"/>
        <v>82326.0625</v>
      </c>
      <c r="Y32" s="83"/>
      <c r="Z32" s="96">
        <f t="shared" si="14"/>
        <v>-14.917499999995925</v>
      </c>
      <c r="AA32" s="188"/>
      <c r="AC32" s="115"/>
    </row>
    <row r="33" spans="1:29">
      <c r="A33" s="1">
        <f t="shared" si="2"/>
        <v>15</v>
      </c>
      <c r="C33" s="1">
        <v>1</v>
      </c>
      <c r="D33" s="1" t="s">
        <v>276</v>
      </c>
      <c r="E33" s="10">
        <v>41</v>
      </c>
      <c r="H33" s="90">
        <v>2080</v>
      </c>
      <c r="I33" s="90">
        <v>134.5</v>
      </c>
      <c r="J33" s="90"/>
      <c r="K33" s="91"/>
      <c r="L33" s="92">
        <f>88782.03-M33-N33-O33</f>
        <v>79832.800000000003</v>
      </c>
      <c r="M33" s="92">
        <v>7749.23</v>
      </c>
      <c r="N33" s="92"/>
      <c r="O33" s="92">
        <v>1200</v>
      </c>
      <c r="P33" s="92">
        <f t="shared" si="12"/>
        <v>88782.03</v>
      </c>
      <c r="Q33" s="74"/>
      <c r="R33" s="205">
        <v>38.409999999999997</v>
      </c>
      <c r="S33" s="74"/>
      <c r="T33" s="95">
        <f t="shared" si="8"/>
        <v>79892.799999999988</v>
      </c>
      <c r="U33" s="95">
        <f t="shared" si="13"/>
        <v>7749.2174999999988</v>
      </c>
      <c r="V33" s="95" t="str">
        <f t="shared" si="9"/>
        <v xml:space="preserve"> </v>
      </c>
      <c r="W33" s="95">
        <f t="shared" si="10"/>
        <v>1200</v>
      </c>
      <c r="X33" s="95">
        <f t="shared" si="11"/>
        <v>88842.017499999987</v>
      </c>
      <c r="Y33" s="83"/>
      <c r="Z33" s="96">
        <f t="shared" si="14"/>
        <v>59.987499999988358</v>
      </c>
      <c r="AA33" s="188"/>
      <c r="AC33" s="115"/>
    </row>
    <row r="34" spans="1:29">
      <c r="A34" s="1">
        <f t="shared" si="2"/>
        <v>16</v>
      </c>
      <c r="C34" s="1">
        <v>1</v>
      </c>
      <c r="D34" s="1" t="s">
        <v>277</v>
      </c>
      <c r="E34" s="10">
        <v>43</v>
      </c>
      <c r="H34" s="90">
        <v>2082</v>
      </c>
      <c r="I34" s="90">
        <v>139.5</v>
      </c>
      <c r="J34" s="90"/>
      <c r="K34" s="91"/>
      <c r="L34" s="92">
        <f>93869.56-M34-N34-O34</f>
        <v>84199.12</v>
      </c>
      <c r="M34" s="92">
        <v>8470.44</v>
      </c>
      <c r="N34" s="92">
        <v>0</v>
      </c>
      <c r="O34" s="92">
        <v>1200</v>
      </c>
      <c r="P34" s="92">
        <f t="shared" si="12"/>
        <v>93869.56</v>
      </c>
      <c r="Q34" s="74"/>
      <c r="R34" s="205">
        <v>40.479999999999997</v>
      </c>
      <c r="S34" s="74"/>
      <c r="T34" s="95">
        <f t="shared" si="8"/>
        <v>84198.399999999994</v>
      </c>
      <c r="U34" s="95">
        <f t="shared" si="13"/>
        <v>8470.4399999999987</v>
      </c>
      <c r="V34" s="95" t="str">
        <f t="shared" si="9"/>
        <v xml:space="preserve"> </v>
      </c>
      <c r="W34" s="95">
        <f t="shared" si="10"/>
        <v>1200</v>
      </c>
      <c r="X34" s="95">
        <f t="shared" si="11"/>
        <v>93868.84</v>
      </c>
      <c r="Y34" s="83"/>
      <c r="Z34" s="96">
        <f t="shared" si="14"/>
        <v>-0.72000000000116415</v>
      </c>
      <c r="AA34" s="188"/>
      <c r="AC34" s="115"/>
    </row>
    <row r="35" spans="1:29">
      <c r="A35" s="1">
        <f t="shared" si="2"/>
        <v>17</v>
      </c>
      <c r="C35" s="1">
        <v>1</v>
      </c>
      <c r="D35" s="1" t="s">
        <v>278</v>
      </c>
      <c r="E35" s="10">
        <v>50</v>
      </c>
      <c r="H35" s="90">
        <v>2070</v>
      </c>
      <c r="I35" s="90">
        <v>122.5</v>
      </c>
      <c r="J35" s="90"/>
      <c r="K35" s="91"/>
      <c r="L35" s="92">
        <f>87281.1-M35-N35-O35</f>
        <v>79069.14</v>
      </c>
      <c r="M35" s="92">
        <v>7011.96</v>
      </c>
      <c r="N35" s="92"/>
      <c r="O35" s="92">
        <v>1200</v>
      </c>
      <c r="P35" s="92">
        <f t="shared" si="12"/>
        <v>87281.1</v>
      </c>
      <c r="Q35" s="74"/>
      <c r="R35" s="205">
        <v>38.25</v>
      </c>
      <c r="S35" s="74"/>
      <c r="T35" s="95">
        <f t="shared" si="8"/>
        <v>79560</v>
      </c>
      <c r="U35" s="95">
        <f t="shared" si="13"/>
        <v>7028.4375</v>
      </c>
      <c r="V35" s="95" t="str">
        <f t="shared" si="9"/>
        <v xml:space="preserve"> </v>
      </c>
      <c r="W35" s="95">
        <f t="shared" si="10"/>
        <v>1200</v>
      </c>
      <c r="X35" s="95">
        <f t="shared" si="11"/>
        <v>87788.4375</v>
      </c>
      <c r="Y35" s="83"/>
      <c r="Z35" s="96">
        <f t="shared" si="14"/>
        <v>507.33749999999418</v>
      </c>
      <c r="AA35" s="188"/>
      <c r="AC35" s="115"/>
    </row>
    <row r="36" spans="1:29">
      <c r="A36" s="1">
        <f t="shared" si="2"/>
        <v>18</v>
      </c>
      <c r="C36" s="1">
        <v>1</v>
      </c>
      <c r="D36" s="1" t="s">
        <v>279</v>
      </c>
      <c r="E36" s="10">
        <v>187</v>
      </c>
      <c r="H36" s="90">
        <v>1839</v>
      </c>
      <c r="I36" s="90">
        <v>192</v>
      </c>
      <c r="J36" s="90"/>
      <c r="K36" s="91"/>
      <c r="L36" s="92">
        <f>82479.77-M36-N36-O36</f>
        <v>70281.75</v>
      </c>
      <c r="M36" s="92">
        <v>10998.02</v>
      </c>
      <c r="N36" s="92"/>
      <c r="O36" s="92">
        <v>1200</v>
      </c>
      <c r="P36" s="92">
        <f t="shared" si="12"/>
        <v>82479.77</v>
      </c>
      <c r="Q36" s="74"/>
      <c r="R36" s="205">
        <v>38.25</v>
      </c>
      <c r="S36" s="74"/>
      <c r="T36" s="95">
        <f t="shared" si="8"/>
        <v>79560</v>
      </c>
      <c r="U36" s="95">
        <f t="shared" si="13"/>
        <v>11016</v>
      </c>
      <c r="V36" s="95" t="str">
        <f t="shared" si="9"/>
        <v xml:space="preserve"> </v>
      </c>
      <c r="W36" s="95">
        <f t="shared" si="10"/>
        <v>1200</v>
      </c>
      <c r="X36" s="95">
        <f t="shared" si="11"/>
        <v>91776</v>
      </c>
      <c r="Y36" s="83"/>
      <c r="Z36" s="96">
        <f t="shared" si="14"/>
        <v>9296.2299999999959</v>
      </c>
      <c r="AA36" s="188"/>
      <c r="AC36" s="115"/>
    </row>
    <row r="37" spans="1:29">
      <c r="A37" s="1">
        <f t="shared" si="2"/>
        <v>19</v>
      </c>
      <c r="C37" s="1">
        <v>1</v>
      </c>
      <c r="D37" s="1" t="s">
        <v>280</v>
      </c>
      <c r="E37" s="10">
        <v>194</v>
      </c>
      <c r="H37" s="90">
        <v>2079</v>
      </c>
      <c r="I37" s="90">
        <v>407.5</v>
      </c>
      <c r="J37" s="90"/>
      <c r="K37" s="91"/>
      <c r="L37" s="92">
        <f>104007.58-M37-N37-O37</f>
        <v>79461.75</v>
      </c>
      <c r="M37" s="92">
        <v>23345.83</v>
      </c>
      <c r="N37" s="92"/>
      <c r="O37" s="92">
        <v>1200</v>
      </c>
      <c r="P37" s="92">
        <f t="shared" si="12"/>
        <v>104007.58</v>
      </c>
      <c r="Q37" s="74"/>
      <c r="R37" s="205">
        <v>38.25</v>
      </c>
      <c r="S37" s="74"/>
      <c r="T37" s="95">
        <f t="shared" si="8"/>
        <v>79560</v>
      </c>
      <c r="U37" s="95">
        <f t="shared" si="13"/>
        <v>23380.3125</v>
      </c>
      <c r="V37" s="95" t="str">
        <f t="shared" si="9"/>
        <v xml:space="preserve"> </v>
      </c>
      <c r="W37" s="95">
        <f t="shared" si="10"/>
        <v>1200</v>
      </c>
      <c r="X37" s="95">
        <f t="shared" si="11"/>
        <v>104140.3125</v>
      </c>
      <c r="Y37" s="83"/>
      <c r="Z37" s="96">
        <f t="shared" si="14"/>
        <v>132.73249999999825</v>
      </c>
      <c r="AA37" s="188"/>
      <c r="AC37" s="115"/>
    </row>
    <row r="38" spans="1:29">
      <c r="A38" s="1">
        <f t="shared" si="2"/>
        <v>20</v>
      </c>
      <c r="C38" s="1">
        <v>1</v>
      </c>
      <c r="D38" s="1" t="s">
        <v>281</v>
      </c>
      <c r="E38" s="10">
        <v>197</v>
      </c>
      <c r="H38" s="90">
        <v>2071</v>
      </c>
      <c r="I38" s="90">
        <v>185</v>
      </c>
      <c r="J38" s="90"/>
      <c r="K38" s="91"/>
      <c r="L38" s="92">
        <f>90471.97-M38-N38-O38</f>
        <v>78742.720000000001</v>
      </c>
      <c r="M38" s="92">
        <v>10529.25</v>
      </c>
      <c r="N38" s="92"/>
      <c r="O38" s="92">
        <v>1200</v>
      </c>
      <c r="P38" s="92">
        <f t="shared" si="12"/>
        <v>90471.97</v>
      </c>
      <c r="Q38" s="74"/>
      <c r="R38" s="205">
        <v>38</v>
      </c>
      <c r="S38" s="74"/>
      <c r="T38" s="95">
        <f t="shared" si="8"/>
        <v>79040</v>
      </c>
      <c r="U38" s="95">
        <f t="shared" si="13"/>
        <v>10545</v>
      </c>
      <c r="V38" s="95" t="str">
        <f t="shared" si="9"/>
        <v xml:space="preserve"> </v>
      </c>
      <c r="W38" s="95">
        <f t="shared" si="10"/>
        <v>1200</v>
      </c>
      <c r="X38" s="95">
        <f t="shared" si="11"/>
        <v>90785</v>
      </c>
      <c r="Y38" s="83"/>
      <c r="Z38" s="96">
        <f t="shared" si="14"/>
        <v>313.02999999999884</v>
      </c>
      <c r="AA38" s="188"/>
      <c r="AC38" s="115"/>
    </row>
    <row r="39" spans="1:29">
      <c r="A39" s="1">
        <f t="shared" si="2"/>
        <v>21</v>
      </c>
      <c r="C39" s="1">
        <v>1</v>
      </c>
      <c r="D39" s="1" t="s">
        <v>282</v>
      </c>
      <c r="E39" s="10">
        <v>200</v>
      </c>
      <c r="H39" s="90">
        <v>716</v>
      </c>
      <c r="I39" s="90"/>
      <c r="J39" s="90"/>
      <c r="K39" s="91"/>
      <c r="L39" s="92">
        <f>27181-M39-N39-O39</f>
        <v>25981</v>
      </c>
      <c r="M39" s="92"/>
      <c r="N39" s="92"/>
      <c r="O39" s="92">
        <v>1200</v>
      </c>
      <c r="P39" s="92">
        <f t="shared" si="12"/>
        <v>27181</v>
      </c>
      <c r="Q39" s="74"/>
      <c r="R39" s="205">
        <v>38</v>
      </c>
      <c r="S39" s="74"/>
      <c r="T39" s="95">
        <f t="shared" si="8"/>
        <v>79040</v>
      </c>
      <c r="U39" s="95">
        <f t="shared" si="13"/>
        <v>0</v>
      </c>
      <c r="V39" s="95" t="str">
        <f t="shared" si="9"/>
        <v xml:space="preserve"> </v>
      </c>
      <c r="W39" s="95">
        <f t="shared" si="10"/>
        <v>1200</v>
      </c>
      <c r="X39" s="95">
        <f t="shared" si="11"/>
        <v>80240</v>
      </c>
      <c r="Y39" s="83"/>
      <c r="Z39" s="96">
        <f t="shared" si="14"/>
        <v>53059</v>
      </c>
      <c r="AA39" s="188"/>
      <c r="AC39" s="115"/>
    </row>
    <row r="40" spans="1:29">
      <c r="A40" s="1">
        <f t="shared" si="2"/>
        <v>22</v>
      </c>
      <c r="C40" s="1">
        <v>1</v>
      </c>
      <c r="D40" s="1" t="s">
        <v>283</v>
      </c>
      <c r="E40" s="10">
        <v>201</v>
      </c>
      <c r="H40" s="90">
        <v>2078</v>
      </c>
      <c r="I40" s="90">
        <v>270.5</v>
      </c>
      <c r="J40" s="90"/>
      <c r="K40" s="91"/>
      <c r="L40" s="92">
        <f>94536.17-M40-N40-O40</f>
        <v>78145.600000000006</v>
      </c>
      <c r="M40" s="92">
        <v>15190.57</v>
      </c>
      <c r="N40" s="92"/>
      <c r="O40" s="92">
        <v>1200</v>
      </c>
      <c r="P40" s="92">
        <f t="shared" si="12"/>
        <v>94536.170000000013</v>
      </c>
      <c r="Q40" s="74"/>
      <c r="R40" s="205">
        <v>36.479999999999997</v>
      </c>
      <c r="S40" s="74"/>
      <c r="T40" s="95">
        <f t="shared" si="8"/>
        <v>75878.399999999994</v>
      </c>
      <c r="U40" s="95">
        <f t="shared" si="13"/>
        <v>14801.759999999998</v>
      </c>
      <c r="V40" s="95" t="str">
        <f t="shared" si="9"/>
        <v xml:space="preserve"> </v>
      </c>
      <c r="W40" s="95">
        <f t="shared" si="10"/>
        <v>1200</v>
      </c>
      <c r="X40" s="95">
        <f t="shared" si="11"/>
        <v>91880.159999999989</v>
      </c>
      <c r="Y40" s="83"/>
      <c r="Z40" s="96">
        <f t="shared" si="14"/>
        <v>-2656.0100000000239</v>
      </c>
      <c r="AA40" s="188"/>
      <c r="AC40" s="115"/>
    </row>
    <row r="41" spans="1:29">
      <c r="A41" s="1">
        <f t="shared" si="2"/>
        <v>23</v>
      </c>
      <c r="C41" s="1">
        <v>1</v>
      </c>
      <c r="D41" s="1" t="s">
        <v>284</v>
      </c>
      <c r="E41" s="10">
        <v>205</v>
      </c>
      <c r="H41" s="90">
        <v>2082</v>
      </c>
      <c r="I41" s="90">
        <v>146.5</v>
      </c>
      <c r="J41" s="90"/>
      <c r="K41" s="91"/>
      <c r="L41" s="92">
        <f>88917.34-M41-N41-O41</f>
        <v>79329.64</v>
      </c>
      <c r="M41" s="92">
        <v>8387.7000000000007</v>
      </c>
      <c r="N41" s="92"/>
      <c r="O41" s="92">
        <v>1200</v>
      </c>
      <c r="P41" s="92">
        <f t="shared" si="12"/>
        <v>88917.34</v>
      </c>
      <c r="Q41" s="74"/>
      <c r="R41" s="205">
        <v>38</v>
      </c>
      <c r="S41" s="74"/>
      <c r="T41" s="95">
        <f t="shared" si="8"/>
        <v>79040</v>
      </c>
      <c r="U41" s="95">
        <f t="shared" si="13"/>
        <v>8350.5</v>
      </c>
      <c r="V41" s="95" t="str">
        <f t="shared" si="9"/>
        <v xml:space="preserve"> </v>
      </c>
      <c r="W41" s="95">
        <f t="shared" si="10"/>
        <v>1200</v>
      </c>
      <c r="X41" s="95">
        <f t="shared" si="11"/>
        <v>88590.5</v>
      </c>
      <c r="Y41" s="83"/>
      <c r="Z41" s="96">
        <f t="shared" si="14"/>
        <v>-326.83999999999651</v>
      </c>
      <c r="AA41" s="188"/>
      <c r="AC41" s="115"/>
    </row>
    <row r="42" spans="1:29">
      <c r="A42" s="1">
        <f t="shared" si="2"/>
        <v>24</v>
      </c>
      <c r="C42" s="1">
        <v>1</v>
      </c>
      <c r="D42" s="1" t="s">
        <v>285</v>
      </c>
      <c r="E42" s="10">
        <v>208</v>
      </c>
      <c r="H42" s="90">
        <v>2080</v>
      </c>
      <c r="I42" s="90">
        <v>110.5</v>
      </c>
      <c r="J42" s="90"/>
      <c r="K42" s="91"/>
      <c r="L42" s="92">
        <f>83581.51-M42-N42-O42</f>
        <v>76296.799999999988</v>
      </c>
      <c r="M42" s="92">
        <v>6084.71</v>
      </c>
      <c r="N42" s="92"/>
      <c r="O42" s="92">
        <v>1200</v>
      </c>
      <c r="P42" s="92">
        <f t="shared" si="12"/>
        <v>83581.509999999995</v>
      </c>
      <c r="Q42" s="74"/>
      <c r="R42" s="205">
        <v>36.71</v>
      </c>
      <c r="S42" s="74"/>
      <c r="T42" s="95">
        <f t="shared" si="8"/>
        <v>76356.800000000003</v>
      </c>
      <c r="U42" s="95">
        <f t="shared" si="13"/>
        <v>6084.6824999999999</v>
      </c>
      <c r="V42" s="95" t="str">
        <f t="shared" si="9"/>
        <v xml:space="preserve"> </v>
      </c>
      <c r="W42" s="95">
        <f t="shared" si="10"/>
        <v>1200</v>
      </c>
      <c r="X42" s="95">
        <f t="shared" si="11"/>
        <v>83641.482499999998</v>
      </c>
      <c r="Y42" s="83"/>
      <c r="Z42" s="96">
        <f t="shared" si="14"/>
        <v>59.972500000003492</v>
      </c>
      <c r="AA42" s="188"/>
      <c r="AC42" s="115"/>
    </row>
    <row r="43" spans="1:29">
      <c r="A43" s="1">
        <f t="shared" si="2"/>
        <v>25</v>
      </c>
      <c r="C43" s="1">
        <v>1</v>
      </c>
      <c r="D43" s="1" t="s">
        <v>286</v>
      </c>
      <c r="E43" s="10">
        <v>214</v>
      </c>
      <c r="F43" s="1" t="s">
        <v>203</v>
      </c>
      <c r="H43" s="90"/>
      <c r="I43" s="90"/>
      <c r="J43" s="90"/>
      <c r="K43" s="91"/>
      <c r="L43" s="92"/>
      <c r="M43" s="92"/>
      <c r="N43" s="92"/>
      <c r="O43" s="92">
        <v>0</v>
      </c>
      <c r="P43" s="92">
        <f t="shared" si="12"/>
        <v>0</v>
      </c>
      <c r="Q43" s="74"/>
      <c r="R43" s="205">
        <v>0</v>
      </c>
      <c r="S43" s="74"/>
      <c r="T43" s="95">
        <f t="shared" si="8"/>
        <v>0</v>
      </c>
      <c r="U43" s="95">
        <f t="shared" si="13"/>
        <v>0</v>
      </c>
      <c r="V43" s="95" t="str">
        <f t="shared" si="9"/>
        <v xml:space="preserve"> </v>
      </c>
      <c r="W43" s="95" t="str">
        <f t="shared" si="10"/>
        <v xml:space="preserve"> </v>
      </c>
      <c r="X43" s="95">
        <f t="shared" si="11"/>
        <v>0</v>
      </c>
      <c r="Y43" s="83"/>
      <c r="Z43" s="96">
        <f t="shared" si="14"/>
        <v>0</v>
      </c>
      <c r="AA43" s="188"/>
      <c r="AC43" s="115"/>
    </row>
    <row r="44" spans="1:29">
      <c r="A44" s="1">
        <f t="shared" si="2"/>
        <v>26</v>
      </c>
      <c r="C44" s="1">
        <v>1</v>
      </c>
      <c r="D44" s="1" t="s">
        <v>287</v>
      </c>
      <c r="E44" s="1">
        <v>216</v>
      </c>
      <c r="H44" s="90">
        <v>2078</v>
      </c>
      <c r="I44" s="90">
        <v>252.5</v>
      </c>
      <c r="J44" s="90"/>
      <c r="K44" s="91"/>
      <c r="L44" s="92">
        <f>83435.16-M44-N44-O44</f>
        <v>69553</v>
      </c>
      <c r="M44" s="92">
        <v>12682.16</v>
      </c>
      <c r="N44" s="92"/>
      <c r="O44" s="92">
        <v>1200</v>
      </c>
      <c r="P44" s="92">
        <f t="shared" si="12"/>
        <v>83435.16</v>
      </c>
      <c r="Q44" s="74"/>
      <c r="R44" s="200">
        <v>33.5</v>
      </c>
      <c r="S44" s="74"/>
      <c r="T44" s="95">
        <f t="shared" si="8"/>
        <v>69680</v>
      </c>
      <c r="U44" s="95">
        <f t="shared" si="13"/>
        <v>12688.125</v>
      </c>
      <c r="V44" s="95" t="str">
        <f t="shared" si="9"/>
        <v xml:space="preserve"> </v>
      </c>
      <c r="W44" s="95">
        <f t="shared" si="10"/>
        <v>1200</v>
      </c>
      <c r="X44" s="95">
        <f t="shared" si="11"/>
        <v>83568.125</v>
      </c>
      <c r="Y44" s="83"/>
      <c r="Z44" s="96"/>
      <c r="AA44" s="188"/>
      <c r="AC44" s="115"/>
    </row>
    <row r="45" spans="1:29">
      <c r="A45" s="1">
        <f t="shared" si="2"/>
        <v>27</v>
      </c>
      <c r="C45" s="1">
        <v>1</v>
      </c>
      <c r="D45" s="1" t="s">
        <v>288</v>
      </c>
      <c r="E45" s="1">
        <v>222</v>
      </c>
      <c r="H45" s="90">
        <v>2075</v>
      </c>
      <c r="I45" s="90">
        <v>348.5</v>
      </c>
      <c r="J45" s="90"/>
      <c r="K45" s="91"/>
      <c r="L45" s="92">
        <f>99701.5-M45-N45-O45</f>
        <v>78694</v>
      </c>
      <c r="M45" s="92">
        <v>19807.5</v>
      </c>
      <c r="N45" s="92"/>
      <c r="O45" s="92">
        <v>1200</v>
      </c>
      <c r="P45" s="92">
        <f t="shared" si="12"/>
        <v>99701.5</v>
      </c>
      <c r="Q45" s="74"/>
      <c r="R45" s="200">
        <v>38</v>
      </c>
      <c r="S45" s="74"/>
      <c r="T45" s="95">
        <f t="shared" si="8"/>
        <v>79040</v>
      </c>
      <c r="U45" s="95">
        <f t="shared" si="13"/>
        <v>19864.5</v>
      </c>
      <c r="V45" s="95" t="str">
        <f t="shared" si="9"/>
        <v xml:space="preserve"> </v>
      </c>
      <c r="W45" s="95">
        <f t="shared" si="10"/>
        <v>1200</v>
      </c>
      <c r="X45" s="95">
        <f t="shared" si="11"/>
        <v>100104.5</v>
      </c>
      <c r="Y45" s="83"/>
      <c r="Z45" s="96"/>
      <c r="AA45" s="188"/>
      <c r="AC45" s="115"/>
    </row>
    <row r="46" spans="1:29">
      <c r="A46" s="1">
        <f t="shared" si="2"/>
        <v>28</v>
      </c>
      <c r="C46" s="1">
        <v>1</v>
      </c>
      <c r="D46" s="1" t="s">
        <v>289</v>
      </c>
      <c r="E46" s="1">
        <v>224</v>
      </c>
      <c r="H46" s="90">
        <v>2072</v>
      </c>
      <c r="I46" s="90">
        <v>158</v>
      </c>
      <c r="J46" s="90"/>
      <c r="K46" s="91"/>
      <c r="L46" s="92">
        <f>88748-M46-N46-O46</f>
        <v>78542</v>
      </c>
      <c r="M46" s="92">
        <v>9006</v>
      </c>
      <c r="N46" s="92"/>
      <c r="O46" s="92">
        <v>1200</v>
      </c>
      <c r="P46" s="92">
        <f t="shared" si="12"/>
        <v>88748</v>
      </c>
      <c r="Q46" s="74"/>
      <c r="R46" s="200">
        <v>38</v>
      </c>
      <c r="S46" s="74"/>
      <c r="T46" s="95">
        <f t="shared" si="8"/>
        <v>79040</v>
      </c>
      <c r="U46" s="95">
        <f t="shared" si="13"/>
        <v>9006</v>
      </c>
      <c r="V46" s="95" t="str">
        <f t="shared" si="9"/>
        <v xml:space="preserve"> </v>
      </c>
      <c r="W46" s="95">
        <f t="shared" si="10"/>
        <v>1200</v>
      </c>
      <c r="X46" s="95">
        <f t="shared" si="11"/>
        <v>89246</v>
      </c>
      <c r="Y46" s="83"/>
      <c r="Z46" s="96">
        <f t="shared" si="14"/>
        <v>498</v>
      </c>
      <c r="AA46" s="188"/>
      <c r="AC46" s="115"/>
    </row>
    <row r="47" spans="1:29">
      <c r="A47" s="1">
        <f t="shared" si="2"/>
        <v>29</v>
      </c>
      <c r="C47" s="1">
        <v>1</v>
      </c>
      <c r="D47" s="1" t="s">
        <v>290</v>
      </c>
      <c r="E47" s="10">
        <v>164</v>
      </c>
      <c r="H47" s="90">
        <v>2080</v>
      </c>
      <c r="I47" s="90">
        <v>3.5</v>
      </c>
      <c r="J47" s="90"/>
      <c r="K47" s="91"/>
      <c r="L47" s="92">
        <f>59587-M47-N47-O47</f>
        <v>58240</v>
      </c>
      <c r="M47" s="92">
        <v>147</v>
      </c>
      <c r="N47" s="92"/>
      <c r="O47" s="92">
        <v>1200</v>
      </c>
      <c r="P47" s="92">
        <f t="shared" si="12"/>
        <v>59587</v>
      </c>
      <c r="Q47" s="74"/>
      <c r="R47" s="205">
        <v>28</v>
      </c>
      <c r="S47" s="74"/>
      <c r="T47" s="95">
        <f t="shared" si="8"/>
        <v>58240</v>
      </c>
      <c r="U47" s="95">
        <f t="shared" si="13"/>
        <v>147</v>
      </c>
      <c r="V47" s="95" t="str">
        <f t="shared" si="9"/>
        <v xml:space="preserve"> </v>
      </c>
      <c r="W47" s="95">
        <f t="shared" si="10"/>
        <v>1200</v>
      </c>
      <c r="X47" s="95">
        <f t="shared" si="11"/>
        <v>59587</v>
      </c>
      <c r="Y47" s="83"/>
      <c r="Z47" s="96"/>
      <c r="AA47" s="188"/>
      <c r="AC47" s="115"/>
    </row>
    <row r="48" spans="1:29">
      <c r="A48" s="1">
        <f t="shared" si="2"/>
        <v>30</v>
      </c>
      <c r="C48" s="1">
        <v>1</v>
      </c>
      <c r="D48" s="1" t="s">
        <v>291</v>
      </c>
      <c r="E48" s="10">
        <v>166</v>
      </c>
      <c r="H48" s="90">
        <v>2080</v>
      </c>
      <c r="I48" s="90">
        <v>57.5</v>
      </c>
      <c r="J48" s="90"/>
      <c r="K48" s="91"/>
      <c r="L48" s="92">
        <f>63696.31-M48-N48-O48</f>
        <v>60048</v>
      </c>
      <c r="M48" s="92">
        <v>2448.31</v>
      </c>
      <c r="N48" s="92"/>
      <c r="O48" s="92">
        <v>1200</v>
      </c>
      <c r="P48" s="92">
        <f t="shared" si="12"/>
        <v>63696.31</v>
      </c>
      <c r="Q48" s="74"/>
      <c r="R48" s="205">
        <v>28.85</v>
      </c>
      <c r="S48" s="74"/>
      <c r="T48" s="95">
        <f t="shared" si="8"/>
        <v>60008</v>
      </c>
      <c r="U48" s="95">
        <f t="shared" si="13"/>
        <v>2488.3125</v>
      </c>
      <c r="V48" s="95" t="str">
        <f t="shared" si="9"/>
        <v xml:space="preserve"> </v>
      </c>
      <c r="W48" s="95">
        <f t="shared" si="10"/>
        <v>1200</v>
      </c>
      <c r="X48" s="95">
        <f t="shared" si="11"/>
        <v>63696.3125</v>
      </c>
      <c r="Y48" s="83"/>
      <c r="Z48" s="96"/>
      <c r="AA48" s="188"/>
      <c r="AC48" s="115"/>
    </row>
    <row r="49" spans="1:29">
      <c r="A49" s="1">
        <f t="shared" si="2"/>
        <v>31</v>
      </c>
      <c r="C49" s="1">
        <v>1</v>
      </c>
      <c r="D49" s="1" t="s">
        <v>292</v>
      </c>
      <c r="E49" s="10">
        <v>182</v>
      </c>
      <c r="H49" s="90">
        <v>2080</v>
      </c>
      <c r="I49" s="90">
        <v>32.5</v>
      </c>
      <c r="J49" s="90"/>
      <c r="K49" s="91"/>
      <c r="L49" s="92">
        <f>68213.05-M49-N49-O49</f>
        <v>65478.400000000009</v>
      </c>
      <c r="M49" s="92">
        <v>1534.65</v>
      </c>
      <c r="N49" s="92"/>
      <c r="O49" s="92">
        <v>1200</v>
      </c>
      <c r="P49" s="92">
        <f t="shared" si="12"/>
        <v>68213.05</v>
      </c>
      <c r="Q49" s="74"/>
      <c r="R49" s="205">
        <v>31.48</v>
      </c>
      <c r="S49" s="74"/>
      <c r="T49" s="95">
        <f t="shared" si="8"/>
        <v>65478.400000000001</v>
      </c>
      <c r="U49" s="95">
        <f t="shared" si="13"/>
        <v>1534.65</v>
      </c>
      <c r="V49" s="95" t="str">
        <f t="shared" si="9"/>
        <v xml:space="preserve"> </v>
      </c>
      <c r="W49" s="95">
        <f t="shared" si="10"/>
        <v>1200</v>
      </c>
      <c r="X49" s="95">
        <f t="shared" si="11"/>
        <v>68213.05</v>
      </c>
      <c r="Y49" s="83"/>
      <c r="Z49" s="96">
        <f t="shared" si="14"/>
        <v>0</v>
      </c>
      <c r="AA49" s="188"/>
      <c r="AC49" s="115"/>
    </row>
    <row r="50" spans="1:29">
      <c r="A50" s="1">
        <f t="shared" si="2"/>
        <v>32</v>
      </c>
      <c r="C50" s="1">
        <v>1</v>
      </c>
      <c r="D50" s="1" t="s">
        <v>293</v>
      </c>
      <c r="E50" s="10">
        <v>189</v>
      </c>
      <c r="H50" s="90">
        <v>2080</v>
      </c>
      <c r="I50" s="90">
        <v>22.5</v>
      </c>
      <c r="J50" s="90"/>
      <c r="K50" s="91"/>
      <c r="L50" s="92">
        <f>73025.23-M50-N50-O50</f>
        <v>70678.399999999994</v>
      </c>
      <c r="M50" s="92">
        <v>1146.83</v>
      </c>
      <c r="N50" s="92"/>
      <c r="O50" s="92">
        <v>1200</v>
      </c>
      <c r="P50" s="92">
        <f t="shared" si="12"/>
        <v>73025.23</v>
      </c>
      <c r="Q50" s="74"/>
      <c r="R50" s="205">
        <v>33.979999999999997</v>
      </c>
      <c r="S50" s="74"/>
      <c r="T50" s="95">
        <f t="shared" si="8"/>
        <v>70678.399999999994</v>
      </c>
      <c r="U50" s="95">
        <f t="shared" si="13"/>
        <v>1146.8249999999998</v>
      </c>
      <c r="V50" s="95" t="str">
        <f t="shared" si="9"/>
        <v xml:space="preserve"> </v>
      </c>
      <c r="W50" s="95">
        <f t="shared" si="10"/>
        <v>1200</v>
      </c>
      <c r="X50" s="95">
        <f t="shared" si="11"/>
        <v>73025.224999999991</v>
      </c>
      <c r="Y50" s="83"/>
      <c r="Z50" s="96">
        <f t="shared" si="14"/>
        <v>-5.0000000046566129E-3</v>
      </c>
      <c r="AA50" s="188"/>
      <c r="AC50" s="115"/>
    </row>
    <row r="51" spans="1:29">
      <c r="A51" s="1">
        <f t="shared" si="2"/>
        <v>33</v>
      </c>
      <c r="C51" s="1">
        <v>1</v>
      </c>
      <c r="D51" s="1" t="s">
        <v>294</v>
      </c>
      <c r="E51" s="10">
        <v>191</v>
      </c>
      <c r="H51" s="90">
        <v>1910.5</v>
      </c>
      <c r="I51" s="90">
        <v>16.5</v>
      </c>
      <c r="J51" s="90"/>
      <c r="K51" s="91"/>
      <c r="L51" s="92">
        <f>44906.7-M51-N51-O51</f>
        <v>43152.84</v>
      </c>
      <c r="M51" s="92">
        <v>553.86</v>
      </c>
      <c r="N51" s="92"/>
      <c r="O51" s="92">
        <v>1200</v>
      </c>
      <c r="P51" s="92">
        <f t="shared" si="12"/>
        <v>44906.7</v>
      </c>
      <c r="Q51" s="74"/>
      <c r="R51" s="205">
        <v>22.65</v>
      </c>
      <c r="S51" s="74"/>
      <c r="T51" s="95">
        <f t="shared" si="8"/>
        <v>47112</v>
      </c>
      <c r="U51" s="95">
        <f t="shared" si="13"/>
        <v>560.58749999999998</v>
      </c>
      <c r="V51" s="95" t="str">
        <f t="shared" si="9"/>
        <v xml:space="preserve"> </v>
      </c>
      <c r="W51" s="95">
        <f t="shared" si="10"/>
        <v>1200</v>
      </c>
      <c r="X51" s="95">
        <f t="shared" si="11"/>
        <v>48872.587500000001</v>
      </c>
      <c r="Y51" s="83"/>
      <c r="Z51" s="96">
        <f t="shared" si="14"/>
        <v>3965.8875000000044</v>
      </c>
      <c r="AA51" s="188"/>
      <c r="AC51" s="115"/>
    </row>
    <row r="52" spans="1:29">
      <c r="A52" s="1">
        <f t="shared" si="2"/>
        <v>34</v>
      </c>
      <c r="C52" s="1">
        <v>1</v>
      </c>
      <c r="D52" s="1" t="s">
        <v>295</v>
      </c>
      <c r="E52" s="10">
        <v>192</v>
      </c>
      <c r="H52" s="90">
        <v>2170</v>
      </c>
      <c r="I52" s="90">
        <v>40.5</v>
      </c>
      <c r="J52" s="90"/>
      <c r="K52" s="91"/>
      <c r="L52" s="92">
        <f>48746.15-M52-N52-O52</f>
        <v>46196.810000000005</v>
      </c>
      <c r="M52" s="92">
        <v>1349.34</v>
      </c>
      <c r="N52" s="92"/>
      <c r="O52" s="92">
        <v>1200</v>
      </c>
      <c r="P52" s="92">
        <f>SUM(L52:O52)</f>
        <v>48746.15</v>
      </c>
      <c r="Q52" s="74"/>
      <c r="R52" s="205">
        <v>22.21</v>
      </c>
      <c r="S52" s="74"/>
      <c r="T52" s="95">
        <f t="shared" si="8"/>
        <v>46196.800000000003</v>
      </c>
      <c r="U52" s="95">
        <f t="shared" si="13"/>
        <v>1349.2574999999999</v>
      </c>
      <c r="V52" s="95" t="str">
        <f t="shared" si="9"/>
        <v xml:space="preserve"> </v>
      </c>
      <c r="W52" s="95">
        <f t="shared" si="10"/>
        <v>1200</v>
      </c>
      <c r="X52" s="95">
        <f t="shared" si="11"/>
        <v>48746.057500000003</v>
      </c>
      <c r="Y52" s="83"/>
      <c r="Z52" s="96">
        <f t="shared" si="14"/>
        <v>-9.2499999998835847E-2</v>
      </c>
      <c r="AA52" s="188"/>
      <c r="AC52" s="115"/>
    </row>
    <row r="53" spans="1:29">
      <c r="A53" s="1">
        <f t="shared" si="2"/>
        <v>35</v>
      </c>
      <c r="C53" s="1">
        <v>1</v>
      </c>
      <c r="D53" s="1" t="s">
        <v>296</v>
      </c>
      <c r="E53" s="10">
        <v>169</v>
      </c>
      <c r="H53" s="90">
        <v>2080</v>
      </c>
      <c r="I53" s="90">
        <v>30.5</v>
      </c>
      <c r="J53" s="90"/>
      <c r="K53" s="91"/>
      <c r="L53" s="92">
        <f>57319.8-M53-N53-O53</f>
        <v>54912</v>
      </c>
      <c r="M53" s="92">
        <v>1207.8</v>
      </c>
      <c r="N53" s="92"/>
      <c r="O53" s="92">
        <v>1200</v>
      </c>
      <c r="P53" s="92">
        <f t="shared" si="12"/>
        <v>57319.8</v>
      </c>
      <c r="Q53" s="74"/>
      <c r="R53" s="206">
        <v>26.4</v>
      </c>
      <c r="S53" s="74"/>
      <c r="T53" s="95">
        <f t="shared" si="8"/>
        <v>54912</v>
      </c>
      <c r="U53" s="95">
        <f t="shared" si="13"/>
        <v>1207.8</v>
      </c>
      <c r="V53" s="95" t="str">
        <f t="shared" si="9"/>
        <v xml:space="preserve"> </v>
      </c>
      <c r="W53" s="95">
        <f t="shared" si="10"/>
        <v>1200</v>
      </c>
      <c r="X53" s="95">
        <f t="shared" si="11"/>
        <v>57319.8</v>
      </c>
      <c r="Y53" s="83"/>
      <c r="Z53" s="96">
        <f t="shared" si="14"/>
        <v>0</v>
      </c>
      <c r="AA53" s="188"/>
      <c r="AC53" s="115"/>
    </row>
    <row r="54" spans="1:29">
      <c r="A54" s="1">
        <f t="shared" si="2"/>
        <v>36</v>
      </c>
      <c r="C54" s="1">
        <v>1</v>
      </c>
      <c r="D54" s="1" t="s">
        <v>297</v>
      </c>
      <c r="E54" s="10">
        <v>198</v>
      </c>
      <c r="H54" s="90">
        <v>2080</v>
      </c>
      <c r="I54" s="90">
        <v>19</v>
      </c>
      <c r="J54" s="90"/>
      <c r="K54" s="91"/>
      <c r="L54" s="92">
        <f>41556.71-M54-N54-O54</f>
        <v>39811.199999999997</v>
      </c>
      <c r="M54" s="92">
        <v>545.51</v>
      </c>
      <c r="N54" s="92"/>
      <c r="O54" s="92">
        <v>1200</v>
      </c>
      <c r="P54" s="92">
        <f t="shared" si="12"/>
        <v>41556.71</v>
      </c>
      <c r="Q54" s="74"/>
      <c r="R54" s="205">
        <v>19.14</v>
      </c>
      <c r="S54" s="74"/>
      <c r="T54" s="95">
        <f t="shared" si="8"/>
        <v>39811.200000000004</v>
      </c>
      <c r="U54" s="95">
        <f t="shared" si="13"/>
        <v>545.49</v>
      </c>
      <c r="V54" s="95" t="str">
        <f t="shared" si="9"/>
        <v xml:space="preserve"> </v>
      </c>
      <c r="W54" s="95">
        <f t="shared" si="10"/>
        <v>1200</v>
      </c>
      <c r="X54" s="95">
        <f t="shared" si="11"/>
        <v>41556.69</v>
      </c>
      <c r="Y54" s="83"/>
      <c r="Z54" s="96">
        <f t="shared" si="14"/>
        <v>-1.9999999996798579E-2</v>
      </c>
      <c r="AA54" s="188"/>
      <c r="AC54" s="115"/>
    </row>
    <row r="55" spans="1:29">
      <c r="A55" s="1">
        <f t="shared" si="2"/>
        <v>37</v>
      </c>
      <c r="C55" s="1">
        <v>1</v>
      </c>
      <c r="D55" s="1" t="s">
        <v>298</v>
      </c>
      <c r="E55" s="10">
        <v>203</v>
      </c>
      <c r="H55" s="90">
        <v>2080</v>
      </c>
      <c r="I55" s="90"/>
      <c r="J55" s="90"/>
      <c r="K55" s="91"/>
      <c r="L55" s="92">
        <f>41864.07-M55-N55-O55</f>
        <v>40664.07</v>
      </c>
      <c r="M55" s="92"/>
      <c r="N55" s="92"/>
      <c r="O55" s="92">
        <v>1200</v>
      </c>
      <c r="P55" s="92">
        <f t="shared" si="12"/>
        <v>41864.07</v>
      </c>
      <c r="Q55" s="74"/>
      <c r="R55" s="205">
        <v>19.55</v>
      </c>
      <c r="S55" s="74"/>
      <c r="T55" s="95">
        <f t="shared" si="8"/>
        <v>40664</v>
      </c>
      <c r="U55" s="95">
        <f t="shared" si="13"/>
        <v>0</v>
      </c>
      <c r="V55" s="95" t="str">
        <f t="shared" si="9"/>
        <v xml:space="preserve"> </v>
      </c>
      <c r="W55" s="95">
        <f t="shared" si="10"/>
        <v>1200</v>
      </c>
      <c r="X55" s="95">
        <f t="shared" si="11"/>
        <v>41864</v>
      </c>
      <c r="Y55" s="83"/>
      <c r="Z55" s="96">
        <f t="shared" si="14"/>
        <v>-6.9999999999708962E-2</v>
      </c>
      <c r="AA55" s="188"/>
      <c r="AC55" s="115"/>
    </row>
    <row r="56" spans="1:29">
      <c r="A56" s="1">
        <f t="shared" si="2"/>
        <v>38</v>
      </c>
      <c r="C56" s="1">
        <v>1</v>
      </c>
      <c r="D56" s="1" t="s">
        <v>428</v>
      </c>
      <c r="E56" s="10">
        <v>204</v>
      </c>
      <c r="H56" s="90">
        <v>2080</v>
      </c>
      <c r="I56" s="90">
        <v>1.5</v>
      </c>
      <c r="J56" s="90"/>
      <c r="K56" s="91"/>
      <c r="L56" s="92">
        <f>40533.75-M56-N56-O56</f>
        <v>39291.24</v>
      </c>
      <c r="M56" s="92">
        <v>42.51</v>
      </c>
      <c r="N56" s="92"/>
      <c r="O56" s="92">
        <v>1200</v>
      </c>
      <c r="P56" s="92">
        <f t="shared" si="12"/>
        <v>40533.75</v>
      </c>
      <c r="Q56" s="74"/>
      <c r="R56" s="205">
        <v>18.89</v>
      </c>
      <c r="S56" s="74"/>
      <c r="T56" s="95">
        <f t="shared" si="8"/>
        <v>39291.200000000004</v>
      </c>
      <c r="U56" s="95">
        <f t="shared" si="13"/>
        <v>42.502499999999998</v>
      </c>
      <c r="V56" s="95" t="str">
        <f t="shared" si="9"/>
        <v xml:space="preserve"> </v>
      </c>
      <c r="W56" s="95">
        <f t="shared" si="10"/>
        <v>1200</v>
      </c>
      <c r="X56" s="95">
        <f t="shared" si="11"/>
        <v>40533.702500000007</v>
      </c>
      <c r="Y56" s="83"/>
      <c r="Z56" s="96">
        <f t="shared" si="14"/>
        <v>-4.7499999993306119E-2</v>
      </c>
      <c r="AA56" s="188"/>
      <c r="AC56" s="115"/>
    </row>
    <row r="57" spans="1:29">
      <c r="A57" s="1">
        <f t="shared" si="2"/>
        <v>39</v>
      </c>
      <c r="C57" s="1">
        <v>1</v>
      </c>
      <c r="D57" s="1" t="s">
        <v>429</v>
      </c>
      <c r="E57" s="10">
        <v>211</v>
      </c>
      <c r="H57" s="90">
        <v>2085</v>
      </c>
      <c r="I57" s="90"/>
      <c r="J57" s="90"/>
      <c r="K57" s="91"/>
      <c r="L57" s="92">
        <f>37687.5-M57-N57-O57</f>
        <v>36487.5</v>
      </c>
      <c r="M57" s="92"/>
      <c r="N57" s="92"/>
      <c r="O57" s="92">
        <v>1200</v>
      </c>
      <c r="P57" s="92">
        <f t="shared" si="12"/>
        <v>37687.5</v>
      </c>
      <c r="Q57" s="74"/>
      <c r="R57" s="205">
        <v>17.5</v>
      </c>
      <c r="S57" s="74"/>
      <c r="T57" s="95">
        <f t="shared" si="8"/>
        <v>36400</v>
      </c>
      <c r="U57" s="95">
        <f t="shared" si="13"/>
        <v>0</v>
      </c>
      <c r="V57" s="95" t="str">
        <f t="shared" si="9"/>
        <v xml:space="preserve"> </v>
      </c>
      <c r="W57" s="95">
        <f t="shared" si="10"/>
        <v>1200</v>
      </c>
      <c r="X57" s="95">
        <f t="shared" si="11"/>
        <v>37600</v>
      </c>
      <c r="Y57" s="83"/>
      <c r="Z57" s="96">
        <f t="shared" si="14"/>
        <v>-87.5</v>
      </c>
      <c r="AA57" s="188"/>
      <c r="AC57" s="115"/>
    </row>
    <row r="58" spans="1:29">
      <c r="A58" s="1">
        <f t="shared" si="2"/>
        <v>40</v>
      </c>
      <c r="C58" s="1">
        <v>1</v>
      </c>
      <c r="D58" s="1" t="s">
        <v>430</v>
      </c>
      <c r="E58" s="10">
        <v>223</v>
      </c>
      <c r="H58" s="90">
        <v>2082</v>
      </c>
      <c r="I58" s="90"/>
      <c r="J58" s="90"/>
      <c r="K58" s="91"/>
      <c r="L58" s="92">
        <f>33920-M58-N58-O58</f>
        <v>32720</v>
      </c>
      <c r="M58" s="92"/>
      <c r="N58" s="92"/>
      <c r="O58" s="92">
        <v>1200</v>
      </c>
      <c r="P58" s="92">
        <f t="shared" si="12"/>
        <v>33920</v>
      </c>
      <c r="Q58" s="74"/>
      <c r="R58" s="205">
        <v>16</v>
      </c>
      <c r="S58" s="74"/>
      <c r="T58" s="95">
        <f t="shared" si="8"/>
        <v>33280</v>
      </c>
      <c r="U58" s="95">
        <f t="shared" si="13"/>
        <v>0</v>
      </c>
      <c r="V58" s="95" t="str">
        <f t="shared" si="9"/>
        <v xml:space="preserve"> </v>
      </c>
      <c r="W58" s="95">
        <f t="shared" si="10"/>
        <v>1200</v>
      </c>
      <c r="X58" s="95">
        <f t="shared" si="11"/>
        <v>34480</v>
      </c>
      <c r="Y58" s="83"/>
      <c r="Z58" s="96">
        <f t="shared" si="14"/>
        <v>560</v>
      </c>
      <c r="AA58" s="188"/>
      <c r="AC58" s="115"/>
    </row>
    <row r="59" spans="1:29">
      <c r="A59" s="1">
        <f t="shared" si="2"/>
        <v>41</v>
      </c>
      <c r="C59" s="1">
        <v>1</v>
      </c>
      <c r="D59" s="1" t="s">
        <v>431</v>
      </c>
      <c r="E59" s="10">
        <v>221</v>
      </c>
      <c r="F59" s="1" t="s">
        <v>203</v>
      </c>
      <c r="H59" s="90"/>
      <c r="I59" s="90"/>
      <c r="J59" s="90"/>
      <c r="K59" s="91"/>
      <c r="L59" s="92"/>
      <c r="M59" s="92"/>
      <c r="N59" s="92"/>
      <c r="O59" s="92">
        <v>0</v>
      </c>
      <c r="P59" s="92">
        <f t="shared" si="12"/>
        <v>0</v>
      </c>
      <c r="Q59" s="74"/>
      <c r="R59" s="205">
        <v>0</v>
      </c>
      <c r="S59" s="74"/>
      <c r="T59" s="95">
        <f t="shared" si="8"/>
        <v>0</v>
      </c>
      <c r="U59" s="95">
        <f t="shared" si="13"/>
        <v>0</v>
      </c>
      <c r="V59" s="95" t="str">
        <f t="shared" si="9"/>
        <v xml:space="preserve"> </v>
      </c>
      <c r="W59" s="95" t="str">
        <f t="shared" si="10"/>
        <v xml:space="preserve"> </v>
      </c>
      <c r="X59" s="95">
        <f t="shared" si="11"/>
        <v>0</v>
      </c>
      <c r="Y59" s="83"/>
      <c r="Z59" s="96">
        <f t="shared" si="14"/>
        <v>0</v>
      </c>
      <c r="AA59" s="188"/>
      <c r="AC59" s="115"/>
    </row>
    <row r="60" spans="1:29">
      <c r="A60" s="1">
        <f t="shared" si="2"/>
        <v>42</v>
      </c>
      <c r="C60" s="1">
        <v>1</v>
      </c>
      <c r="D60" s="1" t="s">
        <v>432</v>
      </c>
      <c r="E60" s="10">
        <v>219</v>
      </c>
      <c r="H60" s="90">
        <v>2082</v>
      </c>
      <c r="I60" s="90">
        <v>0.5</v>
      </c>
      <c r="J60" s="90"/>
      <c r="K60" s="91"/>
      <c r="L60" s="92">
        <f>34592-M60-N60-O60</f>
        <v>33380</v>
      </c>
      <c r="M60" s="92">
        <v>12</v>
      </c>
      <c r="N60" s="92"/>
      <c r="O60" s="92">
        <v>1200</v>
      </c>
      <c r="P60" s="92">
        <f t="shared" si="12"/>
        <v>34592</v>
      </c>
      <c r="Q60" s="74"/>
      <c r="R60" s="205">
        <v>16</v>
      </c>
      <c r="S60" s="74"/>
      <c r="T60" s="95">
        <f t="shared" si="8"/>
        <v>33280</v>
      </c>
      <c r="U60" s="95">
        <f t="shared" si="13"/>
        <v>12</v>
      </c>
      <c r="V60" s="95" t="str">
        <f t="shared" si="9"/>
        <v xml:space="preserve"> </v>
      </c>
      <c r="W60" s="95">
        <f t="shared" si="10"/>
        <v>1200</v>
      </c>
      <c r="X60" s="95">
        <f t="shared" si="11"/>
        <v>34492</v>
      </c>
      <c r="Y60" s="83"/>
      <c r="Z60" s="96">
        <f t="shared" si="14"/>
        <v>-100</v>
      </c>
      <c r="AA60" s="188"/>
      <c r="AC60" s="115"/>
    </row>
    <row r="61" spans="1:29">
      <c r="A61" s="1">
        <f t="shared" si="2"/>
        <v>43</v>
      </c>
      <c r="C61" s="1">
        <v>1</v>
      </c>
      <c r="D61" s="1" t="s">
        <v>433</v>
      </c>
      <c r="E61" s="10">
        <v>209</v>
      </c>
      <c r="F61" s="1" t="s">
        <v>203</v>
      </c>
      <c r="H61" s="90"/>
      <c r="I61" s="90"/>
      <c r="J61" s="90"/>
      <c r="K61" s="91"/>
      <c r="L61" s="92"/>
      <c r="M61" s="92"/>
      <c r="N61" s="92"/>
      <c r="O61" s="92"/>
      <c r="P61" s="92">
        <f t="shared" si="12"/>
        <v>0</v>
      </c>
      <c r="Q61" s="74"/>
      <c r="R61" s="205">
        <v>0</v>
      </c>
      <c r="S61" s="74"/>
      <c r="T61" s="95">
        <f t="shared" si="8"/>
        <v>0</v>
      </c>
      <c r="U61" s="95">
        <f t="shared" si="13"/>
        <v>0</v>
      </c>
      <c r="V61" s="95" t="str">
        <f t="shared" si="9"/>
        <v xml:space="preserve"> </v>
      </c>
      <c r="W61" s="95" t="str">
        <f t="shared" si="10"/>
        <v xml:space="preserve"> </v>
      </c>
      <c r="X61" s="95">
        <f t="shared" si="11"/>
        <v>0</v>
      </c>
      <c r="Y61" s="83"/>
      <c r="Z61" s="96">
        <f t="shared" si="14"/>
        <v>0</v>
      </c>
      <c r="AA61" s="188"/>
      <c r="AC61" s="115"/>
    </row>
    <row r="62" spans="1:29">
      <c r="A62" s="1">
        <f t="shared" si="2"/>
        <v>44</v>
      </c>
      <c r="C62" s="1">
        <v>1</v>
      </c>
      <c r="D62" s="1" t="s">
        <v>491</v>
      </c>
      <c r="E62" s="10">
        <v>224</v>
      </c>
      <c r="H62" s="90">
        <v>2072</v>
      </c>
      <c r="I62" s="90">
        <v>158</v>
      </c>
      <c r="J62" s="90"/>
      <c r="K62" s="91"/>
      <c r="L62" s="92">
        <f>88748-M62-N62-O62</f>
        <v>78542</v>
      </c>
      <c r="M62" s="92">
        <v>9006</v>
      </c>
      <c r="N62" s="92"/>
      <c r="O62" s="92">
        <v>1200</v>
      </c>
      <c r="P62" s="92">
        <f>SUM(L62:O62)</f>
        <v>88748</v>
      </c>
      <c r="Q62" s="74"/>
      <c r="R62" s="205"/>
      <c r="S62" s="74"/>
      <c r="T62" s="95"/>
      <c r="U62" s="95"/>
      <c r="V62" s="95"/>
      <c r="W62" s="95"/>
      <c r="X62" s="95"/>
      <c r="Y62" s="83"/>
      <c r="Z62" s="96">
        <f t="shared" si="14"/>
        <v>-88748</v>
      </c>
      <c r="AA62" s="188"/>
      <c r="AC62" s="115"/>
    </row>
    <row r="63" spans="1:29">
      <c r="A63" s="1">
        <f t="shared" si="2"/>
        <v>45</v>
      </c>
      <c r="C63" s="1">
        <v>1</v>
      </c>
      <c r="D63" s="1" t="s">
        <v>492</v>
      </c>
      <c r="E63" s="10">
        <v>229</v>
      </c>
      <c r="H63" s="90">
        <v>300</v>
      </c>
      <c r="I63" s="90"/>
      <c r="J63" s="90"/>
      <c r="K63" s="91"/>
      <c r="L63" s="92">
        <f>10995-M63-N63-O63</f>
        <v>9795</v>
      </c>
      <c r="M63" s="92"/>
      <c r="N63" s="92"/>
      <c r="O63" s="92">
        <v>1200</v>
      </c>
      <c r="P63" s="92">
        <f>SUM(L63:O63)</f>
        <v>10995</v>
      </c>
      <c r="Q63" s="74"/>
      <c r="R63" s="205"/>
      <c r="S63" s="74"/>
      <c r="T63" s="95"/>
      <c r="U63" s="95"/>
      <c r="V63" s="95"/>
      <c r="W63" s="95"/>
      <c r="X63" s="95"/>
      <c r="Y63" s="83"/>
      <c r="Z63" s="96">
        <f t="shared" si="14"/>
        <v>-10995</v>
      </c>
      <c r="AA63" s="188"/>
      <c r="AC63" s="115"/>
    </row>
    <row r="64" spans="1:29">
      <c r="C64" s="4">
        <f>SUM(C27:C63)</f>
        <v>37</v>
      </c>
      <c r="D64" s="76" t="s">
        <v>22</v>
      </c>
      <c r="E64" s="76"/>
      <c r="F64" s="76"/>
      <c r="H64" s="77">
        <f>SUM(H27:H63)</f>
        <v>66711.5</v>
      </c>
      <c r="I64" s="77">
        <f t="shared" ref="I64:X64" si="15">SUM(I27:I63)</f>
        <v>6320</v>
      </c>
      <c r="J64" s="77">
        <f t="shared" si="15"/>
        <v>0</v>
      </c>
      <c r="K64" s="91"/>
      <c r="L64" s="185">
        <f t="shared" si="15"/>
        <v>2131032.3899999997</v>
      </c>
      <c r="M64" s="185">
        <f t="shared" si="15"/>
        <v>359047.43000000005</v>
      </c>
      <c r="N64" s="185">
        <f t="shared" si="15"/>
        <v>0</v>
      </c>
      <c r="O64" s="185">
        <f t="shared" si="15"/>
        <v>40800</v>
      </c>
      <c r="P64" s="185">
        <f t="shared" si="15"/>
        <v>2530879.8199999994</v>
      </c>
      <c r="Q64" s="74"/>
      <c r="R64" s="77"/>
      <c r="S64" s="74"/>
      <c r="T64" s="185">
        <f t="shared" si="15"/>
        <v>2128193.5999999996</v>
      </c>
      <c r="U64" s="185">
        <f t="shared" si="15"/>
        <v>349970.02500000002</v>
      </c>
      <c r="V64" s="185">
        <f t="shared" si="15"/>
        <v>0</v>
      </c>
      <c r="W64" s="185">
        <f t="shared" si="15"/>
        <v>38400</v>
      </c>
      <c r="X64" s="185">
        <f t="shared" si="15"/>
        <v>2516563.6249999995</v>
      </c>
      <c r="Y64" s="83"/>
      <c r="Z64" s="97">
        <f t="shared" si="14"/>
        <v>-14316.194999999832</v>
      </c>
      <c r="AA64" s="188"/>
      <c r="AC64" s="115"/>
    </row>
    <row r="65" spans="1:29">
      <c r="D65" s="69"/>
      <c r="E65" s="69"/>
      <c r="F65" s="69"/>
      <c r="H65" s="201"/>
      <c r="I65" s="201"/>
      <c r="J65" s="201"/>
      <c r="K65" s="91"/>
      <c r="L65" s="202"/>
      <c r="M65" s="202"/>
      <c r="N65" s="202"/>
      <c r="O65" s="202"/>
      <c r="P65" s="202"/>
      <c r="Q65" s="74"/>
      <c r="R65" s="46"/>
      <c r="S65" s="74"/>
      <c r="T65" s="203"/>
      <c r="U65" s="203"/>
      <c r="V65" s="203"/>
      <c r="W65" s="203"/>
      <c r="X65" s="203"/>
      <c r="Y65" s="83"/>
      <c r="Z65" s="204"/>
      <c r="AC65" s="115"/>
    </row>
    <row r="66" spans="1:29">
      <c r="C66" s="8" t="s">
        <v>185</v>
      </c>
      <c r="F66" s="69"/>
      <c r="H66" s="90"/>
      <c r="I66" s="90"/>
      <c r="J66" s="90"/>
      <c r="K66" s="91"/>
      <c r="L66" s="92"/>
      <c r="M66" s="92"/>
      <c r="N66" s="92"/>
      <c r="O66" s="92"/>
      <c r="P66" s="92"/>
      <c r="Q66" s="74"/>
      <c r="S66" s="74"/>
      <c r="Y66" s="83"/>
      <c r="AC66" s="115"/>
    </row>
    <row r="67" spans="1:29">
      <c r="A67" s="1">
        <f>A63+1</f>
        <v>46</v>
      </c>
      <c r="C67" s="1">
        <v>1</v>
      </c>
      <c r="D67" s="1" t="s">
        <v>299</v>
      </c>
      <c r="E67" s="10">
        <v>134</v>
      </c>
      <c r="H67" s="90">
        <v>1069</v>
      </c>
      <c r="I67" s="90">
        <v>28</v>
      </c>
      <c r="J67" s="90"/>
      <c r="K67" s="91"/>
      <c r="L67" s="92">
        <f>30213.57-M67-N67-O67</f>
        <v>27888.39</v>
      </c>
      <c r="M67" s="92">
        <v>1125.18</v>
      </c>
      <c r="N67" s="92"/>
      <c r="O67" s="92">
        <v>1200</v>
      </c>
      <c r="P67" s="92">
        <f>SUM(L67:O67)</f>
        <v>30213.57</v>
      </c>
      <c r="Q67" s="74"/>
      <c r="R67" s="94">
        <v>26.79</v>
      </c>
      <c r="S67" s="74"/>
      <c r="T67" s="95">
        <f t="shared" ref="T67:T72" si="16">2080*R67</f>
        <v>55723.199999999997</v>
      </c>
      <c r="U67" s="95">
        <f>(+I67*R67)*1.5</f>
        <v>1125.18</v>
      </c>
      <c r="V67" s="95" t="str">
        <f t="shared" ref="V67:V72" si="17">IF(N67=0," ",+J67*R67)</f>
        <v xml:space="preserve"> </v>
      </c>
      <c r="W67" s="95">
        <f t="shared" ref="W67:W72" si="18">IF(O67=0," ",+O67)</f>
        <v>1200</v>
      </c>
      <c r="X67" s="95">
        <f t="shared" ref="X67:X72" si="19">SUM(T67:W67)</f>
        <v>58048.38</v>
      </c>
      <c r="Y67" s="83"/>
      <c r="Z67" s="96">
        <f t="shared" ref="Z67:Z73" si="20">X67-P67</f>
        <v>27834.809999999998</v>
      </c>
      <c r="AC67" s="115"/>
    </row>
    <row r="68" spans="1:29">
      <c r="A68" s="1">
        <f>A67+1</f>
        <v>47</v>
      </c>
      <c r="C68" s="1">
        <v>1</v>
      </c>
      <c r="D68" s="1" t="s">
        <v>300</v>
      </c>
      <c r="E68" s="10">
        <v>212</v>
      </c>
      <c r="H68" s="90">
        <f>756-I68-J68</f>
        <v>695</v>
      </c>
      <c r="I68" s="90">
        <v>61</v>
      </c>
      <c r="J68" s="90"/>
      <c r="K68" s="91"/>
      <c r="L68" s="92">
        <f>28547.58-M68-N68-O68</f>
        <v>24057.24</v>
      </c>
      <c r="M68" s="92">
        <v>3290.34</v>
      </c>
      <c r="N68" s="92"/>
      <c r="O68" s="92">
        <v>1200</v>
      </c>
      <c r="P68" s="92">
        <f t="shared" ref="P68:P70" si="21">SUM(L68:O68)</f>
        <v>28547.58</v>
      </c>
      <c r="Q68" s="74"/>
      <c r="R68" s="94">
        <v>35.96</v>
      </c>
      <c r="S68" s="74"/>
      <c r="T68" s="95">
        <f t="shared" si="16"/>
        <v>74796.800000000003</v>
      </c>
      <c r="U68" s="95">
        <f t="shared" ref="U68:U72" si="22">(+I68*R68)*1.5</f>
        <v>3290.34</v>
      </c>
      <c r="V68" s="95" t="str">
        <f t="shared" si="17"/>
        <v xml:space="preserve"> </v>
      </c>
      <c r="W68" s="95">
        <f t="shared" si="18"/>
        <v>1200</v>
      </c>
      <c r="X68" s="95">
        <f t="shared" si="19"/>
        <v>79287.14</v>
      </c>
      <c r="Y68" s="83"/>
      <c r="Z68" s="96"/>
      <c r="AC68" s="115"/>
    </row>
    <row r="69" spans="1:29">
      <c r="A69" s="1">
        <f t="shared" ref="A69:A72" si="23">A68+1</f>
        <v>48</v>
      </c>
      <c r="C69" s="1">
        <v>1</v>
      </c>
      <c r="D69" s="1" t="s">
        <v>434</v>
      </c>
      <c r="E69" s="10">
        <v>213</v>
      </c>
      <c r="F69" s="1" t="s">
        <v>203</v>
      </c>
      <c r="H69" s="90"/>
      <c r="I69" s="90"/>
      <c r="J69" s="90"/>
      <c r="K69" s="91"/>
      <c r="L69" s="92"/>
      <c r="M69" s="92"/>
      <c r="N69" s="92"/>
      <c r="O69" s="92"/>
      <c r="P69" s="92">
        <f t="shared" si="21"/>
        <v>0</v>
      </c>
      <c r="Q69" s="74"/>
      <c r="R69" s="94">
        <v>0</v>
      </c>
      <c r="S69" s="74"/>
      <c r="T69" s="95">
        <f t="shared" si="16"/>
        <v>0</v>
      </c>
      <c r="U69" s="95">
        <f t="shared" si="22"/>
        <v>0</v>
      </c>
      <c r="V69" s="95" t="str">
        <f t="shared" si="17"/>
        <v xml:space="preserve"> </v>
      </c>
      <c r="W69" s="95" t="str">
        <f t="shared" si="18"/>
        <v xml:space="preserve"> </v>
      </c>
      <c r="X69" s="95">
        <f t="shared" si="19"/>
        <v>0</v>
      </c>
      <c r="Y69" s="83"/>
      <c r="Z69" s="96"/>
      <c r="AC69" s="115"/>
    </row>
    <row r="70" spans="1:29">
      <c r="A70" s="1">
        <f t="shared" si="23"/>
        <v>49</v>
      </c>
      <c r="C70" s="1">
        <v>1</v>
      </c>
      <c r="D70" s="1" t="s">
        <v>435</v>
      </c>
      <c r="E70" s="10">
        <v>217</v>
      </c>
      <c r="H70" s="90">
        <v>304.5</v>
      </c>
      <c r="I70" s="90">
        <v>82.5</v>
      </c>
      <c r="J70" s="90"/>
      <c r="K70" s="91"/>
      <c r="L70" s="92">
        <f>32443.5-M70-N70-O70</f>
        <v>30216</v>
      </c>
      <c r="M70" s="92">
        <v>2227.5</v>
      </c>
      <c r="N70" s="92"/>
      <c r="O70" s="92"/>
      <c r="P70" s="92">
        <f t="shared" si="21"/>
        <v>32443.5</v>
      </c>
      <c r="Q70" s="74"/>
      <c r="R70" s="94">
        <v>18</v>
      </c>
      <c r="S70" s="74"/>
      <c r="T70" s="95">
        <f t="shared" si="16"/>
        <v>37440</v>
      </c>
      <c r="U70" s="95">
        <f t="shared" si="22"/>
        <v>2227.5</v>
      </c>
      <c r="V70" s="95" t="str">
        <f t="shared" si="17"/>
        <v xml:space="preserve"> </v>
      </c>
      <c r="W70" s="95" t="str">
        <f t="shared" si="18"/>
        <v xml:space="preserve"> </v>
      </c>
      <c r="X70" s="95">
        <f t="shared" si="19"/>
        <v>39667.5</v>
      </c>
      <c r="Y70" s="83"/>
      <c r="Z70" s="96"/>
      <c r="AC70" s="115"/>
    </row>
    <row r="71" spans="1:29">
      <c r="A71" s="1">
        <f t="shared" si="23"/>
        <v>50</v>
      </c>
      <c r="C71" s="1">
        <v>1</v>
      </c>
      <c r="D71" s="1" t="s">
        <v>436</v>
      </c>
      <c r="E71" s="10">
        <v>218</v>
      </c>
      <c r="F71" s="1" t="s">
        <v>203</v>
      </c>
      <c r="H71" s="90"/>
      <c r="I71" s="90"/>
      <c r="J71" s="90"/>
      <c r="K71" s="91"/>
      <c r="L71" s="92"/>
      <c r="M71" s="92"/>
      <c r="N71" s="92"/>
      <c r="O71" s="92"/>
      <c r="P71" s="92">
        <f>SUM(L71:O71)</f>
        <v>0</v>
      </c>
      <c r="Q71" s="74"/>
      <c r="R71" s="94">
        <v>0</v>
      </c>
      <c r="S71" s="74"/>
      <c r="T71" s="95">
        <f t="shared" si="16"/>
        <v>0</v>
      </c>
      <c r="U71" s="95">
        <f t="shared" si="22"/>
        <v>0</v>
      </c>
      <c r="V71" s="95" t="str">
        <f t="shared" si="17"/>
        <v xml:space="preserve"> </v>
      </c>
      <c r="W71" s="95" t="str">
        <f t="shared" si="18"/>
        <v xml:space="preserve"> </v>
      </c>
      <c r="X71" s="95">
        <f t="shared" si="19"/>
        <v>0</v>
      </c>
      <c r="Y71" s="83"/>
      <c r="Z71" s="96">
        <f t="shared" si="20"/>
        <v>0</v>
      </c>
      <c r="AC71" s="115"/>
    </row>
    <row r="72" spans="1:29">
      <c r="A72" s="1">
        <f t="shared" si="23"/>
        <v>51</v>
      </c>
      <c r="C72" s="1">
        <v>1</v>
      </c>
      <c r="D72" s="1" t="s">
        <v>437</v>
      </c>
      <c r="E72" s="10">
        <v>220</v>
      </c>
      <c r="F72" s="1" t="s">
        <v>203</v>
      </c>
      <c r="H72" s="90"/>
      <c r="I72" s="90"/>
      <c r="J72" s="90"/>
      <c r="K72" s="91"/>
      <c r="L72" s="92"/>
      <c r="M72" s="92"/>
      <c r="N72" s="92"/>
      <c r="O72" s="92"/>
      <c r="P72" s="92">
        <f>SUM(L72:O72)</f>
        <v>0</v>
      </c>
      <c r="Q72" s="74"/>
      <c r="R72" s="94">
        <v>0</v>
      </c>
      <c r="S72" s="74"/>
      <c r="T72" s="95">
        <f t="shared" si="16"/>
        <v>0</v>
      </c>
      <c r="U72" s="95">
        <f t="shared" si="22"/>
        <v>0</v>
      </c>
      <c r="V72" s="95" t="str">
        <f t="shared" si="17"/>
        <v xml:space="preserve"> </v>
      </c>
      <c r="W72" s="95" t="str">
        <f t="shared" si="18"/>
        <v xml:space="preserve"> </v>
      </c>
      <c r="X72" s="95">
        <f t="shared" si="19"/>
        <v>0</v>
      </c>
      <c r="Y72" s="83"/>
      <c r="Z72" s="96">
        <f t="shared" si="20"/>
        <v>0</v>
      </c>
      <c r="AC72" s="115"/>
    </row>
    <row r="73" spans="1:29">
      <c r="C73" s="4">
        <f>SUM(C67:C72)</f>
        <v>6</v>
      </c>
      <c r="D73" s="76" t="s">
        <v>22</v>
      </c>
      <c r="E73" s="76"/>
      <c r="F73" s="76"/>
      <c r="H73" s="77">
        <f>SUM(H67:H72)</f>
        <v>2068.5</v>
      </c>
      <c r="I73" s="77">
        <f>SUM(I67:I72)</f>
        <v>171.5</v>
      </c>
      <c r="J73" s="77">
        <f>SUM(J67:J72)</f>
        <v>0</v>
      </c>
      <c r="K73" s="91"/>
      <c r="L73" s="78">
        <f>SUM(L67:L72)</f>
        <v>82161.63</v>
      </c>
      <c r="M73" s="78">
        <f>SUM(M67:M72)</f>
        <v>6643.02</v>
      </c>
      <c r="N73" s="78">
        <f>SUM(N67:N72)</f>
        <v>0</v>
      </c>
      <c r="O73" s="78">
        <f>SUM(O67:O72)</f>
        <v>2400</v>
      </c>
      <c r="P73" s="78">
        <f>SUM(P67:P72)</f>
        <v>91204.65</v>
      </c>
      <c r="Q73" s="74"/>
      <c r="R73" s="75"/>
      <c r="S73" s="74"/>
      <c r="T73" s="79">
        <f>SUM(T67:T72)</f>
        <v>167960</v>
      </c>
      <c r="U73" s="79">
        <f>SUM(U67:U72)</f>
        <v>6643.02</v>
      </c>
      <c r="V73" s="79">
        <f>SUM(V67:V72)</f>
        <v>0</v>
      </c>
      <c r="W73" s="79">
        <f>SUM(W67:W72)</f>
        <v>2400</v>
      </c>
      <c r="X73" s="79">
        <f>SUM(X67:X72)</f>
        <v>177003.02</v>
      </c>
      <c r="Y73" s="83"/>
      <c r="Z73" s="97">
        <f t="shared" si="20"/>
        <v>85798.37</v>
      </c>
      <c r="AC73" s="115"/>
    </row>
    <row r="74" spans="1:29">
      <c r="H74" s="90"/>
      <c r="I74" s="90"/>
      <c r="J74" s="90"/>
      <c r="K74" s="91"/>
      <c r="L74" s="92"/>
      <c r="M74" s="92"/>
      <c r="N74" s="92"/>
      <c r="O74" s="92"/>
      <c r="P74" s="92"/>
      <c r="Q74" s="74"/>
      <c r="S74" s="74"/>
      <c r="Y74" s="83"/>
      <c r="AC74" s="115"/>
    </row>
    <row r="75" spans="1:29">
      <c r="C75" s="8" t="s">
        <v>186</v>
      </c>
      <c r="F75" s="69"/>
      <c r="H75" s="90"/>
      <c r="I75" s="90"/>
      <c r="J75" s="90"/>
      <c r="K75" s="91"/>
      <c r="L75" s="92"/>
      <c r="M75" s="92"/>
      <c r="N75" s="92"/>
      <c r="O75" s="92"/>
      <c r="P75" s="92"/>
      <c r="Q75" s="74"/>
      <c r="S75" s="74"/>
      <c r="Y75" s="83"/>
      <c r="AC75" s="115"/>
    </row>
    <row r="76" spans="1:29">
      <c r="A76" s="1">
        <f>A72+1</f>
        <v>52</v>
      </c>
      <c r="C76" s="1">
        <v>1</v>
      </c>
      <c r="D76" s="1" t="s">
        <v>301</v>
      </c>
      <c r="E76" s="1">
        <v>22</v>
      </c>
      <c r="F76" s="1" t="s">
        <v>203</v>
      </c>
      <c r="H76" s="90">
        <v>0</v>
      </c>
      <c r="I76" s="90">
        <v>0</v>
      </c>
      <c r="J76" s="90"/>
      <c r="K76" s="91"/>
      <c r="L76" s="92">
        <v>0</v>
      </c>
      <c r="M76" s="92">
        <v>0</v>
      </c>
      <c r="N76" s="92"/>
      <c r="O76" s="92"/>
      <c r="P76" s="92">
        <f>SUM(L76:O76)</f>
        <v>0</v>
      </c>
      <c r="Q76" s="74"/>
      <c r="R76" s="94">
        <v>0</v>
      </c>
      <c r="S76" s="74"/>
      <c r="T76" s="95">
        <f t="shared" ref="T76:T77" si="24">2080*R76</f>
        <v>0</v>
      </c>
      <c r="U76" s="95">
        <f t="shared" ref="U76:U77" si="25">(+I76*R76)*1.5</f>
        <v>0</v>
      </c>
      <c r="V76" s="95" t="str">
        <f t="shared" ref="V76:V77" si="26">IF(N76=0," ",+J76*R76)</f>
        <v xml:space="preserve"> </v>
      </c>
      <c r="W76" s="95" t="str">
        <f t="shared" ref="W76:W77" si="27">IF(O76=0," ",+O76)</f>
        <v xml:space="preserve"> </v>
      </c>
      <c r="X76" s="95">
        <f t="shared" ref="X76:X77" si="28">SUM(T76:W76)</f>
        <v>0</v>
      </c>
      <c r="Y76" s="83"/>
      <c r="Z76" s="96">
        <f t="shared" ref="Z76:Z79" si="29">X76-P76</f>
        <v>0</v>
      </c>
      <c r="AC76" s="115"/>
    </row>
    <row r="77" spans="1:29">
      <c r="A77" s="1">
        <f t="shared" si="2"/>
        <v>53</v>
      </c>
      <c r="C77" s="1">
        <v>1</v>
      </c>
      <c r="D77" s="1" t="s">
        <v>302</v>
      </c>
      <c r="E77" s="1">
        <v>195</v>
      </c>
      <c r="F77" s="1" t="s">
        <v>203</v>
      </c>
      <c r="H77" s="90">
        <v>0</v>
      </c>
      <c r="I77" s="90">
        <v>0</v>
      </c>
      <c r="J77" s="90"/>
      <c r="K77" s="91"/>
      <c r="L77" s="92">
        <v>0</v>
      </c>
      <c r="M77" s="92">
        <v>0</v>
      </c>
      <c r="N77" s="92"/>
      <c r="O77" s="92"/>
      <c r="P77" s="92">
        <f>SUM(L77:O77)</f>
        <v>0</v>
      </c>
      <c r="Q77" s="74"/>
      <c r="R77" s="94">
        <v>0</v>
      </c>
      <c r="S77" s="74"/>
      <c r="T77" s="95">
        <f t="shared" si="24"/>
        <v>0</v>
      </c>
      <c r="U77" s="95">
        <f t="shared" si="25"/>
        <v>0</v>
      </c>
      <c r="V77" s="95" t="str">
        <f t="shared" si="26"/>
        <v xml:space="preserve"> </v>
      </c>
      <c r="W77" s="95" t="str">
        <f t="shared" si="27"/>
        <v xml:space="preserve"> </v>
      </c>
      <c r="X77" s="95">
        <f t="shared" si="28"/>
        <v>0</v>
      </c>
      <c r="Y77" s="83"/>
      <c r="Z77" s="96">
        <f t="shared" si="29"/>
        <v>0</v>
      </c>
      <c r="AC77" s="115"/>
    </row>
    <row r="78" spans="1:29">
      <c r="A78" s="1" t="s">
        <v>427</v>
      </c>
      <c r="H78" s="90"/>
      <c r="I78" s="90"/>
      <c r="J78" s="90"/>
      <c r="K78" s="91"/>
      <c r="L78" s="92"/>
      <c r="M78" s="92"/>
      <c r="N78" s="92"/>
      <c r="O78" s="92"/>
      <c r="P78" s="92"/>
      <c r="Q78" s="74"/>
      <c r="R78" s="94"/>
      <c r="S78" s="74"/>
      <c r="T78" s="95"/>
      <c r="U78" s="95"/>
      <c r="V78" s="95" t="str">
        <f>IF(N78=0," ",+J78*R78)</f>
        <v xml:space="preserve"> </v>
      </c>
      <c r="W78" s="95" t="str">
        <f>IF(O78=0," ",+O78)</f>
        <v xml:space="preserve"> </v>
      </c>
      <c r="X78" s="95">
        <f>SUM(T78:W78)</f>
        <v>0</v>
      </c>
      <c r="Y78" s="83"/>
      <c r="Z78" s="96">
        <f t="shared" si="29"/>
        <v>0</v>
      </c>
      <c r="AC78" s="115"/>
    </row>
    <row r="79" spans="1:29">
      <c r="A79" s="1" t="s">
        <v>427</v>
      </c>
      <c r="C79" s="4">
        <f>SUM(C76:C78)</f>
        <v>2</v>
      </c>
      <c r="D79" s="76" t="s">
        <v>22</v>
      </c>
      <c r="E79" s="76"/>
      <c r="F79" s="76"/>
      <c r="H79" s="77">
        <f t="shared" ref="H79:P79" si="30">SUM(H76:H78)</f>
        <v>0</v>
      </c>
      <c r="I79" s="77">
        <f t="shared" si="30"/>
        <v>0</v>
      </c>
      <c r="J79" s="77">
        <f t="shared" si="30"/>
        <v>0</v>
      </c>
      <c r="K79" s="91"/>
      <c r="L79" s="78">
        <f t="shared" si="30"/>
        <v>0</v>
      </c>
      <c r="M79" s="78">
        <f t="shared" si="30"/>
        <v>0</v>
      </c>
      <c r="N79" s="78">
        <f t="shared" si="30"/>
        <v>0</v>
      </c>
      <c r="O79" s="78">
        <f t="shared" si="30"/>
        <v>0</v>
      </c>
      <c r="P79" s="78">
        <f t="shared" si="30"/>
        <v>0</v>
      </c>
      <c r="Q79" s="74"/>
      <c r="R79" s="75"/>
      <c r="S79" s="74"/>
      <c r="T79" s="79">
        <f>SUM(T76:T78)</f>
        <v>0</v>
      </c>
      <c r="U79" s="79">
        <f>SUM(U76:U78)</f>
        <v>0</v>
      </c>
      <c r="V79" s="79">
        <f>SUM(V76:V78)</f>
        <v>0</v>
      </c>
      <c r="W79" s="79">
        <f>SUM(W76:W78)</f>
        <v>0</v>
      </c>
      <c r="X79" s="80">
        <f>SUM(X76:X78)</f>
        <v>0</v>
      </c>
      <c r="Y79" s="83"/>
      <c r="Z79" s="97">
        <f t="shared" si="29"/>
        <v>0</v>
      </c>
      <c r="AC79" s="115"/>
    </row>
    <row r="80" spans="1:29">
      <c r="A80" s="1" t="s">
        <v>427</v>
      </c>
      <c r="H80" s="90"/>
      <c r="I80" s="90"/>
      <c r="J80" s="90"/>
      <c r="K80" s="91"/>
      <c r="L80" s="92"/>
      <c r="M80" s="92"/>
      <c r="N80" s="92"/>
      <c r="O80" s="92"/>
      <c r="P80" s="92"/>
      <c r="Q80" s="74"/>
      <c r="S80" s="74"/>
      <c r="Y80" s="83"/>
      <c r="AC80" s="115"/>
    </row>
    <row r="81" spans="1:29" s="102" customFormat="1" ht="15.75" customHeight="1">
      <c r="A81" s="45" t="s">
        <v>427</v>
      </c>
      <c r="C81" s="103">
        <f>C24+C64</f>
        <v>45</v>
      </c>
      <c r="D81" s="103" t="s">
        <v>14</v>
      </c>
      <c r="E81" s="103"/>
      <c r="F81" s="103"/>
      <c r="G81" s="45"/>
      <c r="H81" s="105">
        <f>H24+H64+H73+H79</f>
        <v>85447.5</v>
      </c>
      <c r="I81" s="105">
        <f t="shared" ref="I81:J81" si="31">I24+I64+I73+I79</f>
        <v>6757.5</v>
      </c>
      <c r="J81" s="105">
        <f t="shared" si="31"/>
        <v>0</v>
      </c>
      <c r="K81" s="106"/>
      <c r="L81" s="107">
        <f t="shared" ref="L81:P81" si="32">L24+L64+L73+L79</f>
        <v>2779703.5999999996</v>
      </c>
      <c r="M81" s="107">
        <f t="shared" si="32"/>
        <v>380211.42000000004</v>
      </c>
      <c r="N81" s="107">
        <f t="shared" si="32"/>
        <v>0</v>
      </c>
      <c r="O81" s="107">
        <f t="shared" si="32"/>
        <v>52800</v>
      </c>
      <c r="P81" s="107">
        <f t="shared" si="32"/>
        <v>3212715.0199999991</v>
      </c>
      <c r="Q81" s="108"/>
      <c r="R81" s="104"/>
      <c r="S81" s="74"/>
      <c r="T81" s="109">
        <f t="shared" ref="T81:X81" si="33">T24+T64+T73+T79</f>
        <v>2985403.1999999997</v>
      </c>
      <c r="U81" s="109">
        <f t="shared" si="33"/>
        <v>356613.04500000004</v>
      </c>
      <c r="V81" s="109">
        <f t="shared" si="33"/>
        <v>0</v>
      </c>
      <c r="W81" s="109">
        <f t="shared" si="33"/>
        <v>40800</v>
      </c>
      <c r="X81" s="109">
        <f t="shared" si="33"/>
        <v>3382816.2449999996</v>
      </c>
      <c r="Y81" s="110"/>
      <c r="Z81" s="111">
        <f>X81-P81</f>
        <v>170101.22500000056</v>
      </c>
      <c r="AB81" s="96"/>
      <c r="AC81" s="115"/>
    </row>
    <row r="82" spans="1:29" s="102" customFormat="1">
      <c r="A82" s="45" t="s">
        <v>427</v>
      </c>
      <c r="C82" s="45"/>
      <c r="D82" s="45"/>
      <c r="E82" s="45"/>
      <c r="F82" s="45"/>
      <c r="G82" s="45"/>
      <c r="K82" s="106"/>
      <c r="Q82" s="108"/>
      <c r="S82" s="74"/>
      <c r="Y82" s="110"/>
      <c r="AB82" s="96"/>
      <c r="AC82" s="115"/>
    </row>
    <row r="83" spans="1:29" s="102" customFormat="1" ht="13.5" customHeight="1" thickBot="1">
      <c r="A83" s="45" t="s">
        <v>426</v>
      </c>
      <c r="C83" s="112"/>
      <c r="D83" s="135" t="s">
        <v>15</v>
      </c>
      <c r="E83" s="135"/>
      <c r="F83" s="112"/>
      <c r="G83" s="112"/>
      <c r="H83" s="112"/>
      <c r="I83" s="112"/>
      <c r="J83" s="112"/>
      <c r="K83" s="112"/>
      <c r="L83" s="112"/>
      <c r="M83" s="112"/>
      <c r="N83" s="112"/>
      <c r="O83" s="112"/>
      <c r="P83" s="112"/>
      <c r="Q83" s="112"/>
      <c r="R83" s="112"/>
      <c r="S83" s="112"/>
      <c r="T83" s="112"/>
      <c r="U83" s="112"/>
      <c r="V83" s="112"/>
      <c r="W83" s="112"/>
      <c r="X83" s="112"/>
      <c r="Y83" s="112"/>
      <c r="Z83" s="312">
        <f>Z81</f>
        <v>170101.22500000056</v>
      </c>
      <c r="AB83" s="96"/>
      <c r="AC83" s="115"/>
    </row>
    <row r="84" spans="1:29" ht="13.5" thickTop="1">
      <c r="A84" s="45"/>
    </row>
    <row r="85" spans="1:29">
      <c r="A85" s="45"/>
      <c r="D85" s="122" t="s">
        <v>214</v>
      </c>
      <c r="E85" s="122"/>
      <c r="H85" s="1" t="s">
        <v>203</v>
      </c>
      <c r="I85" s="2" t="s">
        <v>205</v>
      </c>
      <c r="L85" s="1" t="s">
        <v>204</v>
      </c>
      <c r="M85" s="2" t="s">
        <v>439</v>
      </c>
      <c r="AB85" s="111"/>
    </row>
    <row r="86" spans="1:29">
      <c r="A86" s="45"/>
      <c r="AB86" s="111"/>
    </row>
    <row r="87" spans="1:29" ht="15.75" customHeight="1">
      <c r="A87" s="45"/>
      <c r="B87" s="100"/>
      <c r="C87" s="290" t="s">
        <v>210</v>
      </c>
      <c r="D87" s="290"/>
      <c r="E87" s="290"/>
      <c r="F87" s="290"/>
      <c r="G87" s="290"/>
      <c r="H87" s="290"/>
      <c r="I87" s="290"/>
      <c r="J87" s="290"/>
      <c r="K87" s="290"/>
      <c r="L87" s="290"/>
      <c r="M87" s="290"/>
      <c r="N87" s="290"/>
      <c r="O87" s="290"/>
      <c r="P87" s="290"/>
      <c r="Q87" s="290"/>
      <c r="R87" s="290"/>
      <c r="S87" s="290"/>
      <c r="T87" s="290"/>
      <c r="U87" s="290"/>
      <c r="V87" s="290"/>
      <c r="W87" s="290"/>
      <c r="X87" s="290"/>
      <c r="Y87" s="100"/>
      <c r="Z87" s="100"/>
      <c r="AB87" s="111"/>
    </row>
    <row r="89" spans="1:29">
      <c r="A89" s="45"/>
      <c r="D89" s="36" t="s">
        <v>164</v>
      </c>
      <c r="E89" s="36"/>
      <c r="L89" s="121" t="s">
        <v>215</v>
      </c>
      <c r="M89" s="121" t="s">
        <v>213</v>
      </c>
      <c r="N89" s="121"/>
      <c r="O89" s="121"/>
      <c r="P89" s="121" t="s">
        <v>15</v>
      </c>
      <c r="Q89" s="120"/>
    </row>
    <row r="90" spans="1:29" ht="3.75" customHeight="1">
      <c r="A90" s="45"/>
    </row>
    <row r="91" spans="1:29">
      <c r="A91" s="45"/>
      <c r="C91" s="2"/>
      <c r="D91" s="1" t="s">
        <v>173</v>
      </c>
      <c r="E91" s="1" t="s">
        <v>173</v>
      </c>
      <c r="F91" s="2" t="s">
        <v>174</v>
      </c>
      <c r="H91" s="1"/>
      <c r="L91" s="50">
        <f>L118+L119+L120+L121+L122</f>
        <v>747313</v>
      </c>
      <c r="M91" s="51">
        <f>M118+M119+M120+M121+M122</f>
        <v>0.13889360243740745</v>
      </c>
      <c r="P91" s="115">
        <f>$Z$83*M91</f>
        <v>23625.97191926607</v>
      </c>
    </row>
    <row r="92" spans="1:29">
      <c r="A92" s="45"/>
      <c r="C92" s="2"/>
      <c r="D92" s="1" t="s">
        <v>175</v>
      </c>
      <c r="E92" s="1" t="s">
        <v>175</v>
      </c>
      <c r="F92" s="2" t="s">
        <v>176</v>
      </c>
      <c r="H92" s="1"/>
      <c r="L92" s="50">
        <f>L123+L124+L125+L126+L127</f>
        <v>1036760</v>
      </c>
      <c r="M92" s="51">
        <f>M123+M124+M125+M126+M127</f>
        <v>0.19268945042171959</v>
      </c>
      <c r="P92" s="115">
        <f>$Z$83*M92</f>
        <v>32776.711561311378</v>
      </c>
    </row>
    <row r="93" spans="1:29">
      <c r="A93" s="45"/>
      <c r="C93" s="2"/>
      <c r="D93" s="1" t="s">
        <v>177</v>
      </c>
      <c r="E93" s="1" t="s">
        <v>177</v>
      </c>
      <c r="F93" s="2" t="s">
        <v>121</v>
      </c>
      <c r="H93" s="1"/>
      <c r="L93" s="50">
        <f>L128+L129</f>
        <v>617810</v>
      </c>
      <c r="M93" s="51">
        <f>M128+M129</f>
        <v>0.11482452000949359</v>
      </c>
      <c r="P93" s="115">
        <f>$Z$83*M93</f>
        <v>19531.791513651933</v>
      </c>
    </row>
    <row r="94" spans="1:29">
      <c r="A94" s="45"/>
      <c r="C94" s="2"/>
      <c r="D94" s="1" t="s">
        <v>178</v>
      </c>
      <c r="E94" s="1" t="s">
        <v>178</v>
      </c>
      <c r="F94" s="2" t="s">
        <v>93</v>
      </c>
      <c r="H94" s="1"/>
      <c r="L94" s="50">
        <f>L130</f>
        <v>99080</v>
      </c>
      <c r="M94" s="51">
        <f>M130</f>
        <v>1.8414744731455667E-2</v>
      </c>
      <c r="P94" s="115">
        <f>$Z$83*M94</f>
        <v>3132.3706368829153</v>
      </c>
    </row>
    <row r="95" spans="1:29">
      <c r="A95" s="45"/>
      <c r="C95" s="2"/>
      <c r="D95" s="1" t="s">
        <v>179</v>
      </c>
      <c r="E95" s="1" t="s">
        <v>179</v>
      </c>
      <c r="F95" s="2" t="s">
        <v>162</v>
      </c>
      <c r="H95" s="1"/>
      <c r="L95" s="50">
        <f>L131+L132+L133</f>
        <v>1127737</v>
      </c>
      <c r="M95" s="51">
        <f>M131+M132+M133</f>
        <v>0.20959819316933406</v>
      </c>
      <c r="P95" s="115">
        <f>$Z$83*M95</f>
        <v>35652.909415890477</v>
      </c>
    </row>
    <row r="96" spans="1:29" ht="15" customHeight="1">
      <c r="A96" s="45"/>
      <c r="C96" s="2"/>
      <c r="D96" s="4"/>
      <c r="E96" s="4"/>
      <c r="F96" s="39"/>
      <c r="G96" s="4"/>
      <c r="H96" s="4"/>
      <c r="I96" s="39" t="s">
        <v>22</v>
      </c>
      <c r="J96" s="39"/>
      <c r="K96" s="295">
        <f>SUM(L91:L95)</f>
        <v>3628700</v>
      </c>
      <c r="L96" s="295"/>
      <c r="M96" s="41">
        <f>SUM(M91:M95)</f>
        <v>0.67442051076941034</v>
      </c>
      <c r="P96" s="313">
        <f>SUM(P91:P95)</f>
        <v>114719.75504700278</v>
      </c>
      <c r="T96" s="46" t="s">
        <v>515</v>
      </c>
    </row>
    <row r="97" spans="1:17" ht="5.25" customHeight="1">
      <c r="A97" s="45"/>
      <c r="C97" s="2"/>
      <c r="F97" s="2"/>
      <c r="H97" s="1"/>
      <c r="K97" s="114"/>
      <c r="L97" s="114"/>
      <c r="M97" s="51"/>
    </row>
    <row r="98" spans="1:17">
      <c r="A98" s="45"/>
      <c r="C98" s="2"/>
      <c r="D98" s="1" t="s">
        <v>165</v>
      </c>
      <c r="E98" s="1" t="s">
        <v>165</v>
      </c>
      <c r="F98" s="2" t="s">
        <v>166</v>
      </c>
      <c r="H98" s="1"/>
      <c r="L98" s="50">
        <f>L113+L114</f>
        <v>1343199</v>
      </c>
      <c r="M98" s="51">
        <f>M113+M114</f>
        <v>0.24964338623886273</v>
      </c>
      <c r="P98" s="115">
        <f>$Z$83*M98</f>
        <v>42464.645812378832</v>
      </c>
    </row>
    <row r="99" spans="1:17">
      <c r="A99" s="45"/>
      <c r="C99" s="2"/>
      <c r="D99" s="1" t="s">
        <v>167</v>
      </c>
      <c r="E99" s="1" t="s">
        <v>167</v>
      </c>
      <c r="F99" s="2" t="s">
        <v>168</v>
      </c>
      <c r="H99" s="1"/>
      <c r="L99" s="50">
        <f t="shared" ref="L99:M101" si="34">L115</f>
        <v>85852</v>
      </c>
      <c r="M99" s="51">
        <f t="shared" si="34"/>
        <v>1.5956223906791803E-2</v>
      </c>
      <c r="P99" s="115">
        <f>$Z$83*M99</f>
        <v>2714.1732329195806</v>
      </c>
    </row>
    <row r="100" spans="1:17">
      <c r="A100" s="45"/>
      <c r="C100" s="2"/>
      <c r="D100" s="1" t="s">
        <v>169</v>
      </c>
      <c r="E100" s="1" t="s">
        <v>169</v>
      </c>
      <c r="F100" s="2" t="s">
        <v>170</v>
      </c>
      <c r="H100" s="1"/>
      <c r="L100" s="50">
        <f t="shared" si="34"/>
        <v>125497</v>
      </c>
      <c r="M100" s="51">
        <f t="shared" si="34"/>
        <v>2.3324537944726401E-2</v>
      </c>
      <c r="P100" s="115">
        <f>$Z$83*M100</f>
        <v>3967.5324769569561</v>
      </c>
    </row>
    <row r="101" spans="1:17">
      <c r="A101" s="45"/>
      <c r="C101" s="2"/>
      <c r="D101" s="1" t="s">
        <v>171</v>
      </c>
      <c r="E101" s="1" t="s">
        <v>171</v>
      </c>
      <c r="F101" s="2" t="s">
        <v>172</v>
      </c>
      <c r="H101" s="1"/>
      <c r="L101" s="50">
        <f t="shared" si="34"/>
        <v>197223</v>
      </c>
      <c r="M101" s="51">
        <f t="shared" si="34"/>
        <v>3.6655341140208728E-2</v>
      </c>
      <c r="P101" s="115">
        <f>$Z$83*M101</f>
        <v>6235.1184307424219</v>
      </c>
    </row>
    <row r="102" spans="1:17" ht="15" customHeight="1">
      <c r="A102" s="45"/>
      <c r="C102" s="2"/>
      <c r="D102" s="4"/>
      <c r="E102" s="4"/>
      <c r="F102" s="39"/>
      <c r="G102" s="4"/>
      <c r="H102" s="4"/>
      <c r="I102" s="39" t="s">
        <v>22</v>
      </c>
      <c r="J102" s="39"/>
      <c r="K102" s="295">
        <f>SUM(L98:L101)</f>
        <v>1751771</v>
      </c>
      <c r="L102" s="295"/>
      <c r="M102" s="41">
        <f>SUM(M98:M101)</f>
        <v>0.32557948923058966</v>
      </c>
      <c r="P102" s="116">
        <f>SUM(P98:P101)</f>
        <v>55381.469952997788</v>
      </c>
    </row>
    <row r="103" spans="1:17" ht="5.25" customHeight="1">
      <c r="A103" s="45"/>
      <c r="C103" s="2"/>
      <c r="F103" s="2"/>
      <c r="H103" s="1"/>
      <c r="K103" s="114"/>
      <c r="L103" s="114"/>
      <c r="M103" s="51"/>
    </row>
    <row r="104" spans="1:17" ht="15" customHeight="1" thickBot="1">
      <c r="A104" s="45"/>
      <c r="C104" s="2"/>
      <c r="D104" s="44"/>
      <c r="E104" s="44"/>
      <c r="F104" s="3" t="s">
        <v>50</v>
      </c>
      <c r="G104" s="44"/>
      <c r="H104" s="44"/>
      <c r="I104" s="3"/>
      <c r="J104" s="3"/>
      <c r="K104" s="304">
        <f>K96+K102</f>
        <v>5380471</v>
      </c>
      <c r="L104" s="304"/>
      <c r="M104" s="118">
        <f>M96+M102</f>
        <v>1</v>
      </c>
      <c r="P104" s="119">
        <f>P96+P102</f>
        <v>170101.22500000056</v>
      </c>
      <c r="Q104" s="119"/>
    </row>
    <row r="105" spans="1:17" ht="13.5" thickTop="1"/>
    <row r="109" spans="1:17">
      <c r="D109" s="36" t="s">
        <v>180</v>
      </c>
      <c r="E109" s="36" t="s">
        <v>180</v>
      </c>
    </row>
    <row r="110" spans="1:17">
      <c r="J110" s="1"/>
      <c r="K110" s="1"/>
      <c r="L110" s="2">
        <v>2023</v>
      </c>
    </row>
    <row r="111" spans="1:17">
      <c r="D111" s="36" t="s">
        <v>212</v>
      </c>
      <c r="E111" s="36" t="s">
        <v>212</v>
      </c>
      <c r="F111" s="36" t="s">
        <v>140</v>
      </c>
      <c r="G111" s="36"/>
      <c r="L111" s="37" t="s">
        <v>141</v>
      </c>
      <c r="M111" s="37" t="s">
        <v>142</v>
      </c>
    </row>
    <row r="112" spans="1:17">
      <c r="F112" s="2"/>
    </row>
    <row r="113" spans="4:13">
      <c r="D113" s="35">
        <v>107.2</v>
      </c>
      <c r="E113" s="35">
        <v>107.2</v>
      </c>
      <c r="F113" s="2" t="s">
        <v>143</v>
      </c>
      <c r="L113" s="265">
        <v>982206</v>
      </c>
      <c r="M113" s="38">
        <f t="shared" ref="M113:M133" si="35">L113/K$134</f>
        <v>0.18255018937933129</v>
      </c>
    </row>
    <row r="114" spans="4:13">
      <c r="D114" s="35">
        <v>108.8</v>
      </c>
      <c r="E114" s="35">
        <v>108.8</v>
      </c>
      <c r="F114" s="2" t="s">
        <v>144</v>
      </c>
      <c r="L114" s="265">
        <v>360993</v>
      </c>
      <c r="M114" s="38">
        <f t="shared" si="35"/>
        <v>6.709319685953144E-2</v>
      </c>
    </row>
    <row r="115" spans="4:13">
      <c r="D115" s="35">
        <v>163</v>
      </c>
      <c r="E115" s="35">
        <v>163</v>
      </c>
      <c r="F115" s="2" t="s">
        <v>145</v>
      </c>
      <c r="L115" s="265">
        <v>85852</v>
      </c>
      <c r="M115" s="38">
        <f t="shared" si="35"/>
        <v>1.5956223906791803E-2</v>
      </c>
    </row>
    <row r="116" spans="4:13">
      <c r="D116" s="35">
        <v>184.1</v>
      </c>
      <c r="E116" s="35">
        <v>184.1</v>
      </c>
      <c r="F116" s="2" t="s">
        <v>146</v>
      </c>
      <c r="L116" s="265">
        <v>125497</v>
      </c>
      <c r="M116" s="38">
        <f t="shared" si="35"/>
        <v>2.3324537944726401E-2</v>
      </c>
    </row>
    <row r="117" spans="4:13">
      <c r="D117" s="35">
        <v>242</v>
      </c>
      <c r="E117" s="35">
        <v>242</v>
      </c>
      <c r="F117" s="2" t="s">
        <v>147</v>
      </c>
      <c r="L117" s="265">
        <v>197223</v>
      </c>
      <c r="M117" s="38">
        <f t="shared" si="35"/>
        <v>3.6655341140208728E-2</v>
      </c>
    </row>
    <row r="118" spans="4:13">
      <c r="D118" s="35">
        <v>580</v>
      </c>
      <c r="E118" s="35">
        <v>580</v>
      </c>
      <c r="F118" s="2" t="s">
        <v>148</v>
      </c>
      <c r="L118" s="265">
        <v>181408</v>
      </c>
      <c r="M118" s="38">
        <f t="shared" si="35"/>
        <v>3.3716007390431062E-2</v>
      </c>
    </row>
    <row r="119" spans="4:13">
      <c r="D119" s="35">
        <v>583</v>
      </c>
      <c r="E119" s="35">
        <v>583</v>
      </c>
      <c r="F119" s="2" t="s">
        <v>149</v>
      </c>
      <c r="L119" s="265">
        <v>28742</v>
      </c>
      <c r="M119" s="38">
        <f t="shared" si="35"/>
        <v>5.3419115166683361E-3</v>
      </c>
    </row>
    <row r="120" spans="4:13">
      <c r="D120" s="35">
        <v>586</v>
      </c>
      <c r="E120" s="35">
        <v>586</v>
      </c>
      <c r="F120" s="2" t="s">
        <v>150</v>
      </c>
      <c r="L120" s="265">
        <v>467712</v>
      </c>
      <c r="M120" s="38">
        <f t="shared" si="35"/>
        <v>8.6927705771483579E-2</v>
      </c>
    </row>
    <row r="121" spans="4:13">
      <c r="D121" s="35">
        <v>587</v>
      </c>
      <c r="E121" s="35">
        <v>587</v>
      </c>
      <c r="F121" s="2" t="s">
        <v>151</v>
      </c>
      <c r="L121" s="265">
        <v>0</v>
      </c>
      <c r="M121" s="38">
        <f t="shared" si="35"/>
        <v>0</v>
      </c>
    </row>
    <row r="122" spans="4:13">
      <c r="D122" s="35">
        <v>588</v>
      </c>
      <c r="E122" s="35">
        <v>588</v>
      </c>
      <c r="F122" s="2" t="s">
        <v>152</v>
      </c>
      <c r="L122" s="265">
        <v>69451</v>
      </c>
      <c r="M122" s="38">
        <f t="shared" si="35"/>
        <v>1.2907977758824459E-2</v>
      </c>
    </row>
    <row r="123" spans="4:13">
      <c r="D123" s="35">
        <v>590</v>
      </c>
      <c r="E123" s="35">
        <v>590</v>
      </c>
      <c r="F123" s="2" t="s">
        <v>153</v>
      </c>
      <c r="L123" s="265">
        <v>196498</v>
      </c>
      <c r="M123" s="38">
        <f t="shared" si="35"/>
        <v>3.6520594572482593E-2</v>
      </c>
    </row>
    <row r="124" spans="4:13">
      <c r="D124" s="35">
        <v>593</v>
      </c>
      <c r="E124" s="35">
        <v>593</v>
      </c>
      <c r="F124" s="2" t="s">
        <v>154</v>
      </c>
      <c r="L124" s="265">
        <f>664552+147071+6041+987</f>
        <v>818651</v>
      </c>
      <c r="M124" s="38">
        <f t="shared" si="35"/>
        <v>0.15215229298698943</v>
      </c>
    </row>
    <row r="125" spans="4:13">
      <c r="D125" s="35">
        <v>595</v>
      </c>
      <c r="E125" s="35">
        <v>595</v>
      </c>
      <c r="F125" s="2" t="s">
        <v>155</v>
      </c>
      <c r="L125" s="265">
        <v>1511</v>
      </c>
      <c r="M125" s="38">
        <f t="shared" si="35"/>
        <v>2.8083043287474276E-4</v>
      </c>
    </row>
    <row r="126" spans="4:13">
      <c r="D126" s="35">
        <v>597</v>
      </c>
      <c r="E126" s="35">
        <v>597</v>
      </c>
      <c r="F126" s="2" t="s">
        <v>156</v>
      </c>
      <c r="L126" s="265">
        <v>0</v>
      </c>
      <c r="M126" s="38">
        <f t="shared" si="35"/>
        <v>0</v>
      </c>
    </row>
    <row r="127" spans="4:13">
      <c r="D127" s="35">
        <v>598</v>
      </c>
      <c r="E127" s="35">
        <v>598</v>
      </c>
      <c r="F127" s="2" t="s">
        <v>157</v>
      </c>
      <c r="L127" s="265">
        <v>20100</v>
      </c>
      <c r="M127" s="38">
        <f t="shared" si="35"/>
        <v>3.7357324293728188E-3</v>
      </c>
    </row>
    <row r="128" spans="4:13">
      <c r="D128" s="35">
        <v>902</v>
      </c>
      <c r="E128" s="35">
        <v>902</v>
      </c>
      <c r="F128" s="2" t="s">
        <v>158</v>
      </c>
      <c r="L128" s="265">
        <v>125831</v>
      </c>
      <c r="M128" s="38">
        <f t="shared" si="35"/>
        <v>2.338661429454782E-2</v>
      </c>
    </row>
    <row r="129" spans="4:13">
      <c r="D129" s="35">
        <v>903</v>
      </c>
      <c r="E129" s="35">
        <v>903</v>
      </c>
      <c r="F129" s="2" t="s">
        <v>159</v>
      </c>
      <c r="L129" s="265">
        <v>491979</v>
      </c>
      <c r="M129" s="38">
        <f t="shared" si="35"/>
        <v>9.1437905714945769E-2</v>
      </c>
    </row>
    <row r="130" spans="4:13">
      <c r="D130" s="99" t="s">
        <v>160</v>
      </c>
      <c r="E130" s="99" t="s">
        <v>160</v>
      </c>
      <c r="F130" s="2" t="s">
        <v>161</v>
      </c>
      <c r="L130" s="265">
        <v>99080</v>
      </c>
      <c r="M130" s="38">
        <f t="shared" si="35"/>
        <v>1.8414744731455667E-2</v>
      </c>
    </row>
    <row r="131" spans="4:13">
      <c r="D131" s="35">
        <v>920</v>
      </c>
      <c r="E131" s="35">
        <v>920</v>
      </c>
      <c r="F131" s="2" t="s">
        <v>162</v>
      </c>
      <c r="L131" s="265">
        <v>724000</v>
      </c>
      <c r="M131" s="38">
        <f t="shared" si="35"/>
        <v>0.13456071039133935</v>
      </c>
    </row>
    <row r="132" spans="4:13">
      <c r="D132" s="35">
        <v>926</v>
      </c>
      <c r="E132" s="35">
        <v>926</v>
      </c>
      <c r="F132" s="2" t="s">
        <v>163</v>
      </c>
      <c r="L132" s="265">
        <v>400023</v>
      </c>
      <c r="M132" s="38">
        <f t="shared" si="35"/>
        <v>7.4347208636567325E-2</v>
      </c>
    </row>
    <row r="133" spans="4:13">
      <c r="D133" s="35">
        <v>930.2</v>
      </c>
      <c r="E133" s="35">
        <v>932.2</v>
      </c>
      <c r="F133" s="2"/>
      <c r="L133" s="265">
        <v>3714</v>
      </c>
      <c r="M133" s="38">
        <f t="shared" si="35"/>
        <v>6.9027414142739545E-4</v>
      </c>
    </row>
    <row r="134" spans="4:13" ht="15" customHeight="1">
      <c r="D134" s="4"/>
      <c r="E134" s="4"/>
      <c r="F134" s="39" t="s">
        <v>50</v>
      </c>
      <c r="G134" s="4"/>
      <c r="H134" s="39"/>
      <c r="I134" s="39"/>
      <c r="J134" s="39"/>
      <c r="K134" s="295">
        <f>SUM(L113:L133)</f>
        <v>5380471</v>
      </c>
      <c r="L134" s="295"/>
      <c r="M134" s="40">
        <f>K134/K$134</f>
        <v>1</v>
      </c>
    </row>
    <row r="137" spans="4:13">
      <c r="F137" s="2" t="s">
        <v>174</v>
      </c>
      <c r="L137" s="115">
        <f>L118+L119+L120+L121+L122</f>
        <v>747313</v>
      </c>
      <c r="M137" s="266">
        <f>L137/L$148</f>
        <v>0.13889360243740742</v>
      </c>
    </row>
    <row r="138" spans="4:13">
      <c r="F138" s="2" t="s">
        <v>176</v>
      </c>
      <c r="L138" s="115">
        <f>L123+L124+L125+L126+L127</f>
        <v>1036760</v>
      </c>
      <c r="M138" s="266">
        <f t="shared" ref="M138:M148" si="36">L138/L$148</f>
        <v>0.19268945042171959</v>
      </c>
    </row>
    <row r="139" spans="4:13">
      <c r="F139" s="2" t="s">
        <v>121</v>
      </c>
      <c r="L139" s="115">
        <f>L128+L129</f>
        <v>617810</v>
      </c>
      <c r="M139" s="266">
        <f t="shared" si="36"/>
        <v>0.11482452000949359</v>
      </c>
    </row>
    <row r="140" spans="4:13">
      <c r="F140" s="2" t="s">
        <v>93</v>
      </c>
      <c r="L140" s="115">
        <f>L130</f>
        <v>99080</v>
      </c>
      <c r="M140" s="266">
        <f t="shared" si="36"/>
        <v>1.8414744731455667E-2</v>
      </c>
    </row>
    <row r="141" spans="4:13">
      <c r="F141" s="2" t="s">
        <v>162</v>
      </c>
      <c r="L141" s="115">
        <f>L131+L132+L133</f>
        <v>1127737</v>
      </c>
      <c r="M141" s="266">
        <f t="shared" si="36"/>
        <v>0.20959819316933406</v>
      </c>
    </row>
    <row r="142" spans="4:13">
      <c r="F142" s="39" t="s">
        <v>22</v>
      </c>
      <c r="L142" s="116">
        <f>SUM(L137:L141)</f>
        <v>3628700</v>
      </c>
      <c r="M142" s="267">
        <f t="shared" si="36"/>
        <v>0.67442051076941034</v>
      </c>
    </row>
    <row r="143" spans="4:13">
      <c r="F143" s="2"/>
      <c r="M143" s="266"/>
    </row>
    <row r="144" spans="4:13">
      <c r="F144" s="2" t="s">
        <v>242</v>
      </c>
      <c r="L144" s="115">
        <f>L113+L114</f>
        <v>1343199</v>
      </c>
      <c r="M144" s="266">
        <f t="shared" si="36"/>
        <v>0.24964338623886273</v>
      </c>
    </row>
    <row r="145" spans="6:13">
      <c r="F145" s="2" t="s">
        <v>43</v>
      </c>
      <c r="L145" s="115">
        <f>L115+L116+L117</f>
        <v>408572</v>
      </c>
      <c r="M145" s="266">
        <f t="shared" si="36"/>
        <v>7.5936102991726928E-2</v>
      </c>
    </row>
    <row r="146" spans="6:13">
      <c r="F146" s="39" t="s">
        <v>22</v>
      </c>
      <c r="L146" s="116">
        <f>SUM(L144:L145)</f>
        <v>1751771</v>
      </c>
      <c r="M146" s="267">
        <f t="shared" si="36"/>
        <v>0.32557948923058966</v>
      </c>
    </row>
    <row r="147" spans="6:13">
      <c r="F147" s="2"/>
      <c r="M147" s="266"/>
    </row>
    <row r="148" spans="6:13" ht="13.5" thickBot="1">
      <c r="F148" s="3" t="s">
        <v>50</v>
      </c>
      <c r="L148" s="115">
        <f>L142+L146</f>
        <v>5380471</v>
      </c>
      <c r="M148" s="266">
        <f t="shared" si="36"/>
        <v>1</v>
      </c>
    </row>
    <row r="149" spans="6:13" ht="13.5" thickTop="1"/>
  </sheetData>
  <mergeCells count="17">
    <mergeCell ref="K134:L134"/>
    <mergeCell ref="T12:X12"/>
    <mergeCell ref="H13:J13"/>
    <mergeCell ref="T13:U13"/>
    <mergeCell ref="C87:X87"/>
    <mergeCell ref="K96:L96"/>
    <mergeCell ref="K102:L102"/>
    <mergeCell ref="K104:L104"/>
    <mergeCell ref="A3:Z3"/>
    <mergeCell ref="A4:Z4"/>
    <mergeCell ref="A6:Z6"/>
    <mergeCell ref="C8:F8"/>
    <mergeCell ref="H8:J8"/>
    <mergeCell ref="L8:P8"/>
    <mergeCell ref="R8:R9"/>
    <mergeCell ref="T8:X8"/>
    <mergeCell ref="Z8:Z9"/>
  </mergeCells>
  <phoneticPr fontId="20" type="noConversion"/>
  <pageMargins left="0.25" right="0.25" top="0.75" bottom="0.5" header="0.5" footer="0.5"/>
  <pageSetup scale="59" fitToHeight="3" orientation="landscape" r:id="rId1"/>
  <headerFooter alignWithMargins="0">
    <oddFooter>&amp;RExhibit JW-2
Page &amp;P of &amp;N</oddFooter>
  </headerFooter>
  <rowBreaks count="1" manualBreakCount="1">
    <brk id="64"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5054-1B30-4BE0-9D19-966D0770A83A}">
  <dimension ref="A1:P63"/>
  <sheetViews>
    <sheetView view="pageBreakPreview" topLeftCell="B41" zoomScaleNormal="100" zoomScaleSheetLayoutView="100" workbookViewId="0">
      <selection activeCell="B67" sqref="B67"/>
    </sheetView>
  </sheetViews>
  <sheetFormatPr defaultColWidth="9.140625" defaultRowHeight="14.25"/>
  <cols>
    <col min="1" max="1" width="30.7109375" style="268" hidden="1" customWidth="1"/>
    <col min="2" max="2" width="11.5703125" style="268" customWidth="1"/>
    <col min="3" max="3" width="14.5703125" style="268" customWidth="1"/>
    <col min="4" max="4" width="12.42578125" style="268" customWidth="1"/>
    <col min="5" max="9" width="16.85546875" style="268" customWidth="1"/>
    <col min="10" max="10" width="9.140625" style="268"/>
    <col min="11" max="11" width="11.28515625" style="268" bestFit="1" customWidth="1"/>
    <col min="12" max="12" width="9.140625" style="268"/>
    <col min="13" max="13" width="11.28515625" style="268" bestFit="1" customWidth="1"/>
    <col min="14" max="16384" width="9.140625" style="268"/>
  </cols>
  <sheetData>
    <row r="1" spans="1:16" s="2" customFormat="1" ht="15" customHeight="1">
      <c r="H1" s="81"/>
      <c r="I1" s="81" t="s">
        <v>424</v>
      </c>
    </row>
    <row r="2" spans="1:16" s="2" customFormat="1" ht="20.25" customHeight="1">
      <c r="H2" s="81"/>
      <c r="I2" s="81"/>
    </row>
    <row r="3" spans="1:16" s="2" customFormat="1" ht="12.75">
      <c r="H3" s="81"/>
      <c r="I3" s="81"/>
    </row>
    <row r="4" spans="1:16" s="2" customFormat="1" ht="12.75">
      <c r="B4" s="288" t="str">
        <f>RevReq!A1</f>
        <v>BIG SANDY RECC</v>
      </c>
      <c r="C4" s="288"/>
      <c r="D4" s="288"/>
      <c r="E4" s="288"/>
      <c r="F4" s="288"/>
      <c r="G4" s="288"/>
      <c r="H4" s="288"/>
      <c r="I4" s="288"/>
      <c r="J4" s="234"/>
      <c r="K4" s="234"/>
      <c r="L4" s="234"/>
      <c r="M4" s="234"/>
      <c r="N4" s="234"/>
      <c r="O4" s="234"/>
      <c r="P4" s="234"/>
    </row>
    <row r="5" spans="1:16" s="2" customFormat="1" ht="12.75">
      <c r="B5" s="288" t="str">
        <f>RevReq!A3</f>
        <v>For the 12 Months Ended December 31, 2023</v>
      </c>
      <c r="C5" s="288"/>
      <c r="D5" s="288"/>
      <c r="E5" s="288"/>
      <c r="F5" s="288"/>
      <c r="G5" s="288"/>
      <c r="H5" s="288"/>
      <c r="I5" s="288"/>
      <c r="J5" s="234"/>
      <c r="K5" s="234"/>
      <c r="L5" s="234"/>
      <c r="M5" s="234"/>
    </row>
    <row r="6" spans="1:16" s="2" customFormat="1" ht="12.75"/>
    <row r="7" spans="1:16" s="82" customFormat="1" ht="15" customHeight="1">
      <c r="B7" s="289" t="s">
        <v>367</v>
      </c>
      <c r="C7" s="289"/>
      <c r="D7" s="289"/>
      <c r="E7" s="289"/>
      <c r="F7" s="289"/>
      <c r="G7" s="289"/>
      <c r="H7" s="289"/>
      <c r="I7" s="289"/>
      <c r="J7" s="8"/>
      <c r="K7" s="8"/>
      <c r="L7" s="8"/>
      <c r="M7" s="8"/>
    </row>
    <row r="8" spans="1:16" s="2" customFormat="1" ht="12.75"/>
    <row r="9" spans="1:16" ht="15">
      <c r="B9" s="269" t="s">
        <v>203</v>
      </c>
      <c r="C9" s="269" t="s">
        <v>204</v>
      </c>
      <c r="D9" s="269" t="s">
        <v>251</v>
      </c>
      <c r="E9" s="269" t="s">
        <v>252</v>
      </c>
      <c r="F9" s="269" t="s">
        <v>253</v>
      </c>
      <c r="G9" s="269" t="s">
        <v>259</v>
      </c>
      <c r="H9" s="269" t="s">
        <v>303</v>
      </c>
      <c r="I9" s="269" t="s">
        <v>373</v>
      </c>
    </row>
    <row r="10" spans="1:16" ht="15">
      <c r="B10" s="269"/>
      <c r="C10" s="269"/>
      <c r="D10" s="269"/>
      <c r="E10" s="270"/>
      <c r="F10" s="270"/>
      <c r="G10" s="270"/>
      <c r="H10" s="270" t="s">
        <v>376</v>
      </c>
      <c r="I10" s="270" t="s">
        <v>377</v>
      </c>
      <c r="J10" s="270"/>
    </row>
    <row r="11" spans="1:16" ht="31.5" customHeight="1">
      <c r="B11" s="271" t="s">
        <v>375</v>
      </c>
      <c r="C11" s="272" t="s">
        <v>368</v>
      </c>
      <c r="D11" s="271" t="s">
        <v>378</v>
      </c>
      <c r="E11" s="272" t="s">
        <v>468</v>
      </c>
      <c r="F11" s="272" t="s">
        <v>469</v>
      </c>
      <c r="G11" s="272" t="s">
        <v>369</v>
      </c>
      <c r="H11" s="272" t="s">
        <v>370</v>
      </c>
      <c r="I11" s="272" t="s">
        <v>371</v>
      </c>
      <c r="J11" s="270"/>
    </row>
    <row r="12" spans="1:16">
      <c r="A12" s="268" t="s">
        <v>379</v>
      </c>
      <c r="B12" s="273">
        <v>5</v>
      </c>
      <c r="C12" s="274">
        <v>524.16</v>
      </c>
      <c r="D12" s="273">
        <v>926</v>
      </c>
      <c r="E12" s="275">
        <v>43.68</v>
      </c>
      <c r="F12" s="276">
        <f>+E12*2080</f>
        <v>90854.399999999994</v>
      </c>
      <c r="G12" s="275">
        <f>IF(F12&gt;50000,50000,F12)</f>
        <v>50000</v>
      </c>
      <c r="H12" s="275">
        <f>+F12*2</f>
        <v>181708.79999999999</v>
      </c>
      <c r="I12" s="275">
        <f>((H12-G12)/H12)*C12</f>
        <v>379.92923076923074</v>
      </c>
      <c r="J12" s="277"/>
      <c r="K12" s="276"/>
      <c r="M12" s="276"/>
    </row>
    <row r="13" spans="1:16">
      <c r="A13" s="268" t="s">
        <v>380</v>
      </c>
      <c r="B13" s="273">
        <v>10</v>
      </c>
      <c r="C13" s="274">
        <v>524.16</v>
      </c>
      <c r="D13" s="273">
        <v>926</v>
      </c>
      <c r="E13" s="275">
        <v>43.68</v>
      </c>
      <c r="F13" s="278">
        <f t="shared" ref="F13:F52" si="0">+E13*2080</f>
        <v>90854.399999999994</v>
      </c>
      <c r="G13" s="278">
        <f t="shared" ref="G13:G52" si="1">IF(F13&gt;50000,50000,F13)</f>
        <v>50000</v>
      </c>
      <c r="H13" s="278">
        <f t="shared" ref="H13:H52" si="2">+F13*2</f>
        <v>181708.79999999999</v>
      </c>
      <c r="I13" s="275">
        <f t="shared" ref="I13:I52" si="3">((H13-G13)/H13)*C13</f>
        <v>379.92923076923074</v>
      </c>
      <c r="J13" s="277"/>
      <c r="K13" s="276"/>
      <c r="M13" s="276"/>
    </row>
    <row r="14" spans="1:16">
      <c r="A14" s="268" t="s">
        <v>381</v>
      </c>
      <c r="B14" s="273">
        <v>11</v>
      </c>
      <c r="C14" s="275">
        <v>524.16</v>
      </c>
      <c r="D14" s="273">
        <v>926</v>
      </c>
      <c r="E14" s="275">
        <v>43.68</v>
      </c>
      <c r="F14" s="278">
        <f t="shared" si="0"/>
        <v>90854.399999999994</v>
      </c>
      <c r="G14" s="278">
        <f t="shared" si="1"/>
        <v>50000</v>
      </c>
      <c r="H14" s="278">
        <f t="shared" si="2"/>
        <v>181708.79999999999</v>
      </c>
      <c r="I14" s="275">
        <f t="shared" si="3"/>
        <v>379.92923076923074</v>
      </c>
    </row>
    <row r="15" spans="1:16">
      <c r="A15" s="268" t="s">
        <v>382</v>
      </c>
      <c r="B15" s="273">
        <v>16</v>
      </c>
      <c r="C15" s="275">
        <v>692.16</v>
      </c>
      <c r="D15" s="273">
        <v>926</v>
      </c>
      <c r="E15" s="275">
        <v>57.68</v>
      </c>
      <c r="F15" s="278">
        <f t="shared" si="0"/>
        <v>119974.39999999999</v>
      </c>
      <c r="G15" s="278">
        <f t="shared" si="1"/>
        <v>50000</v>
      </c>
      <c r="H15" s="278">
        <f t="shared" si="2"/>
        <v>239948.79999999999</v>
      </c>
      <c r="I15" s="275">
        <f t="shared" si="3"/>
        <v>547.92923076923068</v>
      </c>
    </row>
    <row r="16" spans="1:16">
      <c r="A16" s="268" t="s">
        <v>383</v>
      </c>
      <c r="B16" s="273">
        <v>24</v>
      </c>
      <c r="C16" s="275">
        <v>638.4</v>
      </c>
      <c r="D16" s="273">
        <v>926</v>
      </c>
      <c r="E16" s="275">
        <v>53.2</v>
      </c>
      <c r="F16" s="278">
        <f t="shared" si="0"/>
        <v>110656</v>
      </c>
      <c r="G16" s="278">
        <f t="shared" si="1"/>
        <v>50000</v>
      </c>
      <c r="H16" s="278">
        <f t="shared" si="2"/>
        <v>221312</v>
      </c>
      <c r="I16" s="275">
        <f t="shared" si="3"/>
        <v>494.16923076923081</v>
      </c>
    </row>
    <row r="17" spans="1:9">
      <c r="A17" s="268" t="s">
        <v>384</v>
      </c>
      <c r="B17" s="273">
        <v>25</v>
      </c>
      <c r="C17" s="275">
        <v>557.76</v>
      </c>
      <c r="D17" s="273">
        <v>926</v>
      </c>
      <c r="E17" s="275">
        <v>46.48</v>
      </c>
      <c r="F17" s="278">
        <f t="shared" si="0"/>
        <v>96678.399999999994</v>
      </c>
      <c r="G17" s="278">
        <f t="shared" si="1"/>
        <v>50000</v>
      </c>
      <c r="H17" s="278">
        <f t="shared" si="2"/>
        <v>193356.79999999999</v>
      </c>
      <c r="I17" s="275">
        <f t="shared" si="3"/>
        <v>413.52923076923071</v>
      </c>
    </row>
    <row r="18" spans="1:9">
      <c r="A18" s="268" t="s">
        <v>385</v>
      </c>
      <c r="B18" s="273">
        <v>38</v>
      </c>
      <c r="C18" s="275">
        <v>537.6</v>
      </c>
      <c r="D18" s="273">
        <v>926</v>
      </c>
      <c r="E18" s="275">
        <v>44.8</v>
      </c>
      <c r="F18" s="278">
        <f t="shared" si="0"/>
        <v>93184</v>
      </c>
      <c r="G18" s="278">
        <f t="shared" si="1"/>
        <v>50000</v>
      </c>
      <c r="H18" s="278">
        <f t="shared" si="2"/>
        <v>186368</v>
      </c>
      <c r="I18" s="275">
        <f t="shared" si="3"/>
        <v>393.3692307692308</v>
      </c>
    </row>
    <row r="19" spans="1:9">
      <c r="A19" s="268" t="s">
        <v>386</v>
      </c>
      <c r="B19" s="273">
        <v>40</v>
      </c>
      <c r="C19" s="274">
        <v>537.6</v>
      </c>
      <c r="D19" s="273">
        <v>926</v>
      </c>
      <c r="E19" s="275">
        <v>44.8</v>
      </c>
      <c r="F19" s="278">
        <f t="shared" si="0"/>
        <v>93184</v>
      </c>
      <c r="G19" s="278">
        <f t="shared" si="1"/>
        <v>50000</v>
      </c>
      <c r="H19" s="278">
        <f t="shared" si="2"/>
        <v>186368</v>
      </c>
      <c r="I19" s="275">
        <f t="shared" si="3"/>
        <v>393.3692307692308</v>
      </c>
    </row>
    <row r="20" spans="1:9">
      <c r="A20" s="268" t="s">
        <v>387</v>
      </c>
      <c r="B20" s="273">
        <v>41</v>
      </c>
      <c r="C20" s="275">
        <v>524.16</v>
      </c>
      <c r="D20" s="273">
        <v>926</v>
      </c>
      <c r="E20" s="275">
        <v>43.68</v>
      </c>
      <c r="F20" s="278">
        <f t="shared" si="0"/>
        <v>90854.399999999994</v>
      </c>
      <c r="G20" s="278">
        <f t="shared" si="1"/>
        <v>50000</v>
      </c>
      <c r="H20" s="278">
        <f t="shared" si="2"/>
        <v>181708.79999999999</v>
      </c>
      <c r="I20" s="275">
        <f t="shared" si="3"/>
        <v>379.92923076923074</v>
      </c>
    </row>
    <row r="21" spans="1:9">
      <c r="A21" s="268" t="s">
        <v>388</v>
      </c>
      <c r="B21" s="273">
        <v>43</v>
      </c>
      <c r="C21" s="275">
        <v>557.76</v>
      </c>
      <c r="D21" s="273">
        <v>926</v>
      </c>
      <c r="E21" s="275">
        <v>46.48</v>
      </c>
      <c r="F21" s="278">
        <f t="shared" si="0"/>
        <v>96678.399999999994</v>
      </c>
      <c r="G21" s="278">
        <f t="shared" si="1"/>
        <v>50000</v>
      </c>
      <c r="H21" s="278">
        <f t="shared" si="2"/>
        <v>193356.79999999999</v>
      </c>
      <c r="I21" s="275">
        <f t="shared" si="3"/>
        <v>413.52923076923071</v>
      </c>
    </row>
    <row r="22" spans="1:9">
      <c r="A22" s="268" t="s">
        <v>389</v>
      </c>
      <c r="B22" s="273">
        <v>50</v>
      </c>
      <c r="C22" s="274">
        <v>524.16</v>
      </c>
      <c r="D22" s="273">
        <v>926</v>
      </c>
      <c r="E22" s="275">
        <v>43.68</v>
      </c>
      <c r="F22" s="278">
        <f t="shared" si="0"/>
        <v>90854.399999999994</v>
      </c>
      <c r="G22" s="278">
        <f t="shared" si="1"/>
        <v>50000</v>
      </c>
      <c r="H22" s="278">
        <f t="shared" si="2"/>
        <v>181708.79999999999</v>
      </c>
      <c r="I22" s="275">
        <f t="shared" si="3"/>
        <v>379.92923076923074</v>
      </c>
    </row>
    <row r="23" spans="1:9">
      <c r="A23" s="268" t="s">
        <v>390</v>
      </c>
      <c r="B23" s="273">
        <v>136</v>
      </c>
      <c r="C23" s="275">
        <v>41.76</v>
      </c>
      <c r="D23" s="273">
        <v>926</v>
      </c>
      <c r="E23" s="275">
        <v>3.48</v>
      </c>
      <c r="F23" s="278">
        <f t="shared" si="0"/>
        <v>7238.4</v>
      </c>
      <c r="G23" s="278">
        <f t="shared" si="1"/>
        <v>7238.4</v>
      </c>
      <c r="H23" s="278">
        <f t="shared" si="2"/>
        <v>14476.8</v>
      </c>
      <c r="I23" s="275">
        <f t="shared" si="3"/>
        <v>20.88</v>
      </c>
    </row>
    <row r="24" spans="1:9">
      <c r="A24" s="268" t="s">
        <v>391</v>
      </c>
      <c r="B24" s="273">
        <v>139</v>
      </c>
      <c r="C24" s="275">
        <v>490.56</v>
      </c>
      <c r="D24" s="273">
        <v>926</v>
      </c>
      <c r="E24" s="275">
        <v>40.880000000000003</v>
      </c>
      <c r="F24" s="278">
        <f t="shared" si="0"/>
        <v>85030.400000000009</v>
      </c>
      <c r="G24" s="278">
        <f t="shared" si="1"/>
        <v>50000</v>
      </c>
      <c r="H24" s="278">
        <f t="shared" si="2"/>
        <v>170060.80000000002</v>
      </c>
      <c r="I24" s="275">
        <f t="shared" si="3"/>
        <v>346.32923076923078</v>
      </c>
    </row>
    <row r="25" spans="1:9">
      <c r="A25" s="268" t="s">
        <v>392</v>
      </c>
      <c r="B25" s="273">
        <v>149</v>
      </c>
      <c r="C25" s="275">
        <v>840</v>
      </c>
      <c r="D25" s="273">
        <v>926</v>
      </c>
      <c r="E25" s="275">
        <v>70</v>
      </c>
      <c r="F25" s="278">
        <f t="shared" si="0"/>
        <v>145600</v>
      </c>
      <c r="G25" s="278">
        <f t="shared" si="1"/>
        <v>50000</v>
      </c>
      <c r="H25" s="278">
        <f t="shared" si="2"/>
        <v>291200</v>
      </c>
      <c r="I25" s="275">
        <f t="shared" si="3"/>
        <v>695.76923076923083</v>
      </c>
    </row>
    <row r="26" spans="1:9">
      <c r="A26" s="268" t="s">
        <v>393</v>
      </c>
      <c r="B26" s="273">
        <v>159</v>
      </c>
      <c r="C26" s="275">
        <v>537.6</v>
      </c>
      <c r="D26" s="273">
        <v>926</v>
      </c>
      <c r="E26" s="275">
        <v>44.8</v>
      </c>
      <c r="F26" s="278">
        <f t="shared" si="0"/>
        <v>93184</v>
      </c>
      <c r="G26" s="278">
        <f t="shared" si="1"/>
        <v>50000</v>
      </c>
      <c r="H26" s="278">
        <f t="shared" si="2"/>
        <v>186368</v>
      </c>
      <c r="I26" s="275">
        <f t="shared" si="3"/>
        <v>393.3692307692308</v>
      </c>
    </row>
    <row r="27" spans="1:9">
      <c r="B27" s="273">
        <v>163</v>
      </c>
      <c r="C27" s="275">
        <v>456.96</v>
      </c>
      <c r="D27" s="273">
        <v>926</v>
      </c>
      <c r="E27" s="275">
        <v>38.08</v>
      </c>
      <c r="F27" s="278">
        <f t="shared" ref="F27" si="4">+E27*2080</f>
        <v>79206.399999999994</v>
      </c>
      <c r="G27" s="278">
        <f t="shared" ref="G27" si="5">IF(F27&gt;50000,50000,F27)</f>
        <v>50000</v>
      </c>
      <c r="H27" s="278">
        <f t="shared" ref="H27" si="6">+F27*2</f>
        <v>158412.79999999999</v>
      </c>
      <c r="I27" s="275">
        <f t="shared" ref="I27" si="7">((H27-G27)/H27)*C27</f>
        <v>312.72923076923075</v>
      </c>
    </row>
    <row r="28" spans="1:9">
      <c r="A28" s="268" t="s">
        <v>394</v>
      </c>
      <c r="B28" s="273">
        <v>164</v>
      </c>
      <c r="C28" s="275">
        <v>396.48</v>
      </c>
      <c r="D28" s="273">
        <v>926</v>
      </c>
      <c r="E28" s="275">
        <v>33.04</v>
      </c>
      <c r="F28" s="278">
        <f t="shared" si="0"/>
        <v>68723.199999999997</v>
      </c>
      <c r="G28" s="278">
        <f t="shared" si="1"/>
        <v>50000</v>
      </c>
      <c r="H28" s="278">
        <f t="shared" si="2"/>
        <v>137446.39999999999</v>
      </c>
      <c r="I28" s="275">
        <f t="shared" si="3"/>
        <v>252.24923076923076</v>
      </c>
    </row>
    <row r="29" spans="1:9">
      <c r="A29" s="268" t="s">
        <v>395</v>
      </c>
      <c r="B29" s="273">
        <v>166</v>
      </c>
      <c r="C29" s="274">
        <v>409.92</v>
      </c>
      <c r="D29" s="273">
        <v>926</v>
      </c>
      <c r="E29" s="275">
        <v>34.159999999999997</v>
      </c>
      <c r="F29" s="278">
        <f t="shared" si="0"/>
        <v>71052.799999999988</v>
      </c>
      <c r="G29" s="278">
        <f t="shared" si="1"/>
        <v>50000</v>
      </c>
      <c r="H29" s="278">
        <f t="shared" si="2"/>
        <v>142105.59999999998</v>
      </c>
      <c r="I29" s="275">
        <f t="shared" si="3"/>
        <v>265.68923076923073</v>
      </c>
    </row>
    <row r="30" spans="1:9">
      <c r="A30" s="268" t="s">
        <v>396</v>
      </c>
      <c r="B30" s="273">
        <v>169</v>
      </c>
      <c r="C30" s="275">
        <v>369.6</v>
      </c>
      <c r="D30" s="273">
        <v>926</v>
      </c>
      <c r="E30" s="275">
        <v>30.8</v>
      </c>
      <c r="F30" s="278">
        <f t="shared" si="0"/>
        <v>64064</v>
      </c>
      <c r="G30" s="278">
        <f t="shared" si="1"/>
        <v>50000</v>
      </c>
      <c r="H30" s="278">
        <f t="shared" si="2"/>
        <v>128128</v>
      </c>
      <c r="I30" s="275">
        <f t="shared" si="3"/>
        <v>225.3692307692308</v>
      </c>
    </row>
    <row r="31" spans="1:9">
      <c r="A31" s="268" t="s">
        <v>397</v>
      </c>
      <c r="B31" s="273">
        <v>172</v>
      </c>
      <c r="C31" s="274">
        <v>396.48</v>
      </c>
      <c r="D31" s="273">
        <v>926</v>
      </c>
      <c r="E31" s="275">
        <v>33.04</v>
      </c>
      <c r="F31" s="278">
        <f t="shared" si="0"/>
        <v>68723.199999999997</v>
      </c>
      <c r="G31" s="278">
        <f t="shared" si="1"/>
        <v>50000</v>
      </c>
      <c r="H31" s="278">
        <f t="shared" si="2"/>
        <v>137446.39999999999</v>
      </c>
      <c r="I31" s="275">
        <f t="shared" si="3"/>
        <v>252.24923076923076</v>
      </c>
    </row>
    <row r="32" spans="1:9">
      <c r="A32" s="268" t="s">
        <v>398</v>
      </c>
      <c r="B32" s="273">
        <v>182</v>
      </c>
      <c r="C32" s="274">
        <v>443.52</v>
      </c>
      <c r="D32" s="273">
        <v>926</v>
      </c>
      <c r="E32" s="275">
        <v>36.96</v>
      </c>
      <c r="F32" s="278">
        <f t="shared" si="0"/>
        <v>76876.800000000003</v>
      </c>
      <c r="G32" s="278">
        <f t="shared" si="1"/>
        <v>50000</v>
      </c>
      <c r="H32" s="278">
        <f t="shared" si="2"/>
        <v>153753.60000000001</v>
      </c>
      <c r="I32" s="275">
        <f t="shared" si="3"/>
        <v>299.28923076923076</v>
      </c>
    </row>
    <row r="33" spans="1:9">
      <c r="A33" s="268" t="s">
        <v>399</v>
      </c>
      <c r="B33" s="273">
        <v>187</v>
      </c>
      <c r="C33" s="274">
        <v>524.16</v>
      </c>
      <c r="D33" s="273">
        <v>926</v>
      </c>
      <c r="E33" s="275">
        <v>43.68</v>
      </c>
      <c r="F33" s="278">
        <f t="shared" si="0"/>
        <v>90854.399999999994</v>
      </c>
      <c r="G33" s="278">
        <f t="shared" si="1"/>
        <v>50000</v>
      </c>
      <c r="H33" s="278">
        <f t="shared" si="2"/>
        <v>181708.79999999999</v>
      </c>
      <c r="I33" s="275">
        <f t="shared" si="3"/>
        <v>379.92923076923074</v>
      </c>
    </row>
    <row r="34" spans="1:9">
      <c r="A34" s="268" t="s">
        <v>400</v>
      </c>
      <c r="B34" s="273">
        <v>189</v>
      </c>
      <c r="C34" s="274">
        <v>477.12</v>
      </c>
      <c r="D34" s="273">
        <v>926</v>
      </c>
      <c r="E34" s="275">
        <v>39.76</v>
      </c>
      <c r="F34" s="278">
        <f t="shared" si="0"/>
        <v>82700.800000000003</v>
      </c>
      <c r="G34" s="278">
        <f t="shared" si="1"/>
        <v>50000</v>
      </c>
      <c r="H34" s="278">
        <f t="shared" si="2"/>
        <v>165401.60000000001</v>
      </c>
      <c r="I34" s="275">
        <f t="shared" si="3"/>
        <v>332.88923076923078</v>
      </c>
    </row>
    <row r="35" spans="1:9">
      <c r="A35" s="268" t="s">
        <v>401</v>
      </c>
      <c r="B35" s="273">
        <v>191</v>
      </c>
      <c r="C35" s="275">
        <v>288.95999999999998</v>
      </c>
      <c r="D35" s="273">
        <v>926</v>
      </c>
      <c r="E35" s="275">
        <v>24.08</v>
      </c>
      <c r="F35" s="278">
        <f t="shared" si="0"/>
        <v>50086.399999999994</v>
      </c>
      <c r="G35" s="278">
        <f t="shared" si="1"/>
        <v>50000</v>
      </c>
      <c r="H35" s="278">
        <f t="shared" si="2"/>
        <v>100172.79999999999</v>
      </c>
      <c r="I35" s="275">
        <f t="shared" si="3"/>
        <v>144.72923076923075</v>
      </c>
    </row>
    <row r="36" spans="1:9">
      <c r="A36" s="268" t="s">
        <v>402</v>
      </c>
      <c r="B36" s="273">
        <v>192</v>
      </c>
      <c r="C36" s="275">
        <v>315.83999999999997</v>
      </c>
      <c r="D36" s="273">
        <v>926</v>
      </c>
      <c r="E36" s="275">
        <v>26.32</v>
      </c>
      <c r="F36" s="278">
        <f t="shared" si="0"/>
        <v>54745.599999999999</v>
      </c>
      <c r="G36" s="278">
        <f t="shared" si="1"/>
        <v>50000</v>
      </c>
      <c r="H36" s="278">
        <f t="shared" si="2"/>
        <v>109491.2</v>
      </c>
      <c r="I36" s="275">
        <f t="shared" si="3"/>
        <v>171.60923076923075</v>
      </c>
    </row>
    <row r="37" spans="1:9">
      <c r="A37" s="268" t="s">
        <v>403</v>
      </c>
      <c r="B37" s="273">
        <v>194</v>
      </c>
      <c r="C37" s="274">
        <v>517.44000000000005</v>
      </c>
      <c r="D37" s="273">
        <v>926</v>
      </c>
      <c r="E37" s="275">
        <v>43.12</v>
      </c>
      <c r="F37" s="278">
        <f t="shared" si="0"/>
        <v>89689.599999999991</v>
      </c>
      <c r="G37" s="278">
        <f t="shared" si="1"/>
        <v>50000</v>
      </c>
      <c r="H37" s="278">
        <f t="shared" si="2"/>
        <v>179379.19999999998</v>
      </c>
      <c r="I37" s="275">
        <f t="shared" si="3"/>
        <v>373.20923076923083</v>
      </c>
    </row>
    <row r="38" spans="1:9">
      <c r="A38" s="268" t="s">
        <v>404</v>
      </c>
      <c r="B38" s="273">
        <v>197</v>
      </c>
      <c r="C38" s="274">
        <v>517.44000000000005</v>
      </c>
      <c r="D38" s="273">
        <v>926</v>
      </c>
      <c r="E38" s="275">
        <v>43.12</v>
      </c>
      <c r="F38" s="278">
        <f t="shared" si="0"/>
        <v>89689.599999999991</v>
      </c>
      <c r="G38" s="278">
        <f t="shared" si="1"/>
        <v>50000</v>
      </c>
      <c r="H38" s="278">
        <f t="shared" si="2"/>
        <v>179379.19999999998</v>
      </c>
      <c r="I38" s="275">
        <f t="shared" si="3"/>
        <v>373.20923076923083</v>
      </c>
    </row>
    <row r="39" spans="1:9">
      <c r="A39" s="268" t="s">
        <v>405</v>
      </c>
      <c r="B39" s="273">
        <v>198</v>
      </c>
      <c r="C39" s="275">
        <v>268.8</v>
      </c>
      <c r="D39" s="273">
        <v>926</v>
      </c>
      <c r="E39" s="275">
        <v>22.4</v>
      </c>
      <c r="F39" s="278">
        <f t="shared" si="0"/>
        <v>46592</v>
      </c>
      <c r="G39" s="278">
        <f t="shared" si="1"/>
        <v>46592</v>
      </c>
      <c r="H39" s="278">
        <f t="shared" si="2"/>
        <v>93184</v>
      </c>
      <c r="I39" s="275">
        <f t="shared" si="3"/>
        <v>134.4</v>
      </c>
    </row>
    <row r="40" spans="1:9">
      <c r="A40" s="268" t="s">
        <v>406</v>
      </c>
      <c r="B40" s="273">
        <v>200</v>
      </c>
      <c r="C40" s="275">
        <v>388.08</v>
      </c>
      <c r="D40" s="273">
        <v>926</v>
      </c>
      <c r="E40" s="275"/>
      <c r="F40" s="278">
        <f t="shared" si="0"/>
        <v>0</v>
      </c>
      <c r="G40" s="278">
        <f t="shared" si="1"/>
        <v>0</v>
      </c>
      <c r="H40" s="278">
        <f t="shared" si="2"/>
        <v>0</v>
      </c>
      <c r="I40" s="275">
        <f>C40</f>
        <v>388.08</v>
      </c>
    </row>
    <row r="41" spans="1:9">
      <c r="A41" s="268" t="s">
        <v>407</v>
      </c>
      <c r="B41" s="273">
        <v>201</v>
      </c>
      <c r="C41" s="275">
        <v>497.28</v>
      </c>
      <c r="D41" s="273">
        <v>926</v>
      </c>
      <c r="E41" s="275">
        <v>41.44</v>
      </c>
      <c r="F41" s="278">
        <f t="shared" si="0"/>
        <v>86195.199999999997</v>
      </c>
      <c r="G41" s="278">
        <f t="shared" si="1"/>
        <v>50000</v>
      </c>
      <c r="H41" s="278">
        <f t="shared" si="2"/>
        <v>172390.39999999999</v>
      </c>
      <c r="I41" s="275">
        <f t="shared" si="3"/>
        <v>353.04923076923075</v>
      </c>
    </row>
    <row r="42" spans="1:9">
      <c r="A42" s="268" t="s">
        <v>408</v>
      </c>
      <c r="B42" s="273">
        <v>203</v>
      </c>
      <c r="C42" s="275">
        <v>275.52</v>
      </c>
      <c r="D42" s="273">
        <v>926</v>
      </c>
      <c r="E42" s="275">
        <v>22.96</v>
      </c>
      <c r="F42" s="278">
        <f t="shared" si="0"/>
        <v>47756.800000000003</v>
      </c>
      <c r="G42" s="278">
        <f t="shared" si="1"/>
        <v>47756.800000000003</v>
      </c>
      <c r="H42" s="278">
        <f t="shared" si="2"/>
        <v>95513.600000000006</v>
      </c>
      <c r="I42" s="275">
        <f t="shared" si="3"/>
        <v>137.76</v>
      </c>
    </row>
    <row r="43" spans="1:9">
      <c r="A43" s="268" t="s">
        <v>409</v>
      </c>
      <c r="B43" s="273">
        <v>204</v>
      </c>
      <c r="C43" s="274">
        <v>268.8</v>
      </c>
      <c r="D43" s="273">
        <v>926</v>
      </c>
      <c r="E43" s="275">
        <v>22.4</v>
      </c>
      <c r="F43" s="278">
        <f t="shared" si="0"/>
        <v>46592</v>
      </c>
      <c r="G43" s="278">
        <f t="shared" si="1"/>
        <v>46592</v>
      </c>
      <c r="H43" s="278">
        <f t="shared" si="2"/>
        <v>93184</v>
      </c>
      <c r="I43" s="275">
        <f t="shared" si="3"/>
        <v>134.4</v>
      </c>
    </row>
    <row r="44" spans="1:9">
      <c r="A44" s="268" t="s">
        <v>410</v>
      </c>
      <c r="B44" s="273">
        <v>205</v>
      </c>
      <c r="C44" s="274">
        <v>517.44000000000005</v>
      </c>
      <c r="D44" s="273">
        <v>926</v>
      </c>
      <c r="E44" s="275">
        <v>43.12</v>
      </c>
      <c r="F44" s="278">
        <f t="shared" si="0"/>
        <v>89689.599999999991</v>
      </c>
      <c r="G44" s="278">
        <f t="shared" si="1"/>
        <v>50000</v>
      </c>
      <c r="H44" s="278">
        <f t="shared" si="2"/>
        <v>179379.19999999998</v>
      </c>
      <c r="I44" s="275">
        <f t="shared" si="3"/>
        <v>373.20923076923083</v>
      </c>
    </row>
    <row r="45" spans="1:9">
      <c r="A45" s="268" t="s">
        <v>411</v>
      </c>
      <c r="B45" s="273">
        <v>208</v>
      </c>
      <c r="C45" s="275">
        <v>504</v>
      </c>
      <c r="D45" s="273">
        <v>926</v>
      </c>
      <c r="E45" s="275">
        <v>42</v>
      </c>
      <c r="F45" s="278">
        <f t="shared" si="0"/>
        <v>87360</v>
      </c>
      <c r="G45" s="278">
        <f t="shared" si="1"/>
        <v>50000</v>
      </c>
      <c r="H45" s="278">
        <f t="shared" si="2"/>
        <v>174720</v>
      </c>
      <c r="I45" s="275">
        <f t="shared" si="3"/>
        <v>359.76923076923077</v>
      </c>
    </row>
    <row r="46" spans="1:9">
      <c r="A46" s="268" t="s">
        <v>412</v>
      </c>
      <c r="B46" s="273">
        <v>211</v>
      </c>
      <c r="C46" s="275">
        <v>248.64</v>
      </c>
      <c r="D46" s="273">
        <v>926</v>
      </c>
      <c r="E46" s="275">
        <v>20.72</v>
      </c>
      <c r="F46" s="278">
        <f t="shared" si="0"/>
        <v>43097.599999999999</v>
      </c>
      <c r="G46" s="278">
        <f t="shared" si="1"/>
        <v>43097.599999999999</v>
      </c>
      <c r="H46" s="278">
        <f t="shared" si="2"/>
        <v>86195.199999999997</v>
      </c>
      <c r="I46" s="275">
        <f t="shared" si="3"/>
        <v>124.32</v>
      </c>
    </row>
    <row r="47" spans="1:9">
      <c r="A47" s="268" t="s">
        <v>413</v>
      </c>
      <c r="B47" s="273">
        <v>216</v>
      </c>
      <c r="C47" s="274">
        <v>456.96</v>
      </c>
      <c r="D47" s="273">
        <v>926</v>
      </c>
      <c r="E47" s="275">
        <v>38.08</v>
      </c>
      <c r="F47" s="278">
        <f t="shared" si="0"/>
        <v>79206.399999999994</v>
      </c>
      <c r="G47" s="278">
        <f t="shared" si="1"/>
        <v>50000</v>
      </c>
      <c r="H47" s="278">
        <f t="shared" si="2"/>
        <v>158412.79999999999</v>
      </c>
      <c r="I47" s="275">
        <f t="shared" si="3"/>
        <v>312.72923076923075</v>
      </c>
    </row>
    <row r="48" spans="1:9">
      <c r="A48" s="268" t="s">
        <v>414</v>
      </c>
      <c r="B48" s="273">
        <v>219</v>
      </c>
      <c r="C48" s="275">
        <v>215.04</v>
      </c>
      <c r="D48" s="273">
        <v>926</v>
      </c>
      <c r="E48" s="275">
        <v>17.920000000000002</v>
      </c>
      <c r="F48" s="278">
        <f t="shared" si="0"/>
        <v>37273.600000000006</v>
      </c>
      <c r="G48" s="278">
        <f t="shared" si="1"/>
        <v>37273.600000000006</v>
      </c>
      <c r="H48" s="278">
        <f t="shared" si="2"/>
        <v>74547.200000000012</v>
      </c>
      <c r="I48" s="275">
        <f t="shared" si="3"/>
        <v>107.52</v>
      </c>
    </row>
    <row r="49" spans="1:9">
      <c r="A49" s="268" t="s">
        <v>415</v>
      </c>
      <c r="B49" s="273">
        <v>222</v>
      </c>
      <c r="C49" s="274">
        <v>517.44000000000005</v>
      </c>
      <c r="D49" s="273">
        <v>926</v>
      </c>
      <c r="E49" s="275">
        <v>43.12</v>
      </c>
      <c r="F49" s="278">
        <f t="shared" si="0"/>
        <v>89689.599999999991</v>
      </c>
      <c r="G49" s="278">
        <f t="shared" si="1"/>
        <v>50000</v>
      </c>
      <c r="H49" s="278">
        <f t="shared" si="2"/>
        <v>179379.19999999998</v>
      </c>
      <c r="I49" s="275">
        <f t="shared" si="3"/>
        <v>373.20923076923083</v>
      </c>
    </row>
    <row r="50" spans="1:9">
      <c r="A50" s="268" t="s">
        <v>416</v>
      </c>
      <c r="B50" s="273">
        <v>223</v>
      </c>
      <c r="C50" s="274">
        <v>215.04</v>
      </c>
      <c r="D50" s="273">
        <v>926</v>
      </c>
      <c r="E50" s="275">
        <v>17.920000000000002</v>
      </c>
      <c r="F50" s="278">
        <f t="shared" si="0"/>
        <v>37273.600000000006</v>
      </c>
      <c r="G50" s="278">
        <f t="shared" si="1"/>
        <v>37273.600000000006</v>
      </c>
      <c r="H50" s="278">
        <f t="shared" si="2"/>
        <v>74547.200000000012</v>
      </c>
      <c r="I50" s="275">
        <f t="shared" si="3"/>
        <v>107.52</v>
      </c>
    </row>
    <row r="51" spans="1:9">
      <c r="A51" s="268" t="s">
        <v>417</v>
      </c>
      <c r="B51" s="273">
        <v>224</v>
      </c>
      <c r="C51" s="274">
        <v>517.44000000000005</v>
      </c>
      <c r="D51" s="273">
        <v>926</v>
      </c>
      <c r="E51" s="275">
        <v>43.12</v>
      </c>
      <c r="F51" s="278">
        <f t="shared" si="0"/>
        <v>89689.599999999991</v>
      </c>
      <c r="G51" s="278">
        <f t="shared" si="1"/>
        <v>50000</v>
      </c>
      <c r="H51" s="278">
        <f t="shared" si="2"/>
        <v>179379.19999999998</v>
      </c>
      <c r="I51" s="275">
        <f t="shared" si="3"/>
        <v>373.20923076923083</v>
      </c>
    </row>
    <row r="52" spans="1:9">
      <c r="A52" s="268" t="s">
        <v>418</v>
      </c>
      <c r="B52" s="273">
        <v>217</v>
      </c>
      <c r="C52" s="275">
        <v>170.24</v>
      </c>
      <c r="D52" s="273">
        <v>926</v>
      </c>
      <c r="E52" s="275">
        <v>21.28</v>
      </c>
      <c r="F52" s="278">
        <f t="shared" si="0"/>
        <v>44262.400000000001</v>
      </c>
      <c r="G52" s="278">
        <f t="shared" si="1"/>
        <v>44262.400000000001</v>
      </c>
      <c r="H52" s="278">
        <f t="shared" si="2"/>
        <v>88524.800000000003</v>
      </c>
      <c r="I52" s="275">
        <f t="shared" si="3"/>
        <v>85.12</v>
      </c>
    </row>
    <row r="53" spans="1:9">
      <c r="B53" s="279" t="s">
        <v>50</v>
      </c>
      <c r="C53" s="280">
        <f>SUM(C12:C52)</f>
        <v>18226.640000000003</v>
      </c>
      <c r="D53" s="279"/>
      <c r="E53" s="281"/>
      <c r="F53" s="281"/>
      <c r="G53" s="281"/>
      <c r="H53" s="281"/>
      <c r="I53" s="282">
        <f>SUM(I12:I52)</f>
        <v>12759.335384615386</v>
      </c>
    </row>
    <row r="55" spans="1:9">
      <c r="H55" s="283" t="s">
        <v>372</v>
      </c>
      <c r="I55" s="276">
        <f>C53-I53</f>
        <v>5467.3046153846171</v>
      </c>
    </row>
    <row r="56" spans="1:9">
      <c r="H56" s="283"/>
    </row>
    <row r="57" spans="1:9">
      <c r="H57" s="283" t="s">
        <v>39</v>
      </c>
      <c r="I57" s="276">
        <f>C53</f>
        <v>18226.640000000003</v>
      </c>
    </row>
    <row r="58" spans="1:9">
      <c r="H58" s="283"/>
    </row>
    <row r="59" spans="1:9">
      <c r="H59" s="283" t="s">
        <v>250</v>
      </c>
      <c r="I59" s="276">
        <f>I55</f>
        <v>5467.3046153846171</v>
      </c>
    </row>
    <row r="60" spans="1:9">
      <c r="H60" s="283"/>
    </row>
    <row r="61" spans="1:9" ht="15">
      <c r="H61" s="284" t="s">
        <v>15</v>
      </c>
      <c r="I61" s="285">
        <f>I59-I57</f>
        <v>-12759.335384615386</v>
      </c>
    </row>
    <row r="63" spans="1:9" s="2" customFormat="1" ht="30" customHeight="1">
      <c r="B63" s="305" t="s">
        <v>419</v>
      </c>
      <c r="C63" s="305"/>
      <c r="D63" s="305"/>
      <c r="E63" s="305"/>
      <c r="F63" s="305"/>
      <c r="G63" s="305"/>
      <c r="H63" s="305"/>
      <c r="I63" s="305"/>
    </row>
  </sheetData>
  <mergeCells count="4">
    <mergeCell ref="B4:I4"/>
    <mergeCell ref="B5:I5"/>
    <mergeCell ref="B7:I7"/>
    <mergeCell ref="B63:I63"/>
  </mergeCells>
  <printOptions horizontalCentered="1"/>
  <pageMargins left="0.7" right="0.7" top="0.75" bottom="0.75" header="0.3" footer="0.3"/>
  <pageSetup scale="70" orientation="portrait" r:id="rId1"/>
  <headerFooter>
    <oddFooter>&amp;RExhibit JW-2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237F-AEBD-4334-A488-9B52D0A45528}">
  <sheetPr>
    <pageSetUpPr fitToPage="1"/>
  </sheetPr>
  <dimension ref="A1:L38"/>
  <sheetViews>
    <sheetView view="pageBreakPreview" zoomScaleNormal="100" zoomScaleSheetLayoutView="100" workbookViewId="0">
      <selection activeCell="B67" sqref="B67"/>
    </sheetView>
  </sheetViews>
  <sheetFormatPr defaultColWidth="8.85546875" defaultRowHeight="12.75"/>
  <cols>
    <col min="1" max="1" width="8.85546875" style="11"/>
    <col min="2" max="2" width="30.42578125" style="11" customWidth="1"/>
    <col min="3" max="3" width="23.5703125" style="11" customWidth="1"/>
    <col min="4" max="12" width="18.140625" style="11" customWidth="1"/>
    <col min="13" max="13" width="10.5703125" style="11" bestFit="1" customWidth="1"/>
    <col min="14" max="16384" width="8.85546875" style="11"/>
  </cols>
  <sheetData>
    <row r="1" spans="1:12">
      <c r="C1" s="5" t="s">
        <v>445</v>
      </c>
    </row>
    <row r="2" spans="1:12">
      <c r="K2" s="5"/>
    </row>
    <row r="3" spans="1:12">
      <c r="K3" s="5"/>
    </row>
    <row r="4" spans="1:12">
      <c r="A4" s="291" t="str">
        <f>RevReq!A1</f>
        <v>BIG SANDY RECC</v>
      </c>
      <c r="B4" s="291"/>
      <c r="C4" s="291"/>
      <c r="D4" s="7"/>
      <c r="E4" s="7"/>
      <c r="F4" s="7"/>
      <c r="G4" s="7"/>
      <c r="H4" s="7"/>
      <c r="I4" s="7"/>
      <c r="J4" s="7"/>
      <c r="K4" s="7"/>
    </row>
    <row r="5" spans="1:12">
      <c r="A5" s="291" t="str">
        <f>RevReq!A3</f>
        <v>For the 12 Months Ended December 31, 2023</v>
      </c>
      <c r="B5" s="291"/>
      <c r="C5" s="291"/>
      <c r="D5" s="7"/>
      <c r="E5" s="7"/>
      <c r="F5" s="7"/>
      <c r="G5" s="7"/>
      <c r="H5" s="7"/>
      <c r="I5" s="7"/>
      <c r="J5" s="7"/>
      <c r="K5" s="7"/>
      <c r="L5" s="7"/>
    </row>
    <row r="6" spans="1:12">
      <c r="A6" s="7"/>
      <c r="B6" s="7"/>
      <c r="C6" s="7"/>
      <c r="D6" s="7"/>
      <c r="E6" s="7"/>
      <c r="F6" s="7"/>
      <c r="G6" s="7"/>
      <c r="H6" s="7"/>
      <c r="I6" s="7"/>
      <c r="J6" s="7"/>
      <c r="K6" s="7"/>
      <c r="L6" s="7"/>
    </row>
    <row r="7" spans="1:12">
      <c r="A7" s="289" t="s">
        <v>366</v>
      </c>
      <c r="B7" s="289"/>
      <c r="C7" s="289"/>
      <c r="D7" s="8"/>
      <c r="E7" s="8"/>
      <c r="F7" s="8"/>
      <c r="G7" s="8"/>
      <c r="H7" s="8"/>
      <c r="I7" s="8"/>
      <c r="J7" s="8"/>
      <c r="K7" s="8"/>
    </row>
    <row r="8" spans="1:12">
      <c r="A8" s="122"/>
      <c r="B8" s="122"/>
      <c r="C8" s="122"/>
      <c r="D8" s="8"/>
      <c r="E8" s="8"/>
      <c r="F8" s="8"/>
      <c r="G8" s="8"/>
      <c r="H8" s="8"/>
      <c r="I8" s="8"/>
      <c r="J8" s="8"/>
      <c r="K8" s="8"/>
    </row>
    <row r="9" spans="1:12">
      <c r="B9" s="10" t="s">
        <v>420</v>
      </c>
      <c r="C9" s="28"/>
      <c r="D9" s="196"/>
      <c r="E9" s="196"/>
      <c r="F9" s="196"/>
      <c r="G9" s="196"/>
      <c r="H9" s="196"/>
      <c r="I9" s="196"/>
      <c r="J9" s="196"/>
      <c r="K9" s="196"/>
      <c r="L9" s="196"/>
    </row>
    <row r="10" spans="1:12">
      <c r="A10" s="197" t="s">
        <v>21</v>
      </c>
      <c r="B10" s="12" t="s">
        <v>44</v>
      </c>
      <c r="C10" s="13" t="s">
        <v>374</v>
      </c>
      <c r="D10" s="194"/>
      <c r="E10" s="194"/>
      <c r="F10" s="194"/>
      <c r="G10" s="194"/>
      <c r="H10" s="194"/>
      <c r="I10" s="194"/>
      <c r="J10" s="194"/>
      <c r="K10" s="194"/>
      <c r="L10" s="194"/>
    </row>
    <row r="11" spans="1:12">
      <c r="A11" s="15"/>
      <c r="B11" s="142"/>
      <c r="C11" s="194"/>
      <c r="D11" s="194"/>
      <c r="E11" s="194"/>
      <c r="F11" s="194"/>
      <c r="G11" s="194"/>
      <c r="H11" s="194"/>
      <c r="I11" s="194"/>
      <c r="J11" s="194"/>
      <c r="K11" s="194"/>
      <c r="L11" s="194"/>
    </row>
    <row r="12" spans="1:12">
      <c r="A12" s="15">
        <v>1</v>
      </c>
      <c r="B12" s="15" t="s">
        <v>421</v>
      </c>
      <c r="C12" s="218"/>
      <c r="D12" s="133"/>
      <c r="E12" s="194"/>
      <c r="F12" s="194"/>
      <c r="G12" s="194"/>
      <c r="H12" s="194"/>
      <c r="I12" s="194"/>
      <c r="J12" s="194"/>
      <c r="K12" s="194"/>
      <c r="L12" s="194"/>
    </row>
    <row r="13" spans="1:12">
      <c r="A13" s="15">
        <f>A12+1</f>
        <v>2</v>
      </c>
      <c r="B13" s="10" t="s">
        <v>481</v>
      </c>
      <c r="C13" s="218">
        <v>50773.59</v>
      </c>
      <c r="D13" s="133"/>
      <c r="E13" s="194"/>
      <c r="F13" s="194"/>
      <c r="G13" s="194"/>
      <c r="H13" s="194"/>
      <c r="I13" s="194"/>
      <c r="J13" s="194"/>
      <c r="K13" s="194"/>
      <c r="L13" s="194"/>
    </row>
    <row r="14" spans="1:12">
      <c r="A14" s="15">
        <f t="shared" ref="A14:A29" si="0">A13+1</f>
        <v>3</v>
      </c>
      <c r="B14" s="10" t="s">
        <v>482</v>
      </c>
      <c r="C14" s="218">
        <v>4171.28</v>
      </c>
      <c r="D14" s="133"/>
      <c r="E14" s="194"/>
      <c r="F14" s="194"/>
      <c r="G14" s="194"/>
      <c r="H14" s="194"/>
      <c r="I14" s="194"/>
      <c r="J14" s="194"/>
      <c r="K14" s="194"/>
      <c r="L14" s="194"/>
    </row>
    <row r="15" spans="1:12">
      <c r="A15" s="15">
        <f t="shared" si="0"/>
        <v>4</v>
      </c>
      <c r="B15" s="10" t="s">
        <v>483</v>
      </c>
      <c r="C15" s="218">
        <v>123439.66</v>
      </c>
      <c r="D15" s="133"/>
      <c r="E15" s="194"/>
      <c r="F15" s="194"/>
      <c r="G15" s="194"/>
      <c r="H15" s="194"/>
      <c r="I15" s="194"/>
      <c r="J15" s="194"/>
      <c r="K15" s="194"/>
      <c r="L15" s="194"/>
    </row>
    <row r="16" spans="1:12">
      <c r="A16" s="15">
        <f t="shared" si="0"/>
        <v>5</v>
      </c>
      <c r="B16" s="10" t="s">
        <v>484</v>
      </c>
      <c r="C16" s="218">
        <v>3.17</v>
      </c>
      <c r="D16" s="133"/>
      <c r="E16" s="194"/>
      <c r="F16" s="194"/>
      <c r="G16" s="194"/>
      <c r="H16" s="194"/>
      <c r="I16" s="194"/>
      <c r="J16" s="194"/>
      <c r="K16" s="194"/>
      <c r="L16" s="194"/>
    </row>
    <row r="17" spans="1:12">
      <c r="A17" s="15">
        <f t="shared" si="0"/>
        <v>6</v>
      </c>
      <c r="B17" s="10" t="s">
        <v>485</v>
      </c>
      <c r="C17" s="218">
        <v>739503.12</v>
      </c>
      <c r="D17" s="133"/>
      <c r="E17" s="194"/>
      <c r="F17" s="194"/>
      <c r="G17" s="194"/>
      <c r="H17" s="194"/>
      <c r="I17" s="194"/>
      <c r="J17" s="194"/>
      <c r="K17" s="194"/>
      <c r="L17" s="194"/>
    </row>
    <row r="18" spans="1:12">
      <c r="A18" s="15">
        <f t="shared" si="0"/>
        <v>7</v>
      </c>
      <c r="B18" s="10" t="s">
        <v>486</v>
      </c>
      <c r="C18" s="218">
        <v>63241.25</v>
      </c>
      <c r="D18" s="133"/>
      <c r="E18" s="194"/>
      <c r="F18" s="194"/>
      <c r="G18" s="194"/>
      <c r="H18" s="194"/>
      <c r="I18" s="194"/>
      <c r="J18" s="194"/>
      <c r="K18" s="194"/>
      <c r="L18" s="194"/>
    </row>
    <row r="19" spans="1:12">
      <c r="A19" s="15">
        <f t="shared" si="0"/>
        <v>8</v>
      </c>
      <c r="B19" s="10" t="s">
        <v>487</v>
      </c>
      <c r="C19" s="218">
        <v>141983.48000000001</v>
      </c>
      <c r="D19" s="133"/>
      <c r="E19" s="194"/>
      <c r="F19" s="194"/>
      <c r="G19" s="194"/>
      <c r="H19" s="194"/>
      <c r="I19" s="194"/>
      <c r="J19" s="194"/>
      <c r="K19" s="194"/>
      <c r="L19" s="194"/>
    </row>
    <row r="20" spans="1:12">
      <c r="A20" s="15">
        <f t="shared" si="0"/>
        <v>9</v>
      </c>
      <c r="B20" s="10" t="s">
        <v>488</v>
      </c>
      <c r="C20" s="218">
        <v>185777.73</v>
      </c>
      <c r="D20" s="133"/>
      <c r="E20" s="194"/>
      <c r="F20" s="194"/>
      <c r="G20" s="194"/>
      <c r="H20" s="194"/>
      <c r="I20" s="194"/>
      <c r="J20" s="194"/>
      <c r="K20" s="194"/>
      <c r="L20" s="194"/>
    </row>
    <row r="21" spans="1:12">
      <c r="A21" s="15">
        <f t="shared" si="0"/>
        <v>10</v>
      </c>
      <c r="B21" s="10" t="s">
        <v>489</v>
      </c>
      <c r="C21" s="218">
        <v>26028</v>
      </c>
      <c r="D21" s="133"/>
      <c r="E21" s="194"/>
      <c r="F21" s="194"/>
      <c r="G21" s="194"/>
      <c r="H21" s="194"/>
      <c r="I21" s="194"/>
      <c r="J21" s="194"/>
      <c r="K21" s="194"/>
      <c r="L21" s="194"/>
    </row>
    <row r="22" spans="1:12">
      <c r="A22" s="15">
        <f t="shared" si="0"/>
        <v>11</v>
      </c>
      <c r="B22" s="10" t="s">
        <v>490</v>
      </c>
      <c r="C22" s="218">
        <v>21293.02</v>
      </c>
      <c r="D22" s="133"/>
      <c r="E22" s="194"/>
      <c r="F22" s="194"/>
      <c r="G22" s="194"/>
      <c r="H22" s="194"/>
      <c r="I22" s="194"/>
      <c r="J22" s="194"/>
      <c r="K22" s="194"/>
      <c r="L22" s="194"/>
    </row>
    <row r="23" spans="1:12">
      <c r="A23" s="15">
        <f t="shared" si="0"/>
        <v>12</v>
      </c>
      <c r="B23" s="199" t="s">
        <v>22</v>
      </c>
      <c r="C23" s="219">
        <f>SUM(C13:C22)</f>
        <v>1356214.3</v>
      </c>
      <c r="D23" s="133"/>
      <c r="E23" s="194"/>
      <c r="F23" s="194"/>
      <c r="G23" s="194"/>
      <c r="H23" s="194"/>
      <c r="I23" s="194"/>
      <c r="J23" s="194"/>
      <c r="K23" s="194"/>
      <c r="L23" s="194"/>
    </row>
    <row r="24" spans="1:12">
      <c r="A24" s="15">
        <f t="shared" si="0"/>
        <v>13</v>
      </c>
      <c r="B24" s="15"/>
      <c r="C24" s="218"/>
      <c r="D24" s="133"/>
      <c r="E24" s="194"/>
      <c r="F24" s="194"/>
      <c r="G24" s="194"/>
      <c r="H24" s="194"/>
      <c r="I24" s="194"/>
      <c r="J24" s="194"/>
      <c r="K24" s="194"/>
      <c r="L24" s="194"/>
    </row>
    <row r="25" spans="1:12">
      <c r="A25" s="15">
        <f t="shared" si="0"/>
        <v>14</v>
      </c>
      <c r="B25" s="15" t="s">
        <v>422</v>
      </c>
      <c r="C25" s="218">
        <v>2055210</v>
      </c>
      <c r="D25" s="133"/>
      <c r="E25" s="207"/>
      <c r="F25" s="194"/>
      <c r="G25" s="194"/>
      <c r="H25" s="194"/>
      <c r="I25" s="194"/>
      <c r="J25" s="194"/>
      <c r="K25" s="194"/>
      <c r="L25" s="194"/>
    </row>
    <row r="26" spans="1:12">
      <c r="A26" s="15">
        <f t="shared" si="0"/>
        <v>15</v>
      </c>
      <c r="B26" s="199" t="s">
        <v>440</v>
      </c>
      <c r="C26" s="209">
        <f>+C25-C23</f>
        <v>698995.7</v>
      </c>
      <c r="D26" s="133"/>
      <c r="E26" s="194"/>
      <c r="F26" s="194"/>
      <c r="G26" s="194"/>
      <c r="H26" s="194"/>
      <c r="I26" s="194"/>
      <c r="J26" s="194"/>
      <c r="K26" s="194"/>
      <c r="L26" s="194"/>
    </row>
    <row r="27" spans="1:12">
      <c r="A27" s="15">
        <f t="shared" si="0"/>
        <v>16</v>
      </c>
      <c r="B27" s="142"/>
      <c r="D27" s="133"/>
      <c r="E27" s="194"/>
      <c r="F27" s="194"/>
      <c r="G27" s="194"/>
      <c r="H27" s="194"/>
      <c r="I27" s="194"/>
      <c r="J27" s="194"/>
      <c r="K27" s="194"/>
      <c r="L27" s="194"/>
    </row>
    <row r="28" spans="1:12">
      <c r="A28" s="15">
        <f t="shared" si="0"/>
        <v>17</v>
      </c>
      <c r="B28" s="11" t="s">
        <v>441</v>
      </c>
      <c r="C28" s="210">
        <v>1</v>
      </c>
      <c r="D28" s="195"/>
      <c r="E28" s="195"/>
      <c r="F28" s="195"/>
      <c r="G28" s="195"/>
      <c r="H28" s="195"/>
      <c r="I28" s="195"/>
      <c r="J28" s="195"/>
      <c r="K28" s="195"/>
      <c r="L28" s="195"/>
    </row>
    <row r="29" spans="1:12">
      <c r="A29" s="15">
        <f t="shared" si="0"/>
        <v>18</v>
      </c>
      <c r="B29" s="198" t="s">
        <v>442</v>
      </c>
      <c r="C29" s="211">
        <f>C26*C28</f>
        <v>698995.7</v>
      </c>
      <c r="D29" s="29"/>
      <c r="E29" s="29"/>
      <c r="F29" s="29"/>
      <c r="G29" s="29"/>
      <c r="H29" s="29"/>
    </row>
    <row r="30" spans="1:12">
      <c r="C30" s="29"/>
      <c r="D30" s="29"/>
      <c r="E30" s="29"/>
      <c r="F30" s="29"/>
      <c r="G30" s="29"/>
      <c r="H30" s="29"/>
    </row>
    <row r="31" spans="1:12" ht="31.5" customHeight="1">
      <c r="A31" s="292" t="s">
        <v>443</v>
      </c>
      <c r="B31" s="292"/>
      <c r="C31" s="292"/>
      <c r="D31" s="22"/>
      <c r="E31" s="22"/>
      <c r="F31" s="22"/>
      <c r="G31" s="22"/>
      <c r="H31" s="22"/>
    </row>
    <row r="32" spans="1:12" ht="26.45" customHeight="1">
      <c r="A32" s="292"/>
      <c r="B32" s="292"/>
      <c r="C32" s="292"/>
      <c r="D32" s="22"/>
      <c r="E32" s="22"/>
      <c r="F32" s="22"/>
      <c r="G32" s="22"/>
      <c r="H32" s="22"/>
    </row>
    <row r="33" spans="3:8">
      <c r="C33" s="22"/>
      <c r="D33" s="22"/>
      <c r="E33" s="22"/>
      <c r="F33" s="22"/>
      <c r="G33" s="22"/>
      <c r="H33" s="22"/>
    </row>
    <row r="34" spans="3:8">
      <c r="C34" s="22"/>
      <c r="D34" s="22"/>
      <c r="E34" s="22"/>
      <c r="F34" s="22"/>
      <c r="G34" s="22"/>
      <c r="H34" s="25"/>
    </row>
    <row r="35" spans="3:8">
      <c r="C35" s="22"/>
      <c r="D35" s="22"/>
      <c r="E35" s="22"/>
      <c r="F35" s="22"/>
      <c r="G35" s="22"/>
      <c r="H35" s="22"/>
    </row>
    <row r="36" spans="3:8">
      <c r="C36" s="22"/>
      <c r="D36" s="22"/>
      <c r="E36" s="22"/>
      <c r="F36" s="22"/>
      <c r="G36" s="22"/>
      <c r="H36" s="22"/>
    </row>
    <row r="37" spans="3:8">
      <c r="C37" s="22"/>
      <c r="D37" s="22"/>
      <c r="E37" s="22"/>
      <c r="F37" s="22"/>
      <c r="G37" s="22"/>
      <c r="H37" s="22"/>
    </row>
    <row r="38" spans="3:8">
      <c r="C38" s="22"/>
      <c r="D38" s="22"/>
      <c r="E38" s="22"/>
      <c r="F38" s="22"/>
      <c r="G38" s="22"/>
      <c r="H38" s="22"/>
    </row>
  </sheetData>
  <mergeCells count="5">
    <mergeCell ref="A4:C4"/>
    <mergeCell ref="A5:C5"/>
    <mergeCell ref="A7:C7"/>
    <mergeCell ref="A32:C32"/>
    <mergeCell ref="A31:C31"/>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DF9D-3811-4A0A-AE36-24CF1E39A236}">
  <sheetPr>
    <pageSetUpPr fitToPage="1"/>
  </sheetPr>
  <dimension ref="A1:L71"/>
  <sheetViews>
    <sheetView view="pageBreakPreview" topLeftCell="A37" zoomScaleNormal="100" zoomScaleSheetLayoutView="100" workbookViewId="0">
      <selection activeCell="B67" sqref="B67"/>
    </sheetView>
  </sheetViews>
  <sheetFormatPr defaultColWidth="9.140625" defaultRowHeight="12.75"/>
  <cols>
    <col min="1" max="1" width="5.85546875" style="11" customWidth="1"/>
    <col min="2" max="2" width="2.28515625" style="10" customWidth="1"/>
    <col min="3" max="3" width="11.7109375" style="11" customWidth="1"/>
    <col min="4" max="4" width="10.85546875" style="11" customWidth="1"/>
    <col min="5" max="5" width="12.5703125" style="11" customWidth="1"/>
    <col min="6" max="6" width="13.7109375" style="11" customWidth="1"/>
    <col min="7" max="7" width="12.7109375" style="11" customWidth="1"/>
    <col min="8" max="8" width="11.28515625" style="11" bestFit="1" customWidth="1"/>
    <col min="9" max="9" width="10.28515625" style="11" bestFit="1" customWidth="1"/>
    <col min="10" max="10" width="10.42578125" style="11" customWidth="1"/>
    <col min="11" max="11" width="9.140625" style="11"/>
    <col min="12" max="12" width="9.7109375" style="11" bestFit="1" customWidth="1"/>
    <col min="13" max="16384" width="9.140625" style="11"/>
  </cols>
  <sheetData>
    <row r="1" spans="1:10">
      <c r="F1" s="5"/>
      <c r="I1" s="5"/>
      <c r="J1" s="5" t="s">
        <v>467</v>
      </c>
    </row>
    <row r="2" spans="1:10" ht="13.5" customHeight="1">
      <c r="B2" s="11"/>
    </row>
    <row r="3" spans="1:10">
      <c r="A3" s="291" t="str">
        <f>RevReq!A1</f>
        <v>BIG SANDY RECC</v>
      </c>
      <c r="B3" s="291"/>
      <c r="C3" s="291"/>
      <c r="D3" s="291"/>
      <c r="E3" s="291"/>
      <c r="F3" s="291"/>
      <c r="G3" s="291"/>
      <c r="H3" s="291"/>
      <c r="I3" s="291"/>
      <c r="J3" s="291"/>
    </row>
    <row r="4" spans="1:10">
      <c r="A4" s="291" t="str">
        <f>RevReq!A3</f>
        <v>For the 12 Months Ended December 31, 2023</v>
      </c>
      <c r="B4" s="291"/>
      <c r="C4" s="291"/>
      <c r="D4" s="291"/>
      <c r="E4" s="291"/>
      <c r="F4" s="291"/>
      <c r="G4" s="291"/>
      <c r="H4" s="291"/>
      <c r="I4" s="291"/>
      <c r="J4" s="291"/>
    </row>
    <row r="6" spans="1:10" s="6" customFormat="1" ht="15" customHeight="1">
      <c r="A6" s="289" t="s">
        <v>114</v>
      </c>
      <c r="B6" s="289"/>
      <c r="C6" s="289"/>
      <c r="D6" s="289"/>
      <c r="E6" s="289"/>
      <c r="F6" s="289"/>
      <c r="G6" s="289"/>
      <c r="H6" s="289"/>
      <c r="I6" s="289"/>
      <c r="J6" s="289"/>
    </row>
    <row r="8" spans="1:10" s="28" customFormat="1" ht="38.25" customHeight="1">
      <c r="A8" s="28" t="s">
        <v>0</v>
      </c>
      <c r="C8" s="28" t="s">
        <v>448</v>
      </c>
      <c r="D8" s="28" t="s">
        <v>449</v>
      </c>
      <c r="E8" s="28" t="s">
        <v>450</v>
      </c>
      <c r="F8" s="28" t="s">
        <v>451</v>
      </c>
      <c r="G8" s="28" t="s">
        <v>452</v>
      </c>
      <c r="H8" s="28" t="s">
        <v>453</v>
      </c>
      <c r="I8" s="28" t="s">
        <v>454</v>
      </c>
      <c r="J8" s="28" t="s">
        <v>183</v>
      </c>
    </row>
    <row r="9" spans="1:10">
      <c r="A9" s="12" t="s">
        <v>21</v>
      </c>
      <c r="C9" s="13" t="s">
        <v>18</v>
      </c>
      <c r="D9" s="13" t="s">
        <v>20</v>
      </c>
      <c r="E9" s="13" t="s">
        <v>19</v>
      </c>
      <c r="F9" s="13" t="s">
        <v>25</v>
      </c>
      <c r="G9" s="13" t="s">
        <v>57</v>
      </c>
      <c r="H9" s="13" t="s">
        <v>58</v>
      </c>
      <c r="I9" s="13" t="s">
        <v>59</v>
      </c>
      <c r="J9" s="13" t="s">
        <v>60</v>
      </c>
    </row>
    <row r="10" spans="1:10">
      <c r="A10" s="10"/>
    </row>
    <row r="11" spans="1:10">
      <c r="C11" s="42" t="s">
        <v>455</v>
      </c>
    </row>
    <row r="12" spans="1:10">
      <c r="A12" s="10">
        <v>1</v>
      </c>
      <c r="C12" s="15" t="s">
        <v>456</v>
      </c>
      <c r="D12" s="214">
        <v>35065</v>
      </c>
      <c r="E12" s="214">
        <v>11324</v>
      </c>
      <c r="F12" s="14">
        <v>119031.38</v>
      </c>
      <c r="G12" s="215">
        <v>1.2500000000000001E-2</v>
      </c>
      <c r="H12" s="24">
        <f>ROUND(F12*G12,2)</f>
        <v>1487.89</v>
      </c>
      <c r="I12" s="14">
        <v>1705.36</v>
      </c>
      <c r="J12" s="14">
        <f>H12-I12</f>
        <v>-217.4699999999998</v>
      </c>
    </row>
    <row r="13" spans="1:10">
      <c r="A13" s="10">
        <f t="shared" ref="A13:A18" si="0">A12+1</f>
        <v>2</v>
      </c>
      <c r="C13" s="15" t="s">
        <v>457</v>
      </c>
      <c r="D13" s="214">
        <f>D12</f>
        <v>35065</v>
      </c>
      <c r="E13" s="214">
        <f>E12</f>
        <v>11324</v>
      </c>
      <c r="F13" s="14">
        <v>58865.45</v>
      </c>
      <c r="G13" s="215">
        <v>1.4999999999999999E-2</v>
      </c>
      <c r="H13" s="24">
        <f t="shared" ref="H13:H18" si="1">ROUND(F13*G13,2)</f>
        <v>882.98</v>
      </c>
      <c r="I13" s="14">
        <v>988.73</v>
      </c>
      <c r="J13" s="14">
        <f t="shared" ref="J13:J60" si="2">H13-I13</f>
        <v>-105.75</v>
      </c>
    </row>
    <row r="14" spans="1:10">
      <c r="A14" s="10">
        <f t="shared" si="0"/>
        <v>3</v>
      </c>
      <c r="C14" s="15" t="s">
        <v>458</v>
      </c>
      <c r="D14" s="214">
        <f t="shared" ref="D14:D17" si="3">D13</f>
        <v>35065</v>
      </c>
      <c r="E14" s="214">
        <f>E13</f>
        <v>11324</v>
      </c>
      <c r="F14" s="14">
        <v>144934.32</v>
      </c>
      <c r="G14" s="215">
        <v>2.2499999999999999E-2</v>
      </c>
      <c r="H14" s="24">
        <f t="shared" si="1"/>
        <v>3261.02</v>
      </c>
      <c r="I14" s="14">
        <v>3644.57</v>
      </c>
      <c r="J14" s="14">
        <f t="shared" si="2"/>
        <v>-383.55000000000018</v>
      </c>
    </row>
    <row r="15" spans="1:10">
      <c r="A15" s="10">
        <f t="shared" si="0"/>
        <v>4</v>
      </c>
      <c r="C15" s="15" t="s">
        <v>459</v>
      </c>
      <c r="D15" s="214">
        <f t="shared" si="3"/>
        <v>35065</v>
      </c>
      <c r="E15" s="214">
        <f>E14</f>
        <v>11324</v>
      </c>
      <c r="F15" s="14">
        <v>69526.28</v>
      </c>
      <c r="G15" s="215">
        <v>1.2500000000000001E-2</v>
      </c>
      <c r="H15" s="24">
        <f t="shared" si="1"/>
        <v>869.08</v>
      </c>
      <c r="I15" s="14">
        <v>973.79</v>
      </c>
      <c r="J15" s="14">
        <f t="shared" si="2"/>
        <v>-104.70999999999992</v>
      </c>
    </row>
    <row r="16" spans="1:10">
      <c r="A16" s="10">
        <f t="shared" si="0"/>
        <v>5</v>
      </c>
      <c r="C16" s="15" t="s">
        <v>460</v>
      </c>
      <c r="D16" s="214">
        <f t="shared" si="3"/>
        <v>35065</v>
      </c>
      <c r="E16" s="214">
        <f>E15</f>
        <v>11324</v>
      </c>
      <c r="F16" s="14">
        <v>139942.70000000001</v>
      </c>
      <c r="G16" s="215">
        <v>1.4999999999999999E-2</v>
      </c>
      <c r="H16" s="24">
        <f t="shared" si="1"/>
        <v>2099.14</v>
      </c>
      <c r="I16" s="14">
        <v>2350.56</v>
      </c>
      <c r="J16" s="14">
        <f t="shared" si="2"/>
        <v>-251.42000000000007</v>
      </c>
    </row>
    <row r="17" spans="1:12">
      <c r="A17" s="10">
        <f t="shared" si="0"/>
        <v>6</v>
      </c>
      <c r="C17" s="15" t="s">
        <v>461</v>
      </c>
      <c r="D17" s="214">
        <f t="shared" si="3"/>
        <v>35065</v>
      </c>
      <c r="E17" s="214">
        <f>E16</f>
        <v>11324</v>
      </c>
      <c r="F17" s="14">
        <v>285979.12</v>
      </c>
      <c r="G17" s="215">
        <v>4.2500000000000003E-2</v>
      </c>
      <c r="H17" s="24">
        <f t="shared" si="1"/>
        <v>12154.11</v>
      </c>
      <c r="I17" s="14">
        <v>13520.42</v>
      </c>
      <c r="J17" s="14">
        <f t="shared" si="2"/>
        <v>-1366.3099999999995</v>
      </c>
    </row>
    <row r="18" spans="1:12">
      <c r="A18" s="10">
        <f t="shared" si="0"/>
        <v>7</v>
      </c>
      <c r="B18" s="1" t="s">
        <v>462</v>
      </c>
      <c r="C18" s="15" t="s">
        <v>493</v>
      </c>
      <c r="D18" s="214">
        <v>44957</v>
      </c>
      <c r="E18" s="214">
        <v>21186</v>
      </c>
      <c r="F18" s="14">
        <v>4860577.28</v>
      </c>
      <c r="G18" s="215">
        <v>5.1799999999999999E-2</v>
      </c>
      <c r="H18" s="24">
        <f t="shared" si="1"/>
        <v>251777.9</v>
      </c>
      <c r="I18" s="14">
        <v>187120.83</v>
      </c>
      <c r="J18" s="14">
        <f t="shared" si="2"/>
        <v>64657.070000000007</v>
      </c>
    </row>
    <row r="19" spans="1:12">
      <c r="A19" s="10">
        <v>8</v>
      </c>
      <c r="B19" s="1" t="s">
        <v>462</v>
      </c>
      <c r="C19" s="15" t="s">
        <v>494</v>
      </c>
      <c r="D19" s="214">
        <v>45413</v>
      </c>
      <c r="E19" s="214"/>
      <c r="F19" s="220">
        <v>3000000</v>
      </c>
      <c r="G19" s="215">
        <v>5.1799999999999999E-2</v>
      </c>
      <c r="H19" s="221">
        <f>ROUND(F19*G19,2)/12*7</f>
        <v>90650</v>
      </c>
      <c r="I19" s="220">
        <v>0</v>
      </c>
      <c r="J19" s="220">
        <f t="shared" si="2"/>
        <v>90650</v>
      </c>
    </row>
    <row r="20" spans="1:12">
      <c r="A20" s="10">
        <v>9</v>
      </c>
      <c r="B20" s="1"/>
      <c r="C20" s="15"/>
      <c r="D20" s="214"/>
      <c r="E20" s="214"/>
      <c r="F20" s="14">
        <f>SUM(F12:F19)</f>
        <v>8678856.5300000012</v>
      </c>
      <c r="G20" s="215"/>
      <c r="H20" s="24">
        <f>SUM(H12:H19)</f>
        <v>363182.12</v>
      </c>
      <c r="I20" s="14">
        <f>SUM(I12:I19)</f>
        <v>210304.25999999998</v>
      </c>
      <c r="J20" s="14">
        <f>SUM(J12:J19)</f>
        <v>152877.86000000002</v>
      </c>
    </row>
    <row r="21" spans="1:12">
      <c r="A21" s="10">
        <v>10</v>
      </c>
      <c r="B21" s="1"/>
      <c r="C21" s="10" t="s">
        <v>462</v>
      </c>
      <c r="D21" s="47" t="s">
        <v>495</v>
      </c>
      <c r="E21" s="214"/>
      <c r="F21" s="14"/>
      <c r="G21" s="215"/>
      <c r="H21" s="24"/>
      <c r="I21" s="14"/>
      <c r="J21" s="14"/>
      <c r="L21" s="24"/>
    </row>
    <row r="22" spans="1:12">
      <c r="A22" s="10">
        <v>13</v>
      </c>
      <c r="C22" s="15"/>
      <c r="D22" s="1"/>
      <c r="E22" s="14"/>
      <c r="F22" s="14"/>
      <c r="G22" s="14"/>
      <c r="H22" s="14"/>
      <c r="I22" s="14"/>
      <c r="J22" s="14"/>
    </row>
    <row r="23" spans="1:12">
      <c r="A23" s="10">
        <v>14</v>
      </c>
      <c r="C23" s="42" t="s">
        <v>463</v>
      </c>
      <c r="D23" s="1"/>
      <c r="E23" s="214"/>
      <c r="F23" s="14"/>
      <c r="G23" s="215"/>
      <c r="I23" s="14"/>
      <c r="J23" s="14"/>
    </row>
    <row r="24" spans="1:12" ht="15">
      <c r="A24" s="10">
        <v>15</v>
      </c>
      <c r="C24" s="222" t="s">
        <v>496</v>
      </c>
      <c r="D24" s="223">
        <v>37256</v>
      </c>
      <c r="E24" s="214"/>
      <c r="F24" s="14">
        <v>172494.16</v>
      </c>
      <c r="G24" s="215">
        <v>4.4720000000000003E-2</v>
      </c>
      <c r="H24" s="24">
        <f t="shared" ref="H24:H34" si="4">ROUND(F24*G24,2)</f>
        <v>7713.94</v>
      </c>
      <c r="I24" s="14">
        <v>8232.7999999999993</v>
      </c>
      <c r="J24" s="14">
        <f t="shared" si="2"/>
        <v>-518.85999999999967</v>
      </c>
    </row>
    <row r="25" spans="1:12" ht="15">
      <c r="A25" s="10">
        <f>A24+1</f>
        <v>16</v>
      </c>
      <c r="B25" s="133"/>
      <c r="C25" s="224" t="s">
        <v>497</v>
      </c>
      <c r="D25" s="223">
        <v>37824</v>
      </c>
      <c r="E25" s="214"/>
      <c r="F25" s="14">
        <v>1316591.1000000001</v>
      </c>
      <c r="G25" s="215">
        <v>4.4720000000000003E-2</v>
      </c>
      <c r="H25" s="24">
        <f t="shared" si="4"/>
        <v>58877.95</v>
      </c>
      <c r="I25" s="14">
        <v>62838.28</v>
      </c>
      <c r="J25" s="14">
        <f t="shared" si="2"/>
        <v>-3960.3300000000017</v>
      </c>
    </row>
    <row r="26" spans="1:12">
      <c r="A26" s="10">
        <f>A25+1</f>
        <v>17</v>
      </c>
      <c r="C26" s="224" t="s">
        <v>498</v>
      </c>
      <c r="D26" s="225">
        <v>40211</v>
      </c>
      <c r="E26" s="214"/>
      <c r="F26" s="14">
        <v>1316321.42</v>
      </c>
      <c r="G26" s="215">
        <v>2.461E-2</v>
      </c>
      <c r="H26" s="24">
        <f t="shared" si="4"/>
        <v>32394.67</v>
      </c>
      <c r="I26" s="14">
        <v>34329.93</v>
      </c>
      <c r="J26" s="14">
        <f t="shared" si="2"/>
        <v>-1935.260000000002</v>
      </c>
    </row>
    <row r="27" spans="1:12">
      <c r="A27" s="10">
        <f>A26+1</f>
        <v>18</v>
      </c>
      <c r="C27" s="224" t="s">
        <v>499</v>
      </c>
      <c r="D27" s="225">
        <v>40816</v>
      </c>
      <c r="E27" s="214"/>
      <c r="F27" s="14">
        <v>663242.23999999999</v>
      </c>
      <c r="G27" s="215">
        <v>2.461E-2</v>
      </c>
      <c r="H27" s="24">
        <f t="shared" si="4"/>
        <v>16322.39</v>
      </c>
      <c r="I27" s="14">
        <v>17297.490000000002</v>
      </c>
      <c r="J27" s="14">
        <f t="shared" si="2"/>
        <v>-975.10000000000218</v>
      </c>
    </row>
    <row r="28" spans="1:12">
      <c r="A28" s="10">
        <f t="shared" ref="A28:A62" si="5">A27+1</f>
        <v>19</v>
      </c>
      <c r="C28" s="224" t="s">
        <v>500</v>
      </c>
      <c r="D28" s="225">
        <v>41001</v>
      </c>
      <c r="E28" s="214"/>
      <c r="F28" s="14">
        <v>1018479.33</v>
      </c>
      <c r="G28" s="215">
        <v>2.461E-2</v>
      </c>
      <c r="H28" s="24">
        <f t="shared" si="4"/>
        <v>25064.78</v>
      </c>
      <c r="I28" s="14">
        <v>26562.16</v>
      </c>
      <c r="J28" s="14">
        <f t="shared" si="2"/>
        <v>-1497.380000000001</v>
      </c>
    </row>
    <row r="29" spans="1:12">
      <c r="A29" s="10">
        <f t="shared" si="5"/>
        <v>20</v>
      </c>
      <c r="C29" s="224" t="s">
        <v>501</v>
      </c>
      <c r="D29" s="225">
        <v>41232</v>
      </c>
      <c r="E29" s="214"/>
      <c r="F29" s="14">
        <v>690336.15</v>
      </c>
      <c r="G29" s="215">
        <v>2.461E-2</v>
      </c>
      <c r="H29" s="24">
        <f t="shared" si="4"/>
        <v>16989.169999999998</v>
      </c>
      <c r="I29" s="14">
        <v>18004.13</v>
      </c>
      <c r="J29" s="14">
        <f t="shared" si="2"/>
        <v>-1014.9600000000028</v>
      </c>
    </row>
    <row r="30" spans="1:12">
      <c r="A30" s="10">
        <f t="shared" si="5"/>
        <v>21</v>
      </c>
      <c r="C30" s="224" t="s">
        <v>502</v>
      </c>
      <c r="D30" s="225">
        <v>41369</v>
      </c>
      <c r="E30" s="214"/>
      <c r="F30" s="14">
        <v>701523.95</v>
      </c>
      <c r="G30" s="215">
        <v>2.461E-2</v>
      </c>
      <c r="H30" s="24">
        <f t="shared" si="4"/>
        <v>17264.5</v>
      </c>
      <c r="I30" s="14">
        <v>18295.900000000001</v>
      </c>
      <c r="J30" s="14">
        <f t="shared" si="2"/>
        <v>-1031.4000000000015</v>
      </c>
    </row>
    <row r="31" spans="1:12">
      <c r="A31" s="10">
        <f t="shared" si="5"/>
        <v>22</v>
      </c>
      <c r="C31" s="224" t="s">
        <v>503</v>
      </c>
      <c r="D31" s="225">
        <v>41473</v>
      </c>
      <c r="E31" s="214"/>
      <c r="F31" s="14">
        <v>2754223.68</v>
      </c>
      <c r="G31" s="215">
        <v>2.461E-2</v>
      </c>
      <c r="H31" s="24">
        <f t="shared" si="4"/>
        <v>67781.440000000002</v>
      </c>
      <c r="I31" s="14">
        <v>71830.73</v>
      </c>
      <c r="J31" s="14">
        <f t="shared" si="2"/>
        <v>-4049.2899999999936</v>
      </c>
    </row>
    <row r="32" spans="1:12">
      <c r="A32" s="10">
        <f t="shared" si="5"/>
        <v>23</v>
      </c>
      <c r="C32" s="224" t="s">
        <v>504</v>
      </c>
      <c r="D32" s="225">
        <v>42664</v>
      </c>
      <c r="E32" s="214"/>
      <c r="F32" s="14">
        <v>878405.69</v>
      </c>
      <c r="G32" s="215">
        <v>2.4670000000000001E-2</v>
      </c>
      <c r="H32" s="24">
        <f t="shared" si="4"/>
        <v>21670.27</v>
      </c>
      <c r="I32" s="14">
        <v>22787.69</v>
      </c>
      <c r="J32" s="14">
        <f t="shared" si="2"/>
        <v>-1117.4199999999983</v>
      </c>
    </row>
    <row r="33" spans="1:10">
      <c r="A33" s="10">
        <f t="shared" si="5"/>
        <v>24</v>
      </c>
      <c r="C33" s="224" t="s">
        <v>505</v>
      </c>
      <c r="D33" s="225">
        <v>42855</v>
      </c>
      <c r="E33" s="214"/>
      <c r="F33" s="14">
        <v>1756811.33</v>
      </c>
      <c r="G33" s="215">
        <v>2.4670000000000001E-2</v>
      </c>
      <c r="H33" s="24">
        <f t="shared" si="4"/>
        <v>43340.54</v>
      </c>
      <c r="I33" s="14">
        <v>45575.360000000001</v>
      </c>
      <c r="J33" s="14">
        <f t="shared" si="2"/>
        <v>-2234.8199999999997</v>
      </c>
    </row>
    <row r="34" spans="1:10">
      <c r="A34" s="10">
        <f t="shared" si="5"/>
        <v>25</v>
      </c>
      <c r="C34" s="224" t="s">
        <v>506</v>
      </c>
      <c r="D34" s="225">
        <v>43951</v>
      </c>
      <c r="E34" s="214"/>
      <c r="F34" s="14">
        <v>6271133.1900000004</v>
      </c>
      <c r="G34" s="215">
        <v>1.1180000000000001E-2</v>
      </c>
      <c r="H34" s="24">
        <f t="shared" si="4"/>
        <v>70111.27</v>
      </c>
      <c r="I34" s="14">
        <v>77260.33</v>
      </c>
      <c r="J34" s="14">
        <f t="shared" si="2"/>
        <v>-7149.0599999999977</v>
      </c>
    </row>
    <row r="35" spans="1:10">
      <c r="A35" s="10">
        <f t="shared" si="5"/>
        <v>26</v>
      </c>
      <c r="C35" s="15"/>
      <c r="D35" s="214"/>
      <c r="E35" s="214"/>
      <c r="F35" s="17">
        <f>SUM(F24:F34)</f>
        <v>17539562.240000002</v>
      </c>
      <c r="G35" s="215"/>
      <c r="H35" s="17">
        <f>SUM(H24:H34)</f>
        <v>377530.92</v>
      </c>
      <c r="I35" s="17">
        <f>SUM(I24:I34)</f>
        <v>403014.8</v>
      </c>
      <c r="J35" s="17">
        <f t="shared" si="2"/>
        <v>-25483.880000000005</v>
      </c>
    </row>
    <row r="36" spans="1:10">
      <c r="A36" s="10">
        <f t="shared" si="5"/>
        <v>27</v>
      </c>
      <c r="C36" s="15"/>
      <c r="D36" s="214"/>
      <c r="E36" s="214"/>
      <c r="F36" s="18"/>
      <c r="G36" s="215"/>
      <c r="H36" s="18"/>
      <c r="I36" s="18"/>
      <c r="J36" s="18"/>
    </row>
    <row r="37" spans="1:10">
      <c r="A37" s="10">
        <f t="shared" si="5"/>
        <v>28</v>
      </c>
      <c r="C37" s="42" t="s">
        <v>464</v>
      </c>
      <c r="D37" s="1"/>
      <c r="E37" s="214"/>
      <c r="F37" s="14"/>
      <c r="G37" s="215"/>
      <c r="I37" s="14"/>
      <c r="J37" s="14"/>
    </row>
    <row r="38" spans="1:10">
      <c r="A38" s="10">
        <f t="shared" si="5"/>
        <v>29</v>
      </c>
      <c r="C38" s="15"/>
      <c r="D38" s="214"/>
      <c r="E38" s="214"/>
      <c r="F38" s="14"/>
      <c r="G38" s="215"/>
      <c r="H38" s="24"/>
      <c r="I38" s="14"/>
      <c r="J38" s="14"/>
    </row>
    <row r="39" spans="1:10">
      <c r="A39" s="10">
        <f t="shared" si="5"/>
        <v>30</v>
      </c>
      <c r="C39" s="15">
        <v>9018002</v>
      </c>
      <c r="D39" s="214">
        <v>35795</v>
      </c>
      <c r="E39" s="214">
        <v>11292</v>
      </c>
      <c r="F39" s="14">
        <v>121698.65</v>
      </c>
      <c r="G39" s="215">
        <v>6.3E-2</v>
      </c>
      <c r="H39" s="24">
        <f t="shared" ref="H39:H55" si="6">ROUND(F39*G39,2)</f>
        <v>7667.01</v>
      </c>
      <c r="I39" s="14">
        <v>8242.2099999999991</v>
      </c>
      <c r="J39" s="14">
        <f t="shared" si="2"/>
        <v>-575.19999999999891</v>
      </c>
    </row>
    <row r="40" spans="1:10">
      <c r="A40" s="10">
        <f t="shared" si="5"/>
        <v>31</v>
      </c>
      <c r="C40" s="15">
        <v>9018003</v>
      </c>
      <c r="D40" s="214">
        <v>35795</v>
      </c>
      <c r="E40" s="214">
        <v>11292</v>
      </c>
      <c r="F40" s="14">
        <v>81132.789999999994</v>
      </c>
      <c r="G40" s="215">
        <v>6.3500000000000001E-2</v>
      </c>
      <c r="H40" s="24">
        <f t="shared" si="6"/>
        <v>5151.93</v>
      </c>
      <c r="I40" s="14">
        <v>5494.81</v>
      </c>
      <c r="J40" s="14">
        <f t="shared" si="2"/>
        <v>-342.88000000000011</v>
      </c>
    </row>
    <row r="41" spans="1:10">
      <c r="A41" s="10">
        <f t="shared" si="5"/>
        <v>32</v>
      </c>
      <c r="C41" s="15">
        <v>9022006</v>
      </c>
      <c r="D41" s="214">
        <v>42978</v>
      </c>
      <c r="E41" s="214">
        <v>45169</v>
      </c>
      <c r="F41" s="14">
        <v>0</v>
      </c>
      <c r="G41" s="215">
        <v>3.6499999999999998E-2</v>
      </c>
      <c r="H41" s="24">
        <f t="shared" si="6"/>
        <v>0</v>
      </c>
      <c r="I41" s="14">
        <v>4361.9399999999996</v>
      </c>
      <c r="J41" s="14">
        <f t="shared" si="2"/>
        <v>-4361.9399999999996</v>
      </c>
    </row>
    <row r="42" spans="1:10" ht="15">
      <c r="A42" s="10">
        <f t="shared" si="5"/>
        <v>33</v>
      </c>
      <c r="C42" s="15">
        <v>9022007</v>
      </c>
      <c r="D42" s="214">
        <v>42971</v>
      </c>
      <c r="E42" s="214">
        <v>45535</v>
      </c>
      <c r="F42" s="14">
        <v>239010</v>
      </c>
      <c r="G42" s="226">
        <v>3.7499999999999999E-2</v>
      </c>
      <c r="H42" s="24">
        <f t="shared" si="6"/>
        <v>8962.8799999999992</v>
      </c>
      <c r="I42" s="14">
        <v>11958.69</v>
      </c>
      <c r="J42" s="14">
        <f t="shared" si="2"/>
        <v>-2995.8100000000013</v>
      </c>
    </row>
    <row r="43" spans="1:10" ht="15">
      <c r="A43" s="10">
        <f t="shared" si="5"/>
        <v>34</v>
      </c>
      <c r="C43" s="15">
        <f>+C42+1</f>
        <v>9022008</v>
      </c>
      <c r="D43" s="214">
        <v>42971</v>
      </c>
      <c r="E43" s="214">
        <v>45900</v>
      </c>
      <c r="F43" s="14">
        <v>318680</v>
      </c>
      <c r="G43" s="226">
        <v>3.85E-2</v>
      </c>
      <c r="H43" s="24">
        <f t="shared" si="6"/>
        <v>12269.18</v>
      </c>
      <c r="I43" s="14">
        <v>12269.19</v>
      </c>
      <c r="J43" s="14">
        <f t="shared" si="2"/>
        <v>-1.0000000000218279E-2</v>
      </c>
    </row>
    <row r="44" spans="1:10" ht="15">
      <c r="A44" s="10">
        <f t="shared" si="5"/>
        <v>35</v>
      </c>
      <c r="C44" s="15">
        <f t="shared" ref="C44:C53" si="7">+C43+1</f>
        <v>9022009</v>
      </c>
      <c r="D44" s="214">
        <v>42971</v>
      </c>
      <c r="E44" s="214">
        <v>46265</v>
      </c>
      <c r="F44" s="14">
        <v>318680</v>
      </c>
      <c r="G44" s="226">
        <v>3.9E-2</v>
      </c>
      <c r="H44" s="24">
        <f t="shared" si="6"/>
        <v>12428.52</v>
      </c>
      <c r="I44" s="14">
        <v>12428.53</v>
      </c>
      <c r="J44" s="14">
        <f t="shared" si="2"/>
        <v>-1.0000000000218279E-2</v>
      </c>
    </row>
    <row r="45" spans="1:10" ht="15">
      <c r="A45" s="10">
        <f t="shared" si="5"/>
        <v>36</v>
      </c>
      <c r="C45" s="15">
        <f t="shared" si="7"/>
        <v>9022010</v>
      </c>
      <c r="D45" s="214">
        <v>42971</v>
      </c>
      <c r="E45" s="214">
        <v>46630</v>
      </c>
      <c r="F45" s="14">
        <v>318680</v>
      </c>
      <c r="G45" s="226">
        <v>3.95E-2</v>
      </c>
      <c r="H45" s="24">
        <f t="shared" si="6"/>
        <v>12587.86</v>
      </c>
      <c r="I45" s="14">
        <v>12587.86</v>
      </c>
      <c r="J45" s="14">
        <f t="shared" si="2"/>
        <v>0</v>
      </c>
    </row>
    <row r="46" spans="1:10" ht="15">
      <c r="A46" s="10">
        <f t="shared" si="5"/>
        <v>37</v>
      </c>
      <c r="C46" s="15">
        <f t="shared" si="7"/>
        <v>9022011</v>
      </c>
      <c r="D46" s="214">
        <v>42971</v>
      </c>
      <c r="E46" s="214">
        <v>46996</v>
      </c>
      <c r="F46" s="14">
        <v>318680</v>
      </c>
      <c r="G46" s="226">
        <v>3.95E-2</v>
      </c>
      <c r="H46" s="24">
        <f t="shared" si="6"/>
        <v>12587.86</v>
      </c>
      <c r="I46" s="14">
        <v>12587.86</v>
      </c>
      <c r="J46" s="14">
        <f t="shared" si="2"/>
        <v>0</v>
      </c>
    </row>
    <row r="47" spans="1:10" ht="15">
      <c r="A47" s="10">
        <f t="shared" si="5"/>
        <v>38</v>
      </c>
      <c r="C47" s="15">
        <f t="shared" si="7"/>
        <v>9022012</v>
      </c>
      <c r="D47" s="214">
        <v>42971</v>
      </c>
      <c r="E47" s="214">
        <v>47361</v>
      </c>
      <c r="F47" s="14">
        <v>318680</v>
      </c>
      <c r="G47" s="226">
        <v>0.04</v>
      </c>
      <c r="H47" s="24">
        <f t="shared" si="6"/>
        <v>12747.2</v>
      </c>
      <c r="I47" s="14">
        <v>12747.2</v>
      </c>
      <c r="J47" s="14">
        <f t="shared" si="2"/>
        <v>0</v>
      </c>
    </row>
    <row r="48" spans="1:10" ht="15">
      <c r="A48" s="10">
        <f t="shared" si="5"/>
        <v>39</v>
      </c>
      <c r="C48" s="15">
        <f t="shared" si="7"/>
        <v>9022013</v>
      </c>
      <c r="D48" s="214">
        <v>42971</v>
      </c>
      <c r="E48" s="214">
        <v>11201</v>
      </c>
      <c r="F48" s="14">
        <v>318680</v>
      </c>
      <c r="G48" s="226">
        <v>4.0500000000000001E-2</v>
      </c>
      <c r="H48" s="24">
        <f t="shared" si="6"/>
        <v>12906.54</v>
      </c>
      <c r="I48" s="14">
        <v>12906.55</v>
      </c>
      <c r="J48" s="14">
        <f t="shared" si="2"/>
        <v>-9.9999999983992893E-3</v>
      </c>
    </row>
    <row r="49" spans="1:10" ht="15">
      <c r="A49" s="10">
        <f t="shared" si="5"/>
        <v>40</v>
      </c>
      <c r="C49" s="15">
        <f t="shared" si="7"/>
        <v>9022014</v>
      </c>
      <c r="D49" s="214">
        <v>42971</v>
      </c>
      <c r="E49" s="214">
        <v>11566</v>
      </c>
      <c r="F49" s="14">
        <v>318680</v>
      </c>
      <c r="G49" s="226">
        <v>4.0500000000000001E-2</v>
      </c>
      <c r="H49" s="24">
        <f t="shared" si="6"/>
        <v>12906.54</v>
      </c>
      <c r="I49" s="14">
        <v>12906.55</v>
      </c>
      <c r="J49" s="14">
        <f t="shared" si="2"/>
        <v>-9.9999999983992893E-3</v>
      </c>
    </row>
    <row r="50" spans="1:10" ht="15">
      <c r="A50" s="10">
        <f t="shared" si="5"/>
        <v>41</v>
      </c>
      <c r="C50" s="15">
        <f t="shared" si="7"/>
        <v>9022015</v>
      </c>
      <c r="D50" s="214">
        <v>42971</v>
      </c>
      <c r="E50" s="214">
        <v>11932</v>
      </c>
      <c r="F50" s="14">
        <v>318680</v>
      </c>
      <c r="G50" s="226">
        <v>4.1000000000000002E-2</v>
      </c>
      <c r="H50" s="24">
        <f t="shared" si="6"/>
        <v>13065.88</v>
      </c>
      <c r="I50" s="14">
        <v>13065.88</v>
      </c>
      <c r="J50" s="14">
        <f t="shared" si="2"/>
        <v>0</v>
      </c>
    </row>
    <row r="51" spans="1:10" ht="15">
      <c r="A51" s="10">
        <f t="shared" si="5"/>
        <v>42</v>
      </c>
      <c r="C51" s="15">
        <f t="shared" si="7"/>
        <v>9022016</v>
      </c>
      <c r="D51" s="214">
        <v>42971</v>
      </c>
      <c r="E51" s="216">
        <v>12297</v>
      </c>
      <c r="F51" s="14">
        <v>318680</v>
      </c>
      <c r="G51" s="226">
        <v>4.1500000000000002E-2</v>
      </c>
      <c r="H51" s="24">
        <f t="shared" si="6"/>
        <v>13225.22</v>
      </c>
      <c r="I51" s="14">
        <v>13225.22</v>
      </c>
      <c r="J51" s="14">
        <f t="shared" si="2"/>
        <v>0</v>
      </c>
    </row>
    <row r="52" spans="1:10" ht="15">
      <c r="A52" s="10">
        <f t="shared" si="5"/>
        <v>43</v>
      </c>
      <c r="C52" s="15">
        <f t="shared" si="7"/>
        <v>9022017</v>
      </c>
      <c r="D52" s="214">
        <v>42971</v>
      </c>
      <c r="E52" s="216">
        <v>12662</v>
      </c>
      <c r="F52" s="14">
        <v>318680</v>
      </c>
      <c r="G52" s="226">
        <v>4.1500000000000002E-2</v>
      </c>
      <c r="H52" s="24">
        <f t="shared" si="6"/>
        <v>13225.22</v>
      </c>
      <c r="I52" s="14">
        <v>13225.22</v>
      </c>
      <c r="J52" s="14">
        <f t="shared" si="2"/>
        <v>0</v>
      </c>
    </row>
    <row r="53" spans="1:10" ht="15">
      <c r="A53" s="10">
        <f t="shared" si="5"/>
        <v>44</v>
      </c>
      <c r="C53" s="15">
        <f t="shared" si="7"/>
        <v>9022018</v>
      </c>
      <c r="D53" s="214">
        <v>42971</v>
      </c>
      <c r="E53" s="216">
        <v>13027</v>
      </c>
      <c r="F53" s="14">
        <v>318680</v>
      </c>
      <c r="G53" s="226">
        <v>4.2000000000000003E-2</v>
      </c>
      <c r="H53" s="24">
        <f t="shared" si="6"/>
        <v>13384.56</v>
      </c>
      <c r="I53" s="14">
        <v>13384.55</v>
      </c>
      <c r="J53" s="14">
        <f t="shared" si="2"/>
        <v>1.0000000000218279E-2</v>
      </c>
    </row>
    <row r="54" spans="1:10" ht="15">
      <c r="A54" s="10">
        <f t="shared" si="5"/>
        <v>45</v>
      </c>
      <c r="C54" s="15">
        <v>9022019</v>
      </c>
      <c r="D54" s="214">
        <v>42978</v>
      </c>
      <c r="E54" s="216">
        <v>13393</v>
      </c>
      <c r="F54" s="14">
        <v>318680</v>
      </c>
      <c r="G54" s="226">
        <v>4.2500000000000003E-2</v>
      </c>
      <c r="H54" s="24">
        <f t="shared" si="6"/>
        <v>13543.9</v>
      </c>
      <c r="I54" s="14">
        <v>13543.91</v>
      </c>
      <c r="J54" s="14">
        <f t="shared" si="2"/>
        <v>-1.0000000000218279E-2</v>
      </c>
    </row>
    <row r="55" spans="1:10" ht="15">
      <c r="A55" s="10">
        <f t="shared" si="5"/>
        <v>46</v>
      </c>
      <c r="C55" s="15">
        <v>9022020</v>
      </c>
      <c r="D55" s="214">
        <v>42971</v>
      </c>
      <c r="E55" s="216">
        <v>13758</v>
      </c>
      <c r="F55" s="14">
        <v>317528</v>
      </c>
      <c r="G55" s="226">
        <v>4.2999999999999997E-2</v>
      </c>
      <c r="H55" s="24">
        <f t="shared" si="6"/>
        <v>13653.7</v>
      </c>
      <c r="I55" s="14">
        <v>13653.71</v>
      </c>
      <c r="J55" s="14">
        <f t="shared" si="2"/>
        <v>-9.9999999983992893E-3</v>
      </c>
    </row>
    <row r="56" spans="1:10" ht="15">
      <c r="A56" s="10">
        <f t="shared" si="5"/>
        <v>47</v>
      </c>
      <c r="C56" s="15"/>
      <c r="D56" s="214"/>
      <c r="E56" s="214"/>
      <c r="F56" s="17">
        <f>SUM(F39:F55)</f>
        <v>4583529.4399999995</v>
      </c>
      <c r="G56" s="226"/>
      <c r="H56" s="17">
        <f>SUM(H38:H55)</f>
        <v>190314.00000000003</v>
      </c>
      <c r="I56" s="17">
        <f>SUM(I39:I55)</f>
        <v>198589.88</v>
      </c>
      <c r="J56" s="17">
        <f t="shared" si="2"/>
        <v>-8275.8799999999756</v>
      </c>
    </row>
    <row r="57" spans="1:10">
      <c r="A57" s="10">
        <f t="shared" si="5"/>
        <v>48</v>
      </c>
      <c r="C57" s="42"/>
      <c r="D57" s="1"/>
      <c r="E57" s="214"/>
      <c r="F57" s="14"/>
      <c r="G57" s="215"/>
      <c r="I57" s="14"/>
      <c r="J57" s="14"/>
    </row>
    <row r="58" spans="1:10">
      <c r="A58" s="10">
        <f t="shared" si="5"/>
        <v>49</v>
      </c>
      <c r="C58" s="15"/>
      <c r="D58" s="1"/>
      <c r="E58" s="14"/>
      <c r="F58" s="17"/>
      <c r="G58" s="215"/>
      <c r="H58" s="17"/>
      <c r="I58" s="17"/>
      <c r="J58" s="17"/>
    </row>
    <row r="59" spans="1:10">
      <c r="A59" s="10">
        <f t="shared" si="5"/>
        <v>50</v>
      </c>
      <c r="C59" s="15"/>
      <c r="D59" s="1"/>
      <c r="E59" s="14"/>
      <c r="F59" s="17"/>
      <c r="G59" s="215"/>
      <c r="H59" s="17"/>
      <c r="I59" s="17"/>
      <c r="J59" s="17"/>
    </row>
    <row r="60" spans="1:10" ht="13.5" thickBot="1">
      <c r="A60" s="10">
        <f t="shared" si="5"/>
        <v>51</v>
      </c>
      <c r="C60" s="15" t="s">
        <v>465</v>
      </c>
      <c r="D60" s="1"/>
      <c r="E60" s="14"/>
      <c r="F60" s="21">
        <f>+F56+F35+F20</f>
        <v>30801948.210000001</v>
      </c>
      <c r="G60" s="14"/>
      <c r="H60" s="21">
        <f>+H56+H35+H20</f>
        <v>931027.04</v>
      </c>
      <c r="I60" s="21">
        <f>+I56+I35+I20</f>
        <v>811908.94</v>
      </c>
      <c r="J60" s="21">
        <f t="shared" si="2"/>
        <v>119118.10000000009</v>
      </c>
    </row>
    <row r="61" spans="1:10" ht="13.5" thickTop="1">
      <c r="A61" s="10">
        <f t="shared" si="5"/>
        <v>52</v>
      </c>
      <c r="C61" s="15"/>
      <c r="D61" s="1"/>
      <c r="E61" s="14"/>
      <c r="F61" s="14"/>
      <c r="G61" s="14"/>
    </row>
    <row r="62" spans="1:10">
      <c r="A62" s="10">
        <f t="shared" si="5"/>
        <v>53</v>
      </c>
      <c r="C62" s="15" t="s">
        <v>466</v>
      </c>
      <c r="D62" s="1"/>
      <c r="E62" s="14"/>
      <c r="F62" s="14"/>
      <c r="G62" s="14"/>
      <c r="H62" s="215">
        <f>H60/F60</f>
        <v>3.0226238731800012E-2</v>
      </c>
      <c r="I62" s="215">
        <f>I60/F60</f>
        <v>2.6359012568445583E-2</v>
      </c>
      <c r="J62" s="215"/>
    </row>
    <row r="63" spans="1:10">
      <c r="A63" s="10"/>
      <c r="C63" s="15"/>
      <c r="D63" s="1"/>
      <c r="E63" s="14"/>
      <c r="F63" s="14"/>
      <c r="G63" s="14"/>
    </row>
    <row r="64" spans="1:10" ht="50.25" customHeight="1">
      <c r="A64" s="10"/>
      <c r="C64" s="292" t="s">
        <v>507</v>
      </c>
      <c r="D64" s="292"/>
      <c r="E64" s="292"/>
      <c r="F64" s="292"/>
      <c r="G64" s="292"/>
      <c r="H64" s="292"/>
      <c r="I64" s="292"/>
      <c r="J64" s="292"/>
    </row>
    <row r="65" spans="1:12">
      <c r="A65" s="10"/>
    </row>
    <row r="66" spans="1:12" s="10" customFormat="1">
      <c r="C66" s="11"/>
      <c r="D66" s="11"/>
      <c r="E66" s="11"/>
      <c r="F66" s="11"/>
      <c r="G66" s="11"/>
      <c r="H66" s="11"/>
      <c r="I66" s="11"/>
      <c r="J66" s="11"/>
      <c r="K66" s="11"/>
      <c r="L66" s="11"/>
    </row>
    <row r="67" spans="1:12" s="10" customFormat="1">
      <c r="C67" s="11"/>
      <c r="D67" s="11"/>
      <c r="E67" s="11"/>
      <c r="F67" s="11"/>
      <c r="G67" s="11"/>
      <c r="H67" s="11"/>
      <c r="I67" s="11"/>
      <c r="J67" s="11"/>
      <c r="K67" s="11"/>
      <c r="L67" s="11"/>
    </row>
    <row r="68" spans="1:12" s="10" customFormat="1">
      <c r="C68" s="11"/>
      <c r="D68" s="11"/>
      <c r="E68" s="11"/>
      <c r="F68" s="11"/>
      <c r="G68" s="11"/>
      <c r="H68" s="11"/>
      <c r="I68" s="11"/>
      <c r="J68" s="11"/>
      <c r="K68" s="11"/>
      <c r="L68" s="11"/>
    </row>
    <row r="69" spans="1:12" s="10" customFormat="1">
      <c r="C69" s="11"/>
      <c r="D69" s="11"/>
      <c r="E69" s="11"/>
      <c r="F69" s="11"/>
      <c r="G69" s="11"/>
      <c r="H69" s="11"/>
      <c r="I69" s="11"/>
      <c r="J69" s="11"/>
      <c r="K69" s="11"/>
      <c r="L69" s="11"/>
    </row>
    <row r="70" spans="1:12" s="10" customFormat="1">
      <c r="C70" s="11"/>
      <c r="D70" s="11"/>
      <c r="E70" s="11"/>
      <c r="F70" s="11"/>
      <c r="G70" s="11"/>
      <c r="H70" s="11"/>
      <c r="I70" s="11"/>
      <c r="J70" s="11"/>
      <c r="K70" s="11"/>
      <c r="L70" s="11"/>
    </row>
    <row r="71" spans="1:12" s="10" customFormat="1">
      <c r="C71" s="11"/>
      <c r="D71" s="11"/>
      <c r="E71" s="11"/>
      <c r="F71" s="11"/>
      <c r="G71" s="11"/>
      <c r="H71" s="11"/>
      <c r="I71" s="11"/>
      <c r="J71" s="11"/>
      <c r="K71" s="11"/>
      <c r="L71" s="11"/>
    </row>
  </sheetData>
  <mergeCells count="4">
    <mergeCell ref="A3:J3"/>
    <mergeCell ref="A4:J4"/>
    <mergeCell ref="A6:J6"/>
    <mergeCell ref="C64:J64"/>
  </mergeCells>
  <printOptions horizontalCentered="1"/>
  <pageMargins left="1" right="0.75" top="0.75" bottom="0.5" header="0.5" footer="0.5"/>
  <pageSetup scale="79" orientation="portrait" r:id="rId1"/>
  <headerFooter alignWithMargins="0">
    <oddFooter>&amp;RExhibit JW-2
Page &amp;P of &amp;N</oddFooter>
  </headerFooter>
  <ignoredErrors>
    <ignoredError sqref="C9:J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G28"/>
  <sheetViews>
    <sheetView view="pageBreakPreview" zoomScaleNormal="100" zoomScaleSheetLayoutView="100" workbookViewId="0">
      <selection activeCell="E16" sqref="E16"/>
    </sheetView>
  </sheetViews>
  <sheetFormatPr defaultColWidth="9.140625" defaultRowHeight="12.75"/>
  <cols>
    <col min="1" max="1" width="3.5703125" style="11" customWidth="1"/>
    <col min="2" max="2" width="9.28515625" style="10" bestFit="1" customWidth="1"/>
    <col min="3" max="3" width="37.5703125" style="11" bestFit="1" customWidth="1"/>
    <col min="4" max="5" width="11.7109375" style="11" bestFit="1" customWidth="1"/>
    <col min="6" max="6" width="11.85546875" style="11" customWidth="1"/>
    <col min="7" max="7" width="11.42578125" style="11" bestFit="1" customWidth="1"/>
    <col min="8" max="16384" width="9.140625" style="11"/>
  </cols>
  <sheetData>
    <row r="1" spans="1:7">
      <c r="A1" s="286" t="s">
        <v>29</v>
      </c>
      <c r="B1" s="286"/>
      <c r="C1" s="286"/>
      <c r="D1" s="286"/>
      <c r="E1" s="286"/>
      <c r="F1" s="286"/>
      <c r="G1" s="286"/>
    </row>
    <row r="2" spans="1:7">
      <c r="A2" s="286" t="s">
        <v>255</v>
      </c>
      <c r="B2" s="286"/>
      <c r="C2" s="286"/>
      <c r="D2" s="286"/>
      <c r="E2" s="286"/>
      <c r="F2" s="286"/>
      <c r="G2" s="286"/>
    </row>
    <row r="3" spans="1:7">
      <c r="F3" s="306"/>
      <c r="G3" s="307" t="s">
        <v>514</v>
      </c>
    </row>
    <row r="4" spans="1:7" ht="47.25" customHeight="1">
      <c r="B4" s="55" t="s">
        <v>307</v>
      </c>
      <c r="C4" s="28" t="s">
        <v>44</v>
      </c>
      <c r="D4" s="28" t="s">
        <v>23</v>
      </c>
      <c r="E4" s="28" t="s">
        <v>24</v>
      </c>
      <c r="F4" s="28" t="s">
        <v>257</v>
      </c>
      <c r="G4" s="28" t="s">
        <v>258</v>
      </c>
    </row>
    <row r="5" spans="1:7">
      <c r="B5" s="84" t="s">
        <v>21</v>
      </c>
      <c r="C5" s="85">
        <v>1</v>
      </c>
      <c r="D5" s="85">
        <f>C5+1</f>
        <v>2</v>
      </c>
      <c r="E5" s="85">
        <f>D5+1</f>
        <v>3</v>
      </c>
      <c r="F5" s="85">
        <f>E5+1</f>
        <v>4</v>
      </c>
      <c r="G5" s="85">
        <f>F5+1</f>
        <v>5</v>
      </c>
    </row>
    <row r="6" spans="1:7">
      <c r="B6" s="11"/>
      <c r="C6" s="139"/>
      <c r="D6" s="139"/>
      <c r="E6" s="139"/>
      <c r="F6" s="139"/>
      <c r="G6" s="139"/>
    </row>
    <row r="7" spans="1:7">
      <c r="B7" s="10">
        <f>'Adj IS'!C4</f>
        <v>1.01</v>
      </c>
      <c r="C7" s="11" t="s">
        <v>256</v>
      </c>
      <c r="D7" s="22">
        <f>'1.01 FAC'!F31</f>
        <v>-2344584.2400000002</v>
      </c>
      <c r="E7" s="22">
        <f>'1.01 FAC'!H31</f>
        <v>-2151171</v>
      </c>
      <c r="F7" s="22"/>
      <c r="G7" s="22">
        <f>D7-E7+F7</f>
        <v>-193413.24000000022</v>
      </c>
    </row>
    <row r="8" spans="1:7">
      <c r="B8" s="10">
        <f>'Adj IS'!D4</f>
        <v>1.02</v>
      </c>
      <c r="C8" s="11" t="s">
        <v>139</v>
      </c>
      <c r="D8" s="22">
        <f>'1.02 ES'!F31</f>
        <v>-2508036.1800000002</v>
      </c>
      <c r="E8" s="22">
        <f>'1.02 ES'!H31</f>
        <v>-2424057</v>
      </c>
      <c r="F8" s="22"/>
      <c r="G8" s="22">
        <f t="shared" ref="G8:G24" si="0">D8-E8+F8</f>
        <v>-83979.180000000168</v>
      </c>
    </row>
    <row r="9" spans="1:7">
      <c r="B9" s="10">
        <f>'Adj IS'!E4</f>
        <v>1.03</v>
      </c>
      <c r="C9" s="11" t="s">
        <v>364</v>
      </c>
      <c r="D9" s="22"/>
      <c r="E9" s="22">
        <f>'1.03Depr'!J39</f>
        <v>376017.31000000006</v>
      </c>
      <c r="F9" s="22"/>
      <c r="G9" s="22">
        <f t="shared" si="0"/>
        <v>-376017.31000000006</v>
      </c>
    </row>
    <row r="10" spans="1:7">
      <c r="B10" s="10">
        <f>'Adj IS'!F4</f>
        <v>1.04</v>
      </c>
      <c r="C10" s="11" t="s">
        <v>34</v>
      </c>
      <c r="D10" s="22"/>
      <c r="E10" s="22"/>
      <c r="F10" s="22">
        <f>'1.04 GTCC'!E15</f>
        <v>-412311</v>
      </c>
      <c r="G10" s="22">
        <f>D10-E10+F10</f>
        <v>-412311</v>
      </c>
    </row>
    <row r="11" spans="1:7">
      <c r="B11" s="10">
        <f>'Adj IS'!G4</f>
        <v>1.05</v>
      </c>
      <c r="C11" s="11" t="s">
        <v>56</v>
      </c>
      <c r="D11" s="22">
        <f>'1.05 Cust'!F48</f>
        <v>-80016.58</v>
      </c>
      <c r="E11" s="22">
        <f>'1.05 Cust'!G48</f>
        <v>-66068.350000000006</v>
      </c>
      <c r="F11" s="22"/>
      <c r="G11" s="22">
        <f t="shared" si="0"/>
        <v>-13948.229999999996</v>
      </c>
    </row>
    <row r="12" spans="1:7">
      <c r="B12" s="10">
        <f>'Adj IS'!H4</f>
        <v>1.06</v>
      </c>
      <c r="C12" s="11" t="s">
        <v>33</v>
      </c>
      <c r="D12" s="22"/>
      <c r="E12" s="22">
        <f>'1.06 RC'!E25</f>
        <v>25333.33</v>
      </c>
      <c r="F12" s="22"/>
      <c r="G12" s="22">
        <f t="shared" si="0"/>
        <v>-25333.33</v>
      </c>
    </row>
    <row r="13" spans="1:7">
      <c r="B13" s="10">
        <f>'Adj IS'!I4</f>
        <v>1.07</v>
      </c>
      <c r="C13" s="11" t="s">
        <v>423</v>
      </c>
      <c r="D13" s="22"/>
      <c r="E13" s="22">
        <f>'1.07 Donat&amp;Promo'!H20</f>
        <v>-15038</v>
      </c>
      <c r="F13" s="22"/>
      <c r="G13" s="22">
        <f t="shared" si="0"/>
        <v>15038</v>
      </c>
    </row>
    <row r="14" spans="1:7">
      <c r="B14" s="10">
        <f>'Adj IS'!J4</f>
        <v>1.08</v>
      </c>
      <c r="C14" s="11" t="s">
        <v>54</v>
      </c>
      <c r="D14" s="22"/>
      <c r="E14" s="22">
        <f>'1.08 PROF'!G20</f>
        <v>-54566.689999999995</v>
      </c>
      <c r="F14" s="22"/>
      <c r="G14" s="22">
        <f t="shared" si="0"/>
        <v>54566.689999999995</v>
      </c>
    </row>
    <row r="15" spans="1:7">
      <c r="B15" s="308">
        <f>'Adj IS'!K4</f>
        <v>1.0900000000000001</v>
      </c>
      <c r="C15" s="306" t="s">
        <v>131</v>
      </c>
      <c r="D15" s="309"/>
      <c r="E15" s="309">
        <f>'1.09 DIR'!G327</f>
        <v>-22703.180000000018</v>
      </c>
      <c r="F15" s="22"/>
      <c r="G15" s="22">
        <f t="shared" si="0"/>
        <v>22703.180000000018</v>
      </c>
    </row>
    <row r="16" spans="1:7">
      <c r="B16" s="310">
        <f>'Adj IS'!L4</f>
        <v>1.1000000000000001</v>
      </c>
      <c r="C16" s="306" t="s">
        <v>132</v>
      </c>
      <c r="D16" s="309"/>
      <c r="E16" s="309">
        <f>'1.10 Wage'!P96</f>
        <v>114719.75504700278</v>
      </c>
      <c r="F16" s="22"/>
      <c r="G16" s="22">
        <f t="shared" si="0"/>
        <v>-114719.75504700278</v>
      </c>
    </row>
    <row r="17" spans="2:7">
      <c r="B17" s="10">
        <f>'Adj IS'!M4</f>
        <v>1.1100000000000001</v>
      </c>
      <c r="C17" s="11" t="s">
        <v>367</v>
      </c>
      <c r="D17" s="22"/>
      <c r="E17" s="22">
        <f>'1.11 LifeInsur'!I61</f>
        <v>-12759.335384615386</v>
      </c>
      <c r="F17" s="22"/>
      <c r="G17" s="22">
        <f t="shared" si="0"/>
        <v>12759.335384615386</v>
      </c>
    </row>
    <row r="18" spans="2:7">
      <c r="B18" s="10">
        <f>'Adj IS'!N4</f>
        <v>1.1200000000000001</v>
      </c>
      <c r="C18" s="11" t="s">
        <v>366</v>
      </c>
      <c r="D18" s="22"/>
      <c r="E18" s="22">
        <f>'1.12 Right of Way'!C29</f>
        <v>698995.7</v>
      </c>
      <c r="F18" s="22"/>
      <c r="G18" s="22">
        <f>D18-E18+F18</f>
        <v>-698995.7</v>
      </c>
    </row>
    <row r="19" spans="2:7">
      <c r="B19" s="10">
        <f>'Adj IS'!O4</f>
        <v>1.1299999999999999</v>
      </c>
      <c r="C19" s="11" t="s">
        <v>85</v>
      </c>
      <c r="E19" s="22">
        <f>'1.13 Interest'!J60</f>
        <v>119118.10000000009</v>
      </c>
      <c r="G19" s="22">
        <f>D19-E19+F19</f>
        <v>-119118.10000000009</v>
      </c>
    </row>
    <row r="20" spans="2:7" hidden="1">
      <c r="B20" s="10">
        <f>'Adj IS'!P4</f>
        <v>1.1399999999999999</v>
      </c>
      <c r="D20" s="22"/>
      <c r="E20" s="22"/>
      <c r="F20" s="22"/>
      <c r="G20" s="22">
        <f t="shared" si="0"/>
        <v>0</v>
      </c>
    </row>
    <row r="21" spans="2:7" hidden="1">
      <c r="B21" s="10">
        <f>'Adj IS'!Q4</f>
        <v>1.1499999999999999</v>
      </c>
      <c r="D21" s="22"/>
      <c r="E21" s="22"/>
      <c r="F21" s="22"/>
      <c r="G21" s="22">
        <f t="shared" si="0"/>
        <v>0</v>
      </c>
    </row>
    <row r="22" spans="2:7" hidden="1">
      <c r="B22" s="10">
        <f>'Adj IS'!R4</f>
        <v>1.1599999999999999</v>
      </c>
      <c r="D22" s="22"/>
      <c r="E22" s="22"/>
      <c r="F22" s="22"/>
      <c r="G22" s="22">
        <f t="shared" si="0"/>
        <v>0</v>
      </c>
    </row>
    <row r="23" spans="2:7" hidden="1">
      <c r="B23" s="10">
        <f>'Adj IS'!S4</f>
        <v>1.17</v>
      </c>
      <c r="D23" s="22"/>
      <c r="E23" s="22"/>
      <c r="F23" s="22"/>
      <c r="G23" s="22">
        <f t="shared" si="0"/>
        <v>0</v>
      </c>
    </row>
    <row r="24" spans="2:7" hidden="1">
      <c r="B24" s="10">
        <f>'Adj IS'!T4</f>
        <v>1.18</v>
      </c>
      <c r="D24" s="22"/>
      <c r="E24" s="22"/>
      <c r="F24" s="22"/>
      <c r="G24" s="22">
        <f t="shared" si="0"/>
        <v>0</v>
      </c>
    </row>
    <row r="25" spans="2:7" s="134" customFormat="1" ht="21.75" customHeight="1" thickBot="1">
      <c r="B25" s="166"/>
      <c r="C25" s="167" t="s">
        <v>50</v>
      </c>
      <c r="D25" s="168">
        <f t="shared" ref="D25:F25" si="1">SUM(D7:D24)</f>
        <v>-4932637</v>
      </c>
      <c r="E25" s="168">
        <f t="shared" si="1"/>
        <v>-3412179.3603376118</v>
      </c>
      <c r="F25" s="168">
        <f t="shared" si="1"/>
        <v>-412311</v>
      </c>
      <c r="G25" s="168">
        <f>SUM(G7:G24)</f>
        <v>-1932768.6396623878</v>
      </c>
    </row>
    <row r="26" spans="2:7" ht="13.5" thickTop="1">
      <c r="D26" s="29"/>
      <c r="E26" s="29"/>
      <c r="F26" s="29"/>
      <c r="G26" s="22"/>
    </row>
    <row r="27" spans="2:7">
      <c r="D27" s="22"/>
      <c r="E27" s="22"/>
      <c r="F27" s="22"/>
      <c r="G27" s="22"/>
    </row>
    <row r="28" spans="2:7">
      <c r="D28" s="25"/>
      <c r="E28" s="25"/>
      <c r="F28" s="25"/>
      <c r="G28" s="25"/>
    </row>
  </sheetData>
  <mergeCells count="2">
    <mergeCell ref="A1:G1"/>
    <mergeCell ref="A2:G2"/>
  </mergeCells>
  <printOptions horizontalCentered="1"/>
  <pageMargins left="1" right="0.75" top="0.75" bottom="0.5" header="0.5" footer="0.5"/>
  <pageSetup scale="88" orientation="portrait" r:id="rId1"/>
  <headerFooter alignWithMargins="0">
    <oddFooter>&amp;RExhibit JW-2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4"/>
  <sheetViews>
    <sheetView view="pageBreakPreview" topLeftCell="A34" zoomScaleNormal="100" zoomScaleSheetLayoutView="100" workbookViewId="0">
      <selection activeCell="B67" sqref="B67"/>
    </sheetView>
  </sheetViews>
  <sheetFormatPr defaultColWidth="9.140625" defaultRowHeight="15"/>
  <cols>
    <col min="1" max="1" width="9.140625" style="145"/>
    <col min="2" max="2" width="1.5703125" style="145" customWidth="1"/>
    <col min="3" max="3" width="38.42578125" bestFit="1" customWidth="1"/>
    <col min="4" max="4" width="18" bestFit="1" customWidth="1"/>
    <col min="5" max="5" width="21.28515625" style="179" bestFit="1" customWidth="1"/>
    <col min="6" max="6" width="22.5703125" bestFit="1" customWidth="1"/>
    <col min="7" max="7" width="4.5703125" customWidth="1"/>
    <col min="8" max="8" width="13.42578125" bestFit="1" customWidth="1"/>
    <col min="9" max="9" width="5.85546875" customWidth="1"/>
  </cols>
  <sheetData>
    <row r="1" spans="1:7">
      <c r="A1" s="287" t="s">
        <v>29</v>
      </c>
      <c r="B1" s="287"/>
      <c r="C1" s="287"/>
      <c r="D1" s="287"/>
      <c r="E1" s="287"/>
      <c r="F1" s="287"/>
      <c r="G1" s="31"/>
    </row>
    <row r="2" spans="1:7">
      <c r="A2" s="287" t="s">
        <v>309</v>
      </c>
      <c r="B2" s="287"/>
      <c r="C2" s="287"/>
      <c r="D2" s="287"/>
      <c r="E2" s="287"/>
      <c r="F2" s="287"/>
      <c r="G2" s="31"/>
    </row>
    <row r="3" spans="1:7">
      <c r="A3" s="31"/>
      <c r="B3" s="31"/>
      <c r="C3" s="31"/>
      <c r="D3" s="31"/>
      <c r="E3" s="176"/>
      <c r="F3" s="31"/>
      <c r="G3" s="31"/>
    </row>
    <row r="4" spans="1:7">
      <c r="A4" s="10"/>
      <c r="B4" s="10"/>
      <c r="C4" s="11"/>
      <c r="D4" s="142"/>
      <c r="E4" s="177"/>
      <c r="F4" s="142"/>
      <c r="G4" s="144"/>
    </row>
    <row r="5" spans="1:7">
      <c r="A5" s="142" t="s">
        <v>0</v>
      </c>
      <c r="B5" s="142"/>
      <c r="C5" s="142" t="s">
        <v>1</v>
      </c>
      <c r="D5" s="142" t="s">
        <v>125</v>
      </c>
      <c r="E5" s="177" t="s">
        <v>355</v>
      </c>
      <c r="F5" s="142" t="s">
        <v>128</v>
      </c>
      <c r="G5" s="144"/>
    </row>
    <row r="6" spans="1:7" s="172" customFormat="1">
      <c r="A6" s="170" t="s">
        <v>21</v>
      </c>
      <c r="B6" s="170"/>
      <c r="C6" s="171">
        <v>1</v>
      </c>
      <c r="D6" s="171">
        <f>C6+1</f>
        <v>2</v>
      </c>
      <c r="E6" s="171">
        <f>D6+1</f>
        <v>3</v>
      </c>
      <c r="F6" s="171" t="s">
        <v>25</v>
      </c>
    </row>
    <row r="7" spans="1:7">
      <c r="A7" s="10">
        <v>1</v>
      </c>
      <c r="B7" s="175" t="s">
        <v>310</v>
      </c>
      <c r="C7" s="11"/>
      <c r="D7" s="11"/>
      <c r="E7" s="23"/>
      <c r="F7" s="11"/>
    </row>
    <row r="8" spans="1:7">
      <c r="A8" s="10">
        <f>A7+1</f>
        <v>2</v>
      </c>
      <c r="B8" s="10"/>
      <c r="C8" s="11" t="s">
        <v>311</v>
      </c>
      <c r="D8" s="173">
        <v>63219157</v>
      </c>
      <c r="E8" s="173">
        <v>0</v>
      </c>
      <c r="F8" s="173">
        <f>D8+E8</f>
        <v>63219157</v>
      </c>
    </row>
    <row r="9" spans="1:7">
      <c r="A9" s="10">
        <f t="shared" ref="A9:A63" si="0">A8+1</f>
        <v>3</v>
      </c>
      <c r="B9" s="10"/>
      <c r="C9" s="11" t="s">
        <v>312</v>
      </c>
      <c r="D9" s="173">
        <v>643916</v>
      </c>
      <c r="E9" s="173">
        <v>0</v>
      </c>
      <c r="F9" s="173">
        <f>D9+E9</f>
        <v>643916</v>
      </c>
    </row>
    <row r="10" spans="1:7">
      <c r="A10" s="10">
        <f t="shared" si="0"/>
        <v>4</v>
      </c>
      <c r="B10" s="10"/>
      <c r="C10" s="11" t="s">
        <v>313</v>
      </c>
      <c r="D10" s="173">
        <f>D8+D9</f>
        <v>63863073</v>
      </c>
      <c r="E10" s="173">
        <v>0</v>
      </c>
      <c r="F10" s="173">
        <f>D10+E10</f>
        <v>63863073</v>
      </c>
    </row>
    <row r="11" spans="1:7">
      <c r="A11" s="10">
        <f t="shared" si="0"/>
        <v>5</v>
      </c>
      <c r="B11" s="10"/>
      <c r="C11" s="11" t="s">
        <v>314</v>
      </c>
      <c r="D11" s="173">
        <v>-29195295</v>
      </c>
      <c r="E11" s="173">
        <v>0</v>
      </c>
      <c r="F11" s="173">
        <f>D11+E11</f>
        <v>-29195295</v>
      </c>
    </row>
    <row r="12" spans="1:7">
      <c r="A12" s="10">
        <f t="shared" si="0"/>
        <v>6</v>
      </c>
      <c r="B12" s="10"/>
      <c r="C12" s="16" t="s">
        <v>315</v>
      </c>
      <c r="D12" s="178">
        <f>SUM(D10:D11)</f>
        <v>34667778</v>
      </c>
      <c r="E12" s="178">
        <f t="shared" ref="E12:F12" si="1">SUM(E10:E11)</f>
        <v>0</v>
      </c>
      <c r="F12" s="178">
        <f t="shared" si="1"/>
        <v>34667778</v>
      </c>
    </row>
    <row r="13" spans="1:7">
      <c r="A13" s="10">
        <f t="shared" si="0"/>
        <v>7</v>
      </c>
      <c r="B13" s="10"/>
      <c r="C13" s="11" t="s">
        <v>510</v>
      </c>
      <c r="D13" s="173">
        <v>2928</v>
      </c>
      <c r="E13" s="173"/>
      <c r="F13" s="173"/>
    </row>
    <row r="14" spans="1:7">
      <c r="A14" s="10">
        <f t="shared" si="0"/>
        <v>8</v>
      </c>
      <c r="B14" s="10"/>
      <c r="C14" s="11" t="s">
        <v>316</v>
      </c>
      <c r="D14" s="173">
        <v>18672802</v>
      </c>
      <c r="E14" s="173">
        <v>0</v>
      </c>
      <c r="F14" s="173">
        <f>D14+E14</f>
        <v>18672802</v>
      </c>
    </row>
    <row r="15" spans="1:7">
      <c r="A15" s="10">
        <f t="shared" si="0"/>
        <v>9</v>
      </c>
      <c r="B15" s="10"/>
      <c r="C15" s="11" t="s">
        <v>317</v>
      </c>
      <c r="D15" s="173">
        <v>2305</v>
      </c>
      <c r="E15" s="173">
        <v>0</v>
      </c>
      <c r="F15" s="173">
        <f>D15+E15</f>
        <v>2305</v>
      </c>
    </row>
    <row r="16" spans="1:7">
      <c r="A16" s="10">
        <f t="shared" si="0"/>
        <v>10</v>
      </c>
      <c r="B16" s="10"/>
      <c r="C16" s="11" t="s">
        <v>318</v>
      </c>
      <c r="D16" s="173">
        <v>5784921</v>
      </c>
      <c r="E16" s="173">
        <v>0</v>
      </c>
      <c r="F16" s="173">
        <f>D16+E16</f>
        <v>5784921</v>
      </c>
    </row>
    <row r="17" spans="1:6">
      <c r="A17" s="10">
        <f t="shared" si="0"/>
        <v>11</v>
      </c>
      <c r="B17" s="10"/>
      <c r="C17" s="11" t="s">
        <v>319</v>
      </c>
      <c r="D17" s="173">
        <v>500</v>
      </c>
      <c r="E17" s="173">
        <v>0</v>
      </c>
      <c r="F17" s="173">
        <f>D17+E17</f>
        <v>500</v>
      </c>
    </row>
    <row r="18" spans="1:6">
      <c r="A18" s="10">
        <f t="shared" si="0"/>
        <v>12</v>
      </c>
      <c r="B18" s="10"/>
      <c r="C18" s="16" t="s">
        <v>320</v>
      </c>
      <c r="D18" s="178">
        <f>SUM(D13:D17)</f>
        <v>24463456</v>
      </c>
      <c r="E18" s="178">
        <f t="shared" ref="E18:F18" si="2">SUM(E13:E17)</f>
        <v>0</v>
      </c>
      <c r="F18" s="178">
        <f t="shared" si="2"/>
        <v>24460528</v>
      </c>
    </row>
    <row r="19" spans="1:6">
      <c r="A19" s="10">
        <f t="shared" si="0"/>
        <v>13</v>
      </c>
      <c r="B19" s="10"/>
      <c r="C19" s="11"/>
      <c r="D19" s="173"/>
      <c r="E19" s="173"/>
      <c r="F19" s="173"/>
    </row>
    <row r="20" spans="1:6">
      <c r="A20" s="10">
        <f t="shared" si="0"/>
        <v>14</v>
      </c>
      <c r="B20" s="10"/>
      <c r="C20" s="11" t="s">
        <v>321</v>
      </c>
      <c r="D20" s="173">
        <v>495915</v>
      </c>
      <c r="E20" s="173">
        <v>0</v>
      </c>
      <c r="F20" s="173">
        <f t="shared" ref="F20:F29" si="3">D20+E20</f>
        <v>495915</v>
      </c>
    </row>
    <row r="21" spans="1:6">
      <c r="A21" s="10">
        <f t="shared" si="0"/>
        <v>15</v>
      </c>
      <c r="B21" s="10"/>
      <c r="C21" s="11" t="s">
        <v>322</v>
      </c>
      <c r="D21" s="173">
        <v>3182</v>
      </c>
      <c r="E21" s="173">
        <v>0</v>
      </c>
      <c r="F21" s="173">
        <f t="shared" si="3"/>
        <v>3182</v>
      </c>
    </row>
    <row r="22" spans="1:6">
      <c r="A22" s="10">
        <f t="shared" si="0"/>
        <v>16</v>
      </c>
      <c r="B22" s="10"/>
      <c r="C22" s="11" t="s">
        <v>323</v>
      </c>
      <c r="D22" s="173">
        <v>120</v>
      </c>
      <c r="E22" s="173">
        <v>0</v>
      </c>
      <c r="F22" s="173">
        <f t="shared" si="3"/>
        <v>120</v>
      </c>
    </row>
    <row r="23" spans="1:6">
      <c r="A23" s="10">
        <f t="shared" si="0"/>
        <v>17</v>
      </c>
      <c r="B23" s="10"/>
      <c r="C23" s="11" t="s">
        <v>511</v>
      </c>
      <c r="D23" s="173">
        <v>2557249</v>
      </c>
      <c r="E23" s="173">
        <v>0</v>
      </c>
      <c r="F23" s="173">
        <f t="shared" si="3"/>
        <v>2557249</v>
      </c>
    </row>
    <row r="24" spans="1:6">
      <c r="A24" s="10">
        <f t="shared" si="0"/>
        <v>18</v>
      </c>
      <c r="B24" s="10"/>
      <c r="C24" s="11" t="s">
        <v>325</v>
      </c>
      <c r="D24" s="173">
        <v>0</v>
      </c>
      <c r="E24" s="173">
        <v>0</v>
      </c>
      <c r="F24" s="173">
        <f t="shared" si="3"/>
        <v>0</v>
      </c>
    </row>
    <row r="25" spans="1:6">
      <c r="A25" s="10">
        <f t="shared" si="0"/>
        <v>19</v>
      </c>
      <c r="B25" s="10"/>
      <c r="C25" s="11" t="s">
        <v>324</v>
      </c>
      <c r="D25" s="173">
        <v>949991</v>
      </c>
      <c r="E25" s="173">
        <v>0</v>
      </c>
      <c r="F25" s="173">
        <f t="shared" si="3"/>
        <v>949991</v>
      </c>
    </row>
    <row r="26" spans="1:6">
      <c r="A26" s="10">
        <f t="shared" si="0"/>
        <v>20</v>
      </c>
      <c r="B26" s="10"/>
      <c r="C26" s="11" t="s">
        <v>326</v>
      </c>
      <c r="D26" s="180">
        <v>0</v>
      </c>
      <c r="E26" s="173">
        <v>0</v>
      </c>
      <c r="F26" s="173">
        <f t="shared" si="3"/>
        <v>0</v>
      </c>
    </row>
    <row r="27" spans="1:6">
      <c r="A27" s="10">
        <f t="shared" si="0"/>
        <v>21</v>
      </c>
      <c r="B27" s="10"/>
      <c r="C27" s="11" t="s">
        <v>327</v>
      </c>
      <c r="D27" s="173">
        <v>621849</v>
      </c>
      <c r="E27" s="173">
        <v>0</v>
      </c>
      <c r="F27" s="173">
        <f t="shared" si="3"/>
        <v>621849</v>
      </c>
    </row>
    <row r="28" spans="1:6">
      <c r="A28" s="10">
        <f t="shared" si="0"/>
        <v>22</v>
      </c>
      <c r="B28" s="10"/>
      <c r="C28" s="11" t="s">
        <v>328</v>
      </c>
      <c r="D28" s="173">
        <v>14705</v>
      </c>
      <c r="E28" s="173">
        <v>0</v>
      </c>
      <c r="F28" s="173">
        <f t="shared" si="3"/>
        <v>14705</v>
      </c>
    </row>
    <row r="29" spans="1:6">
      <c r="A29" s="10">
        <f t="shared" si="0"/>
        <v>23</v>
      </c>
      <c r="B29" s="10"/>
      <c r="C29" s="11" t="s">
        <v>329</v>
      </c>
      <c r="D29" s="173">
        <v>55219</v>
      </c>
      <c r="E29" s="173">
        <v>0</v>
      </c>
      <c r="F29" s="173">
        <f t="shared" si="3"/>
        <v>55219</v>
      </c>
    </row>
    <row r="30" spans="1:6">
      <c r="A30" s="10">
        <f t="shared" si="0"/>
        <v>24</v>
      </c>
      <c r="B30" s="10"/>
      <c r="C30" s="16" t="s">
        <v>330</v>
      </c>
      <c r="D30" s="178">
        <f>SUM(D20:D29)</f>
        <v>4698230</v>
      </c>
      <c r="E30" s="178">
        <f t="shared" ref="E30:F30" si="4">SUM(E20:E29)</f>
        <v>0</v>
      </c>
      <c r="F30" s="178">
        <f t="shared" si="4"/>
        <v>4698230</v>
      </c>
    </row>
    <row r="31" spans="1:6">
      <c r="A31" s="10">
        <f t="shared" si="0"/>
        <v>25</v>
      </c>
      <c r="B31" s="10"/>
      <c r="C31" s="11"/>
      <c r="D31" s="173"/>
      <c r="E31" s="173"/>
      <c r="F31" s="173"/>
    </row>
    <row r="32" spans="1:6">
      <c r="A32" s="10">
        <f t="shared" si="0"/>
        <v>26</v>
      </c>
      <c r="B32" s="10"/>
      <c r="C32" s="11" t="s">
        <v>331</v>
      </c>
      <c r="D32" s="173">
        <v>0</v>
      </c>
      <c r="E32" s="173">
        <v>0</v>
      </c>
      <c r="F32" s="173">
        <f>D32+E32</f>
        <v>0</v>
      </c>
    </row>
    <row r="33" spans="1:6">
      <c r="A33" s="10">
        <f t="shared" si="0"/>
        <v>27</v>
      </c>
      <c r="B33" s="10"/>
      <c r="C33" s="11" t="s">
        <v>332</v>
      </c>
      <c r="D33" s="173">
        <v>787425</v>
      </c>
      <c r="E33" s="173">
        <v>0</v>
      </c>
      <c r="F33" s="173">
        <f>D33+E33</f>
        <v>787425</v>
      </c>
    </row>
    <row r="34" spans="1:6">
      <c r="A34" s="10">
        <f t="shared" si="0"/>
        <v>28</v>
      </c>
      <c r="B34" s="10"/>
      <c r="C34" s="11"/>
      <c r="D34" s="23"/>
      <c r="E34" s="173"/>
      <c r="F34" s="173"/>
    </row>
    <row r="35" spans="1:6" ht="15.75" thickBot="1">
      <c r="A35" s="10">
        <f t="shared" si="0"/>
        <v>29</v>
      </c>
      <c r="B35" s="10"/>
      <c r="C35" s="20" t="s">
        <v>333</v>
      </c>
      <c r="D35" s="182">
        <f>D33+D32+D30+D18+D12</f>
        <v>64616889</v>
      </c>
      <c r="E35" s="182">
        <f t="shared" ref="E35:F35" si="5">E33+E32+E30+E18+E12</f>
        <v>0</v>
      </c>
      <c r="F35" s="182">
        <f t="shared" si="5"/>
        <v>64613961</v>
      </c>
    </row>
    <row r="36" spans="1:6" ht="15.75" thickTop="1">
      <c r="A36" s="10">
        <f t="shared" si="0"/>
        <v>30</v>
      </c>
      <c r="B36" s="10"/>
      <c r="C36" s="11"/>
      <c r="D36" s="181"/>
      <c r="E36" s="173"/>
      <c r="F36" s="173"/>
    </row>
    <row r="37" spans="1:6">
      <c r="A37" s="10">
        <f t="shared" si="0"/>
        <v>31</v>
      </c>
      <c r="B37" s="174" t="s">
        <v>334</v>
      </c>
      <c r="C37" s="11"/>
      <c r="D37" s="173"/>
      <c r="E37" s="173"/>
      <c r="F37" s="173"/>
    </row>
    <row r="38" spans="1:6">
      <c r="A38" s="10">
        <f t="shared" si="0"/>
        <v>32</v>
      </c>
      <c r="B38" s="10"/>
      <c r="C38" s="11" t="s">
        <v>335</v>
      </c>
      <c r="D38" s="173">
        <v>225630</v>
      </c>
      <c r="E38" s="23">
        <v>0</v>
      </c>
      <c r="F38" s="173">
        <f>D38+E38</f>
        <v>225630</v>
      </c>
    </row>
    <row r="39" spans="1:6">
      <c r="A39" s="10">
        <f t="shared" si="0"/>
        <v>33</v>
      </c>
      <c r="B39" s="10"/>
      <c r="C39" s="11" t="s">
        <v>336</v>
      </c>
      <c r="D39" s="173">
        <v>29998114</v>
      </c>
      <c r="E39" s="173">
        <v>0</v>
      </c>
      <c r="F39" s="173">
        <f>D39+E39</f>
        <v>29998114</v>
      </c>
    </row>
    <row r="40" spans="1:6">
      <c r="A40" s="10">
        <f t="shared" si="0"/>
        <v>34</v>
      </c>
      <c r="B40" s="10"/>
      <c r="C40" s="11" t="s">
        <v>512</v>
      </c>
      <c r="D40" s="173">
        <f>364565-564830</f>
        <v>-200265</v>
      </c>
      <c r="E40" s="173">
        <v>0</v>
      </c>
      <c r="F40" s="173">
        <f>D40+E40</f>
        <v>-200265</v>
      </c>
    </row>
    <row r="41" spans="1:6">
      <c r="A41" s="10">
        <f t="shared" si="0"/>
        <v>35</v>
      </c>
      <c r="B41" s="10"/>
      <c r="C41" s="11" t="s">
        <v>337</v>
      </c>
      <c r="D41" s="173">
        <v>-83742</v>
      </c>
      <c r="E41" s="173">
        <v>0</v>
      </c>
      <c r="F41" s="173">
        <f>D41+E41</f>
        <v>-83742</v>
      </c>
    </row>
    <row r="42" spans="1:6">
      <c r="A42" s="10">
        <f t="shared" si="0"/>
        <v>36</v>
      </c>
      <c r="B42" s="10"/>
      <c r="C42" s="11" t="s">
        <v>338</v>
      </c>
      <c r="D42" s="173">
        <v>438832</v>
      </c>
      <c r="E42" s="173">
        <v>0</v>
      </c>
      <c r="F42" s="173">
        <f>D42+E42</f>
        <v>438832</v>
      </c>
    </row>
    <row r="43" spans="1:6">
      <c r="A43" s="10">
        <f t="shared" si="0"/>
        <v>37</v>
      </c>
      <c r="B43" s="10"/>
      <c r="C43" s="16" t="s">
        <v>339</v>
      </c>
      <c r="D43" s="178">
        <f>SUM(D38:D42)</f>
        <v>30378569</v>
      </c>
      <c r="E43" s="178">
        <f t="shared" ref="E43:F43" si="6">SUM(E38:E42)</f>
        <v>0</v>
      </c>
      <c r="F43" s="178">
        <f t="shared" si="6"/>
        <v>30378569</v>
      </c>
    </row>
    <row r="44" spans="1:6">
      <c r="A44" s="10">
        <f t="shared" si="0"/>
        <v>38</v>
      </c>
      <c r="B44" s="10"/>
      <c r="C44" s="11"/>
      <c r="D44" s="173"/>
      <c r="E44" s="173"/>
      <c r="F44" s="173"/>
    </row>
    <row r="45" spans="1:6">
      <c r="A45" s="10">
        <f t="shared" si="0"/>
        <v>39</v>
      </c>
      <c r="B45" s="10"/>
      <c r="C45" s="11" t="s">
        <v>340</v>
      </c>
      <c r="D45" s="181">
        <v>5682277</v>
      </c>
      <c r="E45" s="173">
        <v>0</v>
      </c>
      <c r="F45" s="173">
        <f>D45+E45</f>
        <v>5682277</v>
      </c>
    </row>
    <row r="46" spans="1:6">
      <c r="A46" s="10">
        <f t="shared" si="0"/>
        <v>40</v>
      </c>
      <c r="B46" s="10"/>
      <c r="C46" s="11" t="s">
        <v>341</v>
      </c>
      <c r="D46" s="181">
        <v>17539381</v>
      </c>
      <c r="E46" s="173">
        <v>0</v>
      </c>
      <c r="F46" s="173">
        <f>D46+E46</f>
        <v>17539381</v>
      </c>
    </row>
    <row r="47" spans="1:6">
      <c r="A47" s="10">
        <f t="shared" si="0"/>
        <v>41</v>
      </c>
      <c r="B47" s="10"/>
      <c r="C47" s="11" t="s">
        <v>342</v>
      </c>
      <c r="D47" s="181">
        <v>0</v>
      </c>
      <c r="E47" s="173">
        <v>0</v>
      </c>
      <c r="F47" s="173">
        <f>D47+E47</f>
        <v>0</v>
      </c>
    </row>
    <row r="48" spans="1:6">
      <c r="A48" s="10">
        <f t="shared" si="0"/>
        <v>42</v>
      </c>
      <c r="B48" s="10"/>
      <c r="C48" s="11" t="s">
        <v>343</v>
      </c>
      <c r="D48" s="181">
        <v>4631695</v>
      </c>
      <c r="E48" s="173">
        <v>0</v>
      </c>
      <c r="F48" s="173">
        <f>D48+E48</f>
        <v>4631695</v>
      </c>
    </row>
    <row r="49" spans="1:6">
      <c r="A49" s="10">
        <f t="shared" si="0"/>
        <v>43</v>
      </c>
      <c r="B49" s="10"/>
      <c r="C49" s="11" t="s">
        <v>344</v>
      </c>
      <c r="D49" s="181">
        <v>0</v>
      </c>
      <c r="E49" s="173">
        <v>0</v>
      </c>
      <c r="F49" s="173">
        <f>D49+E49</f>
        <v>0</v>
      </c>
    </row>
    <row r="50" spans="1:6">
      <c r="A50" s="10">
        <f t="shared" si="0"/>
        <v>44</v>
      </c>
      <c r="B50" s="10"/>
      <c r="C50" s="16" t="s">
        <v>345</v>
      </c>
      <c r="D50" s="178">
        <f>SUM(D45:D49)</f>
        <v>27853353</v>
      </c>
      <c r="E50" s="178">
        <f t="shared" ref="E50:F50" si="7">SUM(E45:E49)</f>
        <v>0</v>
      </c>
      <c r="F50" s="178">
        <f t="shared" si="7"/>
        <v>27853353</v>
      </c>
    </row>
    <row r="51" spans="1:6">
      <c r="A51" s="10">
        <f t="shared" si="0"/>
        <v>45</v>
      </c>
      <c r="B51" s="10"/>
      <c r="C51" s="11"/>
      <c r="D51" s="173"/>
      <c r="E51" s="173"/>
      <c r="F51" s="173"/>
    </row>
    <row r="52" spans="1:6">
      <c r="A52" s="10">
        <f t="shared" si="0"/>
        <v>46</v>
      </c>
      <c r="B52" s="10"/>
      <c r="C52" s="11" t="s">
        <v>346</v>
      </c>
      <c r="D52" s="173">
        <v>2740362</v>
      </c>
      <c r="E52" s="173">
        <v>0</v>
      </c>
      <c r="F52" s="173">
        <f>D52+E52</f>
        <v>2740362</v>
      </c>
    </row>
    <row r="53" spans="1:6">
      <c r="A53" s="10">
        <f t="shared" si="0"/>
        <v>47</v>
      </c>
      <c r="B53" s="10"/>
      <c r="C53" s="11"/>
      <c r="D53" s="173"/>
      <c r="E53" s="173"/>
      <c r="F53" s="173"/>
    </row>
    <row r="54" spans="1:6">
      <c r="A54" s="10">
        <f t="shared" si="0"/>
        <v>48</v>
      </c>
      <c r="B54" s="10"/>
      <c r="C54" s="11" t="s">
        <v>347</v>
      </c>
      <c r="D54" s="173">
        <v>0</v>
      </c>
      <c r="E54" s="173">
        <v>0</v>
      </c>
      <c r="F54" s="173">
        <f>D54+E54</f>
        <v>0</v>
      </c>
    </row>
    <row r="55" spans="1:6">
      <c r="A55" s="10">
        <f t="shared" si="0"/>
        <v>49</v>
      </c>
      <c r="B55" s="10"/>
      <c r="C55" s="11" t="s">
        <v>348</v>
      </c>
      <c r="D55" s="173">
        <v>2412640</v>
      </c>
      <c r="E55" s="173">
        <v>0</v>
      </c>
      <c r="F55" s="173">
        <f>D55+E55</f>
        <v>2412640</v>
      </c>
    </row>
    <row r="56" spans="1:6">
      <c r="A56" s="10">
        <f t="shared" si="0"/>
        <v>50</v>
      </c>
      <c r="B56" s="10"/>
      <c r="C56" s="11" t="s">
        <v>349</v>
      </c>
      <c r="D56" s="173">
        <v>748805</v>
      </c>
      <c r="E56" s="173">
        <v>0</v>
      </c>
      <c r="F56" s="173">
        <f>D56+E56</f>
        <v>748805</v>
      </c>
    </row>
    <row r="57" spans="1:6">
      <c r="A57" s="10">
        <f t="shared" si="0"/>
        <v>51</v>
      </c>
      <c r="B57" s="10"/>
      <c r="C57" s="11" t="s">
        <v>425</v>
      </c>
      <c r="D57" s="173">
        <v>0</v>
      </c>
      <c r="E57" s="173">
        <v>0</v>
      </c>
      <c r="F57" s="173">
        <f>D57+E57</f>
        <v>0</v>
      </c>
    </row>
    <row r="58" spans="1:6">
      <c r="A58" s="10">
        <f t="shared" si="0"/>
        <v>52</v>
      </c>
      <c r="B58" s="10"/>
      <c r="C58" s="11" t="s">
        <v>350</v>
      </c>
      <c r="D58" s="173">
        <v>471495</v>
      </c>
      <c r="E58" s="173">
        <v>0</v>
      </c>
      <c r="F58" s="173">
        <f>D58+E58</f>
        <v>471495</v>
      </c>
    </row>
    <row r="59" spans="1:6">
      <c r="A59" s="10">
        <f t="shared" si="0"/>
        <v>53</v>
      </c>
      <c r="B59" s="10"/>
      <c r="C59" s="16" t="s">
        <v>351</v>
      </c>
      <c r="D59" s="178">
        <f>SUM(D54:D58)</f>
        <v>3632940</v>
      </c>
      <c r="E59" s="178">
        <f t="shared" ref="E59:F59" si="8">SUM(E54:E58)</f>
        <v>0</v>
      </c>
      <c r="F59" s="178">
        <f t="shared" si="8"/>
        <v>3632940</v>
      </c>
    </row>
    <row r="60" spans="1:6">
      <c r="A60" s="10">
        <f t="shared" si="0"/>
        <v>54</v>
      </c>
      <c r="B60" s="10"/>
      <c r="C60" s="11"/>
      <c r="D60" s="173"/>
      <c r="E60" s="173"/>
      <c r="F60" s="173"/>
    </row>
    <row r="61" spans="1:6">
      <c r="A61" s="10">
        <f t="shared" si="0"/>
        <v>55</v>
      </c>
      <c r="B61" s="10"/>
      <c r="C61" s="11" t="s">
        <v>352</v>
      </c>
      <c r="D61" s="173">
        <v>0</v>
      </c>
      <c r="E61" s="173">
        <v>0</v>
      </c>
      <c r="F61" s="173">
        <f>D61+E61</f>
        <v>0</v>
      </c>
    </row>
    <row r="62" spans="1:6">
      <c r="A62" s="10">
        <f t="shared" si="0"/>
        <v>56</v>
      </c>
      <c r="B62" s="10"/>
      <c r="C62" s="11" t="s">
        <v>353</v>
      </c>
      <c r="D62" s="173">
        <v>11665</v>
      </c>
      <c r="E62" s="173">
        <v>0</v>
      </c>
      <c r="F62" s="173">
        <f>D62+E62</f>
        <v>11665</v>
      </c>
    </row>
    <row r="63" spans="1:6" ht="15.75" thickBot="1">
      <c r="A63" s="10">
        <f t="shared" si="0"/>
        <v>57</v>
      </c>
      <c r="B63" s="10"/>
      <c r="C63" s="20" t="s">
        <v>354</v>
      </c>
      <c r="D63" s="182">
        <f>D62+D61+D59+D52+D50+D43</f>
        <v>64616889</v>
      </c>
      <c r="E63" s="182">
        <f t="shared" ref="E63:F63" si="9">E62+E61+E59+E52+E50+E43</f>
        <v>0</v>
      </c>
      <c r="F63" s="182">
        <f t="shared" si="9"/>
        <v>64616889</v>
      </c>
    </row>
    <row r="64" spans="1:6" ht="15.75" thickTop="1">
      <c r="A64" s="10"/>
      <c r="B64" s="10"/>
      <c r="C64" s="11"/>
      <c r="D64" s="173"/>
      <c r="E64" s="173"/>
      <c r="F64" s="173"/>
    </row>
  </sheetData>
  <mergeCells count="2">
    <mergeCell ref="A1:F1"/>
    <mergeCell ref="A2:F2"/>
  </mergeCells>
  <printOptions horizontalCentered="1"/>
  <pageMargins left="1" right="0.75" top="0.75" bottom="0.75" header="0.3" footer="0.3"/>
  <pageSetup scale="74" orientation="portrait" r:id="rId1"/>
  <headerFooter>
    <oddFooter>&amp;RExhibit  JW-2
Page &amp;P of &amp;N</oddFooter>
  </headerFooter>
  <ignoredErrors>
    <ignoredError sqref="E12" formulaRange="1"/>
    <ignoredError sqref="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theme="9" tint="0.79998168889431442"/>
    <pageSetUpPr fitToPage="1"/>
  </sheetPr>
  <dimension ref="A1:AH149"/>
  <sheetViews>
    <sheetView defaultGridColor="0" view="pageBreakPreview" topLeftCell="A17" colorId="22" zoomScaleNormal="87" zoomScaleSheetLayoutView="100" workbookViewId="0">
      <selection activeCell="L18" sqref="L18"/>
    </sheetView>
  </sheetViews>
  <sheetFormatPr defaultColWidth="12.5703125" defaultRowHeight="14.25"/>
  <cols>
    <col min="1" max="1" width="6.140625" style="151" customWidth="1"/>
    <col min="2" max="2" width="33.140625" style="149" customWidth="1"/>
    <col min="3" max="3" width="13.140625" style="149" customWidth="1"/>
    <col min="4" max="4" width="15.7109375" style="149" customWidth="1"/>
    <col min="5" max="5" width="14.7109375" style="149" customWidth="1"/>
    <col min="6" max="6" width="13.28515625" style="149" customWidth="1"/>
    <col min="7" max="7" width="12.28515625" style="149" customWidth="1"/>
    <col min="8" max="8" width="11.42578125" style="149" bestFit="1" customWidth="1"/>
    <col min="9" max="9" width="13.28515625" style="149" customWidth="1"/>
    <col min="10" max="10" width="14.5703125" style="149" customWidth="1"/>
    <col min="11" max="11" width="12.140625" style="149" customWidth="1"/>
    <col min="12" max="12" width="14.7109375" style="149" bestFit="1" customWidth="1"/>
    <col min="13" max="13" width="11.140625" style="149" bestFit="1" customWidth="1"/>
    <col min="14" max="15" width="11.85546875" style="149" customWidth="1"/>
    <col min="16" max="16" width="13.28515625" style="149" hidden="1" customWidth="1"/>
    <col min="17" max="17" width="12" style="149" hidden="1" customWidth="1"/>
    <col min="18" max="18" width="14.42578125" style="149" hidden="1" customWidth="1"/>
    <col min="19" max="19" width="11.42578125" style="149" hidden="1" customWidth="1"/>
    <col min="20" max="20" width="11.28515625" style="149" hidden="1" customWidth="1"/>
    <col min="21" max="21" width="11.85546875" style="149" bestFit="1" customWidth="1"/>
    <col min="22" max="22" width="3.5703125" style="149" customWidth="1"/>
    <col min="23" max="23" width="15.5703125" style="149" bestFit="1" customWidth="1"/>
    <col min="24" max="24" width="12.7109375" style="149" bestFit="1" customWidth="1"/>
    <col min="25" max="16384" width="12.5703125" style="149"/>
  </cols>
  <sheetData>
    <row r="1" spans="1:34" ht="15">
      <c r="A1" s="150"/>
      <c r="B1" s="164" t="s">
        <v>29</v>
      </c>
      <c r="C1" s="146"/>
      <c r="D1" s="146"/>
      <c r="E1" s="146"/>
      <c r="F1" s="146"/>
      <c r="G1" s="146"/>
      <c r="H1" s="146"/>
      <c r="I1" s="146"/>
      <c r="J1" s="146"/>
      <c r="K1" s="146"/>
      <c r="L1" s="146"/>
      <c r="M1" s="146"/>
      <c r="N1" s="146"/>
      <c r="O1" s="146"/>
      <c r="P1" s="146"/>
      <c r="Q1" s="146"/>
      <c r="R1" s="146"/>
      <c r="S1" s="146"/>
      <c r="T1" s="146"/>
      <c r="U1" s="146"/>
      <c r="V1" s="147"/>
      <c r="W1" s="148"/>
      <c r="X1" s="148"/>
      <c r="Y1" s="148"/>
      <c r="Z1" s="148"/>
      <c r="AA1" s="148"/>
      <c r="AB1" s="148"/>
      <c r="AC1" s="148"/>
      <c r="AD1" s="148"/>
      <c r="AE1" s="148"/>
      <c r="AF1" s="148"/>
      <c r="AG1" s="148"/>
      <c r="AH1" s="148"/>
    </row>
    <row r="2" spans="1:34" ht="15">
      <c r="A2" s="150"/>
      <c r="B2" s="164" t="s">
        <v>308</v>
      </c>
      <c r="C2" s="146"/>
      <c r="D2" s="146"/>
      <c r="E2" s="146"/>
      <c r="F2" s="146"/>
      <c r="G2" s="146"/>
      <c r="H2" s="146"/>
      <c r="I2" s="146"/>
      <c r="J2" s="146"/>
      <c r="K2" s="146"/>
      <c r="L2" s="146"/>
      <c r="M2" s="146"/>
      <c r="N2" s="146"/>
      <c r="O2" s="146"/>
      <c r="P2" s="146"/>
      <c r="Q2" s="146"/>
      <c r="R2" s="146"/>
      <c r="S2" s="146"/>
      <c r="T2" s="146"/>
      <c r="U2" s="146"/>
      <c r="V2" s="147"/>
      <c r="W2" s="148"/>
      <c r="X2" s="148"/>
      <c r="Y2" s="148"/>
      <c r="Z2" s="148"/>
      <c r="AA2" s="148"/>
      <c r="AB2" s="148"/>
      <c r="AC2" s="148"/>
      <c r="AD2" s="148"/>
      <c r="AE2" s="148"/>
      <c r="AF2" s="148"/>
      <c r="AG2" s="148"/>
      <c r="AH2" s="148"/>
    </row>
    <row r="3" spans="1:34" s="151" customFormat="1">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row>
    <row r="4" spans="1:34">
      <c r="A4" s="150"/>
      <c r="B4" s="147" t="s">
        <v>305</v>
      </c>
      <c r="C4" s="150">
        <v>1.01</v>
      </c>
      <c r="D4" s="150">
        <v>1.02</v>
      </c>
      <c r="E4" s="150">
        <v>1.03</v>
      </c>
      <c r="F4" s="150">
        <v>1.04</v>
      </c>
      <c r="G4" s="150">
        <v>1.05</v>
      </c>
      <c r="H4" s="150">
        <v>1.06</v>
      </c>
      <c r="I4" s="150">
        <v>1.07</v>
      </c>
      <c r="J4" s="150">
        <v>1.08</v>
      </c>
      <c r="K4" s="150">
        <v>1.0900000000000001</v>
      </c>
      <c r="L4" s="152">
        <v>1.1000000000000001</v>
      </c>
      <c r="M4" s="150">
        <v>1.1100000000000001</v>
      </c>
      <c r="N4" s="150">
        <v>1.1200000000000001</v>
      </c>
      <c r="O4" s="150">
        <v>1.1299999999999999</v>
      </c>
      <c r="P4" s="150">
        <v>1.1399999999999999</v>
      </c>
      <c r="Q4" s="150">
        <v>1.1499999999999999</v>
      </c>
      <c r="R4" s="150">
        <v>1.1599999999999999</v>
      </c>
      <c r="S4" s="150">
        <v>1.17</v>
      </c>
      <c r="T4" s="150">
        <v>1.18</v>
      </c>
      <c r="U4" s="148"/>
      <c r="V4" s="148"/>
      <c r="W4" s="148"/>
      <c r="X4" s="148"/>
      <c r="Y4" s="148"/>
      <c r="Z4" s="148"/>
      <c r="AA4" s="148"/>
      <c r="AB4" s="148"/>
      <c r="AC4" s="148"/>
      <c r="AD4" s="148"/>
      <c r="AE4" s="148"/>
      <c r="AF4" s="148"/>
      <c r="AG4" s="148"/>
      <c r="AH4" s="148"/>
    </row>
    <row r="5" spans="1:34">
      <c r="A5" s="150"/>
      <c r="B5" s="148"/>
      <c r="C5" s="150"/>
      <c r="D5" s="150"/>
      <c r="E5" s="150"/>
      <c r="F5" s="150"/>
      <c r="G5" s="150"/>
      <c r="H5" s="150"/>
      <c r="I5" s="150"/>
      <c r="J5" s="150"/>
      <c r="K5" s="150"/>
      <c r="L5" s="150"/>
      <c r="M5" s="150"/>
      <c r="N5" s="150"/>
      <c r="O5" s="150"/>
      <c r="P5" s="150"/>
      <c r="Q5" s="153"/>
      <c r="R5" s="153"/>
      <c r="S5" s="150"/>
      <c r="T5" s="150"/>
      <c r="U5" s="150"/>
      <c r="V5" s="148"/>
      <c r="W5" s="148"/>
      <c r="X5" s="148"/>
      <c r="Y5" s="148"/>
      <c r="Z5" s="148"/>
      <c r="AA5" s="148"/>
      <c r="AB5" s="148"/>
      <c r="AC5" s="148"/>
      <c r="AD5" s="148"/>
      <c r="AE5" s="148"/>
      <c r="AF5" s="148"/>
      <c r="AG5" s="148"/>
      <c r="AH5" s="148"/>
    </row>
    <row r="6" spans="1:34" s="155" customFormat="1" ht="71.25" customHeight="1">
      <c r="A6" s="154"/>
      <c r="B6" s="165" t="s">
        <v>306</v>
      </c>
      <c r="C6" s="154" t="str">
        <f>'Adj List'!C7</f>
        <v>Fuel Adjustment Clause</v>
      </c>
      <c r="D6" s="154" t="str">
        <f>'Adj List'!C8</f>
        <v>Environmental Surcharge</v>
      </c>
      <c r="E6" s="154" t="str">
        <f>'Adj List'!C9</f>
        <v>Depreciation Expense</v>
      </c>
      <c r="F6" s="154" t="str">
        <f>'Adj List'!C10</f>
        <v>G&amp;T Capital Credits</v>
      </c>
      <c r="G6" s="154" t="str">
        <f>'Adj List'!C11</f>
        <v>Year-End Customers</v>
      </c>
      <c r="H6" s="154" t="str">
        <f>'Adj List'!C12</f>
        <v>Rate Case Expenses</v>
      </c>
      <c r="I6" s="154" t="str">
        <f>'Adj List'!C13</f>
        <v>Donations &amp; Promotional Advertising</v>
      </c>
      <c r="J6" s="154" t="str">
        <f>'Adj List'!C14</f>
        <v>Professional Services</v>
      </c>
      <c r="K6" s="154" t="str">
        <f>'Adj List'!C15</f>
        <v>Directors Fees</v>
      </c>
      <c r="L6" s="154" t="str">
        <f>'Adj List'!C16</f>
        <v>Wages &amp; Salaries</v>
      </c>
      <c r="M6" s="154" t="str">
        <f>'Adj List'!C17</f>
        <v>Life Insurance</v>
      </c>
      <c r="N6" s="154" t="str">
        <f>'Adj List'!C18</f>
        <v>Right of Way</v>
      </c>
      <c r="O6" s="154" t="str">
        <f>'Adj List'!C19</f>
        <v>Interest on LTD</v>
      </c>
      <c r="P6" s="154">
        <f>'Adj List'!C20</f>
        <v>0</v>
      </c>
      <c r="Q6" s="154">
        <f>'Adj List'!C21</f>
        <v>0</v>
      </c>
      <c r="R6" s="154">
        <f>'Adj List'!C22</f>
        <v>0</v>
      </c>
      <c r="S6" s="154">
        <f>'Adj List'!C23</f>
        <v>0</v>
      </c>
      <c r="T6" s="154">
        <f>'Adj List'!C24</f>
        <v>0</v>
      </c>
      <c r="U6" s="154" t="s">
        <v>14</v>
      </c>
      <c r="V6" s="154"/>
      <c r="W6" s="154"/>
      <c r="X6" s="154"/>
      <c r="Y6" s="154"/>
      <c r="Z6" s="154"/>
      <c r="AA6" s="154"/>
      <c r="AB6" s="154"/>
      <c r="AC6" s="154"/>
      <c r="AD6" s="154"/>
      <c r="AE6" s="154"/>
      <c r="AF6" s="154"/>
      <c r="AG6" s="154"/>
      <c r="AH6" s="154"/>
    </row>
    <row r="7" spans="1:34">
      <c r="A7" s="150">
        <v>1</v>
      </c>
      <c r="B7" s="148"/>
      <c r="C7" s="130"/>
      <c r="D7" s="130"/>
      <c r="E7" s="130"/>
      <c r="F7" s="130"/>
      <c r="G7" s="130"/>
      <c r="H7" s="130"/>
      <c r="I7" s="130"/>
      <c r="J7" s="130"/>
      <c r="K7" s="130"/>
      <c r="L7" s="130"/>
      <c r="M7" s="130"/>
      <c r="N7" s="130"/>
      <c r="O7" s="130"/>
      <c r="P7" s="130"/>
      <c r="Q7" s="130"/>
      <c r="R7" s="130"/>
      <c r="S7" s="130"/>
      <c r="T7" s="130"/>
      <c r="U7" s="130"/>
      <c r="V7" s="148"/>
      <c r="W7" s="148"/>
      <c r="X7" s="148"/>
      <c r="Y7" s="130"/>
      <c r="Z7" s="130"/>
      <c r="AA7" s="130"/>
      <c r="AB7" s="130"/>
      <c r="AC7" s="130"/>
      <c r="AD7" s="130"/>
      <c r="AE7" s="130"/>
      <c r="AF7" s="130"/>
      <c r="AG7" s="130"/>
      <c r="AH7" s="148"/>
    </row>
    <row r="8" spans="1:34">
      <c r="A8" s="150">
        <f t="shared" ref="A8:A41" si="0">(A7+1)</f>
        <v>2</v>
      </c>
      <c r="B8" s="156" t="s">
        <v>107</v>
      </c>
      <c r="C8" s="130"/>
      <c r="D8" s="130"/>
      <c r="E8" s="130"/>
      <c r="F8" s="130"/>
      <c r="G8" s="130"/>
      <c r="H8" s="130"/>
      <c r="I8" s="130"/>
      <c r="J8" s="130"/>
      <c r="K8" s="130"/>
      <c r="L8" s="130"/>
      <c r="M8" s="130"/>
      <c r="N8" s="130"/>
      <c r="O8" s="130"/>
      <c r="P8" s="130"/>
      <c r="Q8" s="130"/>
      <c r="R8" s="130"/>
      <c r="S8" s="130"/>
      <c r="T8" s="130"/>
      <c r="U8" s="130"/>
      <c r="V8" s="148"/>
      <c r="W8" s="148"/>
      <c r="X8" s="148"/>
      <c r="Y8" s="130"/>
      <c r="Z8" s="130"/>
      <c r="AA8" s="130"/>
      <c r="AB8" s="130"/>
      <c r="AC8" s="130"/>
      <c r="AD8" s="130"/>
      <c r="AE8" s="130"/>
      <c r="AF8" s="130"/>
      <c r="AG8" s="130"/>
      <c r="AH8" s="148"/>
    </row>
    <row r="9" spans="1:34">
      <c r="A9" s="150">
        <f t="shared" si="0"/>
        <v>3</v>
      </c>
      <c r="B9" s="148" t="s">
        <v>116</v>
      </c>
      <c r="C9" s="130">
        <f>'Adj List'!D7</f>
        <v>-2344584.2400000002</v>
      </c>
      <c r="D9" s="130">
        <f>'Adj List'!D8</f>
        <v>-2508036.1800000002</v>
      </c>
      <c r="E9" s="130"/>
      <c r="F9" s="130"/>
      <c r="G9" s="130">
        <f>'Adj List'!D11</f>
        <v>-80016.58</v>
      </c>
      <c r="H9" s="130"/>
      <c r="I9" s="130"/>
      <c r="J9" s="130"/>
      <c r="K9" s="130"/>
      <c r="L9" s="130"/>
      <c r="M9" s="130"/>
      <c r="N9" s="130"/>
      <c r="O9" s="130"/>
      <c r="P9" s="130"/>
      <c r="Q9" s="130"/>
      <c r="R9" s="130"/>
      <c r="S9" s="130"/>
      <c r="T9" s="130"/>
      <c r="U9" s="130">
        <f>SUM(C9:T9)</f>
        <v>-4932637</v>
      </c>
      <c r="V9" s="148"/>
      <c r="W9" s="148"/>
      <c r="X9" s="148"/>
      <c r="Y9" s="130"/>
      <c r="Z9" s="130"/>
      <c r="AA9" s="130"/>
      <c r="AB9" s="130"/>
      <c r="AC9" s="130"/>
      <c r="AD9" s="130"/>
      <c r="AE9" s="130"/>
      <c r="AF9" s="130"/>
      <c r="AG9" s="130"/>
      <c r="AH9" s="148"/>
    </row>
    <row r="10" spans="1:34">
      <c r="A10" s="150">
        <f t="shared" si="0"/>
        <v>4</v>
      </c>
      <c r="B10" s="148" t="s">
        <v>117</v>
      </c>
      <c r="C10" s="130"/>
      <c r="D10" s="130"/>
      <c r="E10" s="130"/>
      <c r="F10" s="130"/>
      <c r="G10" s="130"/>
      <c r="H10" s="130"/>
      <c r="I10" s="130"/>
      <c r="J10" s="130"/>
      <c r="K10" s="130"/>
      <c r="L10" s="130"/>
      <c r="M10" s="130"/>
      <c r="N10" s="130"/>
      <c r="O10" s="130"/>
      <c r="P10" s="130"/>
      <c r="Q10" s="130"/>
      <c r="R10" s="130"/>
      <c r="S10" s="130"/>
      <c r="T10" s="130"/>
      <c r="U10" s="130">
        <f t="shared" ref="U10:U41" si="1">SUM(C10:T10)</f>
        <v>0</v>
      </c>
      <c r="V10" s="148"/>
      <c r="W10" s="157"/>
      <c r="X10" s="157"/>
      <c r="Y10" s="130"/>
      <c r="Z10" s="130"/>
      <c r="AA10" s="130"/>
      <c r="AB10" s="130"/>
      <c r="AC10" s="130"/>
      <c r="AD10" s="130"/>
      <c r="AE10" s="130"/>
      <c r="AF10" s="130"/>
      <c r="AG10" s="130"/>
      <c r="AH10" s="148"/>
    </row>
    <row r="11" spans="1:34">
      <c r="A11" s="150">
        <f t="shared" si="0"/>
        <v>5</v>
      </c>
      <c r="B11" s="148" t="s">
        <v>118</v>
      </c>
      <c r="C11" s="130"/>
      <c r="D11" s="130"/>
      <c r="E11" s="130"/>
      <c r="F11" s="130"/>
      <c r="G11" s="130"/>
      <c r="H11" s="130"/>
      <c r="I11" s="130"/>
      <c r="J11" s="130"/>
      <c r="K11" s="130"/>
      <c r="L11" s="130"/>
      <c r="M11" s="130"/>
      <c r="N11" s="130"/>
      <c r="O11" s="130"/>
      <c r="P11" s="130"/>
      <c r="Q11" s="130"/>
      <c r="R11" s="130"/>
      <c r="S11" s="130"/>
      <c r="T11" s="130"/>
      <c r="U11" s="158">
        <f t="shared" si="1"/>
        <v>0</v>
      </c>
      <c r="V11" s="148"/>
      <c r="W11" s="148"/>
      <c r="X11" s="148"/>
      <c r="Y11" s="130"/>
      <c r="Z11" s="130"/>
      <c r="AA11" s="130"/>
      <c r="AB11" s="130"/>
      <c r="AC11" s="130"/>
      <c r="AD11" s="130"/>
      <c r="AE11" s="130"/>
      <c r="AF11" s="130"/>
      <c r="AG11" s="130"/>
      <c r="AH11" s="148"/>
    </row>
    <row r="12" spans="1:34">
      <c r="A12" s="150">
        <f t="shared" si="0"/>
        <v>6</v>
      </c>
      <c r="B12" s="159" t="s">
        <v>110</v>
      </c>
      <c r="C12" s="160">
        <f t="shared" ref="C12:S12" si="2">SUM(C7:C11)</f>
        <v>-2344584.2400000002</v>
      </c>
      <c r="D12" s="160">
        <f t="shared" si="2"/>
        <v>-2508036.1800000002</v>
      </c>
      <c r="E12" s="160">
        <f t="shared" si="2"/>
        <v>0</v>
      </c>
      <c r="F12" s="160">
        <f t="shared" si="2"/>
        <v>0</v>
      </c>
      <c r="G12" s="160">
        <f t="shared" si="2"/>
        <v>-80016.58</v>
      </c>
      <c r="H12" s="160">
        <f t="shared" si="2"/>
        <v>0</v>
      </c>
      <c r="I12" s="160">
        <f t="shared" si="2"/>
        <v>0</v>
      </c>
      <c r="J12" s="160">
        <f t="shared" si="2"/>
        <v>0</v>
      </c>
      <c r="K12" s="160">
        <f t="shared" si="2"/>
        <v>0</v>
      </c>
      <c r="L12" s="160">
        <f t="shared" si="2"/>
        <v>0</v>
      </c>
      <c r="M12" s="160">
        <f t="shared" si="2"/>
        <v>0</v>
      </c>
      <c r="N12" s="160">
        <f t="shared" si="2"/>
        <v>0</v>
      </c>
      <c r="O12" s="160">
        <f t="shared" si="2"/>
        <v>0</v>
      </c>
      <c r="P12" s="160">
        <f t="shared" si="2"/>
        <v>0</v>
      </c>
      <c r="Q12" s="160">
        <f t="shared" si="2"/>
        <v>0</v>
      </c>
      <c r="R12" s="160">
        <f t="shared" si="2"/>
        <v>0</v>
      </c>
      <c r="S12" s="160">
        <f t="shared" si="2"/>
        <v>0</v>
      </c>
      <c r="T12" s="160"/>
      <c r="U12" s="160">
        <f t="shared" si="1"/>
        <v>-4932637</v>
      </c>
      <c r="V12" s="148"/>
      <c r="W12" s="130"/>
      <c r="X12" s="148"/>
      <c r="Y12" s="130"/>
      <c r="Z12" s="130"/>
      <c r="AA12" s="130"/>
      <c r="AB12" s="130"/>
      <c r="AC12" s="130"/>
      <c r="AD12" s="130"/>
      <c r="AE12" s="130"/>
      <c r="AF12" s="130"/>
      <c r="AG12" s="130"/>
      <c r="AH12" s="148"/>
    </row>
    <row r="13" spans="1:34">
      <c r="A13" s="150">
        <f t="shared" si="0"/>
        <v>7</v>
      </c>
      <c r="B13" s="148"/>
      <c r="C13" s="161"/>
      <c r="D13" s="161"/>
      <c r="E13" s="161"/>
      <c r="F13" s="161"/>
      <c r="G13" s="161"/>
      <c r="H13" s="161"/>
      <c r="I13" s="161"/>
      <c r="J13" s="161"/>
      <c r="K13" s="161"/>
      <c r="L13" s="161"/>
      <c r="M13" s="161"/>
      <c r="N13" s="161"/>
      <c r="O13" s="161"/>
      <c r="P13" s="161"/>
      <c r="Q13" s="161"/>
      <c r="R13" s="161"/>
      <c r="S13" s="161"/>
      <c r="T13" s="161"/>
      <c r="U13" s="161"/>
      <c r="V13" s="148"/>
      <c r="W13" s="148"/>
      <c r="X13" s="148"/>
      <c r="Y13" s="130"/>
      <c r="Z13" s="130"/>
      <c r="AA13" s="130"/>
      <c r="AB13" s="130"/>
      <c r="AC13" s="130"/>
      <c r="AD13" s="130"/>
      <c r="AE13" s="130"/>
      <c r="AF13" s="130"/>
      <c r="AG13" s="130"/>
      <c r="AH13" s="148"/>
    </row>
    <row r="14" spans="1:34">
      <c r="A14" s="150">
        <f t="shared" si="0"/>
        <v>8</v>
      </c>
      <c r="B14" s="156" t="s">
        <v>88</v>
      </c>
      <c r="C14" s="130"/>
      <c r="D14" s="130"/>
      <c r="E14" s="130"/>
      <c r="F14" s="130"/>
      <c r="G14" s="130"/>
      <c r="H14" s="130"/>
      <c r="I14" s="130"/>
      <c r="J14" s="130"/>
      <c r="K14" s="130"/>
      <c r="L14" s="130"/>
      <c r="M14" s="130"/>
      <c r="N14" s="130"/>
      <c r="O14" s="130"/>
      <c r="P14" s="130"/>
      <c r="Q14" s="130"/>
      <c r="R14" s="130"/>
      <c r="S14" s="130"/>
      <c r="T14" s="130"/>
      <c r="U14" s="130"/>
      <c r="V14" s="148"/>
      <c r="W14" s="148"/>
      <c r="X14" s="148"/>
      <c r="Y14" s="130"/>
      <c r="Z14" s="130"/>
      <c r="AA14" s="130"/>
      <c r="AB14" s="130"/>
      <c r="AC14" s="130"/>
      <c r="AD14" s="130"/>
      <c r="AE14" s="130"/>
      <c r="AF14" s="130"/>
      <c r="AG14" s="130"/>
      <c r="AH14" s="148"/>
    </row>
    <row r="15" spans="1:34">
      <c r="A15" s="150">
        <f t="shared" si="0"/>
        <v>9</v>
      </c>
      <c r="B15" s="148" t="s">
        <v>89</v>
      </c>
      <c r="C15" s="130"/>
      <c r="D15" s="130"/>
      <c r="E15" s="130"/>
      <c r="F15" s="130"/>
      <c r="G15" s="130"/>
      <c r="H15" s="130"/>
      <c r="I15" s="130"/>
      <c r="J15" s="130"/>
      <c r="K15" s="130"/>
      <c r="L15" s="130"/>
      <c r="M15" s="130"/>
      <c r="N15" s="130"/>
      <c r="O15" s="130"/>
      <c r="P15" s="130"/>
      <c r="Q15" s="130"/>
      <c r="R15" s="130"/>
      <c r="S15" s="130"/>
      <c r="T15" s="130"/>
      <c r="U15" s="130">
        <f t="shared" si="1"/>
        <v>0</v>
      </c>
      <c r="V15" s="148"/>
      <c r="W15" s="148"/>
      <c r="X15" s="148"/>
      <c r="Y15" s="130"/>
      <c r="Z15" s="130"/>
      <c r="AA15" s="130"/>
      <c r="AB15" s="130"/>
      <c r="AC15" s="130"/>
      <c r="AD15" s="130"/>
      <c r="AE15" s="130"/>
      <c r="AF15" s="130"/>
      <c r="AG15" s="130"/>
      <c r="AH15" s="148"/>
    </row>
    <row r="16" spans="1:34">
      <c r="A16" s="150">
        <f t="shared" si="0"/>
        <v>10</v>
      </c>
      <c r="B16" s="148" t="s">
        <v>111</v>
      </c>
      <c r="C16" s="130">
        <f>'Adj List'!E7</f>
        <v>-2151171</v>
      </c>
      <c r="D16" s="130">
        <f>'Adj List'!E8</f>
        <v>-2424057</v>
      </c>
      <c r="E16" s="130"/>
      <c r="F16" s="130"/>
      <c r="G16" s="130">
        <f>'Adj List'!E11</f>
        <v>-66068.350000000006</v>
      </c>
      <c r="H16" s="130"/>
      <c r="I16" s="130"/>
      <c r="J16" s="130"/>
      <c r="K16" s="130"/>
      <c r="L16" s="130"/>
      <c r="M16" s="130"/>
      <c r="N16" s="130"/>
      <c r="O16" s="130"/>
      <c r="P16" s="130"/>
      <c r="Q16" s="130"/>
      <c r="R16" s="130"/>
      <c r="S16" s="130"/>
      <c r="T16" s="130"/>
      <c r="U16" s="130">
        <f t="shared" si="1"/>
        <v>-4641296.3499999996</v>
      </c>
      <c r="V16" s="148"/>
      <c r="W16" s="130"/>
      <c r="X16" s="148"/>
      <c r="Y16" s="130"/>
      <c r="Z16" s="130"/>
      <c r="AA16" s="130"/>
      <c r="AB16" s="130"/>
      <c r="AC16" s="130"/>
      <c r="AD16" s="130"/>
      <c r="AE16" s="130"/>
      <c r="AF16" s="130"/>
      <c r="AG16" s="130"/>
      <c r="AH16" s="148"/>
    </row>
    <row r="17" spans="1:34">
      <c r="A17" s="150">
        <f t="shared" si="0"/>
        <v>11</v>
      </c>
      <c r="B17" s="148" t="s">
        <v>108</v>
      </c>
      <c r="C17" s="130"/>
      <c r="D17" s="130"/>
      <c r="E17" s="130"/>
      <c r="F17" s="130"/>
      <c r="G17" s="130"/>
      <c r="H17" s="130"/>
      <c r="I17" s="130"/>
      <c r="J17" s="130"/>
      <c r="K17" s="130"/>
      <c r="L17" s="130"/>
      <c r="M17" s="130"/>
      <c r="N17" s="130"/>
      <c r="O17" s="130"/>
      <c r="P17" s="130"/>
      <c r="Q17" s="130"/>
      <c r="R17" s="130"/>
      <c r="S17" s="130"/>
      <c r="T17" s="130"/>
      <c r="U17" s="130">
        <f t="shared" si="1"/>
        <v>0</v>
      </c>
      <c r="V17" s="148"/>
      <c r="W17" s="130"/>
      <c r="X17" s="148"/>
      <c r="Y17" s="130"/>
      <c r="Z17" s="130"/>
      <c r="AA17" s="130"/>
      <c r="AB17" s="130"/>
      <c r="AC17" s="130"/>
      <c r="AD17" s="130"/>
      <c r="AE17" s="130"/>
      <c r="AF17" s="130"/>
      <c r="AG17" s="130"/>
      <c r="AH17" s="148"/>
    </row>
    <row r="18" spans="1:34">
      <c r="A18" s="150">
        <f t="shared" si="0"/>
        <v>12</v>
      </c>
      <c r="B18" s="148" t="s">
        <v>119</v>
      </c>
      <c r="C18" s="130"/>
      <c r="D18" s="130"/>
      <c r="E18" s="130"/>
      <c r="F18" s="130"/>
      <c r="G18" s="130"/>
      <c r="H18" s="130"/>
      <c r="I18" s="130"/>
      <c r="J18" s="130"/>
      <c r="K18" s="130"/>
      <c r="L18" s="130"/>
      <c r="M18" s="130"/>
      <c r="N18" s="130"/>
      <c r="O18" s="130"/>
      <c r="P18" s="130"/>
      <c r="Q18" s="130"/>
      <c r="R18" s="130"/>
      <c r="S18" s="130"/>
      <c r="T18" s="130"/>
      <c r="U18" s="130">
        <f t="shared" si="1"/>
        <v>0</v>
      </c>
      <c r="V18" s="148"/>
      <c r="W18" s="130"/>
      <c r="X18" s="148"/>
      <c r="Y18" s="130"/>
      <c r="Z18" s="130"/>
      <c r="AA18" s="130"/>
      <c r="AB18" s="130"/>
      <c r="AC18" s="130"/>
      <c r="AD18" s="130"/>
      <c r="AE18" s="130"/>
      <c r="AF18" s="130"/>
      <c r="AG18" s="130"/>
      <c r="AH18" s="148"/>
    </row>
    <row r="19" spans="1:34">
      <c r="A19" s="150">
        <f t="shared" si="0"/>
        <v>13</v>
      </c>
      <c r="B19" s="148" t="s">
        <v>120</v>
      </c>
      <c r="C19" s="130"/>
      <c r="D19" s="130"/>
      <c r="E19" s="130"/>
      <c r="F19" s="130"/>
      <c r="G19" s="130"/>
      <c r="H19" s="130"/>
      <c r="I19" s="130"/>
      <c r="J19" s="130"/>
      <c r="K19" s="130"/>
      <c r="L19" s="130"/>
      <c r="M19" s="130"/>
      <c r="N19" s="130">
        <f>'Adj List'!E18</f>
        <v>698995.7</v>
      </c>
      <c r="O19" s="130"/>
      <c r="P19" s="130"/>
      <c r="Q19" s="130"/>
      <c r="R19" s="130"/>
      <c r="S19" s="130"/>
      <c r="T19" s="130"/>
      <c r="U19" s="130">
        <f t="shared" si="1"/>
        <v>698995.7</v>
      </c>
      <c r="V19" s="148"/>
      <c r="W19" s="130"/>
      <c r="X19" s="148"/>
      <c r="Y19" s="130"/>
      <c r="Z19" s="130"/>
      <c r="AA19" s="130"/>
      <c r="AB19" s="130"/>
      <c r="AC19" s="130"/>
      <c r="AD19" s="130"/>
      <c r="AE19" s="130"/>
      <c r="AF19" s="130"/>
      <c r="AG19" s="130"/>
      <c r="AH19" s="148"/>
    </row>
    <row r="20" spans="1:34">
      <c r="A20" s="150">
        <f t="shared" si="0"/>
        <v>14</v>
      </c>
      <c r="B20" s="148" t="s">
        <v>121</v>
      </c>
      <c r="C20" s="130"/>
      <c r="D20" s="130"/>
      <c r="E20" s="130"/>
      <c r="F20" s="130"/>
      <c r="G20" s="130"/>
      <c r="H20" s="130"/>
      <c r="I20" s="130"/>
      <c r="J20" s="130"/>
      <c r="K20" s="130"/>
      <c r="L20" s="130"/>
      <c r="M20" s="130"/>
      <c r="N20" s="130"/>
      <c r="O20" s="130"/>
      <c r="P20" s="130"/>
      <c r="Q20" s="130"/>
      <c r="R20" s="130"/>
      <c r="S20" s="130"/>
      <c r="T20" s="130"/>
      <c r="U20" s="130">
        <f t="shared" si="1"/>
        <v>0</v>
      </c>
      <c r="V20" s="148"/>
      <c r="W20" s="130"/>
      <c r="X20" s="148"/>
      <c r="Y20" s="130"/>
      <c r="Z20" s="130"/>
      <c r="AA20" s="130"/>
      <c r="AB20" s="130"/>
      <c r="AC20" s="130"/>
      <c r="AD20" s="130"/>
      <c r="AE20" s="130"/>
      <c r="AF20" s="130"/>
      <c r="AG20" s="130"/>
      <c r="AH20" s="148"/>
    </row>
    <row r="21" spans="1:34">
      <c r="A21" s="150">
        <f t="shared" si="0"/>
        <v>15</v>
      </c>
      <c r="B21" s="148" t="s">
        <v>93</v>
      </c>
      <c r="C21" s="130"/>
      <c r="D21" s="130"/>
      <c r="E21" s="130"/>
      <c r="F21" s="130"/>
      <c r="G21" s="130"/>
      <c r="H21" s="130"/>
      <c r="I21" s="130"/>
      <c r="J21" s="130"/>
      <c r="K21" s="130"/>
      <c r="L21" s="130"/>
      <c r="M21" s="130"/>
      <c r="N21" s="130"/>
      <c r="O21" s="130"/>
      <c r="P21" s="130"/>
      <c r="Q21" s="130"/>
      <c r="R21" s="130"/>
      <c r="S21" s="130"/>
      <c r="T21" s="130"/>
      <c r="U21" s="130">
        <f t="shared" si="1"/>
        <v>0</v>
      </c>
      <c r="V21" s="148"/>
      <c r="W21" s="130"/>
      <c r="X21" s="148"/>
      <c r="Y21" s="130"/>
      <c r="Z21" s="130"/>
      <c r="AA21" s="130"/>
      <c r="AB21" s="130"/>
      <c r="AC21" s="130"/>
      <c r="AD21" s="130"/>
      <c r="AE21" s="130"/>
      <c r="AF21" s="130"/>
      <c r="AG21" s="130"/>
      <c r="AH21" s="148"/>
    </row>
    <row r="22" spans="1:34">
      <c r="A22" s="150">
        <f t="shared" si="0"/>
        <v>16</v>
      </c>
      <c r="B22" s="148" t="s">
        <v>122</v>
      </c>
      <c r="C22" s="130"/>
      <c r="D22" s="130"/>
      <c r="E22" s="130"/>
      <c r="F22" s="130"/>
      <c r="G22" s="130"/>
      <c r="H22" s="130"/>
      <c r="I22" s="130"/>
      <c r="J22" s="130"/>
      <c r="K22" s="130"/>
      <c r="L22" s="130"/>
      <c r="M22" s="130"/>
      <c r="N22" s="130"/>
      <c r="O22" s="130"/>
      <c r="P22" s="130"/>
      <c r="Q22" s="130"/>
      <c r="R22" s="130"/>
      <c r="S22" s="130"/>
      <c r="T22" s="130"/>
      <c r="U22" s="130">
        <f t="shared" si="1"/>
        <v>0</v>
      </c>
      <c r="V22" s="148"/>
      <c r="W22" s="130"/>
      <c r="X22" s="148"/>
      <c r="Y22" s="130"/>
      <c r="Z22" s="130"/>
      <c r="AA22" s="130"/>
      <c r="AB22" s="130"/>
      <c r="AC22" s="130"/>
      <c r="AD22" s="130"/>
      <c r="AE22" s="130"/>
      <c r="AF22" s="130"/>
      <c r="AG22" s="130"/>
      <c r="AH22" s="148"/>
    </row>
    <row r="23" spans="1:34">
      <c r="A23" s="150">
        <f t="shared" si="0"/>
        <v>17</v>
      </c>
      <c r="B23" s="148" t="s">
        <v>123</v>
      </c>
      <c r="C23" s="130"/>
      <c r="D23" s="130"/>
      <c r="E23" s="130"/>
      <c r="F23" s="130"/>
      <c r="G23" s="130"/>
      <c r="H23" s="130">
        <f>'Adj List'!E12</f>
        <v>25333.33</v>
      </c>
      <c r="I23" s="130">
        <f>'Adj List'!E13</f>
        <v>-15038</v>
      </c>
      <c r="J23" s="130">
        <f>'Adj List'!E14</f>
        <v>-54566.689999999995</v>
      </c>
      <c r="K23" s="324">
        <f>'Adj List'!E15</f>
        <v>-22703.180000000018</v>
      </c>
      <c r="L23" s="324">
        <f>'Adj List'!E16</f>
        <v>114719.75504700278</v>
      </c>
      <c r="M23" s="130">
        <f>'Adj List'!E17</f>
        <v>-12759.335384615386</v>
      </c>
      <c r="N23" s="130"/>
      <c r="O23" s="130"/>
      <c r="P23" s="130"/>
      <c r="Q23" s="130"/>
      <c r="R23" s="130"/>
      <c r="S23" s="130"/>
      <c r="T23" s="130"/>
      <c r="U23" s="130">
        <f t="shared" si="1"/>
        <v>34985.879662387386</v>
      </c>
      <c r="V23" s="148"/>
      <c r="W23" s="130"/>
      <c r="X23" s="148"/>
      <c r="Y23" s="130"/>
      <c r="Z23" s="130"/>
      <c r="AA23" s="130"/>
      <c r="AB23" s="130"/>
      <c r="AC23" s="130"/>
      <c r="AD23" s="130"/>
      <c r="AE23" s="130"/>
      <c r="AF23" s="130"/>
      <c r="AG23" s="130"/>
      <c r="AH23" s="148"/>
    </row>
    <row r="24" spans="1:34">
      <c r="A24" s="150">
        <f t="shared" si="0"/>
        <v>18</v>
      </c>
      <c r="B24" s="159" t="s">
        <v>112</v>
      </c>
      <c r="C24" s="160">
        <f t="shared" ref="C24:S24" si="3">SUM(C15:C23)</f>
        <v>-2151171</v>
      </c>
      <c r="D24" s="160">
        <f t="shared" si="3"/>
        <v>-2424057</v>
      </c>
      <c r="E24" s="160">
        <f t="shared" si="3"/>
        <v>0</v>
      </c>
      <c r="F24" s="160">
        <f t="shared" si="3"/>
        <v>0</v>
      </c>
      <c r="G24" s="160">
        <f t="shared" si="3"/>
        <v>-66068.350000000006</v>
      </c>
      <c r="H24" s="160">
        <f t="shared" si="3"/>
        <v>25333.33</v>
      </c>
      <c r="I24" s="160">
        <f t="shared" si="3"/>
        <v>-15038</v>
      </c>
      <c r="J24" s="160">
        <f t="shared" si="3"/>
        <v>-54566.689999999995</v>
      </c>
      <c r="K24" s="160">
        <f t="shared" si="3"/>
        <v>-22703.180000000018</v>
      </c>
      <c r="L24" s="160">
        <f t="shared" si="3"/>
        <v>114719.75504700278</v>
      </c>
      <c r="M24" s="160">
        <f t="shared" si="3"/>
        <v>-12759.335384615386</v>
      </c>
      <c r="N24" s="160">
        <f t="shared" si="3"/>
        <v>698995.7</v>
      </c>
      <c r="O24" s="160">
        <f t="shared" si="3"/>
        <v>0</v>
      </c>
      <c r="P24" s="160">
        <f t="shared" si="3"/>
        <v>0</v>
      </c>
      <c r="Q24" s="160">
        <f t="shared" si="3"/>
        <v>0</v>
      </c>
      <c r="R24" s="160">
        <f t="shared" si="3"/>
        <v>0</v>
      </c>
      <c r="S24" s="160">
        <f t="shared" si="3"/>
        <v>0</v>
      </c>
      <c r="T24" s="160">
        <f t="shared" ref="T24" si="4">SUM(T15:T23)</f>
        <v>0</v>
      </c>
      <c r="U24" s="160">
        <f t="shared" si="1"/>
        <v>-3907314.7703376124</v>
      </c>
      <c r="V24" s="148"/>
      <c r="W24" s="148"/>
      <c r="X24" s="148"/>
      <c r="Y24" s="130"/>
      <c r="Z24" s="130"/>
      <c r="AA24" s="130"/>
      <c r="AB24" s="130"/>
      <c r="AC24" s="130"/>
      <c r="AD24" s="130"/>
      <c r="AE24" s="130"/>
      <c r="AF24" s="130"/>
      <c r="AG24" s="130"/>
      <c r="AH24" s="148"/>
    </row>
    <row r="25" spans="1:34">
      <c r="A25" s="150">
        <f t="shared" si="0"/>
        <v>19</v>
      </c>
      <c r="B25" s="148"/>
      <c r="C25" s="161"/>
      <c r="D25" s="161"/>
      <c r="E25" s="161"/>
      <c r="F25" s="161"/>
      <c r="G25" s="161"/>
      <c r="H25" s="161"/>
      <c r="I25" s="161"/>
      <c r="J25" s="161"/>
      <c r="K25" s="161"/>
      <c r="L25" s="161"/>
      <c r="M25" s="161"/>
      <c r="N25" s="161"/>
      <c r="O25" s="161"/>
      <c r="P25" s="161"/>
      <c r="Q25" s="161"/>
      <c r="R25" s="161"/>
      <c r="S25" s="161"/>
      <c r="T25" s="161"/>
      <c r="U25" s="161"/>
      <c r="V25" s="148"/>
      <c r="W25" s="148"/>
      <c r="X25" s="148"/>
      <c r="Y25" s="130"/>
      <c r="Z25" s="130"/>
      <c r="AA25" s="130"/>
      <c r="AB25" s="130"/>
      <c r="AC25" s="130"/>
      <c r="AD25" s="130"/>
      <c r="AE25" s="130"/>
      <c r="AF25" s="130"/>
      <c r="AG25" s="130"/>
      <c r="AH25" s="148"/>
    </row>
    <row r="26" spans="1:34">
      <c r="A26" s="150">
        <f t="shared" si="0"/>
        <v>20</v>
      </c>
      <c r="B26" s="148" t="s">
        <v>31</v>
      </c>
      <c r="C26" s="130"/>
      <c r="D26" s="130"/>
      <c r="E26" s="130">
        <f>'Adj List'!E9</f>
        <v>376017.31000000006</v>
      </c>
      <c r="F26" s="130"/>
      <c r="G26" s="130"/>
      <c r="H26" s="130"/>
      <c r="I26" s="130"/>
      <c r="J26" s="130"/>
      <c r="K26" s="130"/>
      <c r="L26" s="130"/>
      <c r="M26" s="130"/>
      <c r="N26" s="130"/>
      <c r="O26" s="130"/>
      <c r="P26" s="130"/>
      <c r="Q26" s="130"/>
      <c r="R26" s="130"/>
      <c r="S26" s="130"/>
      <c r="T26" s="130"/>
      <c r="U26" s="130">
        <f t="shared" si="1"/>
        <v>376017.31000000006</v>
      </c>
      <c r="V26" s="148"/>
      <c r="W26" s="130"/>
      <c r="X26" s="148"/>
      <c r="Y26" s="130"/>
      <c r="Z26" s="130"/>
      <c r="AA26" s="130"/>
      <c r="AB26" s="130"/>
      <c r="AC26" s="130"/>
      <c r="AD26" s="130"/>
      <c r="AE26" s="130"/>
      <c r="AF26" s="130"/>
      <c r="AG26" s="130"/>
      <c r="AH26" s="148"/>
    </row>
    <row r="27" spans="1:34">
      <c r="A27" s="150">
        <f t="shared" si="0"/>
        <v>21</v>
      </c>
      <c r="B27" s="148" t="s">
        <v>98</v>
      </c>
      <c r="C27" s="130"/>
      <c r="D27" s="130"/>
      <c r="E27" s="130"/>
      <c r="F27" s="130"/>
      <c r="G27" s="130"/>
      <c r="H27" s="130"/>
      <c r="I27" s="130"/>
      <c r="J27" s="130"/>
      <c r="K27" s="130"/>
      <c r="L27" s="130"/>
      <c r="M27" s="130"/>
      <c r="N27" s="130"/>
      <c r="O27" s="130"/>
      <c r="P27" s="130"/>
      <c r="Q27" s="130"/>
      <c r="R27" s="130"/>
      <c r="S27" s="130"/>
      <c r="T27" s="130"/>
      <c r="U27" s="130">
        <f t="shared" si="1"/>
        <v>0</v>
      </c>
      <c r="V27" s="148"/>
      <c r="W27" s="130"/>
      <c r="X27" s="148"/>
      <c r="Y27" s="130"/>
      <c r="Z27" s="130"/>
      <c r="AA27" s="130"/>
      <c r="AB27" s="130"/>
      <c r="AC27" s="130"/>
      <c r="AD27" s="130"/>
      <c r="AE27" s="130"/>
      <c r="AF27" s="130"/>
      <c r="AG27" s="130"/>
      <c r="AH27" s="148"/>
    </row>
    <row r="28" spans="1:34">
      <c r="A28" s="150">
        <f t="shared" si="0"/>
        <v>22</v>
      </c>
      <c r="B28" s="148" t="s">
        <v>114</v>
      </c>
      <c r="C28" s="130"/>
      <c r="D28" s="130"/>
      <c r="E28" s="130"/>
      <c r="F28" s="130"/>
      <c r="G28" s="130"/>
      <c r="H28" s="130"/>
      <c r="I28" s="130"/>
      <c r="J28" s="130"/>
      <c r="K28" s="130"/>
      <c r="L28" s="130"/>
      <c r="M28" s="130"/>
      <c r="N28" s="130"/>
      <c r="O28" s="130">
        <f>'Adj List'!E19</f>
        <v>119118.10000000009</v>
      </c>
      <c r="P28" s="130"/>
      <c r="Q28" s="130"/>
      <c r="R28" s="130"/>
      <c r="S28" s="130"/>
      <c r="T28" s="130"/>
      <c r="U28" s="130">
        <f t="shared" si="1"/>
        <v>119118.10000000009</v>
      </c>
      <c r="V28" s="148"/>
      <c r="W28" s="130"/>
      <c r="X28" s="148"/>
      <c r="Y28" s="130"/>
      <c r="Z28" s="130"/>
      <c r="AA28" s="130"/>
      <c r="AB28" s="130"/>
      <c r="AC28" s="130"/>
      <c r="AD28" s="130"/>
      <c r="AE28" s="130"/>
      <c r="AF28" s="130"/>
      <c r="AG28" s="130"/>
      <c r="AH28" s="148"/>
    </row>
    <row r="29" spans="1:34">
      <c r="A29" s="150">
        <f>(A28+1)</f>
        <v>23</v>
      </c>
      <c r="B29" s="148" t="s">
        <v>115</v>
      </c>
      <c r="C29" s="130"/>
      <c r="D29" s="130"/>
      <c r="E29" s="130"/>
      <c r="F29" s="130"/>
      <c r="G29" s="130"/>
      <c r="H29" s="130"/>
      <c r="I29" s="130"/>
      <c r="J29" s="130"/>
      <c r="K29" s="130"/>
      <c r="L29" s="130"/>
      <c r="M29" s="130"/>
      <c r="N29" s="130"/>
      <c r="O29" s="130"/>
      <c r="P29" s="130"/>
      <c r="Q29" s="130"/>
      <c r="R29" s="130"/>
      <c r="S29" s="130"/>
      <c r="T29" s="130"/>
      <c r="U29" s="130">
        <f t="shared" si="1"/>
        <v>0</v>
      </c>
      <c r="V29" s="148"/>
      <c r="W29" s="130"/>
      <c r="X29" s="148"/>
      <c r="Y29" s="130"/>
      <c r="Z29" s="130"/>
      <c r="AA29" s="130"/>
      <c r="AB29" s="130"/>
      <c r="AC29" s="130"/>
      <c r="AD29" s="130"/>
      <c r="AE29" s="130"/>
      <c r="AF29" s="130"/>
      <c r="AG29" s="130"/>
      <c r="AH29" s="148"/>
    </row>
    <row r="30" spans="1:34">
      <c r="A30" s="150">
        <f>(A29+1)</f>
        <v>24</v>
      </c>
      <c r="B30" s="148" t="s">
        <v>100</v>
      </c>
      <c r="C30" s="130"/>
      <c r="D30" s="130"/>
      <c r="E30" s="130"/>
      <c r="F30" s="130"/>
      <c r="G30" s="130"/>
      <c r="H30" s="130"/>
      <c r="I30" s="130"/>
      <c r="J30" s="130"/>
      <c r="K30" s="130"/>
      <c r="L30" s="130"/>
      <c r="M30" s="130"/>
      <c r="N30" s="130"/>
      <c r="O30" s="130"/>
      <c r="P30" s="130"/>
      <c r="Q30" s="130"/>
      <c r="R30" s="130"/>
      <c r="S30" s="130"/>
      <c r="T30" s="130"/>
      <c r="U30" s="130">
        <f t="shared" si="1"/>
        <v>0</v>
      </c>
      <c r="V30" s="148"/>
      <c r="W30" s="130"/>
      <c r="X30" s="148"/>
      <c r="Y30" s="130"/>
      <c r="Z30" s="130"/>
      <c r="AA30" s="130"/>
      <c r="AB30" s="130"/>
      <c r="AC30" s="130"/>
      <c r="AD30" s="130"/>
      <c r="AE30" s="130"/>
      <c r="AF30" s="130"/>
      <c r="AG30" s="130"/>
      <c r="AH30" s="148"/>
    </row>
    <row r="31" spans="1:34">
      <c r="A31" s="150">
        <f t="shared" si="0"/>
        <v>25</v>
      </c>
      <c r="B31" s="159" t="s">
        <v>36</v>
      </c>
      <c r="C31" s="160">
        <f t="shared" ref="C31:S31" si="5">SUM(C24:C30)</f>
        <v>-2151171</v>
      </c>
      <c r="D31" s="160">
        <f t="shared" si="5"/>
        <v>-2424057</v>
      </c>
      <c r="E31" s="160">
        <f t="shared" si="5"/>
        <v>376017.31000000006</v>
      </c>
      <c r="F31" s="160">
        <f t="shared" si="5"/>
        <v>0</v>
      </c>
      <c r="G31" s="160">
        <f t="shared" si="5"/>
        <v>-66068.350000000006</v>
      </c>
      <c r="H31" s="160">
        <f t="shared" si="5"/>
        <v>25333.33</v>
      </c>
      <c r="I31" s="160">
        <f t="shared" si="5"/>
        <v>-15038</v>
      </c>
      <c r="J31" s="160">
        <f t="shared" si="5"/>
        <v>-54566.689999999995</v>
      </c>
      <c r="K31" s="160">
        <f t="shared" si="5"/>
        <v>-22703.180000000018</v>
      </c>
      <c r="L31" s="160">
        <f t="shared" si="5"/>
        <v>114719.75504700278</v>
      </c>
      <c r="M31" s="160">
        <f t="shared" si="5"/>
        <v>-12759.335384615386</v>
      </c>
      <c r="N31" s="160">
        <f t="shared" si="5"/>
        <v>698995.7</v>
      </c>
      <c r="O31" s="160">
        <f t="shared" si="5"/>
        <v>119118.10000000009</v>
      </c>
      <c r="P31" s="160">
        <f t="shared" si="5"/>
        <v>0</v>
      </c>
      <c r="Q31" s="160">
        <f t="shared" si="5"/>
        <v>0</v>
      </c>
      <c r="R31" s="160">
        <f t="shared" si="5"/>
        <v>0</v>
      </c>
      <c r="S31" s="160">
        <f t="shared" si="5"/>
        <v>0</v>
      </c>
      <c r="T31" s="160">
        <f t="shared" ref="T31" si="6">SUM(T24:T30)</f>
        <v>0</v>
      </c>
      <c r="U31" s="160">
        <f t="shared" si="1"/>
        <v>-3412179.3603376118</v>
      </c>
      <c r="V31" s="148"/>
      <c r="W31" s="130"/>
      <c r="X31" s="148"/>
      <c r="Y31" s="130"/>
      <c r="Z31" s="130"/>
      <c r="AA31" s="130"/>
      <c r="AB31" s="130"/>
      <c r="AC31" s="130"/>
      <c r="AD31" s="130"/>
      <c r="AE31" s="130"/>
      <c r="AF31" s="130"/>
      <c r="AG31" s="130"/>
      <c r="AH31" s="148"/>
    </row>
    <row r="32" spans="1:34">
      <c r="A32" s="150">
        <f t="shared" si="0"/>
        <v>26</v>
      </c>
      <c r="B32" s="148"/>
      <c r="C32" s="161"/>
      <c r="D32" s="161"/>
      <c r="E32" s="161"/>
      <c r="F32" s="161"/>
      <c r="G32" s="161"/>
      <c r="H32" s="161"/>
      <c r="I32" s="161"/>
      <c r="J32" s="161"/>
      <c r="K32" s="161"/>
      <c r="L32" s="161"/>
      <c r="M32" s="161"/>
      <c r="N32" s="161"/>
      <c r="O32" s="161"/>
      <c r="P32" s="161"/>
      <c r="Q32" s="161"/>
      <c r="R32" s="161"/>
      <c r="S32" s="161"/>
      <c r="T32" s="161"/>
      <c r="U32" s="161"/>
      <c r="V32" s="148"/>
      <c r="W32" s="148"/>
      <c r="X32" s="148"/>
      <c r="Y32" s="130"/>
      <c r="Z32" s="130"/>
      <c r="AA32" s="130"/>
      <c r="AB32" s="130"/>
      <c r="AC32" s="130"/>
      <c r="AD32" s="130"/>
      <c r="AE32" s="130"/>
      <c r="AF32" s="130"/>
      <c r="AG32" s="130"/>
      <c r="AH32" s="148"/>
    </row>
    <row r="33" spans="1:34">
      <c r="A33" s="150">
        <f t="shared" si="0"/>
        <v>27</v>
      </c>
      <c r="B33" s="148" t="s">
        <v>101</v>
      </c>
      <c r="C33" s="130">
        <f t="shared" ref="C33:S33" si="7">(+C12-C31)</f>
        <v>-193413.24000000022</v>
      </c>
      <c r="D33" s="130">
        <f t="shared" si="7"/>
        <v>-83979.180000000168</v>
      </c>
      <c r="E33" s="130">
        <f t="shared" si="7"/>
        <v>-376017.31000000006</v>
      </c>
      <c r="F33" s="130">
        <f t="shared" si="7"/>
        <v>0</v>
      </c>
      <c r="G33" s="130">
        <f t="shared" si="7"/>
        <v>-13948.229999999996</v>
      </c>
      <c r="H33" s="130">
        <f t="shared" si="7"/>
        <v>-25333.33</v>
      </c>
      <c r="I33" s="130">
        <f t="shared" si="7"/>
        <v>15038</v>
      </c>
      <c r="J33" s="130">
        <f t="shared" si="7"/>
        <v>54566.689999999995</v>
      </c>
      <c r="K33" s="130">
        <f t="shared" si="7"/>
        <v>22703.180000000018</v>
      </c>
      <c r="L33" s="130">
        <f t="shared" si="7"/>
        <v>-114719.75504700278</v>
      </c>
      <c r="M33" s="130">
        <f t="shared" si="7"/>
        <v>12759.335384615386</v>
      </c>
      <c r="N33" s="130">
        <f t="shared" si="7"/>
        <v>-698995.7</v>
      </c>
      <c r="O33" s="130">
        <f t="shared" si="7"/>
        <v>-119118.10000000009</v>
      </c>
      <c r="P33" s="130">
        <f t="shared" si="7"/>
        <v>0</v>
      </c>
      <c r="Q33" s="130">
        <f t="shared" si="7"/>
        <v>0</v>
      </c>
      <c r="R33" s="130">
        <f t="shared" si="7"/>
        <v>0</v>
      </c>
      <c r="S33" s="130">
        <f t="shared" si="7"/>
        <v>0</v>
      </c>
      <c r="T33" s="130">
        <f t="shared" ref="T33" si="8">(+T12-T31)</f>
        <v>0</v>
      </c>
      <c r="U33" s="130">
        <f t="shared" si="1"/>
        <v>-1520457.6396623878</v>
      </c>
      <c r="V33" s="148"/>
      <c r="W33" s="130"/>
      <c r="X33" s="148"/>
      <c r="Y33" s="130"/>
      <c r="Z33" s="130"/>
      <c r="AA33" s="130"/>
      <c r="AB33" s="130"/>
      <c r="AC33" s="130"/>
      <c r="AD33" s="130"/>
      <c r="AE33" s="130"/>
      <c r="AF33" s="130"/>
      <c r="AG33" s="130"/>
      <c r="AH33" s="148"/>
    </row>
    <row r="34" spans="1:34">
      <c r="A34" s="150">
        <f t="shared" si="0"/>
        <v>28</v>
      </c>
      <c r="B34" s="148"/>
      <c r="C34" s="161"/>
      <c r="D34" s="161"/>
      <c r="E34" s="161"/>
      <c r="F34" s="161"/>
      <c r="G34" s="161"/>
      <c r="H34" s="161"/>
      <c r="I34" s="161"/>
      <c r="J34" s="161"/>
      <c r="K34" s="161"/>
      <c r="L34" s="161"/>
      <c r="M34" s="161"/>
      <c r="N34" s="161"/>
      <c r="O34" s="161"/>
      <c r="P34" s="161"/>
      <c r="Q34" s="161"/>
      <c r="R34" s="161"/>
      <c r="S34" s="161"/>
      <c r="T34" s="161"/>
      <c r="U34" s="161"/>
      <c r="V34" s="148"/>
      <c r="W34" s="148"/>
      <c r="X34" s="148"/>
      <c r="Y34" s="130"/>
      <c r="Z34" s="130"/>
      <c r="AA34" s="130"/>
      <c r="AB34" s="130"/>
      <c r="AC34" s="130"/>
      <c r="AD34" s="130"/>
      <c r="AE34" s="130"/>
      <c r="AF34" s="130"/>
      <c r="AG34" s="130"/>
      <c r="AH34" s="148"/>
    </row>
    <row r="35" spans="1:34">
      <c r="A35" s="150">
        <f t="shared" si="0"/>
        <v>29</v>
      </c>
      <c r="B35" s="148" t="s">
        <v>37</v>
      </c>
      <c r="C35" s="130"/>
      <c r="D35" s="130"/>
      <c r="E35" s="130"/>
      <c r="F35" s="130"/>
      <c r="G35" s="130"/>
      <c r="H35" s="130"/>
      <c r="I35" s="130"/>
      <c r="J35" s="130"/>
      <c r="K35" s="130"/>
      <c r="L35" s="130"/>
      <c r="M35" s="130"/>
      <c r="N35" s="130"/>
      <c r="O35" s="130"/>
      <c r="P35" s="130"/>
      <c r="Q35" s="130"/>
      <c r="R35" s="130"/>
      <c r="S35" s="130"/>
      <c r="T35" s="130"/>
      <c r="U35" s="130">
        <f t="shared" si="1"/>
        <v>0</v>
      </c>
      <c r="V35" s="148"/>
      <c r="W35" s="130"/>
      <c r="X35" s="148"/>
      <c r="Y35" s="130"/>
      <c r="Z35" s="130"/>
      <c r="AA35" s="130"/>
      <c r="AB35" s="130"/>
      <c r="AC35" s="130"/>
      <c r="AD35" s="130"/>
      <c r="AE35" s="130"/>
      <c r="AF35" s="130"/>
      <c r="AG35" s="130"/>
      <c r="AH35" s="148"/>
    </row>
    <row r="36" spans="1:34">
      <c r="A36" s="150">
        <f t="shared" si="0"/>
        <v>30</v>
      </c>
      <c r="B36" s="148" t="s">
        <v>38</v>
      </c>
      <c r="C36" s="130"/>
      <c r="D36" s="130"/>
      <c r="E36" s="130"/>
      <c r="F36" s="130"/>
      <c r="G36" s="130"/>
      <c r="H36" s="130"/>
      <c r="I36" s="130"/>
      <c r="J36" s="130"/>
      <c r="K36" s="130"/>
      <c r="L36" s="130"/>
      <c r="M36" s="130"/>
      <c r="N36" s="130"/>
      <c r="O36" s="130"/>
      <c r="P36" s="130"/>
      <c r="Q36" s="130"/>
      <c r="R36" s="130"/>
      <c r="S36" s="130"/>
      <c r="T36" s="130"/>
      <c r="U36" s="130">
        <f t="shared" si="1"/>
        <v>0</v>
      </c>
      <c r="V36" s="148"/>
      <c r="W36" s="130"/>
      <c r="X36" s="148"/>
      <c r="Y36" s="130"/>
      <c r="Z36" s="130"/>
      <c r="AA36" s="130"/>
      <c r="AB36" s="130"/>
      <c r="AC36" s="130"/>
      <c r="AD36" s="130"/>
      <c r="AE36" s="130"/>
      <c r="AF36" s="130"/>
      <c r="AG36" s="130"/>
      <c r="AH36" s="148"/>
    </row>
    <row r="37" spans="1:34">
      <c r="A37" s="150">
        <f t="shared" si="0"/>
        <v>31</v>
      </c>
      <c r="B37" s="148" t="s">
        <v>34</v>
      </c>
      <c r="C37" s="130"/>
      <c r="D37" s="130"/>
      <c r="E37" s="130"/>
      <c r="F37" s="130">
        <f>'Adj List'!F10</f>
        <v>-412311</v>
      </c>
      <c r="G37" s="130"/>
      <c r="H37" s="130"/>
      <c r="I37" s="130"/>
      <c r="J37" s="130"/>
      <c r="K37" s="130"/>
      <c r="L37" s="130"/>
      <c r="M37" s="130"/>
      <c r="N37" s="130"/>
      <c r="O37" s="130"/>
      <c r="P37" s="130"/>
      <c r="Q37" s="130"/>
      <c r="R37" s="130"/>
      <c r="S37" s="130"/>
      <c r="T37" s="130"/>
      <c r="U37" s="130">
        <f t="shared" si="1"/>
        <v>-412311</v>
      </c>
      <c r="V37" s="148"/>
      <c r="W37" s="130"/>
      <c r="X37" s="148"/>
      <c r="Y37" s="130"/>
      <c r="Z37" s="130"/>
      <c r="AA37" s="130"/>
      <c r="AB37" s="130"/>
      <c r="AC37" s="130"/>
      <c r="AD37" s="130"/>
      <c r="AE37" s="130"/>
      <c r="AF37" s="130"/>
      <c r="AG37" s="130"/>
      <c r="AH37" s="148"/>
    </row>
    <row r="38" spans="1:34">
      <c r="A38" s="150">
        <f t="shared" si="0"/>
        <v>32</v>
      </c>
      <c r="B38" s="148" t="s">
        <v>102</v>
      </c>
      <c r="C38" s="130"/>
      <c r="D38" s="130"/>
      <c r="E38" s="130"/>
      <c r="F38" s="130"/>
      <c r="G38" s="130"/>
      <c r="H38" s="130"/>
      <c r="I38" s="130"/>
      <c r="J38" s="130"/>
      <c r="K38" s="130"/>
      <c r="L38" s="130"/>
      <c r="M38" s="130"/>
      <c r="N38" s="130"/>
      <c r="O38" s="130"/>
      <c r="P38" s="130"/>
      <c r="Q38" s="130"/>
      <c r="R38" s="130"/>
      <c r="S38" s="130"/>
      <c r="T38" s="130"/>
      <c r="U38" s="130">
        <f t="shared" si="1"/>
        <v>0</v>
      </c>
      <c r="V38" s="148"/>
      <c r="W38" s="130"/>
      <c r="X38" s="148"/>
      <c r="Y38" s="130"/>
      <c r="Z38" s="130"/>
      <c r="AA38" s="130"/>
      <c r="AB38" s="130"/>
      <c r="AC38" s="130"/>
      <c r="AD38" s="130"/>
      <c r="AE38" s="130"/>
      <c r="AF38" s="130"/>
      <c r="AG38" s="130"/>
      <c r="AH38" s="148"/>
    </row>
    <row r="39" spans="1:34">
      <c r="A39" s="150">
        <f t="shared" si="0"/>
        <v>33</v>
      </c>
      <c r="B39" s="159" t="s">
        <v>113</v>
      </c>
      <c r="C39" s="160">
        <f t="shared" ref="C39:S39" si="9">SUM(C35:C38)</f>
        <v>0</v>
      </c>
      <c r="D39" s="160">
        <f t="shared" si="9"/>
        <v>0</v>
      </c>
      <c r="E39" s="160">
        <f t="shared" si="9"/>
        <v>0</v>
      </c>
      <c r="F39" s="160">
        <f t="shared" si="9"/>
        <v>-412311</v>
      </c>
      <c r="G39" s="160">
        <f t="shared" si="9"/>
        <v>0</v>
      </c>
      <c r="H39" s="160">
        <f t="shared" si="9"/>
        <v>0</v>
      </c>
      <c r="I39" s="160">
        <f t="shared" si="9"/>
        <v>0</v>
      </c>
      <c r="J39" s="160">
        <f t="shared" si="9"/>
        <v>0</v>
      </c>
      <c r="K39" s="160">
        <f t="shared" si="9"/>
        <v>0</v>
      </c>
      <c r="L39" s="160">
        <f t="shared" si="9"/>
        <v>0</v>
      </c>
      <c r="M39" s="160">
        <f t="shared" si="9"/>
        <v>0</v>
      </c>
      <c r="N39" s="160">
        <f t="shared" si="9"/>
        <v>0</v>
      </c>
      <c r="O39" s="160">
        <f t="shared" si="9"/>
        <v>0</v>
      </c>
      <c r="P39" s="160">
        <f t="shared" si="9"/>
        <v>0</v>
      </c>
      <c r="Q39" s="160">
        <f t="shared" si="9"/>
        <v>0</v>
      </c>
      <c r="R39" s="160">
        <f t="shared" si="9"/>
        <v>0</v>
      </c>
      <c r="S39" s="160">
        <f t="shared" si="9"/>
        <v>0</v>
      </c>
      <c r="T39" s="160">
        <f t="shared" ref="T39" si="10">SUM(T35:T38)</f>
        <v>0</v>
      </c>
      <c r="U39" s="160">
        <f t="shared" si="1"/>
        <v>-412311</v>
      </c>
      <c r="V39" s="148"/>
      <c r="W39" s="148"/>
      <c r="X39" s="148"/>
      <c r="Y39" s="130"/>
      <c r="Z39" s="130"/>
      <c r="AA39" s="130"/>
      <c r="AB39" s="130"/>
      <c r="AC39" s="130"/>
      <c r="AD39" s="130"/>
      <c r="AE39" s="130"/>
      <c r="AF39" s="130"/>
      <c r="AG39" s="130"/>
      <c r="AH39" s="148"/>
    </row>
    <row r="40" spans="1:34">
      <c r="A40" s="150">
        <f t="shared" si="0"/>
        <v>34</v>
      </c>
      <c r="B40" s="148"/>
      <c r="C40" s="130"/>
      <c r="D40" s="130"/>
      <c r="E40" s="130"/>
      <c r="F40" s="130"/>
      <c r="G40" s="130"/>
      <c r="H40" s="130"/>
      <c r="I40" s="130"/>
      <c r="J40" s="130"/>
      <c r="K40" s="130"/>
      <c r="L40" s="130"/>
      <c r="M40" s="130"/>
      <c r="N40" s="130"/>
      <c r="O40" s="130"/>
      <c r="P40" s="130"/>
      <c r="Q40" s="130"/>
      <c r="R40" s="130"/>
      <c r="S40" s="130"/>
      <c r="T40" s="130"/>
      <c r="U40" s="130"/>
      <c r="V40" s="148"/>
      <c r="W40" s="148"/>
      <c r="X40" s="148"/>
      <c r="Y40" s="130"/>
      <c r="Z40" s="130"/>
      <c r="AA40" s="130"/>
      <c r="AB40" s="130"/>
      <c r="AC40" s="130"/>
      <c r="AD40" s="130"/>
      <c r="AE40" s="130"/>
      <c r="AF40" s="130"/>
      <c r="AG40" s="130"/>
      <c r="AH40" s="148"/>
    </row>
    <row r="41" spans="1:34" ht="15" thickBot="1">
      <c r="A41" s="150">
        <f t="shared" si="0"/>
        <v>35</v>
      </c>
      <c r="B41" s="162" t="s">
        <v>103</v>
      </c>
      <c r="C41" s="163">
        <f t="shared" ref="C41:S41" si="11">+C33+C39</f>
        <v>-193413.24000000022</v>
      </c>
      <c r="D41" s="163">
        <f t="shared" si="11"/>
        <v>-83979.180000000168</v>
      </c>
      <c r="E41" s="163">
        <f t="shared" si="11"/>
        <v>-376017.31000000006</v>
      </c>
      <c r="F41" s="163">
        <f t="shared" si="11"/>
        <v>-412311</v>
      </c>
      <c r="G41" s="163">
        <f t="shared" si="11"/>
        <v>-13948.229999999996</v>
      </c>
      <c r="H41" s="163">
        <f t="shared" si="11"/>
        <v>-25333.33</v>
      </c>
      <c r="I41" s="163">
        <f t="shared" si="11"/>
        <v>15038</v>
      </c>
      <c r="J41" s="163">
        <f t="shared" si="11"/>
        <v>54566.689999999995</v>
      </c>
      <c r="K41" s="163">
        <f t="shared" si="11"/>
        <v>22703.180000000018</v>
      </c>
      <c r="L41" s="163">
        <f t="shared" si="11"/>
        <v>-114719.75504700278</v>
      </c>
      <c r="M41" s="163">
        <f t="shared" si="11"/>
        <v>12759.335384615386</v>
      </c>
      <c r="N41" s="163">
        <f t="shared" si="11"/>
        <v>-698995.7</v>
      </c>
      <c r="O41" s="163">
        <f t="shared" si="11"/>
        <v>-119118.10000000009</v>
      </c>
      <c r="P41" s="163">
        <f t="shared" si="11"/>
        <v>0</v>
      </c>
      <c r="Q41" s="163">
        <f t="shared" si="11"/>
        <v>0</v>
      </c>
      <c r="R41" s="163">
        <f t="shared" si="11"/>
        <v>0</v>
      </c>
      <c r="S41" s="163">
        <f t="shared" si="11"/>
        <v>0</v>
      </c>
      <c r="T41" s="163">
        <f t="shared" ref="T41" si="12">+T33+T39</f>
        <v>0</v>
      </c>
      <c r="U41" s="163">
        <f t="shared" si="1"/>
        <v>-1932768.6396623878</v>
      </c>
      <c r="V41" s="148"/>
      <c r="W41" s="130"/>
      <c r="X41" s="148"/>
      <c r="Y41" s="130"/>
      <c r="Z41" s="130"/>
      <c r="AA41" s="130"/>
      <c r="AB41" s="130"/>
      <c r="AC41" s="130"/>
      <c r="AD41" s="130"/>
      <c r="AE41" s="130"/>
      <c r="AF41" s="130"/>
      <c r="AG41" s="130"/>
      <c r="AH41" s="148"/>
    </row>
    <row r="42" spans="1:34" ht="18" customHeight="1" thickTop="1">
      <c r="A42" s="150"/>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row>
    <row r="43" spans="1:34" ht="18" customHeight="1">
      <c r="A43" s="150"/>
      <c r="B43" s="148"/>
      <c r="C43" s="130"/>
      <c r="D43" s="130"/>
      <c r="E43" s="130"/>
      <c r="F43" s="130"/>
      <c r="G43" s="130"/>
      <c r="H43" s="130"/>
      <c r="I43" s="130"/>
      <c r="J43" s="130"/>
      <c r="K43" s="130"/>
      <c r="L43" s="130"/>
      <c r="M43" s="130"/>
      <c r="N43" s="130"/>
      <c r="O43" s="130"/>
      <c r="P43" s="130"/>
      <c r="Q43" s="130"/>
      <c r="R43" s="130"/>
      <c r="S43" s="130"/>
      <c r="T43" s="130"/>
      <c r="U43" s="130"/>
      <c r="V43" s="148"/>
      <c r="W43" s="148"/>
      <c r="X43" s="148"/>
      <c r="Y43" s="148"/>
      <c r="Z43" s="148"/>
      <c r="AA43" s="148"/>
      <c r="AB43" s="148"/>
      <c r="AC43" s="148"/>
      <c r="AD43" s="148"/>
      <c r="AE43" s="148"/>
      <c r="AF43" s="148"/>
      <c r="AG43" s="148"/>
      <c r="AH43" s="148"/>
    </row>
    <row r="44" spans="1:34" ht="18" customHeight="1">
      <c r="A44" s="150"/>
      <c r="B44" s="148"/>
      <c r="C44" s="130"/>
      <c r="D44" s="130"/>
      <c r="E44" s="130"/>
      <c r="F44" s="130"/>
      <c r="G44" s="130"/>
      <c r="H44" s="130"/>
      <c r="I44" s="130"/>
      <c r="J44" s="130"/>
      <c r="K44" s="130"/>
      <c r="L44" s="130"/>
      <c r="M44" s="130"/>
      <c r="N44" s="130"/>
      <c r="O44" s="130"/>
      <c r="P44" s="130"/>
      <c r="Q44" s="130"/>
      <c r="R44" s="130"/>
      <c r="S44" s="130"/>
      <c r="T44" s="130"/>
      <c r="U44" s="130"/>
      <c r="V44" s="148"/>
      <c r="W44" s="148"/>
      <c r="X44" s="148"/>
      <c r="Y44" s="148"/>
      <c r="Z44" s="148"/>
      <c r="AA44" s="148"/>
      <c r="AB44" s="148"/>
      <c r="AC44" s="148"/>
      <c r="AD44" s="148"/>
      <c r="AE44" s="148"/>
      <c r="AF44" s="148"/>
      <c r="AG44" s="148"/>
      <c r="AH44" s="148"/>
    </row>
    <row r="45" spans="1:34" ht="18" customHeight="1">
      <c r="A45" s="150"/>
      <c r="B45" s="148"/>
      <c r="C45" s="130"/>
      <c r="D45" s="130"/>
      <c r="E45" s="130"/>
      <c r="F45" s="130"/>
      <c r="G45" s="130"/>
      <c r="H45" s="130"/>
      <c r="I45" s="130"/>
      <c r="J45" s="130"/>
      <c r="K45" s="130"/>
      <c r="L45" s="130"/>
      <c r="M45" s="130"/>
      <c r="N45" s="130"/>
      <c r="O45" s="130"/>
      <c r="P45" s="130"/>
      <c r="Q45" s="130"/>
      <c r="R45" s="130"/>
      <c r="S45" s="130"/>
      <c r="T45" s="130"/>
      <c r="U45" s="130"/>
      <c r="V45" s="148"/>
      <c r="W45" s="148"/>
      <c r="X45" s="148"/>
      <c r="Y45" s="148"/>
      <c r="Z45" s="148"/>
      <c r="AA45" s="148"/>
      <c r="AB45" s="148"/>
      <c r="AC45" s="148"/>
      <c r="AD45" s="148"/>
      <c r="AE45" s="148"/>
      <c r="AF45" s="148"/>
      <c r="AG45" s="148"/>
      <c r="AH45" s="148"/>
    </row>
    <row r="46" spans="1:34" ht="18" customHeight="1">
      <c r="A46" s="150"/>
      <c r="B46" s="148"/>
      <c r="C46" s="130"/>
      <c r="D46" s="130"/>
      <c r="E46" s="130"/>
      <c r="F46" s="130"/>
      <c r="G46" s="130"/>
      <c r="H46" s="130"/>
      <c r="I46" s="130"/>
      <c r="J46" s="130"/>
      <c r="K46" s="130"/>
      <c r="L46" s="130"/>
      <c r="M46" s="130"/>
      <c r="N46" s="130"/>
      <c r="O46" s="130"/>
      <c r="P46" s="130"/>
      <c r="Q46" s="130"/>
      <c r="R46" s="130"/>
      <c r="S46" s="130"/>
      <c r="T46" s="130"/>
      <c r="U46" s="130"/>
      <c r="V46" s="148"/>
      <c r="W46" s="148"/>
      <c r="X46" s="148"/>
      <c r="Y46" s="148"/>
      <c r="Z46" s="148"/>
      <c r="AA46" s="148"/>
      <c r="AB46" s="148"/>
      <c r="AC46" s="148"/>
      <c r="AD46" s="148"/>
      <c r="AE46" s="148"/>
      <c r="AF46" s="148"/>
      <c r="AG46" s="148"/>
      <c r="AH46" s="148"/>
    </row>
    <row r="47" spans="1:34" ht="18" customHeight="1">
      <c r="A47" s="150"/>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row>
    <row r="48" spans="1:34" ht="18" customHeight="1">
      <c r="A48" s="150"/>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4">
      <c r="A49" s="150"/>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row>
    <row r="50" spans="1:34">
      <c r="A50" s="150"/>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row>
    <row r="51" spans="1:34">
      <c r="A51" s="150"/>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row>
    <row r="52" spans="1:34">
      <c r="A52" s="150"/>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row>
    <row r="53" spans="1:34">
      <c r="A53" s="150"/>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row>
    <row r="54" spans="1:34">
      <c r="A54" s="150"/>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row>
    <row r="55" spans="1:34">
      <c r="A55" s="150"/>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row>
    <row r="56" spans="1:34">
      <c r="A56" s="150"/>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row>
    <row r="57" spans="1:34">
      <c r="A57" s="150"/>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row>
    <row r="58" spans="1:34">
      <c r="A58" s="150"/>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row>
    <row r="59" spans="1:34">
      <c r="A59" s="150"/>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row>
    <row r="60" spans="1:34">
      <c r="A60" s="150"/>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row>
    <row r="61" spans="1:34">
      <c r="A61" s="150"/>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row>
    <row r="62" spans="1:34">
      <c r="A62" s="150"/>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row>
    <row r="63" spans="1:34">
      <c r="A63" s="150"/>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row>
    <row r="64" spans="1:34">
      <c r="A64" s="150"/>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row>
    <row r="65" spans="1:34">
      <c r="A65" s="150"/>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row>
    <row r="66" spans="1:34">
      <c r="A66" s="150"/>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row>
    <row r="67" spans="1:34">
      <c r="A67" s="150"/>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row>
    <row r="68" spans="1:34">
      <c r="A68" s="150"/>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row>
    <row r="69" spans="1:34">
      <c r="A69" s="150"/>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row>
    <row r="70" spans="1:34">
      <c r="A70" s="150"/>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row>
    <row r="71" spans="1:34">
      <c r="A71" s="150"/>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row>
    <row r="72" spans="1:34">
      <c r="A72" s="150"/>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row>
    <row r="73" spans="1:34">
      <c r="A73" s="150"/>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row>
    <row r="74" spans="1:34">
      <c r="A74" s="150"/>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row>
    <row r="75" spans="1:34">
      <c r="A75" s="150"/>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row>
    <row r="76" spans="1:34">
      <c r="A76" s="150"/>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row>
    <row r="77" spans="1:34">
      <c r="A77" s="150"/>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row>
    <row r="78" spans="1:34">
      <c r="A78" s="150"/>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row>
    <row r="79" spans="1:34">
      <c r="A79" s="150"/>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row>
    <row r="80" spans="1:34">
      <c r="A80" s="150"/>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row>
    <row r="81" spans="1:34">
      <c r="A81" s="150"/>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row>
    <row r="82" spans="1:34">
      <c r="A82" s="150"/>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row>
    <row r="83" spans="1:34">
      <c r="A83" s="150"/>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row>
    <row r="84" spans="1:34">
      <c r="A84" s="150"/>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row>
    <row r="85" spans="1:34">
      <c r="A85" s="150"/>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row>
    <row r="86" spans="1:34">
      <c r="A86" s="150"/>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row>
    <row r="87" spans="1:34">
      <c r="A87" s="150"/>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row>
    <row r="88" spans="1:34">
      <c r="A88" s="150"/>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row>
    <row r="89" spans="1:34">
      <c r="A89" s="150"/>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row>
    <row r="90" spans="1:34">
      <c r="A90" s="150"/>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row>
    <row r="91" spans="1:34">
      <c r="A91" s="150"/>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row>
    <row r="92" spans="1:34">
      <c r="A92" s="150"/>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row>
    <row r="93" spans="1:34">
      <c r="A93" s="150"/>
      <c r="B93" s="148"/>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row>
    <row r="94" spans="1:34">
      <c r="A94" s="150"/>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row>
    <row r="95" spans="1:34">
      <c r="A95" s="150"/>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row>
    <row r="96" spans="1:34">
      <c r="A96" s="150"/>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row>
    <row r="97" spans="1:34">
      <c r="A97" s="150"/>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row>
    <row r="98" spans="1:34">
      <c r="A98" s="150"/>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row>
    <row r="99" spans="1:34">
      <c r="A99" s="150"/>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row>
    <row r="100" spans="1:34">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row>
    <row r="101" spans="1:34">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row>
    <row r="102" spans="1:34">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row>
    <row r="103" spans="1:34">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row>
    <row r="104" spans="1:34">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row>
    <row r="105" spans="1:34">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row>
    <row r="106" spans="1:34">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row>
    <row r="107" spans="1:34">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row>
    <row r="108" spans="1:34">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row>
    <row r="109" spans="1:34">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row>
    <row r="110" spans="1:34">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row>
    <row r="111" spans="1:34">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row>
    <row r="112" spans="1:34">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row>
    <row r="113" spans="2:28">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row>
    <row r="114" spans="2:28">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row>
    <row r="115" spans="2:28">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row>
    <row r="116" spans="2:28">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row>
    <row r="117" spans="2:28">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row>
    <row r="118" spans="2:28">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row>
    <row r="119" spans="2:28">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row>
    <row r="120" spans="2:28">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row>
    <row r="121" spans="2:28">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row>
    <row r="122" spans="2:28">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row>
    <row r="123" spans="2:28">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row>
    <row r="124" spans="2:28">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row>
    <row r="125" spans="2:2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row>
    <row r="126" spans="2:28">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row>
    <row r="127" spans="2:28">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row>
    <row r="128" spans="2:28">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row>
    <row r="129" spans="2:28">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row>
    <row r="130" spans="2:28">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row>
    <row r="131" spans="2:28">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row>
    <row r="132" spans="2:28">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row>
    <row r="133" spans="2:28">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row>
    <row r="134" spans="2:28">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row>
    <row r="135" spans="2:28">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row>
    <row r="136" spans="2:28">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row>
    <row r="137" spans="2:28">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row>
    <row r="138" spans="2:28">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row>
    <row r="139" spans="2:28">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row>
    <row r="140" spans="2:28">
      <c r="B140" s="148"/>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row>
    <row r="141" spans="2:28">
      <c r="B141" s="148"/>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row>
    <row r="142" spans="2:28">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row>
    <row r="143" spans="2:28">
      <c r="B143" s="148"/>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row>
    <row r="144" spans="2:28">
      <c r="B144" s="148"/>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row>
    <row r="145" spans="22:28">
      <c r="V145" s="148"/>
      <c r="W145" s="148"/>
      <c r="X145" s="148"/>
      <c r="Y145" s="148"/>
      <c r="Z145" s="148"/>
      <c r="AA145" s="148"/>
      <c r="AB145" s="148"/>
    </row>
    <row r="146" spans="22:28">
      <c r="V146" s="148"/>
      <c r="W146" s="148"/>
      <c r="X146" s="148"/>
      <c r="Y146" s="148"/>
      <c r="Z146" s="148"/>
      <c r="AA146" s="148"/>
      <c r="AB146" s="148"/>
    </row>
    <row r="147" spans="22:28">
      <c r="V147" s="148"/>
      <c r="W147" s="148"/>
      <c r="X147" s="148"/>
      <c r="Y147" s="148"/>
      <c r="Z147" s="148"/>
      <c r="AA147" s="148"/>
      <c r="AB147" s="148"/>
    </row>
    <row r="148" spans="22:28">
      <c r="V148" s="148"/>
      <c r="W148" s="148"/>
      <c r="X148" s="148"/>
      <c r="Y148" s="148"/>
      <c r="Z148" s="148"/>
      <c r="AA148" s="148"/>
      <c r="AB148" s="148"/>
    </row>
    <row r="149" spans="22:28">
      <c r="V149" s="148"/>
      <c r="W149" s="148"/>
      <c r="X149" s="148"/>
      <c r="Y149" s="148"/>
      <c r="Z149" s="148"/>
      <c r="AA149" s="148"/>
      <c r="AB149" s="148"/>
    </row>
  </sheetData>
  <printOptions horizontalCentered="1"/>
  <pageMargins left="0.25" right="0.25" top="0.75" bottom="0.75" header="0.3" footer="0.3"/>
  <pageSetup scale="60" orientation="landscape" r:id="rId1"/>
  <headerFooter>
    <oddFooter>&amp;RExhibit  JW-2
Page &amp;P of &amp;N</oddFooter>
  </headerFooter>
  <ignoredErrors>
    <ignoredError sqref="N31 H3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34"/>
  <sheetViews>
    <sheetView view="pageBreakPreview" zoomScaleNormal="100" zoomScaleSheetLayoutView="100" workbookViewId="0">
      <selection activeCell="B67" sqref="B67"/>
    </sheetView>
  </sheetViews>
  <sheetFormatPr defaultColWidth="9.140625" defaultRowHeight="12.75"/>
  <cols>
    <col min="1" max="1" width="5.85546875" style="2" customWidth="1"/>
    <col min="2" max="2" width="2.28515625" style="2" customWidth="1"/>
    <col min="3" max="3" width="11.7109375" style="2" customWidth="1"/>
    <col min="4" max="4" width="10.85546875" style="2" customWidth="1"/>
    <col min="5" max="5" width="5.85546875" style="2" customWidth="1"/>
    <col min="6" max="6" width="15.28515625" style="2" customWidth="1"/>
    <col min="7" max="7" width="3.28515625" style="2" customWidth="1"/>
    <col min="8" max="8" width="15.7109375" style="2" customWidth="1"/>
    <col min="9" max="16384" width="9.140625" style="2"/>
  </cols>
  <sheetData>
    <row r="1" spans="1:15">
      <c r="G1" s="81"/>
      <c r="H1" s="81" t="s">
        <v>27</v>
      </c>
    </row>
    <row r="2" spans="1:15" ht="20.25" customHeight="1">
      <c r="G2" s="81"/>
      <c r="H2" s="81"/>
    </row>
    <row r="3" spans="1:15">
      <c r="G3" s="81"/>
      <c r="H3" s="81"/>
    </row>
    <row r="4" spans="1:15">
      <c r="A4" s="288" t="s">
        <v>29</v>
      </c>
      <c r="B4" s="288"/>
      <c r="C4" s="288"/>
      <c r="D4" s="288"/>
      <c r="E4" s="288"/>
      <c r="F4" s="288"/>
      <c r="G4" s="288"/>
      <c r="H4" s="288"/>
      <c r="J4" s="234"/>
      <c r="K4" s="234"/>
      <c r="L4" s="234"/>
      <c r="M4" s="234"/>
      <c r="N4" s="234"/>
      <c r="O4" s="234"/>
    </row>
    <row r="5" spans="1:15">
      <c r="A5" s="288" t="str">
        <f>RevReq!A3</f>
        <v>For the 12 Months Ended December 31, 2023</v>
      </c>
      <c r="B5" s="288"/>
      <c r="C5" s="288"/>
      <c r="D5" s="288"/>
      <c r="E5" s="288"/>
      <c r="F5" s="288"/>
      <c r="G5" s="288"/>
      <c r="H5" s="288"/>
    </row>
    <row r="7" spans="1:15" s="82" customFormat="1" ht="15" customHeight="1">
      <c r="A7" s="289" t="str">
        <f>'Adj List'!C7</f>
        <v>Fuel Adjustment Clause</v>
      </c>
      <c r="B7" s="289"/>
      <c r="C7" s="289"/>
      <c r="D7" s="289"/>
      <c r="E7" s="289"/>
      <c r="F7" s="289"/>
      <c r="G7" s="289"/>
      <c r="H7" s="289"/>
    </row>
    <row r="9" spans="1:15">
      <c r="A9" s="1" t="s">
        <v>0</v>
      </c>
      <c r="C9" s="1" t="s">
        <v>16</v>
      </c>
      <c r="D9" s="1" t="s">
        <v>17</v>
      </c>
      <c r="E9" s="1"/>
      <c r="F9" s="1" t="s">
        <v>23</v>
      </c>
      <c r="G9" s="1"/>
      <c r="H9" s="1" t="s">
        <v>24</v>
      </c>
    </row>
    <row r="10" spans="1:15">
      <c r="A10" s="84" t="s">
        <v>21</v>
      </c>
      <c r="C10" s="235" t="s">
        <v>18</v>
      </c>
      <c r="D10" s="235" t="s">
        <v>20</v>
      </c>
      <c r="E10" s="1"/>
      <c r="F10" s="235" t="s">
        <v>19</v>
      </c>
      <c r="G10" s="235"/>
      <c r="H10" s="235" t="s">
        <v>25</v>
      </c>
    </row>
    <row r="11" spans="1:15">
      <c r="A11" s="1"/>
    </row>
    <row r="12" spans="1:15">
      <c r="A12" s="1"/>
    </row>
    <row r="13" spans="1:15">
      <c r="A13" s="1">
        <v>1</v>
      </c>
      <c r="C13" s="1">
        <v>2023</v>
      </c>
      <c r="D13" s="1" t="s">
        <v>6</v>
      </c>
      <c r="E13" s="96"/>
      <c r="F13" s="96">
        <v>263597.62</v>
      </c>
      <c r="G13" s="96"/>
      <c r="H13" s="96">
        <v>499326</v>
      </c>
    </row>
    <row r="14" spans="1:15">
      <c r="A14" s="1">
        <v>2</v>
      </c>
      <c r="C14" s="1">
        <v>2023</v>
      </c>
      <c r="D14" s="1" t="s">
        <v>7</v>
      </c>
      <c r="E14" s="96"/>
      <c r="F14" s="96">
        <v>452639.70999999996</v>
      </c>
      <c r="G14" s="96"/>
      <c r="H14" s="96">
        <v>208537</v>
      </c>
    </row>
    <row r="15" spans="1:15">
      <c r="A15" s="1">
        <v>3</v>
      </c>
      <c r="C15" s="1">
        <v>2023</v>
      </c>
      <c r="D15" s="1" t="s">
        <v>8</v>
      </c>
      <c r="E15" s="96"/>
      <c r="F15" s="96">
        <v>320169.15999999997</v>
      </c>
      <c r="G15" s="96"/>
      <c r="H15" s="96">
        <v>166197</v>
      </c>
    </row>
    <row r="16" spans="1:15">
      <c r="A16" s="1">
        <v>4</v>
      </c>
      <c r="C16" s="1">
        <v>2023</v>
      </c>
      <c r="D16" s="1" t="s">
        <v>9</v>
      </c>
      <c r="E16" s="96"/>
      <c r="F16" s="96">
        <v>112651.81999999999</v>
      </c>
      <c r="G16" s="96"/>
      <c r="H16" s="96">
        <v>134245</v>
      </c>
    </row>
    <row r="17" spans="1:8">
      <c r="A17" s="1">
        <v>5</v>
      </c>
      <c r="C17" s="1">
        <v>2023</v>
      </c>
      <c r="D17" s="1" t="s">
        <v>10</v>
      </c>
      <c r="E17" s="96"/>
      <c r="F17" s="96">
        <v>175893</v>
      </c>
      <c r="G17" s="96"/>
      <c r="H17" s="96">
        <v>156408</v>
      </c>
    </row>
    <row r="18" spans="1:8">
      <c r="A18" s="1">
        <v>6</v>
      </c>
      <c r="C18" s="1">
        <v>2023</v>
      </c>
      <c r="D18" s="1" t="s">
        <v>11</v>
      </c>
      <c r="E18" s="96"/>
      <c r="F18" s="96">
        <v>170733.5</v>
      </c>
      <c r="G18" s="96"/>
      <c r="H18" s="96">
        <v>67450</v>
      </c>
    </row>
    <row r="19" spans="1:8">
      <c r="A19" s="1">
        <v>7</v>
      </c>
      <c r="C19" s="1">
        <v>2023</v>
      </c>
      <c r="D19" s="1" t="s">
        <v>12</v>
      </c>
      <c r="E19" s="96"/>
      <c r="F19" s="96">
        <v>69429.97</v>
      </c>
      <c r="G19" s="96"/>
      <c r="H19" s="96">
        <v>128502</v>
      </c>
    </row>
    <row r="20" spans="1:8">
      <c r="A20" s="1">
        <v>8</v>
      </c>
      <c r="C20" s="1">
        <v>2023</v>
      </c>
      <c r="D20" s="1" t="s">
        <v>13</v>
      </c>
      <c r="E20" s="96"/>
      <c r="F20" s="96">
        <v>106036.25</v>
      </c>
      <c r="G20" s="96"/>
      <c r="H20" s="96">
        <v>196093</v>
      </c>
    </row>
    <row r="21" spans="1:8">
      <c r="A21" s="1">
        <v>9</v>
      </c>
      <c r="C21" s="1">
        <v>2023</v>
      </c>
      <c r="D21" s="1" t="s">
        <v>2</v>
      </c>
      <c r="E21" s="96"/>
      <c r="F21" s="96">
        <v>165711.56</v>
      </c>
      <c r="G21" s="96"/>
      <c r="H21" s="96">
        <v>149132</v>
      </c>
    </row>
    <row r="22" spans="1:8">
      <c r="A22" s="1">
        <v>10</v>
      </c>
      <c r="C22" s="1">
        <v>2023</v>
      </c>
      <c r="D22" s="1" t="s">
        <v>3</v>
      </c>
      <c r="E22" s="96"/>
      <c r="F22" s="96">
        <v>173577.05000000002</v>
      </c>
      <c r="G22" s="96"/>
      <c r="H22" s="96">
        <v>154355</v>
      </c>
    </row>
    <row r="23" spans="1:8">
      <c r="A23" s="1">
        <v>11</v>
      </c>
      <c r="C23" s="1">
        <v>2023</v>
      </c>
      <c r="D23" s="1" t="s">
        <v>4</v>
      </c>
      <c r="E23" s="96"/>
      <c r="F23" s="96">
        <v>232971.9</v>
      </c>
      <c r="G23" s="96"/>
      <c r="H23" s="96">
        <v>151328</v>
      </c>
    </row>
    <row r="24" spans="1:8">
      <c r="A24" s="1">
        <v>12</v>
      </c>
      <c r="C24" s="1">
        <v>2023</v>
      </c>
      <c r="D24" s="1" t="s">
        <v>5</v>
      </c>
      <c r="E24" s="96"/>
      <c r="F24" s="96">
        <v>101172.7</v>
      </c>
      <c r="G24" s="96"/>
      <c r="H24" s="96">
        <v>139598</v>
      </c>
    </row>
    <row r="25" spans="1:8">
      <c r="A25" s="1">
        <v>13</v>
      </c>
      <c r="C25" s="39"/>
      <c r="D25" s="4" t="s">
        <v>14</v>
      </c>
      <c r="E25" s="97"/>
      <c r="F25" s="97">
        <f>SUM(F13:F24)</f>
        <v>2344584.2400000002</v>
      </c>
      <c r="G25" s="97"/>
      <c r="H25" s="97">
        <f>SUM(H13:H24)</f>
        <v>2151171</v>
      </c>
    </row>
    <row r="26" spans="1:8">
      <c r="A26" s="1">
        <v>14</v>
      </c>
      <c r="E26" s="204"/>
      <c r="F26" s="204"/>
      <c r="G26" s="204"/>
    </row>
    <row r="27" spans="1:8">
      <c r="A27" s="1">
        <v>15</v>
      </c>
      <c r="C27" s="2" t="s">
        <v>39</v>
      </c>
      <c r="E27" s="204"/>
      <c r="F27" s="236">
        <f>F25</f>
        <v>2344584.2400000002</v>
      </c>
      <c r="G27" s="236"/>
      <c r="H27" s="236">
        <f>H25</f>
        <v>2151171</v>
      </c>
    </row>
    <row r="28" spans="1:8">
      <c r="A28" s="1">
        <v>16</v>
      </c>
      <c r="E28" s="204"/>
      <c r="F28" s="204"/>
      <c r="G28" s="204"/>
    </row>
    <row r="29" spans="1:8">
      <c r="A29" s="1">
        <v>17</v>
      </c>
      <c r="C29" s="2" t="s">
        <v>40</v>
      </c>
      <c r="E29" s="96"/>
      <c r="F29" s="96">
        <v>0</v>
      </c>
      <c r="G29" s="96"/>
      <c r="H29" s="96">
        <v>0</v>
      </c>
    </row>
    <row r="30" spans="1:8">
      <c r="A30" s="1">
        <v>18</v>
      </c>
    </row>
    <row r="31" spans="1:8" ht="13.5" thickBot="1">
      <c r="A31" s="1">
        <v>19</v>
      </c>
      <c r="C31" s="3" t="s">
        <v>15</v>
      </c>
      <c r="D31" s="3"/>
      <c r="E31" s="237"/>
      <c r="F31" s="238">
        <f>ROUND(F29-F27,2)</f>
        <v>-2344584.2400000002</v>
      </c>
      <c r="G31" s="237"/>
      <c r="H31" s="238">
        <f>ROUND(H29-H27,2)</f>
        <v>-2151171</v>
      </c>
    </row>
    <row r="32" spans="1:8" ht="13.5" thickTop="1"/>
    <row r="34" spans="3:8" ht="30" customHeight="1">
      <c r="C34" s="290" t="s">
        <v>41</v>
      </c>
      <c r="D34" s="290"/>
      <c r="E34" s="290"/>
      <c r="F34" s="290"/>
      <c r="G34" s="290"/>
      <c r="H34" s="290"/>
    </row>
  </sheetData>
  <mergeCells count="4">
    <mergeCell ref="A4:H4"/>
    <mergeCell ref="A5:H5"/>
    <mergeCell ref="A7:H7"/>
    <mergeCell ref="C34:H34"/>
  </mergeCells>
  <phoneticPr fontId="20" type="noConversion"/>
  <printOptions horizontalCentered="1"/>
  <pageMargins left="1" right="0.75" top="0.75" bottom="0.5" header="0.5" footer="0.5"/>
  <pageSetup orientation="portrait" r:id="rId1"/>
  <headerFooter alignWithMargins="0">
    <oddFooter>&amp;RExhibit JW-2
Page &amp;P of &amp;N</oddFooter>
  </headerFooter>
  <ignoredErrors>
    <ignoredError sqref="C10:H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34"/>
  <sheetViews>
    <sheetView view="pageBreakPreview" zoomScaleNormal="100" zoomScaleSheetLayoutView="100" workbookViewId="0">
      <selection activeCell="B67" sqref="B67"/>
    </sheetView>
  </sheetViews>
  <sheetFormatPr defaultColWidth="9.140625" defaultRowHeight="12.75"/>
  <cols>
    <col min="1" max="1" width="5.85546875" style="2" customWidth="1"/>
    <col min="2" max="2" width="2.28515625" style="2" customWidth="1"/>
    <col min="3" max="3" width="11.7109375" style="2" customWidth="1"/>
    <col min="4" max="4" width="10.85546875" style="2" customWidth="1"/>
    <col min="5" max="5" width="5.85546875" style="2" customWidth="1"/>
    <col min="6" max="6" width="15.28515625" style="2" customWidth="1"/>
    <col min="7" max="7" width="3.28515625" style="2" customWidth="1"/>
    <col min="8" max="8" width="14.42578125" style="2" customWidth="1"/>
    <col min="9" max="16384" width="9.140625" style="2"/>
  </cols>
  <sheetData>
    <row r="1" spans="1:8">
      <c r="G1" s="81"/>
      <c r="H1" s="81" t="s">
        <v>26</v>
      </c>
    </row>
    <row r="2" spans="1:8" ht="20.25" customHeight="1">
      <c r="G2" s="81"/>
      <c r="H2" s="81"/>
    </row>
    <row r="3" spans="1:8">
      <c r="G3" s="81"/>
      <c r="H3" s="81"/>
    </row>
    <row r="4" spans="1:8">
      <c r="A4" s="288" t="s">
        <v>29</v>
      </c>
      <c r="B4" s="288"/>
      <c r="C4" s="288"/>
      <c r="D4" s="288"/>
      <c r="E4" s="288"/>
      <c r="F4" s="288"/>
      <c r="G4" s="288"/>
      <c r="H4" s="288"/>
    </row>
    <row r="5" spans="1:8">
      <c r="A5" s="288" t="str">
        <f>RevReq!A3</f>
        <v>For the 12 Months Ended December 31, 2023</v>
      </c>
      <c r="B5" s="288"/>
      <c r="C5" s="288"/>
      <c r="D5" s="288"/>
      <c r="E5" s="288"/>
      <c r="F5" s="288"/>
      <c r="G5" s="288"/>
      <c r="H5" s="288"/>
    </row>
    <row r="7" spans="1:8" s="82" customFormat="1" ht="15" customHeight="1">
      <c r="A7" s="289" t="str">
        <f>'Adj List'!C8</f>
        <v>Environmental Surcharge</v>
      </c>
      <c r="B7" s="289"/>
      <c r="C7" s="289"/>
      <c r="D7" s="289"/>
      <c r="E7" s="289"/>
      <c r="F7" s="289"/>
      <c r="G7" s="289"/>
      <c r="H7" s="289"/>
    </row>
    <row r="9" spans="1:8">
      <c r="A9" s="1" t="s">
        <v>0</v>
      </c>
      <c r="C9" s="1" t="s">
        <v>16</v>
      </c>
      <c r="D9" s="1" t="s">
        <v>17</v>
      </c>
      <c r="E9" s="1"/>
      <c r="F9" s="1" t="s">
        <v>23</v>
      </c>
      <c r="G9" s="1"/>
      <c r="H9" s="1" t="s">
        <v>24</v>
      </c>
    </row>
    <row r="10" spans="1:8">
      <c r="A10" s="84" t="s">
        <v>21</v>
      </c>
      <c r="C10" s="235" t="s">
        <v>18</v>
      </c>
      <c r="D10" s="235" t="s">
        <v>20</v>
      </c>
      <c r="E10" s="1"/>
      <c r="F10" s="235" t="s">
        <v>19</v>
      </c>
      <c r="G10" s="235"/>
      <c r="H10" s="235" t="s">
        <v>25</v>
      </c>
    </row>
    <row r="11" spans="1:8">
      <c r="A11" s="1"/>
    </row>
    <row r="12" spans="1:8">
      <c r="A12" s="1"/>
    </row>
    <row r="13" spans="1:8">
      <c r="A13" s="1">
        <v>1</v>
      </c>
      <c r="C13" s="1">
        <v>2023</v>
      </c>
      <c r="D13" s="1" t="s">
        <v>6</v>
      </c>
      <c r="E13" s="96"/>
      <c r="F13" s="96">
        <v>236217.18000000005</v>
      </c>
      <c r="G13" s="96"/>
      <c r="H13" s="96">
        <v>261046</v>
      </c>
    </row>
    <row r="14" spans="1:8">
      <c r="A14" s="1">
        <v>2</v>
      </c>
      <c r="C14" s="1">
        <v>2023</v>
      </c>
      <c r="D14" s="1" t="s">
        <v>7</v>
      </c>
      <c r="E14" s="96"/>
      <c r="F14" s="96">
        <v>145946.97</v>
      </c>
      <c r="G14" s="96"/>
      <c r="H14" s="96">
        <v>134717</v>
      </c>
    </row>
    <row r="15" spans="1:8">
      <c r="A15" s="1">
        <v>3</v>
      </c>
      <c r="C15" s="1">
        <v>2023</v>
      </c>
      <c r="D15" s="1" t="s">
        <v>8</v>
      </c>
      <c r="E15" s="96"/>
      <c r="F15" s="96">
        <v>186035.47</v>
      </c>
      <c r="G15" s="96"/>
      <c r="H15" s="96">
        <v>168756</v>
      </c>
    </row>
    <row r="16" spans="1:8">
      <c r="A16" s="1">
        <v>4</v>
      </c>
      <c r="C16" s="1">
        <v>2023</v>
      </c>
      <c r="D16" s="1" t="s">
        <v>9</v>
      </c>
      <c r="E16" s="96"/>
      <c r="F16" s="96">
        <v>179529.24</v>
      </c>
      <c r="G16" s="96"/>
      <c r="H16" s="96">
        <v>165826</v>
      </c>
    </row>
    <row r="17" spans="1:8">
      <c r="A17" s="1">
        <v>5</v>
      </c>
      <c r="C17" s="1">
        <v>2023</v>
      </c>
      <c r="D17" s="1" t="s">
        <v>10</v>
      </c>
      <c r="E17" s="96"/>
      <c r="F17" s="96">
        <v>181301.53</v>
      </c>
      <c r="G17" s="96"/>
      <c r="H17" s="96">
        <v>166161</v>
      </c>
    </row>
    <row r="18" spans="1:8">
      <c r="A18" s="1">
        <v>6</v>
      </c>
      <c r="C18" s="1">
        <v>2023</v>
      </c>
      <c r="D18" s="1" t="s">
        <v>11</v>
      </c>
      <c r="E18" s="96"/>
      <c r="F18" s="96">
        <v>226272.48000000004</v>
      </c>
      <c r="G18" s="96"/>
      <c r="H18" s="96">
        <v>190023</v>
      </c>
    </row>
    <row r="19" spans="1:8">
      <c r="A19" s="1">
        <v>7</v>
      </c>
      <c r="C19" s="1">
        <v>2023</v>
      </c>
      <c r="D19" s="1" t="s">
        <v>12</v>
      </c>
      <c r="E19" s="96"/>
      <c r="F19" s="96">
        <v>258217.7</v>
      </c>
      <c r="G19" s="96"/>
      <c r="H19" s="96">
        <v>256664</v>
      </c>
    </row>
    <row r="20" spans="1:8">
      <c r="A20" s="1">
        <v>8</v>
      </c>
      <c r="C20" s="1">
        <v>2023</v>
      </c>
      <c r="D20" s="1" t="s">
        <v>13</v>
      </c>
      <c r="E20" s="96"/>
      <c r="F20" s="96">
        <v>241497.9</v>
      </c>
      <c r="G20" s="96"/>
      <c r="H20" s="96">
        <v>256514</v>
      </c>
    </row>
    <row r="21" spans="1:8">
      <c r="A21" s="1">
        <v>9</v>
      </c>
      <c r="C21" s="1">
        <v>2023</v>
      </c>
      <c r="D21" s="1" t="s">
        <v>2</v>
      </c>
      <c r="E21" s="96"/>
      <c r="F21" s="96">
        <v>169530.08999999997</v>
      </c>
      <c r="G21" s="96"/>
      <c r="H21" s="96">
        <v>169193</v>
      </c>
    </row>
    <row r="22" spans="1:8">
      <c r="A22" s="1">
        <v>10</v>
      </c>
      <c r="C22" s="1">
        <v>2023</v>
      </c>
      <c r="D22" s="1" t="s">
        <v>3</v>
      </c>
      <c r="E22" s="96"/>
      <c r="F22" s="96">
        <v>161394.6</v>
      </c>
      <c r="G22" s="96"/>
      <c r="H22" s="96">
        <v>147072</v>
      </c>
    </row>
    <row r="23" spans="1:8">
      <c r="A23" s="1">
        <v>11</v>
      </c>
      <c r="C23" s="1">
        <v>2023</v>
      </c>
      <c r="D23" s="1" t="s">
        <v>4</v>
      </c>
      <c r="E23" s="96"/>
      <c r="F23" s="96">
        <v>251233.31000000003</v>
      </c>
      <c r="G23" s="96"/>
      <c r="H23" s="96">
        <v>246668</v>
      </c>
    </row>
    <row r="24" spans="1:8">
      <c r="A24" s="1">
        <v>12</v>
      </c>
      <c r="C24" s="1">
        <v>2023</v>
      </c>
      <c r="D24" s="1" t="s">
        <v>5</v>
      </c>
      <c r="E24" s="96"/>
      <c r="F24" s="96">
        <v>270859.70999999996</v>
      </c>
      <c r="G24" s="96"/>
      <c r="H24" s="96">
        <v>261417</v>
      </c>
    </row>
    <row r="25" spans="1:8">
      <c r="A25" s="1">
        <v>13</v>
      </c>
      <c r="C25" s="39"/>
      <c r="D25" s="4" t="s">
        <v>14</v>
      </c>
      <c r="E25" s="97"/>
      <c r="F25" s="97">
        <f>SUM(F13:F24)</f>
        <v>2508036.1800000002</v>
      </c>
      <c r="G25" s="97"/>
      <c r="H25" s="97">
        <f>SUM(H13:H24)</f>
        <v>2424057</v>
      </c>
    </row>
    <row r="26" spans="1:8">
      <c r="A26" s="1">
        <v>14</v>
      </c>
      <c r="E26" s="204"/>
      <c r="F26" s="204"/>
      <c r="G26" s="204"/>
    </row>
    <row r="27" spans="1:8">
      <c r="A27" s="1">
        <v>15</v>
      </c>
      <c r="C27" s="2" t="s">
        <v>39</v>
      </c>
      <c r="E27" s="204"/>
      <c r="F27" s="236">
        <f>F25</f>
        <v>2508036.1800000002</v>
      </c>
      <c r="G27" s="236"/>
      <c r="H27" s="236">
        <f>H25</f>
        <v>2424057</v>
      </c>
    </row>
    <row r="28" spans="1:8">
      <c r="A28" s="1">
        <v>16</v>
      </c>
      <c r="E28" s="204"/>
      <c r="F28" s="236"/>
      <c r="G28" s="236"/>
    </row>
    <row r="29" spans="1:8">
      <c r="A29" s="1">
        <v>17</v>
      </c>
      <c r="C29" s="2" t="s">
        <v>40</v>
      </c>
      <c r="E29" s="96"/>
      <c r="F29" s="96">
        <v>0</v>
      </c>
      <c r="G29" s="96"/>
      <c r="H29" s="96">
        <v>0</v>
      </c>
    </row>
    <row r="30" spans="1:8">
      <c r="A30" s="1">
        <v>18</v>
      </c>
    </row>
    <row r="31" spans="1:8" ht="13.5" thickBot="1">
      <c r="A31" s="1">
        <v>19</v>
      </c>
      <c r="C31" s="3" t="s">
        <v>15</v>
      </c>
      <c r="D31" s="3"/>
      <c r="E31" s="237"/>
      <c r="F31" s="238">
        <f>ROUND(F29-F27,2)</f>
        <v>-2508036.1800000002</v>
      </c>
      <c r="G31" s="237"/>
      <c r="H31" s="238">
        <f>ROUND(H29-H27,2)</f>
        <v>-2424057</v>
      </c>
    </row>
    <row r="32" spans="1:8" ht="13.5" thickTop="1"/>
    <row r="34" spans="3:8" ht="29.25" customHeight="1">
      <c r="C34" s="290" t="s">
        <v>42</v>
      </c>
      <c r="D34" s="290"/>
      <c r="E34" s="290"/>
      <c r="F34" s="290"/>
      <c r="G34" s="290"/>
      <c r="H34" s="290"/>
    </row>
  </sheetData>
  <mergeCells count="4">
    <mergeCell ref="A4:H4"/>
    <mergeCell ref="A5:H5"/>
    <mergeCell ref="A7:H7"/>
    <mergeCell ref="C34:H34"/>
  </mergeCells>
  <phoneticPr fontId="20" type="noConversion"/>
  <printOptions horizontalCentered="1"/>
  <pageMargins left="1" right="0.75" top="0.75" bottom="0.5" header="0.5" footer="0.5"/>
  <pageSetup orientation="portrait" r:id="rId1"/>
  <headerFooter alignWithMargins="0">
    <oddFooter>&amp;RExhibit JW-2
Page &amp;P of &amp;N</oddFooter>
  </headerFooter>
  <ignoredErrors>
    <ignoredError sqref="C10:H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58"/>
  <sheetViews>
    <sheetView view="pageBreakPreview" topLeftCell="A28" zoomScaleNormal="100" zoomScaleSheetLayoutView="100" workbookViewId="0">
      <selection activeCell="B67" sqref="B67"/>
    </sheetView>
  </sheetViews>
  <sheetFormatPr defaultColWidth="9.140625" defaultRowHeight="12.75"/>
  <cols>
    <col min="1" max="1" width="5.85546875" style="2" customWidth="1"/>
    <col min="2" max="2" width="2.28515625" style="2" customWidth="1"/>
    <col min="3" max="3" width="9.28515625" style="2" customWidth="1"/>
    <col min="4" max="4" width="30.5703125" style="2" bestFit="1" customWidth="1"/>
    <col min="5" max="5" width="12.28515625" style="2" customWidth="1"/>
    <col min="6" max="6" width="10.5703125" style="2" customWidth="1"/>
    <col min="7" max="7" width="10.42578125" style="2" customWidth="1"/>
    <col min="8" max="8" width="11.42578125" style="2" customWidth="1"/>
    <col min="9" max="9" width="11.7109375" style="2" customWidth="1"/>
    <col min="10" max="10" width="12" style="2" customWidth="1"/>
    <col min="11" max="11" width="9.140625" style="2"/>
    <col min="12" max="12" width="14.140625" style="2" bestFit="1" customWidth="1"/>
    <col min="13" max="13" width="11.42578125" style="2" bestFit="1" customWidth="1"/>
    <col min="14" max="14" width="14.140625" style="2" bestFit="1" customWidth="1"/>
    <col min="15" max="15" width="11.42578125" style="2" bestFit="1" customWidth="1"/>
    <col min="16" max="16" width="14.140625" style="2" bestFit="1" customWidth="1"/>
    <col min="17" max="16384" width="9.140625" style="2"/>
  </cols>
  <sheetData>
    <row r="1" spans="1:16">
      <c r="G1" s="81"/>
      <c r="J1" s="81" t="s">
        <v>134</v>
      </c>
    </row>
    <row r="2" spans="1:16" ht="20.25" customHeight="1">
      <c r="G2" s="81"/>
    </row>
    <row r="3" spans="1:16">
      <c r="A3" s="288" t="s">
        <v>29</v>
      </c>
      <c r="B3" s="288"/>
      <c r="C3" s="288"/>
      <c r="D3" s="288"/>
      <c r="E3" s="288"/>
      <c r="F3" s="288"/>
      <c r="G3" s="288"/>
      <c r="H3" s="288"/>
      <c r="I3" s="288"/>
      <c r="J3" s="288"/>
    </row>
    <row r="4" spans="1:16">
      <c r="A4" s="288" t="str">
        <f>RevReq!A3</f>
        <v>For the 12 Months Ended December 31, 2023</v>
      </c>
      <c r="B4" s="288"/>
      <c r="C4" s="288"/>
      <c r="D4" s="288"/>
      <c r="E4" s="288"/>
      <c r="F4" s="288"/>
      <c r="G4" s="288"/>
      <c r="H4" s="288"/>
      <c r="I4" s="288"/>
      <c r="J4" s="288"/>
    </row>
    <row r="6" spans="1:16" s="82" customFormat="1" ht="15" customHeight="1">
      <c r="A6" s="289" t="str">
        <f>'Adj List'!C9</f>
        <v>Depreciation Expense</v>
      </c>
      <c r="B6" s="289"/>
      <c r="C6" s="289"/>
      <c r="D6" s="289"/>
      <c r="E6" s="289"/>
      <c r="F6" s="289"/>
      <c r="G6" s="289"/>
      <c r="H6" s="289"/>
      <c r="I6" s="289"/>
      <c r="J6" s="289"/>
      <c r="M6" s="2"/>
      <c r="N6" s="2"/>
      <c r="O6" s="2"/>
    </row>
    <row r="8" spans="1:16" s="55" customFormat="1" ht="38.25" customHeight="1">
      <c r="A8" s="55" t="s">
        <v>0</v>
      </c>
      <c r="C8" s="55" t="s">
        <v>219</v>
      </c>
      <c r="D8" s="55" t="s">
        <v>1</v>
      </c>
      <c r="E8" s="55" t="s">
        <v>216</v>
      </c>
      <c r="F8" s="55" t="s">
        <v>220</v>
      </c>
      <c r="G8" s="55" t="s">
        <v>106</v>
      </c>
      <c r="H8" s="55" t="s">
        <v>217</v>
      </c>
      <c r="I8" s="55" t="s">
        <v>218</v>
      </c>
      <c r="J8" s="55" t="s">
        <v>183</v>
      </c>
      <c r="M8" s="2"/>
      <c r="N8" s="2"/>
      <c r="O8" s="2"/>
    </row>
    <row r="9" spans="1:16">
      <c r="A9" s="84" t="s">
        <v>21</v>
      </c>
      <c r="B9" s="1"/>
      <c r="C9" s="235" t="s">
        <v>18</v>
      </c>
      <c r="D9" s="235" t="s">
        <v>20</v>
      </c>
      <c r="E9" s="235" t="s">
        <v>19</v>
      </c>
      <c r="F9" s="235" t="s">
        <v>25</v>
      </c>
      <c r="G9" s="235" t="s">
        <v>57</v>
      </c>
      <c r="H9" s="235" t="s">
        <v>58</v>
      </c>
      <c r="I9" s="235" t="s">
        <v>59</v>
      </c>
      <c r="J9" s="235" t="s">
        <v>60</v>
      </c>
      <c r="L9" s="55"/>
      <c r="P9" s="55"/>
    </row>
    <row r="10" spans="1:16">
      <c r="A10" s="1"/>
      <c r="B10" s="1"/>
      <c r="L10" s="55"/>
      <c r="P10" s="55"/>
    </row>
    <row r="11" spans="1:16">
      <c r="A11" s="1">
        <v>1</v>
      </c>
      <c r="B11" s="1"/>
      <c r="C11" s="101" t="s">
        <v>221</v>
      </c>
      <c r="L11" s="55"/>
      <c r="P11" s="55"/>
    </row>
    <row r="12" spans="1:16">
      <c r="A12" s="1">
        <f>A11+1</f>
        <v>2</v>
      </c>
      <c r="B12" s="1"/>
      <c r="C12" s="47">
        <v>362</v>
      </c>
      <c r="D12" s="2" t="s">
        <v>222</v>
      </c>
      <c r="E12" s="123">
        <v>489306.13</v>
      </c>
      <c r="F12" s="123">
        <v>0</v>
      </c>
      <c r="G12" s="244">
        <v>6.6699999999999995E-2</v>
      </c>
      <c r="H12" s="123">
        <f>ROUND(((+E12-F12)*G12),2)</f>
        <v>32636.720000000001</v>
      </c>
      <c r="I12" s="239"/>
      <c r="J12" s="240"/>
      <c r="L12" s="55"/>
      <c r="P12" s="55"/>
    </row>
    <row r="13" spans="1:16">
      <c r="A13" s="1">
        <f t="shared" ref="A13:A39" si="0">A12+1</f>
        <v>3</v>
      </c>
      <c r="B13" s="1"/>
      <c r="C13" s="47">
        <v>364</v>
      </c>
      <c r="D13" s="2" t="s">
        <v>223</v>
      </c>
      <c r="E13" s="123">
        <v>18338033.120000001</v>
      </c>
      <c r="F13" s="123">
        <v>0</v>
      </c>
      <c r="G13" s="244">
        <v>4.7500000000000001E-2</v>
      </c>
      <c r="H13" s="123">
        <f t="shared" ref="H13:H20" si="1">ROUND(((+E13-F13)*G13),2)</f>
        <v>871056.57</v>
      </c>
      <c r="I13" s="239"/>
      <c r="J13" s="240"/>
      <c r="L13" s="55"/>
      <c r="P13" s="55"/>
    </row>
    <row r="14" spans="1:16">
      <c r="A14" s="1">
        <f t="shared" si="0"/>
        <v>4</v>
      </c>
      <c r="B14" s="1"/>
      <c r="C14" s="47">
        <v>365</v>
      </c>
      <c r="D14" s="2" t="s">
        <v>224</v>
      </c>
      <c r="E14" s="123">
        <v>15168058.890000001</v>
      </c>
      <c r="F14" s="123">
        <v>0</v>
      </c>
      <c r="G14" s="244">
        <v>4.5400000000000003E-2</v>
      </c>
      <c r="H14" s="123">
        <f t="shared" si="1"/>
        <v>688629.87</v>
      </c>
      <c r="I14" s="239"/>
      <c r="J14" s="240"/>
      <c r="L14" s="55"/>
      <c r="P14" s="55"/>
    </row>
    <row r="15" spans="1:16">
      <c r="A15" s="1">
        <f t="shared" si="0"/>
        <v>5</v>
      </c>
      <c r="B15" s="1"/>
      <c r="C15" s="47">
        <v>366</v>
      </c>
      <c r="D15" s="2" t="s">
        <v>225</v>
      </c>
      <c r="E15" s="123">
        <v>846387.79</v>
      </c>
      <c r="F15" s="123">
        <v>0</v>
      </c>
      <c r="G15" s="244">
        <v>3.9100000000000003E-2</v>
      </c>
      <c r="H15" s="123">
        <f t="shared" si="1"/>
        <v>33093.760000000002</v>
      </c>
      <c r="I15" s="239"/>
      <c r="J15" s="240"/>
      <c r="L15" s="55"/>
      <c r="P15" s="55"/>
    </row>
    <row r="16" spans="1:16">
      <c r="A16" s="1">
        <f t="shared" si="0"/>
        <v>6</v>
      </c>
      <c r="B16" s="1"/>
      <c r="C16" s="47">
        <v>367</v>
      </c>
      <c r="D16" s="2" t="s">
        <v>226</v>
      </c>
      <c r="E16" s="123">
        <v>410300.43</v>
      </c>
      <c r="F16" s="123">
        <v>0</v>
      </c>
      <c r="G16" s="244">
        <v>2.7799999999999998E-2</v>
      </c>
      <c r="H16" s="123">
        <f t="shared" si="1"/>
        <v>11406.35</v>
      </c>
      <c r="I16" s="239"/>
      <c r="J16" s="240"/>
      <c r="L16" s="55"/>
      <c r="P16" s="55"/>
    </row>
    <row r="17" spans="1:16">
      <c r="A17" s="1">
        <f t="shared" si="0"/>
        <v>7</v>
      </c>
      <c r="B17" s="1"/>
      <c r="C17" s="47">
        <v>368</v>
      </c>
      <c r="D17" s="2" t="s">
        <v>227</v>
      </c>
      <c r="E17" s="123">
        <v>6985853.7999999998</v>
      </c>
      <c r="F17" s="123">
        <v>0</v>
      </c>
      <c r="G17" s="244">
        <v>2.3300000000000001E-2</v>
      </c>
      <c r="H17" s="123">
        <f t="shared" si="1"/>
        <v>162770.39000000001</v>
      </c>
      <c r="I17" s="239"/>
      <c r="J17" s="240"/>
      <c r="L17" s="55"/>
      <c r="P17" s="55"/>
    </row>
    <row r="18" spans="1:16">
      <c r="A18" s="1">
        <f t="shared" si="0"/>
        <v>8</v>
      </c>
      <c r="C18" s="47">
        <v>369</v>
      </c>
      <c r="D18" s="2" t="s">
        <v>109</v>
      </c>
      <c r="E18" s="123">
        <v>6310522.6900000004</v>
      </c>
      <c r="F18" s="123">
        <v>0</v>
      </c>
      <c r="G18" s="244">
        <v>4.9700000000000001E-2</v>
      </c>
      <c r="H18" s="123">
        <f t="shared" si="1"/>
        <v>313632.98</v>
      </c>
      <c r="I18" s="239"/>
      <c r="J18" s="240"/>
      <c r="L18" s="55"/>
      <c r="P18" s="55"/>
    </row>
    <row r="19" spans="1:16">
      <c r="A19" s="1">
        <f t="shared" si="0"/>
        <v>9</v>
      </c>
      <c r="C19" s="47">
        <v>370</v>
      </c>
      <c r="D19" s="2" t="s">
        <v>150</v>
      </c>
      <c r="E19" s="123">
        <v>3817131.04</v>
      </c>
      <c r="F19" s="123">
        <v>0</v>
      </c>
      <c r="G19" s="244">
        <v>6.6699999999999995E-2</v>
      </c>
      <c r="H19" s="123">
        <f t="shared" si="1"/>
        <v>254602.64</v>
      </c>
      <c r="I19" s="239"/>
      <c r="J19" s="240"/>
      <c r="L19" s="55"/>
      <c r="P19" s="55"/>
    </row>
    <row r="20" spans="1:16">
      <c r="A20" s="1">
        <f t="shared" si="0"/>
        <v>10</v>
      </c>
      <c r="C20" s="47" t="s">
        <v>228</v>
      </c>
      <c r="D20" s="2" t="s">
        <v>229</v>
      </c>
      <c r="E20" s="123">
        <v>3811192.93</v>
      </c>
      <c r="F20" s="123">
        <v>0</v>
      </c>
      <c r="G20" s="244">
        <v>6.3500000000000001E-2</v>
      </c>
      <c r="H20" s="123">
        <f t="shared" si="1"/>
        <v>242010.75</v>
      </c>
      <c r="I20" s="239"/>
      <c r="J20" s="240"/>
      <c r="L20" s="55"/>
      <c r="P20" s="55"/>
    </row>
    <row r="21" spans="1:16">
      <c r="A21" s="1">
        <f t="shared" si="0"/>
        <v>11</v>
      </c>
      <c r="D21" s="241" t="s">
        <v>22</v>
      </c>
      <c r="E21" s="242">
        <f>SUM(E12:E20)</f>
        <v>56176786.819999993</v>
      </c>
      <c r="F21" s="242">
        <f t="shared" ref="F21:H21" si="2">SUM(F12:F20)</f>
        <v>0</v>
      </c>
      <c r="G21" s="242"/>
      <c r="H21" s="242">
        <f t="shared" si="2"/>
        <v>2609840.0300000003</v>
      </c>
      <c r="I21" s="242">
        <v>2508464.4500000002</v>
      </c>
      <c r="J21" s="242">
        <f t="shared" ref="J21" si="3">H21-I21</f>
        <v>101375.58000000007</v>
      </c>
      <c r="L21" s="55"/>
      <c r="P21" s="55"/>
    </row>
    <row r="22" spans="1:16">
      <c r="A22" s="1">
        <f t="shared" si="0"/>
        <v>12</v>
      </c>
      <c r="L22" s="55"/>
      <c r="P22" s="55"/>
    </row>
    <row r="23" spans="1:16">
      <c r="A23" s="1">
        <f t="shared" si="0"/>
        <v>13</v>
      </c>
      <c r="C23" s="101" t="s">
        <v>238</v>
      </c>
      <c r="L23" s="55"/>
      <c r="P23" s="55"/>
    </row>
    <row r="24" spans="1:16">
      <c r="A24" s="1">
        <f t="shared" si="0"/>
        <v>14</v>
      </c>
      <c r="C24" s="47">
        <v>389</v>
      </c>
      <c r="D24" s="2" t="s">
        <v>230</v>
      </c>
      <c r="E24" s="123"/>
      <c r="F24" s="123"/>
      <c r="G24" s="243"/>
      <c r="H24" s="123"/>
      <c r="I24" s="123"/>
      <c r="J24" s="204"/>
      <c r="L24" s="55"/>
      <c r="P24" s="55"/>
    </row>
    <row r="25" spans="1:16">
      <c r="A25" s="1">
        <f t="shared" si="0"/>
        <v>15</v>
      </c>
      <c r="C25" s="47">
        <v>390</v>
      </c>
      <c r="D25" s="2" t="s">
        <v>231</v>
      </c>
      <c r="E25" s="123">
        <v>3205150</v>
      </c>
      <c r="F25" s="123">
        <v>0</v>
      </c>
      <c r="G25" s="244">
        <v>2.5000000000000001E-2</v>
      </c>
      <c r="H25" s="123">
        <f>ROUND(((+E25-F25)*G25),2)</f>
        <v>80128.75</v>
      </c>
      <c r="I25" s="239"/>
      <c r="J25" s="240"/>
      <c r="L25" s="55"/>
      <c r="P25" s="55"/>
    </row>
    <row r="26" spans="1:16">
      <c r="A26" s="1">
        <f t="shared" si="0"/>
        <v>16</v>
      </c>
      <c r="C26" s="47">
        <v>391</v>
      </c>
      <c r="D26" s="2" t="s">
        <v>232</v>
      </c>
      <c r="E26" s="123">
        <v>605317.94999999995</v>
      </c>
      <c r="F26" s="123">
        <v>0</v>
      </c>
      <c r="G26" s="244">
        <v>0.06</v>
      </c>
      <c r="H26" s="123">
        <f t="shared" ref="H26:H32" si="4">ROUND(((+E26-F26)*G26),2)</f>
        <v>36319.08</v>
      </c>
      <c r="I26" s="239"/>
      <c r="J26" s="240"/>
      <c r="L26" s="55"/>
      <c r="P26" s="55"/>
    </row>
    <row r="27" spans="1:16">
      <c r="A27" s="1">
        <f t="shared" si="0"/>
        <v>17</v>
      </c>
      <c r="C27" s="47">
        <v>393</v>
      </c>
      <c r="D27" s="2" t="s">
        <v>145</v>
      </c>
      <c r="E27" s="123">
        <v>0</v>
      </c>
      <c r="F27" s="123">
        <v>0</v>
      </c>
      <c r="G27" s="244">
        <v>0.05</v>
      </c>
      <c r="H27" s="123">
        <f t="shared" si="4"/>
        <v>0</v>
      </c>
      <c r="I27" s="239"/>
      <c r="J27" s="240"/>
      <c r="L27" s="55"/>
      <c r="P27" s="55"/>
    </row>
    <row r="28" spans="1:16">
      <c r="A28" s="1">
        <f t="shared" si="0"/>
        <v>18</v>
      </c>
      <c r="C28" s="47">
        <v>394</v>
      </c>
      <c r="D28" s="2" t="s">
        <v>233</v>
      </c>
      <c r="E28" s="123">
        <v>88004.57</v>
      </c>
      <c r="F28" s="123">
        <v>0</v>
      </c>
      <c r="G28" s="244">
        <v>0.05</v>
      </c>
      <c r="H28" s="123">
        <f t="shared" si="4"/>
        <v>4400.2299999999996</v>
      </c>
      <c r="I28" s="239"/>
      <c r="J28" s="240"/>
      <c r="L28" s="55"/>
      <c r="P28" s="55"/>
    </row>
    <row r="29" spans="1:16">
      <c r="A29" s="1">
        <f t="shared" si="0"/>
        <v>19</v>
      </c>
      <c r="C29" s="47">
        <v>395</v>
      </c>
      <c r="D29" s="2" t="s">
        <v>234</v>
      </c>
      <c r="E29" s="123">
        <v>193128.12</v>
      </c>
      <c r="F29" s="123">
        <v>0</v>
      </c>
      <c r="G29" s="244">
        <v>0.05</v>
      </c>
      <c r="H29" s="123">
        <f t="shared" si="4"/>
        <v>9656.41</v>
      </c>
      <c r="I29" s="239"/>
      <c r="J29" s="240"/>
      <c r="L29" s="55"/>
      <c r="P29" s="55"/>
    </row>
    <row r="30" spans="1:16">
      <c r="A30" s="1">
        <f t="shared" si="0"/>
        <v>20</v>
      </c>
      <c r="C30" s="47">
        <v>396</v>
      </c>
      <c r="D30" s="2" t="s">
        <v>235</v>
      </c>
      <c r="E30" s="123">
        <v>39197.32</v>
      </c>
      <c r="F30" s="123">
        <v>0</v>
      </c>
      <c r="G30" s="244">
        <v>0.14000000000000001</v>
      </c>
      <c r="H30" s="123">
        <f t="shared" si="4"/>
        <v>5487.62</v>
      </c>
      <c r="I30" s="239"/>
      <c r="J30" s="240"/>
      <c r="L30" s="55"/>
      <c r="P30" s="55"/>
    </row>
    <row r="31" spans="1:16">
      <c r="A31" s="1">
        <f t="shared" si="0"/>
        <v>21</v>
      </c>
      <c r="C31" s="47">
        <v>397</v>
      </c>
      <c r="D31" s="2" t="s">
        <v>236</v>
      </c>
      <c r="E31" s="123">
        <v>105263.92</v>
      </c>
      <c r="F31" s="123">
        <v>0</v>
      </c>
      <c r="G31" s="244">
        <v>7.0000000000000007E-2</v>
      </c>
      <c r="H31" s="123">
        <f t="shared" si="4"/>
        <v>7368.47</v>
      </c>
      <c r="I31" s="239"/>
      <c r="J31" s="240"/>
      <c r="L31" s="55"/>
      <c r="P31" s="55"/>
    </row>
    <row r="32" spans="1:16">
      <c r="A32" s="1">
        <f t="shared" si="0"/>
        <v>22</v>
      </c>
      <c r="C32" s="47">
        <v>398</v>
      </c>
      <c r="D32" s="2" t="s">
        <v>237</v>
      </c>
      <c r="E32" s="123">
        <v>79182.11</v>
      </c>
      <c r="F32" s="123">
        <v>0</v>
      </c>
      <c r="G32" s="244">
        <v>0.05</v>
      </c>
      <c r="H32" s="123">
        <f t="shared" si="4"/>
        <v>3959.11</v>
      </c>
      <c r="I32" s="239"/>
      <c r="J32" s="240"/>
      <c r="L32" s="55"/>
      <c r="P32" s="55"/>
    </row>
    <row r="33" spans="1:25">
      <c r="A33" s="1">
        <f t="shared" si="0"/>
        <v>23</v>
      </c>
      <c r="D33" s="241" t="s">
        <v>22</v>
      </c>
      <c r="E33" s="242">
        <f>SUM(E24:E32)</f>
        <v>4315243.99</v>
      </c>
      <c r="F33" s="242">
        <f>SUM(F24:F32)</f>
        <v>0</v>
      </c>
      <c r="G33" s="242"/>
      <c r="H33" s="242">
        <f>SUM(H24:H32)</f>
        <v>147319.66999999998</v>
      </c>
      <c r="I33" s="242">
        <v>120815.5</v>
      </c>
      <c r="J33" s="242">
        <f t="shared" ref="J33" si="5">H33-I33</f>
        <v>26504.169999999984</v>
      </c>
      <c r="L33" s="55"/>
      <c r="P33" s="55"/>
    </row>
    <row r="34" spans="1:25">
      <c r="A34" s="1"/>
      <c r="C34" s="136"/>
      <c r="D34" s="245" t="s">
        <v>244</v>
      </c>
      <c r="E34" s="246">
        <f>E21+E33</f>
        <v>60492030.809999995</v>
      </c>
      <c r="F34" s="246">
        <f>F21+F33</f>
        <v>0</v>
      </c>
      <c r="G34" s="246"/>
      <c r="H34" s="246">
        <f>H21+H33</f>
        <v>2757159.7</v>
      </c>
      <c r="I34" s="246">
        <f>I21+I33</f>
        <v>2629279.9500000002</v>
      </c>
      <c r="J34" s="246">
        <f>J21+J33</f>
        <v>127879.75000000006</v>
      </c>
      <c r="L34" s="55"/>
      <c r="P34" s="55"/>
    </row>
    <row r="35" spans="1:25">
      <c r="A35" s="1">
        <f>A33+1</f>
        <v>24</v>
      </c>
      <c r="D35" s="137"/>
      <c r="E35" s="123"/>
      <c r="F35" s="123"/>
      <c r="G35" s="123"/>
      <c r="H35" s="123"/>
      <c r="I35" s="123"/>
      <c r="J35" s="123"/>
      <c r="L35" s="55"/>
      <c r="P35" s="55"/>
    </row>
    <row r="36" spans="1:25">
      <c r="A36" s="1">
        <f t="shared" si="0"/>
        <v>25</v>
      </c>
      <c r="C36" s="101" t="s">
        <v>240</v>
      </c>
      <c r="E36" s="123"/>
      <c r="F36" s="123"/>
      <c r="G36" s="123"/>
      <c r="H36" s="123"/>
      <c r="I36" s="123"/>
      <c r="J36" s="123"/>
      <c r="L36" s="55"/>
      <c r="P36" s="55"/>
    </row>
    <row r="37" spans="1:25">
      <c r="A37" s="1">
        <f t="shared" si="0"/>
        <v>26</v>
      </c>
      <c r="C37" s="47">
        <v>392</v>
      </c>
      <c r="D37" s="2" t="s">
        <v>146</v>
      </c>
      <c r="E37" s="123">
        <v>2315565.42</v>
      </c>
      <c r="F37" s="123">
        <v>0</v>
      </c>
      <c r="G37" s="244">
        <v>0.192</v>
      </c>
      <c r="H37" s="123">
        <f t="shared" ref="H37" si="6">ROUND(((+E37-F37)*G37),2)</f>
        <v>444588.56</v>
      </c>
      <c r="I37" s="123">
        <v>196451</v>
      </c>
      <c r="J37" s="204">
        <f t="shared" ref="J37" si="7">H37-I37</f>
        <v>248137.56</v>
      </c>
      <c r="L37" s="55"/>
      <c r="P37" s="55"/>
    </row>
    <row r="38" spans="1:25">
      <c r="A38" s="1">
        <f t="shared" si="0"/>
        <v>27</v>
      </c>
      <c r="P38" s="55"/>
    </row>
    <row r="39" spans="1:25" ht="13.5" thickBot="1">
      <c r="A39" s="1">
        <f t="shared" si="0"/>
        <v>28</v>
      </c>
      <c r="C39" s="3"/>
      <c r="D39" s="3" t="s">
        <v>14</v>
      </c>
      <c r="E39" s="247">
        <f>E34+E37</f>
        <v>62807596.229999997</v>
      </c>
      <c r="F39" s="247">
        <f>F34+F37</f>
        <v>0</v>
      </c>
      <c r="G39" s="3"/>
      <c r="H39" s="247">
        <f>H34+H37</f>
        <v>3201748.2600000002</v>
      </c>
      <c r="I39" s="247">
        <f>I34+I37</f>
        <v>2825730.95</v>
      </c>
      <c r="J39" s="248">
        <f>J34+J37</f>
        <v>376017.31000000006</v>
      </c>
      <c r="P39" s="90"/>
    </row>
    <row r="40" spans="1:25" ht="13.5" thickTop="1"/>
    <row r="41" spans="1:25" ht="29.25" customHeight="1">
      <c r="A41" s="45"/>
      <c r="B41" s="100"/>
      <c r="C41" s="290" t="s">
        <v>239</v>
      </c>
      <c r="D41" s="290"/>
      <c r="E41" s="290"/>
      <c r="F41" s="290"/>
      <c r="G41" s="290"/>
      <c r="H41" s="290"/>
      <c r="I41" s="290"/>
      <c r="J41" s="290"/>
      <c r="K41" s="100"/>
      <c r="L41" s="100"/>
      <c r="P41" s="100"/>
      <c r="Q41" s="100"/>
      <c r="R41" s="100"/>
      <c r="S41" s="100"/>
      <c r="T41" s="100"/>
      <c r="U41" s="100"/>
      <c r="V41" s="100"/>
      <c r="W41" s="100"/>
      <c r="X41" s="100"/>
      <c r="Y41" s="100"/>
    </row>
    <row r="42" spans="1:25" ht="12.75" customHeight="1">
      <c r="A42" s="45"/>
      <c r="B42" s="100"/>
      <c r="C42" s="98"/>
      <c r="D42" s="98"/>
      <c r="E42" s="98"/>
      <c r="F42" s="98"/>
      <c r="G42" s="98"/>
      <c r="H42" s="98"/>
      <c r="I42" s="98"/>
      <c r="J42" s="98"/>
      <c r="K42" s="100"/>
      <c r="L42" s="100"/>
      <c r="P42" s="100"/>
      <c r="Q42" s="100"/>
      <c r="R42" s="100"/>
      <c r="S42" s="100"/>
      <c r="T42" s="100"/>
      <c r="U42" s="100"/>
      <c r="V42" s="100"/>
      <c r="W42" s="100"/>
      <c r="X42" s="100"/>
      <c r="Y42" s="100"/>
    </row>
    <row r="44" spans="1:25">
      <c r="C44" s="101" t="s">
        <v>241</v>
      </c>
      <c r="D44" s="1"/>
      <c r="E44" s="121" t="s">
        <v>213</v>
      </c>
      <c r="F44" s="121" t="s">
        <v>243</v>
      </c>
    </row>
    <row r="45" spans="1:25">
      <c r="D45" s="1"/>
    </row>
    <row r="46" spans="1:25">
      <c r="C46" s="1"/>
      <c r="D46" s="2" t="s">
        <v>174</v>
      </c>
      <c r="E46" s="227">
        <f>'1.10 Wage'!M137</f>
        <v>0.13889360243740742</v>
      </c>
      <c r="F46" s="50">
        <f>ROUND(E46*$J$37,2)</f>
        <v>34464.720000000001</v>
      </c>
    </row>
    <row r="47" spans="1:25">
      <c r="C47" s="1"/>
      <c r="D47" s="2" t="s">
        <v>176</v>
      </c>
      <c r="E47" s="227">
        <f>'1.10 Wage'!M138</f>
        <v>0.19268945042171959</v>
      </c>
      <c r="F47" s="50">
        <f>ROUND(E47*$J$37,2)</f>
        <v>47813.49</v>
      </c>
    </row>
    <row r="48" spans="1:25">
      <c r="C48" s="1"/>
      <c r="D48" s="2" t="s">
        <v>121</v>
      </c>
      <c r="E48" s="227">
        <f>'1.10 Wage'!M139</f>
        <v>0.11482452000949359</v>
      </c>
      <c r="F48" s="50">
        <f>ROUND(E48*$J$37,2)</f>
        <v>28492.28</v>
      </c>
    </row>
    <row r="49" spans="3:6">
      <c r="C49" s="1"/>
      <c r="D49" s="2" t="s">
        <v>93</v>
      </c>
      <c r="E49" s="227">
        <f>'1.10 Wage'!M140</f>
        <v>1.8414744731455667E-2</v>
      </c>
      <c r="F49" s="50">
        <f>ROUND(E49*$J$37,2)</f>
        <v>4569.3900000000003</v>
      </c>
    </row>
    <row r="50" spans="3:6">
      <c r="C50" s="1"/>
      <c r="D50" s="2" t="s">
        <v>162</v>
      </c>
      <c r="E50" s="227">
        <f>'1.10 Wage'!M141</f>
        <v>0.20959819316933406</v>
      </c>
      <c r="F50" s="50">
        <f>ROUND(E50*$J$37,2)</f>
        <v>52009.18</v>
      </c>
    </row>
    <row r="51" spans="3:6">
      <c r="C51" s="4"/>
      <c r="D51" s="39" t="s">
        <v>22</v>
      </c>
      <c r="E51" s="169">
        <f>SUM(E46:E50)</f>
        <v>0.67442051076941034</v>
      </c>
      <c r="F51" s="124">
        <f>SUM(F46:F50)</f>
        <v>167349.06</v>
      </c>
    </row>
    <row r="52" spans="3:6" ht="6.75" customHeight="1">
      <c r="C52" s="1"/>
      <c r="E52" s="228"/>
      <c r="F52" s="114"/>
    </row>
    <row r="53" spans="3:6">
      <c r="C53" s="1"/>
      <c r="D53" s="2" t="s">
        <v>242</v>
      </c>
      <c r="E53" s="228">
        <f>'1.10 Wage'!M144</f>
        <v>0.24964338623886273</v>
      </c>
      <c r="F53" s="50">
        <f>ROUND(E53*$J$37,2)</f>
        <v>61945.9</v>
      </c>
    </row>
    <row r="54" spans="3:6">
      <c r="C54" s="1"/>
      <c r="D54" s="2" t="s">
        <v>43</v>
      </c>
      <c r="E54" s="228">
        <f>'1.10 Wage'!M145</f>
        <v>7.5936102991726928E-2</v>
      </c>
      <c r="F54" s="50">
        <f>ROUND(E54*$J$37,2)</f>
        <v>18842.599999999999</v>
      </c>
    </row>
    <row r="55" spans="3:6">
      <c r="C55" s="4"/>
      <c r="D55" s="39" t="s">
        <v>22</v>
      </c>
      <c r="E55" s="169">
        <f>SUM(E53:E54)</f>
        <v>0.32557948923058966</v>
      </c>
      <c r="F55" s="113">
        <f>SUM(F53:F54)</f>
        <v>80788.5</v>
      </c>
    </row>
    <row r="56" spans="3:6" ht="6" customHeight="1">
      <c r="C56" s="1"/>
      <c r="E56" s="51"/>
      <c r="F56" s="114"/>
    </row>
    <row r="57" spans="3:6" ht="13.5" thickBot="1">
      <c r="C57" s="44"/>
      <c r="D57" s="3" t="s">
        <v>50</v>
      </c>
      <c r="E57" s="118">
        <f>E51+E55</f>
        <v>1</v>
      </c>
      <c r="F57" s="117">
        <f>F55+F51</f>
        <v>248137.56</v>
      </c>
    </row>
    <row r="58" spans="3:6" ht="13.5" thickTop="1"/>
  </sheetData>
  <mergeCells count="4">
    <mergeCell ref="C41:J41"/>
    <mergeCell ref="A3:J3"/>
    <mergeCell ref="A4:J4"/>
    <mergeCell ref="A6:J6"/>
  </mergeCells>
  <printOptions horizontalCentered="1"/>
  <pageMargins left="1" right="0.75" top="0.75" bottom="0.5" header="0.5" footer="0.5"/>
  <pageSetup scale="74" orientation="portrait" r:id="rId1"/>
  <headerFooter alignWithMargins="0">
    <oddFooter>&amp;RExhibit JW-2
Page &amp;P of &amp;N</oddFooter>
  </headerFooter>
  <ignoredErrors>
    <ignoredError sqref="C9:J9 C2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view="pageBreakPreview" zoomScaleNormal="100" zoomScaleSheetLayoutView="100" workbookViewId="0">
      <selection activeCell="B67" sqref="B67"/>
    </sheetView>
  </sheetViews>
  <sheetFormatPr defaultColWidth="9.140625" defaultRowHeight="12.75"/>
  <cols>
    <col min="1" max="1" width="5.85546875" style="11" customWidth="1"/>
    <col min="2" max="2" width="2.28515625" style="11" customWidth="1"/>
    <col min="3" max="3" width="37.7109375" style="11" bestFit="1" customWidth="1"/>
    <col min="4" max="4" width="2.42578125" style="11" customWidth="1"/>
    <col min="5" max="5" width="15.7109375" style="11" customWidth="1"/>
    <col min="6" max="16384" width="9.140625" style="11"/>
  </cols>
  <sheetData>
    <row r="1" spans="1:5">
      <c r="E1" s="5" t="s">
        <v>444</v>
      </c>
    </row>
    <row r="2" spans="1:5" ht="20.25" customHeight="1">
      <c r="E2" s="5"/>
    </row>
    <row r="3" spans="1:5">
      <c r="A3" s="291" t="s">
        <v>29</v>
      </c>
      <c r="B3" s="291"/>
      <c r="C3" s="291"/>
      <c r="D3" s="291"/>
      <c r="E3" s="291"/>
    </row>
    <row r="4" spans="1:5">
      <c r="A4" s="291" t="str">
        <f>RevReq!A3</f>
        <v>For the 12 Months Ended December 31, 2023</v>
      </c>
      <c r="B4" s="291"/>
      <c r="C4" s="291"/>
      <c r="D4" s="291"/>
      <c r="E4" s="291"/>
    </row>
    <row r="6" spans="1:5" s="6" customFormat="1" ht="15" customHeight="1">
      <c r="A6" s="289" t="str">
        <f>'Adj List'!C10</f>
        <v>G&amp;T Capital Credits</v>
      </c>
      <c r="B6" s="289"/>
      <c r="C6" s="289"/>
      <c r="D6" s="289"/>
      <c r="E6" s="289"/>
    </row>
    <row r="8" spans="1:5">
      <c r="A8" s="10" t="s">
        <v>0</v>
      </c>
      <c r="C8" s="10" t="s">
        <v>44</v>
      </c>
      <c r="D8" s="10"/>
      <c r="E8" s="10" t="s">
        <v>24</v>
      </c>
    </row>
    <row r="9" spans="1:5">
      <c r="A9" s="12" t="s">
        <v>21</v>
      </c>
      <c r="C9" s="13" t="s">
        <v>18</v>
      </c>
      <c r="D9" s="13"/>
      <c r="E9" s="13" t="s">
        <v>20</v>
      </c>
    </row>
    <row r="10" spans="1:5">
      <c r="A10" s="10"/>
    </row>
    <row r="11" spans="1:5">
      <c r="A11" s="10">
        <v>1</v>
      </c>
      <c r="C11" s="2" t="s">
        <v>39</v>
      </c>
      <c r="D11" s="2"/>
      <c r="E11" s="19">
        <f>RevReq!C37</f>
        <v>412311</v>
      </c>
    </row>
    <row r="12" spans="1:5">
      <c r="A12" s="10">
        <f>A11+1</f>
        <v>2</v>
      </c>
      <c r="C12" s="2"/>
      <c r="D12" s="2"/>
    </row>
    <row r="13" spans="1:5">
      <c r="A13" s="10">
        <f t="shared" ref="A13:A15" si="0">A12+1</f>
        <v>3</v>
      </c>
      <c r="C13" s="2" t="s">
        <v>40</v>
      </c>
      <c r="E13" s="14">
        <v>0</v>
      </c>
    </row>
    <row r="14" spans="1:5">
      <c r="A14" s="10">
        <f t="shared" si="0"/>
        <v>4</v>
      </c>
      <c r="C14" s="2"/>
    </row>
    <row r="15" spans="1:5" ht="13.5" thickBot="1">
      <c r="A15" s="10">
        <f t="shared" si="0"/>
        <v>5</v>
      </c>
      <c r="C15" s="3" t="s">
        <v>15</v>
      </c>
      <c r="D15" s="20"/>
      <c r="E15" s="21">
        <f>ROUND(E13-E11,2)</f>
        <v>-412311</v>
      </c>
    </row>
    <row r="16" spans="1:5" ht="13.5" thickTop="1"/>
    <row r="18" spans="3:5" ht="30" customHeight="1">
      <c r="C18" s="292" t="s">
        <v>53</v>
      </c>
      <c r="D18" s="292"/>
      <c r="E18" s="292"/>
    </row>
  </sheetData>
  <mergeCells count="4">
    <mergeCell ref="A3:E3"/>
    <mergeCell ref="A4:E4"/>
    <mergeCell ref="A6:E6"/>
    <mergeCell ref="C18:E18"/>
  </mergeCells>
  <printOptions horizontalCentered="1"/>
  <pageMargins left="1" right="0.75" top="0.75" bottom="0.5" header="0.5" footer="0.5"/>
  <pageSetup orientation="portrait" r:id="rId1"/>
  <headerFooter alignWithMargins="0">
    <oddFooter>&amp;RExhibit JW-2
Page &amp;P of &amp;N</oddFooter>
  </headerFooter>
  <ignoredErrors>
    <ignoredError sqref="C9 D9:E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59"/>
  <sheetViews>
    <sheetView view="pageBreakPreview" zoomScaleNormal="100" zoomScaleSheetLayoutView="100" workbookViewId="0">
      <selection activeCell="B67" sqref="B67"/>
    </sheetView>
  </sheetViews>
  <sheetFormatPr defaultColWidth="9.140625" defaultRowHeight="12.75"/>
  <cols>
    <col min="1" max="1" width="5.85546875" style="2" customWidth="1"/>
    <col min="2" max="2" width="2.28515625" style="2" customWidth="1"/>
    <col min="3" max="3" width="13.28515625" style="2" customWidth="1"/>
    <col min="4" max="4" width="10.85546875" style="2" customWidth="1"/>
    <col min="5" max="5" width="4.140625" style="2" customWidth="1"/>
    <col min="6" max="7" width="16.7109375" style="2" customWidth="1"/>
    <col min="8" max="9" width="12.5703125" style="2" customWidth="1"/>
    <col min="10" max="10" width="12.85546875" style="2" customWidth="1"/>
    <col min="11" max="16384" width="9.140625" style="2"/>
  </cols>
  <sheetData>
    <row r="1" spans="1:10">
      <c r="J1" s="81" t="s">
        <v>133</v>
      </c>
    </row>
    <row r="2" spans="1:10" ht="20.25" customHeight="1">
      <c r="J2" s="81"/>
    </row>
    <row r="3" spans="1:10">
      <c r="G3" s="81"/>
    </row>
    <row r="4" spans="1:10">
      <c r="A4" s="288" t="s">
        <v>29</v>
      </c>
      <c r="B4" s="288"/>
      <c r="C4" s="288"/>
      <c r="D4" s="288"/>
      <c r="E4" s="288"/>
      <c r="F4" s="288"/>
      <c r="G4" s="288"/>
      <c r="H4" s="288"/>
      <c r="I4" s="288"/>
      <c r="J4" s="288"/>
    </row>
    <row r="5" spans="1:10">
      <c r="A5" s="288" t="str">
        <f>RevReq!A3</f>
        <v>For the 12 Months Ended December 31, 2023</v>
      </c>
      <c r="B5" s="288"/>
      <c r="C5" s="288"/>
      <c r="D5" s="288"/>
      <c r="E5" s="288"/>
      <c r="F5" s="288"/>
      <c r="G5" s="288"/>
      <c r="H5" s="288"/>
      <c r="I5" s="288"/>
      <c r="J5" s="288"/>
    </row>
    <row r="7" spans="1:10" s="82" customFormat="1" ht="15" customHeight="1">
      <c r="A7" s="289" t="str">
        <f>'Adj List'!C11</f>
        <v>Year-End Customers</v>
      </c>
      <c r="B7" s="289"/>
      <c r="C7" s="289"/>
      <c r="D7" s="289"/>
      <c r="E7" s="289"/>
      <c r="F7" s="289"/>
      <c r="G7" s="289"/>
      <c r="H7" s="289"/>
      <c r="I7" s="289"/>
      <c r="J7" s="289"/>
    </row>
    <row r="9" spans="1:10">
      <c r="A9" s="1" t="s">
        <v>0</v>
      </c>
      <c r="C9" s="1" t="s">
        <v>16</v>
      </c>
      <c r="D9" s="1" t="s">
        <v>17</v>
      </c>
      <c r="E9" s="1"/>
      <c r="F9" s="55" t="s">
        <v>82</v>
      </c>
      <c r="G9" s="55" t="s">
        <v>81</v>
      </c>
      <c r="H9" s="55" t="s">
        <v>83</v>
      </c>
      <c r="I9" s="55" t="s">
        <v>447</v>
      </c>
      <c r="J9" s="1" t="s">
        <v>50</v>
      </c>
    </row>
    <row r="10" spans="1:10">
      <c r="A10" s="84" t="s">
        <v>21</v>
      </c>
      <c r="C10" s="235" t="s">
        <v>18</v>
      </c>
      <c r="D10" s="235" t="s">
        <v>20</v>
      </c>
      <c r="E10" s="1"/>
      <c r="F10" s="235" t="s">
        <v>19</v>
      </c>
      <c r="G10" s="235" t="s">
        <v>25</v>
      </c>
      <c r="H10" s="235" t="s">
        <v>57</v>
      </c>
      <c r="I10" s="235" t="s">
        <v>58</v>
      </c>
      <c r="J10" s="235" t="s">
        <v>59</v>
      </c>
    </row>
    <row r="11" spans="1:10">
      <c r="A11" s="1"/>
    </row>
    <row r="12" spans="1:10">
      <c r="A12" s="1"/>
    </row>
    <row r="13" spans="1:10">
      <c r="A13" s="1">
        <v>1</v>
      </c>
      <c r="C13" s="1">
        <v>2022</v>
      </c>
      <c r="D13" s="1" t="s">
        <v>6</v>
      </c>
      <c r="E13" s="96"/>
      <c r="F13" s="125">
        <v>11584</v>
      </c>
      <c r="G13" s="125">
        <v>875</v>
      </c>
      <c r="H13" s="125">
        <v>160</v>
      </c>
      <c r="I13" s="125">
        <v>9</v>
      </c>
      <c r="J13" s="249"/>
    </row>
    <row r="14" spans="1:10">
      <c r="A14" s="1">
        <v>2</v>
      </c>
      <c r="C14" s="1">
        <v>2022</v>
      </c>
      <c r="D14" s="1" t="s">
        <v>7</v>
      </c>
      <c r="E14" s="96"/>
      <c r="F14" s="125">
        <v>11556</v>
      </c>
      <c r="G14" s="125">
        <v>875</v>
      </c>
      <c r="H14" s="125">
        <v>160</v>
      </c>
      <c r="I14" s="125">
        <v>9</v>
      </c>
      <c r="J14" s="250"/>
    </row>
    <row r="15" spans="1:10">
      <c r="A15" s="1">
        <v>3</v>
      </c>
      <c r="C15" s="1">
        <v>2022</v>
      </c>
      <c r="D15" s="1" t="s">
        <v>8</v>
      </c>
      <c r="E15" s="96"/>
      <c r="F15" s="125">
        <v>11572</v>
      </c>
      <c r="G15" s="125">
        <v>872</v>
      </c>
      <c r="H15" s="125">
        <v>159</v>
      </c>
      <c r="I15" s="125">
        <v>9</v>
      </c>
      <c r="J15" s="250"/>
    </row>
    <row r="16" spans="1:10">
      <c r="A16" s="1">
        <v>4</v>
      </c>
      <c r="C16" s="1">
        <v>2022</v>
      </c>
      <c r="D16" s="1" t="s">
        <v>9</v>
      </c>
      <c r="E16" s="96"/>
      <c r="F16" s="125">
        <v>11654</v>
      </c>
      <c r="G16" s="125">
        <v>874</v>
      </c>
      <c r="H16" s="125">
        <v>159</v>
      </c>
      <c r="I16" s="125">
        <v>9</v>
      </c>
      <c r="J16" s="250"/>
    </row>
    <row r="17" spans="1:10">
      <c r="A17" s="1">
        <v>5</v>
      </c>
      <c r="C17" s="1">
        <v>2022</v>
      </c>
      <c r="D17" s="1" t="s">
        <v>10</v>
      </c>
      <c r="E17" s="96"/>
      <c r="F17" s="125">
        <v>11664</v>
      </c>
      <c r="G17" s="125">
        <v>878</v>
      </c>
      <c r="H17" s="125">
        <v>160</v>
      </c>
      <c r="I17" s="125">
        <v>9</v>
      </c>
      <c r="J17" s="250"/>
    </row>
    <row r="18" spans="1:10">
      <c r="A18" s="1">
        <v>6</v>
      </c>
      <c r="C18" s="1">
        <v>2022</v>
      </c>
      <c r="D18" s="1" t="s">
        <v>11</v>
      </c>
      <c r="E18" s="96"/>
      <c r="F18" s="125">
        <v>11547</v>
      </c>
      <c r="G18" s="125">
        <v>870</v>
      </c>
      <c r="H18" s="125">
        <v>159</v>
      </c>
      <c r="I18" s="125">
        <v>9</v>
      </c>
      <c r="J18" s="250"/>
    </row>
    <row r="19" spans="1:10">
      <c r="A19" s="1">
        <v>7</v>
      </c>
      <c r="C19" s="1">
        <v>2022</v>
      </c>
      <c r="D19" s="1" t="s">
        <v>12</v>
      </c>
      <c r="E19" s="96"/>
      <c r="F19" s="125">
        <v>11556</v>
      </c>
      <c r="G19" s="125">
        <v>872</v>
      </c>
      <c r="H19" s="125">
        <v>161</v>
      </c>
      <c r="I19" s="125">
        <v>8</v>
      </c>
      <c r="J19" s="250"/>
    </row>
    <row r="20" spans="1:10">
      <c r="A20" s="1">
        <v>8</v>
      </c>
      <c r="C20" s="1">
        <v>2022</v>
      </c>
      <c r="D20" s="1" t="s">
        <v>13</v>
      </c>
      <c r="E20" s="96"/>
      <c r="F20" s="125">
        <v>11564</v>
      </c>
      <c r="G20" s="125">
        <v>872</v>
      </c>
      <c r="H20" s="125">
        <v>161</v>
      </c>
      <c r="I20" s="125">
        <v>8</v>
      </c>
      <c r="J20" s="250"/>
    </row>
    <row r="21" spans="1:10">
      <c r="A21" s="1">
        <v>9</v>
      </c>
      <c r="C21" s="1">
        <v>2022</v>
      </c>
      <c r="D21" s="1" t="s">
        <v>2</v>
      </c>
      <c r="E21" s="96"/>
      <c r="F21" s="125">
        <v>11686</v>
      </c>
      <c r="G21" s="125">
        <v>877</v>
      </c>
      <c r="H21" s="125">
        <v>161</v>
      </c>
      <c r="I21" s="125">
        <v>8</v>
      </c>
      <c r="J21" s="250"/>
    </row>
    <row r="22" spans="1:10">
      <c r="A22" s="1">
        <v>10</v>
      </c>
      <c r="C22" s="1">
        <v>2022</v>
      </c>
      <c r="D22" s="1" t="s">
        <v>3</v>
      </c>
      <c r="E22" s="96"/>
      <c r="F22" s="125">
        <v>11561</v>
      </c>
      <c r="G22" s="125">
        <v>873</v>
      </c>
      <c r="H22" s="125">
        <v>161</v>
      </c>
      <c r="I22" s="125">
        <v>8</v>
      </c>
      <c r="J22" s="250"/>
    </row>
    <row r="23" spans="1:10">
      <c r="A23" s="1">
        <v>11</v>
      </c>
      <c r="C23" s="1">
        <v>2022</v>
      </c>
      <c r="D23" s="1" t="s">
        <v>4</v>
      </c>
      <c r="E23" s="96"/>
      <c r="F23" s="125">
        <v>11584</v>
      </c>
      <c r="G23" s="125">
        <v>872</v>
      </c>
      <c r="H23" s="125">
        <v>161</v>
      </c>
      <c r="I23" s="125">
        <v>8</v>
      </c>
      <c r="J23" s="250"/>
    </row>
    <row r="24" spans="1:10">
      <c r="A24" s="1">
        <v>12</v>
      </c>
      <c r="C24" s="1">
        <v>2022</v>
      </c>
      <c r="D24" s="1" t="s">
        <v>5</v>
      </c>
      <c r="E24" s="96"/>
      <c r="F24" s="125">
        <v>11595</v>
      </c>
      <c r="G24" s="125">
        <v>871</v>
      </c>
      <c r="H24" s="125">
        <v>161</v>
      </c>
      <c r="I24" s="125">
        <v>8</v>
      </c>
      <c r="J24" s="250"/>
    </row>
    <row r="25" spans="1:10">
      <c r="A25" s="1">
        <v>13</v>
      </c>
      <c r="C25" s="4" t="s">
        <v>61</v>
      </c>
      <c r="D25" s="39"/>
      <c r="E25" s="204"/>
      <c r="F25" s="251">
        <f>ROUND(AVERAGE(F13:F24),0)</f>
        <v>11594</v>
      </c>
      <c r="G25" s="251">
        <f>ROUND(AVERAGE(G13:G24),0)</f>
        <v>873</v>
      </c>
      <c r="H25" s="251">
        <f>ROUND(AVERAGE(H13:H24),0)</f>
        <v>160</v>
      </c>
      <c r="I25" s="251">
        <f>ROUND(AVERAGE(I13:I24),0)</f>
        <v>9</v>
      </c>
      <c r="J25" s="250"/>
    </row>
    <row r="26" spans="1:10">
      <c r="A26" s="1">
        <v>14</v>
      </c>
    </row>
    <row r="27" spans="1:10">
      <c r="A27" s="1">
        <v>15</v>
      </c>
      <c r="C27" s="30" t="s">
        <v>76</v>
      </c>
      <c r="E27" s="204"/>
      <c r="F27" s="252">
        <f>F24-F25</f>
        <v>1</v>
      </c>
      <c r="G27" s="252">
        <f t="shared" ref="G27:I27" si="0">G24-G25</f>
        <v>-2</v>
      </c>
      <c r="H27" s="252">
        <f t="shared" ref="H27" si="1">H24-H25</f>
        <v>1</v>
      </c>
      <c r="I27" s="252">
        <f t="shared" si="0"/>
        <v>-1</v>
      </c>
      <c r="J27" s="250"/>
    </row>
    <row r="28" spans="1:10">
      <c r="A28" s="1">
        <v>16</v>
      </c>
      <c r="D28" s="1"/>
      <c r="E28" s="204"/>
      <c r="F28" s="204"/>
      <c r="G28" s="204"/>
    </row>
    <row r="29" spans="1:10">
      <c r="A29" s="1">
        <v>17</v>
      </c>
      <c r="C29" s="2" t="s">
        <v>62</v>
      </c>
      <c r="D29" s="1"/>
      <c r="E29" s="204"/>
      <c r="F29" s="252">
        <v>142863015</v>
      </c>
      <c r="G29" s="252">
        <v>8504773</v>
      </c>
      <c r="H29" s="252">
        <v>22805417</v>
      </c>
      <c r="I29" s="252">
        <v>10505980</v>
      </c>
      <c r="J29" s="250"/>
    </row>
    <row r="30" spans="1:10">
      <c r="A30" s="1">
        <v>18</v>
      </c>
      <c r="C30" s="2" t="s">
        <v>63</v>
      </c>
      <c r="D30" s="1"/>
      <c r="E30" s="204"/>
      <c r="F30" s="252">
        <f>F29/F25</f>
        <v>12322.150681386924</v>
      </c>
      <c r="G30" s="252">
        <f t="shared" ref="G30:I30" si="2">G29/G25</f>
        <v>9742.0080183276059</v>
      </c>
      <c r="H30" s="252">
        <f t="shared" ref="H30" si="3">H29/H25</f>
        <v>142533.85625000001</v>
      </c>
      <c r="I30" s="252">
        <f t="shared" si="2"/>
        <v>1167331.111111111</v>
      </c>
      <c r="J30" s="250"/>
    </row>
    <row r="31" spans="1:10">
      <c r="A31" s="1">
        <v>19</v>
      </c>
      <c r="C31" s="2" t="s">
        <v>64</v>
      </c>
      <c r="D31" s="1"/>
      <c r="E31" s="204"/>
      <c r="F31" s="252">
        <f>F30*F27</f>
        <v>12322.150681386924</v>
      </c>
      <c r="G31" s="252">
        <f t="shared" ref="G31:I31" si="4">G30*G27</f>
        <v>-19484.016036655212</v>
      </c>
      <c r="H31" s="252">
        <f t="shared" ref="H31" si="5">H30*H27</f>
        <v>142533.85625000001</v>
      </c>
      <c r="I31" s="252">
        <f t="shared" si="4"/>
        <v>-1167331.111111111</v>
      </c>
      <c r="J31" s="138">
        <f>SUM(F31:I31)</f>
        <v>-1031959.1202163793</v>
      </c>
    </row>
    <row r="32" spans="1:10">
      <c r="A32" s="1">
        <v>20</v>
      </c>
      <c r="D32" s="1"/>
      <c r="E32" s="204"/>
      <c r="F32" s="204"/>
      <c r="G32" s="204"/>
    </row>
    <row r="33" spans="1:10">
      <c r="A33" s="1">
        <v>21</v>
      </c>
      <c r="C33" s="46" t="s">
        <v>68</v>
      </c>
      <c r="D33" s="1"/>
      <c r="E33" s="204"/>
      <c r="F33" s="204"/>
      <c r="G33" s="204"/>
    </row>
    <row r="34" spans="1:10">
      <c r="A34" s="1">
        <v>22</v>
      </c>
      <c r="C34" s="2" t="s">
        <v>65</v>
      </c>
      <c r="D34" s="1"/>
      <c r="E34" s="204"/>
      <c r="F34" s="204">
        <v>15735699.69155</v>
      </c>
      <c r="G34" s="204">
        <v>1120481.0929</v>
      </c>
      <c r="H34" s="96">
        <v>1946606.4390019998</v>
      </c>
      <c r="I34" s="96">
        <v>818758.1476574851</v>
      </c>
      <c r="J34" s="250"/>
    </row>
    <row r="35" spans="1:10">
      <c r="A35" s="1">
        <v>23</v>
      </c>
      <c r="C35" s="2" t="s">
        <v>66</v>
      </c>
      <c r="D35" s="1"/>
      <c r="E35" s="204"/>
      <c r="F35" s="253">
        <f>F34/F29</f>
        <v>0.11014537031540318</v>
      </c>
      <c r="G35" s="253">
        <f t="shared" ref="G35:I35" si="6">G34/G29</f>
        <v>0.13174732504912243</v>
      </c>
      <c r="H35" s="253">
        <f t="shared" ref="H35" si="7">H34/H29</f>
        <v>8.5357195573402572E-2</v>
      </c>
      <c r="I35" s="253">
        <f t="shared" si="6"/>
        <v>7.7932581982593258E-2</v>
      </c>
      <c r="J35" s="250"/>
    </row>
    <row r="36" spans="1:10">
      <c r="A36" s="1">
        <v>24</v>
      </c>
      <c r="C36" s="2" t="s">
        <v>67</v>
      </c>
      <c r="D36" s="1"/>
      <c r="E36" s="204"/>
      <c r="F36" s="204">
        <f>F35*F31</f>
        <v>1357.2278498835603</v>
      </c>
      <c r="G36" s="204">
        <f t="shared" ref="G36:I36" si="8">G35*G31</f>
        <v>-2566.9669940435283</v>
      </c>
      <c r="H36" s="204">
        <f t="shared" ref="H36" si="9">H35*H31</f>
        <v>12166.2902437625</v>
      </c>
      <c r="I36" s="204">
        <f t="shared" si="8"/>
        <v>-90973.127517498331</v>
      </c>
      <c r="J36" s="138">
        <f>SUM(F36:I36)</f>
        <v>-80016.576417895805</v>
      </c>
    </row>
    <row r="37" spans="1:10">
      <c r="A37" s="1">
        <v>25</v>
      </c>
      <c r="D37" s="1"/>
      <c r="E37" s="204"/>
      <c r="F37" s="204"/>
      <c r="G37" s="204"/>
      <c r="H37" s="204"/>
      <c r="I37" s="204"/>
    </row>
    <row r="38" spans="1:10">
      <c r="A38" s="1">
        <v>26</v>
      </c>
      <c r="C38" s="46" t="s">
        <v>69</v>
      </c>
      <c r="D38" s="1"/>
      <c r="E38" s="204"/>
      <c r="F38" s="204"/>
      <c r="G38" s="204"/>
      <c r="H38" s="204"/>
      <c r="I38" s="204"/>
    </row>
    <row r="39" spans="1:10">
      <c r="A39" s="1">
        <v>27</v>
      </c>
      <c r="C39" s="2" t="s">
        <v>80</v>
      </c>
      <c r="D39" s="1"/>
      <c r="E39" s="204"/>
      <c r="F39" s="254">
        <f>G56/G57</f>
        <v>6.4022254143943427E-2</v>
      </c>
      <c r="G39" s="254">
        <f>F39</f>
        <v>6.4022254143943427E-2</v>
      </c>
      <c r="H39" s="254">
        <f t="shared" ref="H39:I39" si="10">F39</f>
        <v>6.4022254143943427E-2</v>
      </c>
      <c r="I39" s="254">
        <f t="shared" si="10"/>
        <v>6.4022254143943427E-2</v>
      </c>
      <c r="J39" s="250"/>
    </row>
    <row r="40" spans="1:10">
      <c r="A40" s="1">
        <v>28</v>
      </c>
      <c r="C40" s="2" t="s">
        <v>70</v>
      </c>
      <c r="D40" s="1"/>
      <c r="E40" s="204"/>
      <c r="F40" s="204">
        <f>F39*F31</f>
        <v>788.89186252371928</v>
      </c>
      <c r="G40" s="204">
        <f>G39*G31</f>
        <v>-1247.4106264434092</v>
      </c>
      <c r="H40" s="204">
        <f>H39*H31</f>
        <v>9125.3387689537994</v>
      </c>
      <c r="I40" s="204">
        <f>I39*I31</f>
        <v>-74735.169065687413</v>
      </c>
      <c r="J40" s="138">
        <f>SUM(F40:I40)</f>
        <v>-66068.349060653301</v>
      </c>
    </row>
    <row r="41" spans="1:10" ht="13.5" thickBot="1">
      <c r="A41" s="1">
        <v>29</v>
      </c>
      <c r="C41" s="255"/>
      <c r="D41" s="32"/>
      <c r="E41" s="256"/>
      <c r="F41" s="256"/>
      <c r="G41" s="256"/>
      <c r="H41" s="256"/>
      <c r="I41" s="256"/>
      <c r="J41" s="255"/>
    </row>
    <row r="42" spans="1:10" ht="13.5" thickTop="1">
      <c r="A42" s="1">
        <v>30</v>
      </c>
      <c r="D42" s="1"/>
      <c r="E42" s="204"/>
    </row>
    <row r="43" spans="1:10">
      <c r="A43" s="1">
        <v>31</v>
      </c>
      <c r="E43" s="204"/>
      <c r="F43" s="257" t="s">
        <v>35</v>
      </c>
      <c r="G43" s="257" t="s">
        <v>24</v>
      </c>
      <c r="J43" s="258" t="s">
        <v>84</v>
      </c>
    </row>
    <row r="44" spans="1:10">
      <c r="A44" s="1">
        <v>32</v>
      </c>
      <c r="C44" s="2" t="s">
        <v>39</v>
      </c>
      <c r="E44" s="204"/>
      <c r="F44" s="236">
        <v>0</v>
      </c>
      <c r="G44" s="236">
        <v>0</v>
      </c>
      <c r="J44" s="115">
        <f>F44-G44</f>
        <v>0</v>
      </c>
    </row>
    <row r="45" spans="1:10">
      <c r="A45" s="1">
        <v>33</v>
      </c>
      <c r="E45" s="204"/>
      <c r="F45" s="204"/>
    </row>
    <row r="46" spans="1:10">
      <c r="A46" s="1">
        <v>34</v>
      </c>
      <c r="C46" s="2" t="s">
        <v>40</v>
      </c>
      <c r="E46" s="96"/>
      <c r="F46" s="96">
        <f>J36</f>
        <v>-80016.576417895805</v>
      </c>
      <c r="G46" s="96">
        <f>J40</f>
        <v>-66068.349060653301</v>
      </c>
      <c r="J46" s="115">
        <f>F46-G46</f>
        <v>-13948.227357242504</v>
      </c>
    </row>
    <row r="47" spans="1:10">
      <c r="A47" s="1">
        <v>35</v>
      </c>
    </row>
    <row r="48" spans="1:10" ht="13.5" thickBot="1">
      <c r="A48" s="1">
        <v>36</v>
      </c>
      <c r="C48" s="3" t="s">
        <v>15</v>
      </c>
      <c r="D48" s="3"/>
      <c r="E48" s="237"/>
      <c r="F48" s="238">
        <f>ROUND(F46-F44,2)</f>
        <v>-80016.58</v>
      </c>
      <c r="G48" s="238">
        <f>ROUND(G46-G44,2)</f>
        <v>-66068.350000000006</v>
      </c>
      <c r="J48" s="238">
        <f>ROUND(J46-J44,2)</f>
        <v>-13948.23</v>
      </c>
    </row>
    <row r="49" spans="1:10" ht="13.5" thickTop="1">
      <c r="A49" s="1">
        <v>37</v>
      </c>
    </row>
    <row r="50" spans="1:10">
      <c r="A50" s="1">
        <v>38</v>
      </c>
    </row>
    <row r="51" spans="1:10">
      <c r="A51" s="1">
        <v>39</v>
      </c>
      <c r="C51" s="8" t="s">
        <v>77</v>
      </c>
      <c r="G51" s="229" t="s">
        <v>78</v>
      </c>
    </row>
    <row r="52" spans="1:10">
      <c r="A52" s="1">
        <v>40</v>
      </c>
      <c r="C52" s="2" t="s">
        <v>71</v>
      </c>
      <c r="D52" s="1"/>
      <c r="E52" s="204"/>
      <c r="G52" s="204">
        <v>17827633</v>
      </c>
    </row>
    <row r="53" spans="1:10">
      <c r="A53" s="1">
        <v>41</v>
      </c>
      <c r="C53" s="2" t="s">
        <v>73</v>
      </c>
      <c r="D53" s="1"/>
      <c r="E53" s="204"/>
      <c r="G53" s="204">
        <v>-2151171</v>
      </c>
    </row>
    <row r="54" spans="1:10">
      <c r="A54" s="1">
        <v>42</v>
      </c>
      <c r="C54" s="2" t="s">
        <v>72</v>
      </c>
      <c r="D54" s="1"/>
      <c r="E54" s="204"/>
      <c r="G54" s="204">
        <v>-2424057</v>
      </c>
    </row>
    <row r="55" spans="1:10">
      <c r="A55" s="1">
        <v>43</v>
      </c>
      <c r="C55" s="2" t="s">
        <v>79</v>
      </c>
      <c r="D55" s="1"/>
      <c r="E55" s="204"/>
      <c r="G55" s="204">
        <f>-(-13758)</f>
        <v>13758</v>
      </c>
    </row>
    <row r="56" spans="1:10">
      <c r="A56" s="1">
        <v>44</v>
      </c>
      <c r="C56" s="2" t="s">
        <v>74</v>
      </c>
      <c r="D56" s="1"/>
      <c r="E56" s="204"/>
      <c r="G56" s="204">
        <f>SUM(G52:G55)</f>
        <v>13266163</v>
      </c>
    </row>
    <row r="57" spans="1:10">
      <c r="A57" s="1">
        <v>45</v>
      </c>
      <c r="C57" s="2" t="s">
        <v>75</v>
      </c>
      <c r="D57" s="1"/>
      <c r="E57" s="204"/>
      <c r="G57" s="252">
        <v>207211745</v>
      </c>
    </row>
    <row r="59" spans="1:10" ht="26.45" customHeight="1">
      <c r="C59" s="290" t="s">
        <v>304</v>
      </c>
      <c r="D59" s="290"/>
      <c r="E59" s="290"/>
      <c r="F59" s="290"/>
      <c r="G59" s="290"/>
      <c r="H59" s="290"/>
      <c r="I59" s="290"/>
      <c r="J59" s="290"/>
    </row>
  </sheetData>
  <mergeCells count="4">
    <mergeCell ref="A4:J4"/>
    <mergeCell ref="A5:J5"/>
    <mergeCell ref="A7:J7"/>
    <mergeCell ref="C59:J59"/>
  </mergeCells>
  <phoneticPr fontId="20" type="noConversion"/>
  <printOptions horizontalCentered="1"/>
  <pageMargins left="0.25" right="0.25" top="0.75" bottom="0.75" header="0.5" footer="0.25"/>
  <pageSetup scale="76" orientation="portrait" r:id="rId1"/>
  <headerFooter alignWithMargins="0">
    <oddFooter>&amp;RExhibit JW-2
Page &amp;P of &amp;N</oddFooter>
  </headerFooter>
  <rowBreaks count="1" manualBreakCount="1">
    <brk id="32" max="10" man="1"/>
  </rowBreaks>
  <ignoredErrors>
    <ignoredError sqref="C10:G10 H10:J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RevReq</vt:lpstr>
      <vt:lpstr>Adj List</vt:lpstr>
      <vt:lpstr>Adj BS</vt:lpstr>
      <vt:lpstr>Adj IS</vt:lpstr>
      <vt:lpstr>1.01 FAC</vt:lpstr>
      <vt:lpstr>1.02 ES</vt:lpstr>
      <vt:lpstr>1.03Depr</vt:lpstr>
      <vt:lpstr>1.04 GTCC</vt:lpstr>
      <vt:lpstr>1.05 Cust</vt:lpstr>
      <vt:lpstr>1.06 RC</vt:lpstr>
      <vt:lpstr>1.07 Donat&amp;Promo</vt:lpstr>
      <vt:lpstr>1.08 PROF</vt:lpstr>
      <vt:lpstr>1.09 DIR</vt:lpstr>
      <vt:lpstr>1.10 Wage</vt:lpstr>
      <vt:lpstr>1.11 LifeInsur</vt:lpstr>
      <vt:lpstr>1.12 Right of Way</vt:lpstr>
      <vt:lpstr>1.13 Interest</vt:lpstr>
      <vt:lpstr>'1.01 FAC'!Print_Area</vt:lpstr>
      <vt:lpstr>'1.02 ES'!Print_Area</vt:lpstr>
      <vt:lpstr>'1.03Depr'!Print_Area</vt:lpstr>
      <vt:lpstr>'1.04 GTCC'!Print_Area</vt:lpstr>
      <vt:lpstr>'1.05 Cust'!Print_Area</vt:lpstr>
      <vt:lpstr>'1.06 RC'!Print_Area</vt:lpstr>
      <vt:lpstr>'1.07 Donat&amp;Promo'!Print_Area</vt:lpstr>
      <vt:lpstr>'1.08 PROF'!Print_Area</vt:lpstr>
      <vt:lpstr>'1.09 DIR'!Print_Area</vt:lpstr>
      <vt:lpstr>'1.10 Wage'!Print_Area</vt:lpstr>
      <vt:lpstr>'1.11 LifeInsur'!Print_Area</vt:lpstr>
      <vt:lpstr>'1.12 Right of Way'!Print_Area</vt:lpstr>
      <vt:lpstr>'1.13 Interest'!Print_Area</vt:lpstr>
      <vt:lpstr>'Adj BS'!Print_Area</vt:lpstr>
      <vt:lpstr>'Adj IS'!Print_Area</vt:lpstr>
      <vt:lpstr>'Adj List'!Print_Area</vt:lpstr>
      <vt:lpstr>RevReq!Print_Area</vt:lpstr>
      <vt:lpstr>'1.05 Cust'!Print_Titles</vt:lpstr>
      <vt:lpstr>'1.07 Donat&amp;Promo'!Print_Titles</vt:lpstr>
      <vt:lpstr>'1.09 DIR'!Print_Titles</vt:lpstr>
      <vt:lpstr>'1.10 Wage'!Print_Titles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Wolfram</dc:creator>
  <cp:lastModifiedBy>John Wolfram</cp:lastModifiedBy>
  <cp:lastPrinted>2024-12-18T23:04:23Z</cp:lastPrinted>
  <dcterms:created xsi:type="dcterms:W3CDTF">2012-11-02T18:45:21Z</dcterms:created>
  <dcterms:modified xsi:type="dcterms:W3CDTF">2024-12-18T23:34:26Z</dcterms:modified>
</cp:coreProperties>
</file>