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onih\OneDrive\Documents\Rate Case 1st Data Request\"/>
    </mc:Choice>
  </mc:AlternateContent>
  <xr:revisionPtr revIDLastSave="0" documentId="13_ncr:1_{BA5BB935-91E3-4FB4-8717-8971B769E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 G" sheetId="1" r:id="rId1"/>
  </sheets>
  <definedNames>
    <definedName name="_xlnm.Print_Area" localSheetId="0">'Schedule G'!$A$1:$U$29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H24" i="1" l="1"/>
  <c r="D24" i="1"/>
  <c r="C24" i="1"/>
  <c r="H16" i="1"/>
  <c r="D16" i="1"/>
  <c r="C16" i="1"/>
  <c r="H28" i="1"/>
  <c r="F28" i="1"/>
  <c r="D28" i="1"/>
  <c r="C28" i="1"/>
  <c r="H27" i="1"/>
  <c r="F27" i="1"/>
  <c r="D27" i="1"/>
  <c r="C27" i="1"/>
  <c r="H26" i="1"/>
  <c r="F26" i="1"/>
  <c r="D26" i="1"/>
  <c r="C26" i="1"/>
  <c r="H22" i="1"/>
  <c r="F22" i="1"/>
  <c r="D22" i="1"/>
  <c r="C22" i="1"/>
  <c r="H18" i="1"/>
  <c r="F18" i="1"/>
  <c r="D18" i="1"/>
  <c r="C18" i="1"/>
  <c r="H15" i="1"/>
  <c r="F15" i="1"/>
  <c r="D15" i="1"/>
  <c r="C15" i="1"/>
  <c r="H13" i="1"/>
  <c r="F13" i="1"/>
  <c r="H11" i="1"/>
  <c r="H10" i="1"/>
  <c r="F11" i="1"/>
  <c r="F10" i="1"/>
  <c r="D11" i="1"/>
  <c r="D10" i="1"/>
  <c r="D13" i="1"/>
  <c r="C13" i="1"/>
  <c r="C11" i="1"/>
  <c r="C10" i="1"/>
  <c r="E26" i="1" l="1"/>
  <c r="E24" i="1" l="1"/>
  <c r="E28" i="1"/>
  <c r="E27" i="1"/>
  <c r="E22" i="1"/>
  <c r="E18" i="1"/>
  <c r="E15" i="1"/>
  <c r="E13" i="1"/>
  <c r="E11" i="1"/>
  <c r="E10" i="1"/>
  <c r="G15" i="1" l="1"/>
  <c r="G18" i="1"/>
  <c r="E16" i="1"/>
  <c r="I28" i="1"/>
  <c r="I27" i="1"/>
  <c r="I26" i="1"/>
  <c r="G26" i="1"/>
  <c r="I24" i="1"/>
  <c r="I22" i="1"/>
  <c r="I11" i="1" l="1"/>
  <c r="I13" i="1"/>
  <c r="I15" i="1"/>
  <c r="I18" i="1"/>
  <c r="G16" i="1"/>
  <c r="I16" i="1"/>
  <c r="G13" i="1"/>
  <c r="G27" i="1"/>
  <c r="G10" i="1"/>
  <c r="I10" i="1"/>
  <c r="G22" i="1"/>
  <c r="G11" i="1"/>
  <c r="G24" i="1"/>
  <c r="G28" i="1"/>
</calcChain>
</file>

<file path=xl/sharedStrings.xml><?xml version="1.0" encoding="utf-8"?>
<sst xmlns="http://schemas.openxmlformats.org/spreadsheetml/2006/main" count="42" uniqueCount="38">
  <si>
    <t>Schedule G</t>
  </si>
  <si>
    <t>(Total Company)</t>
  </si>
  <si>
    <t>Cost</t>
  </si>
  <si>
    <t>% Inc.</t>
  </si>
  <si>
    <t>% Inc</t>
  </si>
  <si>
    <t>Line No.</t>
  </si>
  <si>
    <t>Item (a)</t>
  </si>
  <si>
    <t>(b)</t>
  </si>
  <si>
    <t>. (c)</t>
  </si>
  <si>
    <t>(d)</t>
  </si>
  <si>
    <t>(e)</t>
  </si>
  <si>
    <t>(f)</t>
  </si>
  <si>
    <t>(g)</t>
  </si>
  <si>
    <t>Cost per kWh of Electricity Generated</t>
  </si>
  <si>
    <t>Cost per kWh of Electricity Purchased</t>
  </si>
  <si>
    <t>Cost per kWh of Electricity Sold</t>
  </si>
  <si>
    <t>Maintenance Cost per Transmission Mile</t>
  </si>
  <si>
    <t>Maintenance Cost per Distribution Mile</t>
  </si>
  <si>
    <t>Sales Promotion Expense per Customer</t>
  </si>
  <si>
    <t>Administration and General Expense per Customer</t>
  </si>
  <si>
    <t>Wages and Salaries – Charged Expense – per Average Employee</t>
  </si>
  <si>
    <t>Depreciation Expense:</t>
  </si>
  <si>
    <t>Per $100 of Average Gross Depreciable Plant in Service</t>
  </si>
  <si>
    <t>Rents:</t>
  </si>
  <si>
    <t>Per $100 of Average Gross Plant in Service</t>
  </si>
  <si>
    <t>Property Taxes:</t>
  </si>
  <si>
    <t>Per $100 of Average Net Plant in Service</t>
  </si>
  <si>
    <t>Payroll Taxes:</t>
  </si>
  <si>
    <t>Per Average Employee whose Salary is Charged to Expense</t>
  </si>
  <si>
    <t>Interest Expense:</t>
  </si>
  <si>
    <t>Per $100 of Average Debt Outstanding</t>
  </si>
  <si>
    <t>Per $100 of Average Plant Investment</t>
  </si>
  <si>
    <t>Per kWh Sold</t>
  </si>
  <si>
    <t>Meter Reading Expense per Meter</t>
  </si>
  <si>
    <t>Three Most Recent Calendar years</t>
  </si>
  <si>
    <r>
      <t>Comparative Operating Statistics – Electric Operations For the Calendar Years 2021 through 2023</t>
    </r>
    <r>
      <rPr>
        <b/>
        <u/>
        <sz val="10"/>
        <color theme="1"/>
        <rFont val="Arial"/>
        <family val="2"/>
      </rPr>
      <t xml:space="preserve">          </t>
    </r>
  </si>
  <si>
    <t>Big Sandy R.E.C.C.</t>
  </si>
  <si>
    <t>Case No. 2024-00287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</si>
</sst>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/>
    <xf numFmtId="10" fontId="0" fillId="0" borderId="0" xfId="3" applyNumberFormat="1" applyFont="1"/>
    <xf numFmtId="10" fontId="3" fillId="0" borderId="21" xfId="3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4" fontId="3" fillId="0" borderId="18" xfId="2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2"/>
    </xf>
    <xf numFmtId="0" fontId="3" fillId="0" borderId="20" xfId="0" applyFont="1" applyBorder="1" applyAlignment="1">
      <alignment vertical="center" wrapText="1"/>
    </xf>
    <xf numFmtId="165" fontId="3" fillId="0" borderId="20" xfId="2" applyNumberFormat="1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0" fontId="3" fillId="0" borderId="20" xfId="3" applyNumberFormat="1" applyFont="1" applyFill="1" applyBorder="1" applyAlignment="1">
      <alignment vertical="center" wrapText="1"/>
    </xf>
    <xf numFmtId="44" fontId="3" fillId="0" borderId="20" xfId="2" applyFont="1" applyFill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2"/>
    </xf>
    <xf numFmtId="0" fontId="3" fillId="0" borderId="18" xfId="0" applyFont="1" applyBorder="1" applyAlignment="1">
      <alignment horizontal="left" vertical="center" wrapText="1" indent="1"/>
    </xf>
    <xf numFmtId="44" fontId="3" fillId="0" borderId="18" xfId="2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44" fontId="3" fillId="0" borderId="22" xfId="2" applyFont="1" applyFill="1" applyBorder="1" applyAlignment="1">
      <alignment vertical="center"/>
    </xf>
    <xf numFmtId="166" fontId="3" fillId="0" borderId="20" xfId="2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7" fontId="3" fillId="0" borderId="20" xfId="2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center" wrapText="1" indent="12"/>
    </xf>
    <xf numFmtId="0" fontId="3" fillId="0" borderId="10" xfId="0" applyFont="1" applyBorder="1" applyAlignment="1">
      <alignment horizontal="left" vertical="center" wrapText="1" indent="12"/>
    </xf>
    <xf numFmtId="0" fontId="3" fillId="0" borderId="11" xfId="0" applyFont="1" applyBorder="1" applyAlignment="1">
      <alignment horizontal="left" vertical="center" wrapText="1" indent="12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3" zoomScale="136" zoomScaleNormal="136" workbookViewId="0">
      <selection activeCell="F24" sqref="F24"/>
    </sheetView>
  </sheetViews>
  <sheetFormatPr defaultRowHeight="15" x14ac:dyDescent="0.25"/>
  <cols>
    <col min="2" max="2" width="39" customWidth="1"/>
    <col min="3" max="3" width="0.7109375" customWidth="1"/>
    <col min="4" max="4" width="12.140625" customWidth="1"/>
    <col min="5" max="5" width="9.42578125" customWidth="1"/>
    <col min="6" max="6" width="11.28515625" customWidth="1"/>
    <col min="7" max="7" width="10.140625" customWidth="1"/>
    <col min="8" max="9" width="10.28515625" customWidth="1"/>
  </cols>
  <sheetData>
    <row r="1" spans="1:12" ht="17.25" customHeight="1" thickTop="1" x14ac:dyDescent="0.25">
      <c r="A1" s="49"/>
      <c r="B1" s="52" t="s">
        <v>36</v>
      </c>
      <c r="C1" s="52"/>
      <c r="D1" s="52"/>
      <c r="E1" s="52"/>
      <c r="F1" s="52"/>
      <c r="G1" s="52"/>
      <c r="H1" s="52"/>
      <c r="I1" s="40" t="s">
        <v>0</v>
      </c>
    </row>
    <row r="2" spans="1:12" ht="16.149999999999999" customHeight="1" x14ac:dyDescent="0.25">
      <c r="A2" s="50"/>
      <c r="B2" s="52" t="s">
        <v>37</v>
      </c>
      <c r="C2" s="52"/>
      <c r="D2" s="52"/>
      <c r="E2" s="52"/>
      <c r="F2" s="52"/>
      <c r="G2" s="52"/>
      <c r="H2" s="52"/>
      <c r="I2" s="40"/>
    </row>
    <row r="3" spans="1:12" ht="13.15" customHeight="1" x14ac:dyDescent="0.25">
      <c r="A3" s="50"/>
      <c r="B3" s="52" t="s">
        <v>35</v>
      </c>
      <c r="C3" s="52"/>
      <c r="D3" s="52"/>
      <c r="E3" s="52"/>
      <c r="F3" s="52"/>
      <c r="G3" s="52"/>
      <c r="H3" s="52"/>
      <c r="I3" s="40"/>
    </row>
    <row r="4" spans="1:12" ht="15.75" thickBot="1" x14ac:dyDescent="0.3">
      <c r="A4" s="51"/>
      <c r="B4" s="53" t="s">
        <v>1</v>
      </c>
      <c r="C4" s="53"/>
      <c r="D4" s="53"/>
      <c r="E4" s="53"/>
      <c r="F4" s="53"/>
      <c r="G4" s="53"/>
      <c r="H4" s="53"/>
      <c r="I4" s="41"/>
    </row>
    <row r="5" spans="1:12" ht="16.5" thickTop="1" thickBot="1" x14ac:dyDescent="0.3">
      <c r="A5" s="9"/>
      <c r="B5" s="10"/>
      <c r="C5" s="33"/>
      <c r="D5" s="42" t="s">
        <v>34</v>
      </c>
      <c r="E5" s="43"/>
      <c r="F5" s="43"/>
      <c r="G5" s="43"/>
      <c r="H5" s="43"/>
      <c r="I5" s="44"/>
    </row>
    <row r="6" spans="1:12" ht="15.75" thickBot="1" x14ac:dyDescent="0.3">
      <c r="A6" s="11"/>
      <c r="B6" s="34"/>
      <c r="C6" s="37">
        <v>2020</v>
      </c>
      <c r="D6" s="45">
        <v>2021</v>
      </c>
      <c r="E6" s="46"/>
      <c r="F6" s="47">
        <v>2022</v>
      </c>
      <c r="G6" s="46"/>
      <c r="H6" s="47">
        <v>2023</v>
      </c>
      <c r="I6" s="48"/>
    </row>
    <row r="7" spans="1:12" x14ac:dyDescent="0.25">
      <c r="A7" s="12"/>
      <c r="B7" s="35"/>
      <c r="C7" s="38" t="s">
        <v>2</v>
      </c>
      <c r="D7" s="13" t="s">
        <v>2</v>
      </c>
      <c r="E7" s="14" t="s">
        <v>3</v>
      </c>
      <c r="F7" s="13" t="s">
        <v>2</v>
      </c>
      <c r="G7" s="14" t="s">
        <v>4</v>
      </c>
      <c r="H7" s="13" t="s">
        <v>2</v>
      </c>
      <c r="I7" s="15" t="s">
        <v>4</v>
      </c>
      <c r="L7" s="1"/>
    </row>
    <row r="8" spans="1:12" ht="15.75" thickBot="1" x14ac:dyDescent="0.3">
      <c r="A8" s="16" t="s">
        <v>5</v>
      </c>
      <c r="B8" s="32" t="s">
        <v>6</v>
      </c>
      <c r="C8" s="36"/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8" t="s">
        <v>12</v>
      </c>
      <c r="K8" s="2"/>
    </row>
    <row r="9" spans="1:12" ht="16.5" thickTop="1" thickBot="1" x14ac:dyDescent="0.3">
      <c r="A9" s="19">
        <v>1</v>
      </c>
      <c r="B9" s="20" t="s">
        <v>13</v>
      </c>
      <c r="C9" s="20"/>
      <c r="D9" s="21">
        <v>0</v>
      </c>
      <c r="E9" s="20"/>
      <c r="F9" s="21"/>
      <c r="G9" s="20"/>
      <c r="H9" s="21"/>
      <c r="I9" s="22"/>
    </row>
    <row r="10" spans="1:12" ht="15.75" thickBot="1" x14ac:dyDescent="0.3">
      <c r="A10" s="19">
        <v>2</v>
      </c>
      <c r="B10" s="20" t="s">
        <v>14</v>
      </c>
      <c r="C10" s="21">
        <f>14289675/221434694</f>
        <v>6.4532231792006359E-2</v>
      </c>
      <c r="D10" s="21">
        <f>16128723/221725936</f>
        <v>7.2741706680629376E-2</v>
      </c>
      <c r="E10" s="23">
        <f>(D10-C10)/C10</f>
        <v>0.12721510880148931</v>
      </c>
      <c r="F10" s="21">
        <f>20333030/228320154</f>
        <v>8.9054906646567872E-2</v>
      </c>
      <c r="G10" s="23">
        <f>(F10-D10)/D10</f>
        <v>0.22426199095879326</v>
      </c>
      <c r="H10" s="21">
        <f>17827633/207211745</f>
        <v>8.6035822921137983E-2</v>
      </c>
      <c r="I10" s="3">
        <f>(H10-F10)/F10</f>
        <v>-3.3901374321930668E-2</v>
      </c>
    </row>
    <row r="11" spans="1:12" ht="15.75" thickBot="1" x14ac:dyDescent="0.3">
      <c r="A11" s="19">
        <v>3</v>
      </c>
      <c r="B11" s="20" t="s">
        <v>15</v>
      </c>
      <c r="C11" s="21">
        <f>22898792/209321929</f>
        <v>0.10939509352601083</v>
      </c>
      <c r="D11" s="21">
        <f>24765424/210331589</f>
        <v>0.11774467219947642</v>
      </c>
      <c r="E11" s="23">
        <f t="shared" ref="E11:E28" si="0">(D11-C11)/C11</f>
        <v>7.6324983181081232E-2</v>
      </c>
      <c r="F11" s="21">
        <f>29307000/215782084</f>
        <v>0.13581757788565987</v>
      </c>
      <c r="G11" s="23">
        <f t="shared" ref="G11:G18" si="1">(F11-D11)/D11</f>
        <v>0.15349234363288519</v>
      </c>
      <c r="H11" s="21">
        <f>26562169/195084645</f>
        <v>0.13615714860592951</v>
      </c>
      <c r="I11" s="3">
        <f t="shared" ref="I11:I28" si="2">(H11-F11)/F11</f>
        <v>2.5001971435207439E-3</v>
      </c>
    </row>
    <row r="12" spans="1:12" ht="15.75" thickBot="1" x14ac:dyDescent="0.3">
      <c r="A12" s="19">
        <v>4</v>
      </c>
      <c r="B12" s="20" t="s">
        <v>16</v>
      </c>
      <c r="C12" s="21">
        <v>0</v>
      </c>
      <c r="D12" s="21">
        <v>0</v>
      </c>
      <c r="E12" s="23"/>
      <c r="F12" s="21">
        <v>0</v>
      </c>
      <c r="G12" s="23"/>
      <c r="H12" s="21">
        <v>0</v>
      </c>
      <c r="I12" s="3"/>
    </row>
    <row r="13" spans="1:12" ht="15.75" thickBot="1" x14ac:dyDescent="0.3">
      <c r="A13" s="19">
        <v>5</v>
      </c>
      <c r="B13" s="20" t="s">
        <v>17</v>
      </c>
      <c r="C13" s="24">
        <f>2924828/1036</f>
        <v>2823.1930501930501</v>
      </c>
      <c r="D13" s="24">
        <f>3100202/1034</f>
        <v>2998.2611218568663</v>
      </c>
      <c r="E13" s="23">
        <f t="shared" si="0"/>
        <v>6.2010662590659557E-2</v>
      </c>
      <c r="F13" s="24">
        <f>3043267/1031</f>
        <v>2951.7623666343356</v>
      </c>
      <c r="G13" s="23">
        <f t="shared" si="1"/>
        <v>-1.5508574247773769E-2</v>
      </c>
      <c r="H13" s="24">
        <f>3798121/1034</f>
        <v>3673.2311411992264</v>
      </c>
      <c r="I13" s="3">
        <f t="shared" si="2"/>
        <v>0.24441966694884226</v>
      </c>
    </row>
    <row r="14" spans="1:12" ht="15.75" thickBot="1" x14ac:dyDescent="0.3">
      <c r="A14" s="19">
        <v>6</v>
      </c>
      <c r="B14" s="20" t="s">
        <v>18</v>
      </c>
      <c r="C14" s="21">
        <v>0</v>
      </c>
      <c r="D14" s="21">
        <v>0</v>
      </c>
      <c r="E14" s="23"/>
      <c r="F14" s="21">
        <v>0</v>
      </c>
      <c r="G14" s="23"/>
      <c r="H14" s="21">
        <v>0</v>
      </c>
      <c r="I14" s="3"/>
    </row>
    <row r="15" spans="1:12" ht="24.75" thickBot="1" x14ac:dyDescent="0.3">
      <c r="A15" s="19">
        <v>7</v>
      </c>
      <c r="B15" s="20" t="s">
        <v>19</v>
      </c>
      <c r="C15" s="39">
        <f>1213202/12850</f>
        <v>94.412607003891054</v>
      </c>
      <c r="D15" s="24">
        <f>1276780/12772</f>
        <v>99.967115565299096</v>
      </c>
      <c r="E15" s="23">
        <f t="shared" si="0"/>
        <v>5.883227608765345E-2</v>
      </c>
      <c r="F15" s="24">
        <f>1582779/12636</f>
        <v>125.25949667616334</v>
      </c>
      <c r="G15" s="23">
        <f t="shared" si="1"/>
        <v>0.2530070110339746</v>
      </c>
      <c r="H15" s="24">
        <f>1607355/12636</f>
        <v>127.20441595441595</v>
      </c>
      <c r="I15" s="3">
        <f t="shared" si="2"/>
        <v>1.5527120337078022E-2</v>
      </c>
    </row>
    <row r="16" spans="1:12" ht="24.75" thickBot="1" x14ac:dyDescent="0.3">
      <c r="A16" s="19">
        <v>8</v>
      </c>
      <c r="B16" s="20" t="s">
        <v>20</v>
      </c>
      <c r="C16" s="39">
        <f>2073160/41</f>
        <v>50564.878048780491</v>
      </c>
      <c r="D16" s="24">
        <f>2136423/38</f>
        <v>56221.65789473684</v>
      </c>
      <c r="E16" s="23">
        <f t="shared" si="0"/>
        <v>0.11187171934834278</v>
      </c>
      <c r="F16" s="24">
        <f>2229475/42</f>
        <v>53082.738095238092</v>
      </c>
      <c r="G16" s="23">
        <f t="shared" si="1"/>
        <v>-5.5831149721264205E-2</v>
      </c>
      <c r="H16" s="24">
        <f>2511802/40</f>
        <v>62795.05</v>
      </c>
      <c r="I16" s="3">
        <f t="shared" si="2"/>
        <v>0.18296554121486014</v>
      </c>
    </row>
    <row r="17" spans="1:10" ht="15.75" thickBot="1" x14ac:dyDescent="0.3">
      <c r="A17" s="19">
        <v>9</v>
      </c>
      <c r="B17" s="20" t="s">
        <v>21</v>
      </c>
      <c r="C17" s="21"/>
      <c r="D17" s="24"/>
      <c r="E17" s="23"/>
      <c r="F17" s="24"/>
      <c r="G17" s="23"/>
      <c r="H17" s="24"/>
      <c r="I17" s="3"/>
    </row>
    <row r="18" spans="1:10" ht="24.75" thickBot="1" x14ac:dyDescent="0.3">
      <c r="A18" s="19">
        <v>10</v>
      </c>
      <c r="B18" s="25" t="s">
        <v>22</v>
      </c>
      <c r="C18" s="39">
        <f>(2495774/57917792)*100</f>
        <v>4.3091663439103476</v>
      </c>
      <c r="D18" s="24">
        <f>(2545141/59297746)*100</f>
        <v>4.2921378495567097</v>
      </c>
      <c r="E18" s="23">
        <f t="shared" si="0"/>
        <v>-3.9516911148492267E-3</v>
      </c>
      <c r="F18" s="24">
        <f>(2521208/61108688)*100</f>
        <v>4.1257766817052266</v>
      </c>
      <c r="G18" s="23">
        <f t="shared" si="1"/>
        <v>-3.8759511852273068E-2</v>
      </c>
      <c r="H18" s="24">
        <f>(2629280/63863073)*100</f>
        <v>4.1170583820794215</v>
      </c>
      <c r="I18" s="3">
        <f t="shared" si="2"/>
        <v>-2.1131293083467852E-3</v>
      </c>
    </row>
    <row r="19" spans="1:10" ht="15.75" thickBot="1" x14ac:dyDescent="0.3">
      <c r="A19" s="19">
        <v>11</v>
      </c>
      <c r="B19" s="20" t="s">
        <v>23</v>
      </c>
      <c r="C19" s="21"/>
      <c r="D19" s="24"/>
      <c r="E19" s="23"/>
      <c r="F19" s="24"/>
      <c r="G19" s="23"/>
      <c r="H19" s="24"/>
      <c r="I19" s="3"/>
    </row>
    <row r="20" spans="1:10" ht="15.75" thickBot="1" x14ac:dyDescent="0.3">
      <c r="A20" s="26">
        <v>12</v>
      </c>
      <c r="B20" s="27" t="s">
        <v>24</v>
      </c>
      <c r="C20" s="21">
        <v>0</v>
      </c>
      <c r="D20" s="24">
        <v>0</v>
      </c>
      <c r="E20" s="23"/>
      <c r="F20" s="28">
        <v>0</v>
      </c>
      <c r="G20" s="23"/>
      <c r="H20" s="28">
        <v>0</v>
      </c>
      <c r="I20" s="3"/>
    </row>
    <row r="21" spans="1:10" ht="16.5" thickTop="1" thickBot="1" x14ac:dyDescent="0.3">
      <c r="A21" s="29">
        <v>13</v>
      </c>
      <c r="B21" s="20" t="s">
        <v>25</v>
      </c>
      <c r="C21" s="21"/>
      <c r="D21" s="20"/>
      <c r="E21" s="23"/>
      <c r="F21" s="20"/>
      <c r="G21" s="20"/>
      <c r="H21" s="20"/>
      <c r="I21" s="3"/>
    </row>
    <row r="22" spans="1:10" ht="15.75" thickBot="1" x14ac:dyDescent="0.3">
      <c r="A22" s="29">
        <v>14</v>
      </c>
      <c r="B22" s="25" t="s">
        <v>26</v>
      </c>
      <c r="C22" s="21">
        <f>(290925/32562573)*100</f>
        <v>0.89343369763808278</v>
      </c>
      <c r="D22" s="21">
        <f>(327922/32731556)*100</f>
        <v>1.0018527686248708</v>
      </c>
      <c r="E22" s="23">
        <f t="shared" si="0"/>
        <v>0.12135099814727053</v>
      </c>
      <c r="F22" s="21">
        <f>(457563/33435596)*100</f>
        <v>1.368490634950847</v>
      </c>
      <c r="G22" s="23">
        <f>(F22-D22)/D22</f>
        <v>0.36595982743973271</v>
      </c>
      <c r="H22" s="21">
        <f>(398707/34667777)*100</f>
        <v>1.1500795104341417</v>
      </c>
      <c r="I22" s="3">
        <f t="shared" si="2"/>
        <v>-0.1596000140143817</v>
      </c>
    </row>
    <row r="23" spans="1:10" ht="15.75" thickBot="1" x14ac:dyDescent="0.3">
      <c r="A23" s="29">
        <v>15</v>
      </c>
      <c r="B23" s="20" t="s">
        <v>27</v>
      </c>
      <c r="C23" s="21"/>
      <c r="D23" s="24"/>
      <c r="E23" s="23"/>
      <c r="F23" s="24"/>
      <c r="G23" s="23"/>
      <c r="H23" s="24"/>
      <c r="I23" s="3"/>
    </row>
    <row r="24" spans="1:10" ht="24.75" thickBot="1" x14ac:dyDescent="0.3">
      <c r="A24" s="29">
        <v>16</v>
      </c>
      <c r="B24" s="25" t="s">
        <v>28</v>
      </c>
      <c r="C24" s="39">
        <f>(202286*77%)/41</f>
        <v>3799.0297560975609</v>
      </c>
      <c r="D24" s="24">
        <f>(222394*73%)/38</f>
        <v>4272.3057894736839</v>
      </c>
      <c r="E24" s="23">
        <f t="shared" si="0"/>
        <v>0.12457813277627011</v>
      </c>
      <c r="F24" s="24">
        <f>(235472*73%)/42</f>
        <v>4092.7276190476191</v>
      </c>
      <c r="G24" s="23">
        <f t="shared" ref="G24:G28" si="3">(F24-D24)/D24</f>
        <v>-4.2033079857841243E-2</v>
      </c>
      <c r="H24" s="24">
        <f>(264395*77%)/40</f>
        <v>5089.6037500000002</v>
      </c>
      <c r="I24" s="3">
        <f t="shared" si="2"/>
        <v>0.2435725569209404</v>
      </c>
    </row>
    <row r="25" spans="1:10" ht="15.75" thickBot="1" x14ac:dyDescent="0.3">
      <c r="A25" s="29">
        <v>17</v>
      </c>
      <c r="B25" s="20" t="s">
        <v>29</v>
      </c>
      <c r="C25" s="21"/>
      <c r="D25" s="24"/>
      <c r="E25" s="23"/>
      <c r="F25" s="24"/>
      <c r="G25" s="23"/>
      <c r="H25" s="24"/>
      <c r="I25" s="3"/>
    </row>
    <row r="26" spans="1:10" ht="15.75" thickBot="1" x14ac:dyDescent="0.3">
      <c r="A26" s="29">
        <v>18</v>
      </c>
      <c r="B26" s="25" t="s">
        <v>30</v>
      </c>
      <c r="C26" s="30">
        <f>(773479/26448196)*100</f>
        <v>2.9245057016365124</v>
      </c>
      <c r="D26" s="30">
        <f>(669184/25285910)*100</f>
        <v>2.6464699115040751</v>
      </c>
      <c r="E26" s="23">
        <f t="shared" si="0"/>
        <v>-9.5071037124958374E-2</v>
      </c>
      <c r="F26" s="30">
        <f>(672533/24109322)*100</f>
        <v>2.7895143629505634</v>
      </c>
      <c r="G26" s="23">
        <f t="shared" si="3"/>
        <v>5.4051040151516988E-2</v>
      </c>
      <c r="H26" s="24">
        <f>(778919/27853353)*100</f>
        <v>2.7964999402405879</v>
      </c>
      <c r="I26" s="3">
        <f t="shared" si="2"/>
        <v>2.5042270377972132E-3</v>
      </c>
      <c r="J26" s="4"/>
    </row>
    <row r="27" spans="1:10" ht="15.75" thickBot="1" x14ac:dyDescent="0.3">
      <c r="A27" s="29">
        <v>19</v>
      </c>
      <c r="B27" s="25" t="s">
        <v>31</v>
      </c>
      <c r="C27" s="39">
        <f>((773479/32562573)*100)</f>
        <v>2.3753620452536106</v>
      </c>
      <c r="D27" s="24">
        <f>((669184/32731556)*100)</f>
        <v>2.0444613143353161</v>
      </c>
      <c r="E27" s="23">
        <f t="shared" si="0"/>
        <v>-0.13930538781635082</v>
      </c>
      <c r="F27" s="24">
        <f>((672533/33435596)*100)</f>
        <v>2.0114281797160127</v>
      </c>
      <c r="G27" s="23">
        <f t="shared" si="3"/>
        <v>-1.6157378174721248E-2</v>
      </c>
      <c r="H27" s="24">
        <f>((778919/34667777)*100)</f>
        <v>2.2468097680448333</v>
      </c>
      <c r="I27" s="3">
        <f t="shared" si="2"/>
        <v>0.11702211925958669</v>
      </c>
    </row>
    <row r="28" spans="1:10" ht="15.75" thickBot="1" x14ac:dyDescent="0.3">
      <c r="A28" s="29">
        <v>20</v>
      </c>
      <c r="B28" s="25" t="s">
        <v>32</v>
      </c>
      <c r="C28" s="21">
        <f>773479/209321929</f>
        <v>3.6951646857792909E-3</v>
      </c>
      <c r="D28" s="31">
        <f>669184/210331589</f>
        <v>3.1815667973677506E-3</v>
      </c>
      <c r="E28" s="23">
        <f t="shared" si="0"/>
        <v>-0.13899188049401515</v>
      </c>
      <c r="F28" s="31">
        <f>672533/215782084</f>
        <v>3.1167230732649705E-3</v>
      </c>
      <c r="G28" s="23">
        <f t="shared" si="3"/>
        <v>-2.0381066384156432E-2</v>
      </c>
      <c r="H28" s="31">
        <f>778919/195084645</f>
        <v>3.9927232612284782E-3</v>
      </c>
      <c r="I28" s="3">
        <f t="shared" si="2"/>
        <v>0.28106449221548591</v>
      </c>
    </row>
    <row r="29" spans="1:10" ht="15.75" thickBot="1" x14ac:dyDescent="0.3">
      <c r="A29" s="5">
        <v>21</v>
      </c>
      <c r="B29" s="6" t="s">
        <v>33</v>
      </c>
      <c r="C29" s="21">
        <v>0</v>
      </c>
      <c r="D29" s="7">
        <v>0</v>
      </c>
      <c r="E29" s="23"/>
      <c r="F29" s="7">
        <v>0</v>
      </c>
      <c r="G29" s="6"/>
      <c r="H29" s="7">
        <v>0</v>
      </c>
      <c r="I29" s="8"/>
    </row>
    <row r="30" spans="1:10" ht="15.75" thickTop="1" x14ac:dyDescent="0.25"/>
  </sheetData>
  <mergeCells count="9">
    <mergeCell ref="D5:I5"/>
    <mergeCell ref="D6:E6"/>
    <mergeCell ref="F6:G6"/>
    <mergeCell ref="H6:I6"/>
    <mergeCell ref="A1:A4"/>
    <mergeCell ref="B3:H3"/>
    <mergeCell ref="B1:H1"/>
    <mergeCell ref="B2:H2"/>
    <mergeCell ref="B4:H4"/>
  </mergeCells>
  <pageMargins left="0.7" right="0.7" top="0.75" bottom="0.75" header="0.3" footer="0.3"/>
  <pageSetup paperSize="5" scale="73" orientation="landscape" r:id="rId1"/>
  <ignoredErrors>
    <ignoredError sqref="H17 H19:H21 H23 H29 H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G</vt:lpstr>
      <vt:lpstr>'Schedule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Joni Hazelrigg</cp:lastModifiedBy>
  <dcterms:created xsi:type="dcterms:W3CDTF">2021-12-18T13:58:40Z</dcterms:created>
  <dcterms:modified xsi:type="dcterms:W3CDTF">2024-10-14T14:43:57Z</dcterms:modified>
</cp:coreProperties>
</file>